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docProps/custom.xml" ContentType="application/vnd.openxmlformats-officedocument.custom-properties+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worksheets/sheet1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30" yWindow="1140" windowWidth="25140" windowHeight="11490" tabRatio="897"/>
  </bookViews>
  <sheets>
    <sheet name="总" sheetId="47" r:id="rId1"/>
    <sheet name="渠道工程" sheetId="48" r:id="rId2"/>
    <sheet name="金结" sheetId="83" r:id="rId3"/>
    <sheet name="占地" sheetId="82" r:id="rId4"/>
    <sheet name="建筑单价汇总" sheetId="24" r:id="rId5"/>
    <sheet name="主要材料汇总" sheetId="25" state="hidden" r:id="rId6"/>
    <sheet name="次要材料汇总" sheetId="26" r:id="rId7"/>
    <sheet name="施工机械台时汇总" sheetId="27" r:id="rId8"/>
    <sheet name="材料预算价格表" sheetId="28" r:id="rId9"/>
    <sheet name="设计费" sheetId="43" state="hidden" r:id="rId10"/>
    <sheet name="台时" sheetId="29" r:id="rId11"/>
    <sheet name="管道安装" sheetId="51" r:id="rId12"/>
    <sheet name="砼配合" sheetId="30" r:id="rId13"/>
    <sheet name="砼单价" sheetId="31" r:id="rId14"/>
    <sheet name="钢筋" sheetId="32" state="hidden" r:id="rId15"/>
    <sheet name="砌石" sheetId="33" r:id="rId16"/>
    <sheet name="土石方" sheetId="34" r:id="rId17"/>
    <sheet name="生物" sheetId="41" state="hidden" r:id="rId18"/>
    <sheet name="管材" sheetId="49" state="hidden" r:id="rId19"/>
    <sheet name="取费" sheetId="39" r:id="rId20"/>
    <sheet name="Sheet1" sheetId="50" state="hidden" r:id="rId21"/>
  </sheets>
  <externalReferences>
    <externalReference r:id="rId22"/>
    <externalReference r:id="rId23"/>
  </externalReferences>
  <definedNames>
    <definedName name="_xlnm._FilterDatabase" localSheetId="1" hidden="1">渠道工程!$A$1:$I$271</definedName>
    <definedName name="_xlnm.Print_Area" localSheetId="8">材料预算价格表!$A$1:$L$17</definedName>
    <definedName name="_xlnm.Print_Area" localSheetId="6">次要材料汇总!$A$1:$G$30</definedName>
    <definedName name="_xlnm.Print_Area" localSheetId="4">建筑单价汇总!$A$1:$O$149</definedName>
    <definedName name="_xlnm.Print_Area" localSheetId="7">施工机械台时汇总!$A$1:$E$105</definedName>
    <definedName name="_xlnm.Print_Area" localSheetId="0">总!$A$1:$F$2</definedName>
    <definedName name="_xlnm.Print_Titles" localSheetId="4">建筑单价汇总!$1:$7</definedName>
    <definedName name="_xlnm.Print_Titles" localSheetId="7">施工机械台时汇总!$1:$5</definedName>
    <definedName name="_xlnm.Print_Titles" localSheetId="10">台时!$A:$E</definedName>
  </definedNames>
  <calcPr calcId="125725"/>
</workbook>
</file>

<file path=xl/calcChain.xml><?xml version="1.0" encoding="utf-8"?>
<calcChain xmlns="http://schemas.openxmlformats.org/spreadsheetml/2006/main">
  <c r="R53" i="49"/>
  <c r="Q53"/>
  <c r="P53"/>
  <c r="O53"/>
  <c r="N53"/>
  <c r="M53"/>
  <c r="R52"/>
  <c r="Q52"/>
  <c r="P52"/>
  <c r="O52"/>
  <c r="N52"/>
  <c r="M52"/>
  <c r="R51"/>
  <c r="Q51"/>
  <c r="P51"/>
  <c r="O51"/>
  <c r="N51"/>
  <c r="M51"/>
  <c r="R50"/>
  <c r="Q50"/>
  <c r="P50"/>
  <c r="O50"/>
  <c r="N50"/>
  <c r="M50"/>
  <c r="R49"/>
  <c r="Q49"/>
  <c r="P49"/>
  <c r="O49"/>
  <c r="N49"/>
  <c r="M49"/>
  <c r="R48"/>
  <c r="Q48"/>
  <c r="P48"/>
  <c r="O48"/>
  <c r="N48"/>
  <c r="M48"/>
  <c r="R47"/>
  <c r="Q47"/>
  <c r="P47"/>
  <c r="O47"/>
  <c r="N47"/>
  <c r="M47"/>
  <c r="R46"/>
  <c r="Q46"/>
  <c r="P46"/>
  <c r="O46"/>
  <c r="N46"/>
  <c r="M46"/>
  <c r="S45"/>
  <c r="R45"/>
  <c r="Q45"/>
  <c r="P45"/>
  <c r="O45"/>
  <c r="N45"/>
  <c r="M45"/>
  <c r="S44"/>
  <c r="R44"/>
  <c r="Q44"/>
  <c r="P44"/>
  <c r="O44"/>
  <c r="N44"/>
  <c r="M44"/>
  <c r="S43"/>
  <c r="R43"/>
  <c r="Q43"/>
  <c r="P43"/>
  <c r="O43"/>
  <c r="N43"/>
  <c r="M43"/>
  <c r="S42"/>
  <c r="R42"/>
  <c r="Q42"/>
  <c r="P42"/>
  <c r="O42"/>
  <c r="N42"/>
  <c r="M42"/>
  <c r="S41"/>
  <c r="R41"/>
  <c r="Q41"/>
  <c r="P41"/>
  <c r="O41"/>
  <c r="N41"/>
  <c r="M41"/>
  <c r="S40"/>
  <c r="R40"/>
  <c r="Q40"/>
  <c r="P40"/>
  <c r="O40"/>
  <c r="N40"/>
  <c r="M40"/>
  <c r="S39"/>
  <c r="R39"/>
  <c r="Q39"/>
  <c r="P39"/>
  <c r="O39"/>
  <c r="N39"/>
  <c r="M39"/>
  <c r="S38"/>
  <c r="R38"/>
  <c r="Q38"/>
  <c r="P38"/>
  <c r="O38"/>
  <c r="N38"/>
  <c r="M38"/>
  <c r="S37"/>
  <c r="R37"/>
  <c r="Q37"/>
  <c r="P37"/>
  <c r="O37"/>
  <c r="N37"/>
  <c r="M37"/>
  <c r="S36"/>
  <c r="R36"/>
  <c r="Q36"/>
  <c r="P36"/>
  <c r="O36"/>
  <c r="N36"/>
  <c r="S35"/>
  <c r="R35"/>
  <c r="Q35"/>
  <c r="P35"/>
  <c r="O35"/>
  <c r="S34"/>
  <c r="R34"/>
  <c r="Q34"/>
  <c r="P34"/>
  <c r="S33"/>
  <c r="R33"/>
  <c r="Q33"/>
  <c r="S32"/>
  <c r="R32"/>
  <c r="R26"/>
  <c r="Q26"/>
  <c r="P26"/>
  <c r="O26"/>
  <c r="N26"/>
  <c r="M26"/>
  <c r="L26"/>
  <c r="H26"/>
  <c r="G26"/>
  <c r="F26"/>
  <c r="E26"/>
  <c r="D26"/>
  <c r="C26"/>
  <c r="B26"/>
  <c r="R25"/>
  <c r="Q25"/>
  <c r="P25"/>
  <c r="O25"/>
  <c r="N25"/>
  <c r="M25"/>
  <c r="H25"/>
  <c r="G25"/>
  <c r="F25"/>
  <c r="E25"/>
  <c r="D25"/>
  <c r="C25"/>
  <c r="R24"/>
  <c r="Q24"/>
  <c r="P24"/>
  <c r="O24"/>
  <c r="N24"/>
  <c r="M24"/>
  <c r="L24"/>
  <c r="H24"/>
  <c r="G24"/>
  <c r="F24"/>
  <c r="E24"/>
  <c r="D24"/>
  <c r="C24"/>
  <c r="B24"/>
  <c r="R23"/>
  <c r="Q23"/>
  <c r="P23"/>
  <c r="O23"/>
  <c r="N23"/>
  <c r="M23"/>
  <c r="H23"/>
  <c r="G23"/>
  <c r="F23"/>
  <c r="E23"/>
  <c r="D23"/>
  <c r="C23"/>
  <c r="R22"/>
  <c r="Q22"/>
  <c r="P22"/>
  <c r="O22"/>
  <c r="N22"/>
  <c r="M22"/>
  <c r="L22"/>
  <c r="H22"/>
  <c r="G22"/>
  <c r="F22"/>
  <c r="E22"/>
  <c r="D22"/>
  <c r="C22"/>
  <c r="B22"/>
  <c r="R21"/>
  <c r="Q21"/>
  <c r="P21"/>
  <c r="O21"/>
  <c r="N21"/>
  <c r="M21"/>
  <c r="L21"/>
  <c r="H21"/>
  <c r="G21"/>
  <c r="F21"/>
  <c r="E21"/>
  <c r="D21"/>
  <c r="C21"/>
  <c r="B21"/>
  <c r="R20"/>
  <c r="Q20"/>
  <c r="P20"/>
  <c r="O20"/>
  <c r="N20"/>
  <c r="M20"/>
  <c r="L20"/>
  <c r="H20"/>
  <c r="G20"/>
  <c r="F20"/>
  <c r="E20"/>
  <c r="D20"/>
  <c r="C20"/>
  <c r="B20"/>
  <c r="R19"/>
  <c r="Q19"/>
  <c r="P19"/>
  <c r="O19"/>
  <c r="N19"/>
  <c r="M19"/>
  <c r="L19"/>
  <c r="H19"/>
  <c r="G19"/>
  <c r="F19"/>
  <c r="E19"/>
  <c r="D19"/>
  <c r="C19"/>
  <c r="B19"/>
  <c r="S18"/>
  <c r="R18"/>
  <c r="Q18"/>
  <c r="P18"/>
  <c r="O18"/>
  <c r="N18"/>
  <c r="M18"/>
  <c r="L18"/>
  <c r="I18"/>
  <c r="H18"/>
  <c r="G18"/>
  <c r="F18"/>
  <c r="E18"/>
  <c r="D18"/>
  <c r="C18"/>
  <c r="B18"/>
  <c r="S17"/>
  <c r="R17"/>
  <c r="Q17"/>
  <c r="P17"/>
  <c r="O17"/>
  <c r="N17"/>
  <c r="M17"/>
  <c r="L17"/>
  <c r="I17"/>
  <c r="H17"/>
  <c r="G17"/>
  <c r="F17"/>
  <c r="E17"/>
  <c r="D17"/>
  <c r="C17"/>
  <c r="B17"/>
  <c r="S16"/>
  <c r="R16"/>
  <c r="Q16"/>
  <c r="P16"/>
  <c r="O16"/>
  <c r="N16"/>
  <c r="M16"/>
  <c r="L16"/>
  <c r="I16"/>
  <c r="H16"/>
  <c r="G16"/>
  <c r="F16"/>
  <c r="E16"/>
  <c r="D16"/>
  <c r="C16"/>
  <c r="B16"/>
  <c r="S15"/>
  <c r="R15"/>
  <c r="Q15"/>
  <c r="P15"/>
  <c r="O15"/>
  <c r="N15"/>
  <c r="M15"/>
  <c r="L15"/>
  <c r="I15"/>
  <c r="H15"/>
  <c r="G15"/>
  <c r="F15"/>
  <c r="E15"/>
  <c r="D15"/>
  <c r="C15"/>
  <c r="B15"/>
  <c r="S14"/>
  <c r="R14"/>
  <c r="Q14"/>
  <c r="P14"/>
  <c r="O14"/>
  <c r="N14"/>
  <c r="M14"/>
  <c r="L14"/>
  <c r="I14"/>
  <c r="H14"/>
  <c r="G14"/>
  <c r="F14"/>
  <c r="E14"/>
  <c r="D14"/>
  <c r="C14"/>
  <c r="B14"/>
  <c r="S13"/>
  <c r="R13"/>
  <c r="Q13"/>
  <c r="P13"/>
  <c r="O13"/>
  <c r="N13"/>
  <c r="M13"/>
  <c r="L13"/>
  <c r="I13"/>
  <c r="H13"/>
  <c r="G13"/>
  <c r="F13"/>
  <c r="E13"/>
  <c r="D13"/>
  <c r="C13"/>
  <c r="B13"/>
  <c r="S12"/>
  <c r="R12"/>
  <c r="Q12"/>
  <c r="P12"/>
  <c r="O12"/>
  <c r="N12"/>
  <c r="M12"/>
  <c r="L12"/>
  <c r="I12"/>
  <c r="H12"/>
  <c r="G12"/>
  <c r="F12"/>
  <c r="E12"/>
  <c r="D12"/>
  <c r="C12"/>
  <c r="B12"/>
  <c r="S11"/>
  <c r="R11"/>
  <c r="Q11"/>
  <c r="P11"/>
  <c r="O11"/>
  <c r="N11"/>
  <c r="M11"/>
  <c r="L11"/>
  <c r="I11"/>
  <c r="H11"/>
  <c r="G11"/>
  <c r="F11"/>
  <c r="E11"/>
  <c r="D11"/>
  <c r="C11"/>
  <c r="B11"/>
  <c r="S10"/>
  <c r="R10"/>
  <c r="Q10"/>
  <c r="P10"/>
  <c r="O10"/>
  <c r="N10"/>
  <c r="M10"/>
  <c r="I10"/>
  <c r="H10"/>
  <c r="G10"/>
  <c r="F10"/>
  <c r="E10"/>
  <c r="D10"/>
  <c r="C10"/>
  <c r="S9"/>
  <c r="R9"/>
  <c r="Q9"/>
  <c r="P9"/>
  <c r="O9"/>
  <c r="N9"/>
  <c r="I9"/>
  <c r="H9"/>
  <c r="G9"/>
  <c r="F9"/>
  <c r="E9"/>
  <c r="D9"/>
  <c r="S8"/>
  <c r="R8"/>
  <c r="Q8"/>
  <c r="P8"/>
  <c r="O8"/>
  <c r="I8"/>
  <c r="H8"/>
  <c r="G8"/>
  <c r="F8"/>
  <c r="E8"/>
  <c r="S7"/>
  <c r="R7"/>
  <c r="Q7"/>
  <c r="P7"/>
  <c r="I7"/>
  <c r="H7"/>
  <c r="G7"/>
  <c r="F7"/>
  <c r="S6"/>
  <c r="R6"/>
  <c r="Q6"/>
  <c r="I6"/>
  <c r="H6"/>
  <c r="G6"/>
  <c r="S5"/>
  <c r="R5"/>
  <c r="I5"/>
  <c r="H5"/>
  <c r="F57" i="41"/>
  <c r="D57"/>
  <c r="F55"/>
  <c r="F54"/>
  <c r="F53"/>
  <c r="D36"/>
  <c r="F36" s="1"/>
  <c r="D37" s="1"/>
  <c r="F37" s="1"/>
  <c r="F33"/>
  <c r="F32"/>
  <c r="F31"/>
  <c r="E22"/>
  <c r="E45" s="1"/>
  <c r="E20"/>
  <c r="E43" s="1"/>
  <c r="E63" s="1"/>
  <c r="E19"/>
  <c r="E42" s="1"/>
  <c r="E62" s="1"/>
  <c r="E18"/>
  <c r="E41" s="1"/>
  <c r="E61" s="1"/>
  <c r="E17"/>
  <c r="E40" s="1"/>
  <c r="E60" s="1"/>
  <c r="F60" s="1"/>
  <c r="J150" i="24" s="1"/>
  <c r="E16" i="41"/>
  <c r="E39" s="1"/>
  <c r="E59" s="1"/>
  <c r="F59" s="1"/>
  <c r="D13"/>
  <c r="F13" s="1"/>
  <c r="F10"/>
  <c r="F9"/>
  <c r="F8"/>
  <c r="E1049" i="34"/>
  <c r="E1041"/>
  <c r="F1039"/>
  <c r="E1039"/>
  <c r="E1021"/>
  <c r="F1018"/>
  <c r="D1018"/>
  <c r="F1017"/>
  <c r="D1017"/>
  <c r="F1016"/>
  <c r="D1016"/>
  <c r="F1015"/>
  <c r="D1015"/>
  <c r="F1014"/>
  <c r="D1014"/>
  <c r="F1013"/>
  <c r="F1012"/>
  <c r="F1011"/>
  <c r="F1010"/>
  <c r="D989"/>
  <c r="F989" s="1"/>
  <c r="D988"/>
  <c r="F988" s="1"/>
  <c r="D987"/>
  <c r="F987" s="1"/>
  <c r="D986"/>
  <c r="F986" s="1"/>
  <c r="F984"/>
  <c r="F983"/>
  <c r="F982"/>
  <c r="D961"/>
  <c r="F961" s="1"/>
  <c r="D960"/>
  <c r="F960" s="1"/>
  <c r="D959"/>
  <c r="F959" s="1"/>
  <c r="D958"/>
  <c r="F958" s="1"/>
  <c r="F956"/>
  <c r="F955"/>
  <c r="F954"/>
  <c r="D933"/>
  <c r="F933" s="1"/>
  <c r="D932"/>
  <c r="F932" s="1"/>
  <c r="D931"/>
  <c r="F931" s="1"/>
  <c r="D930"/>
  <c r="F930" s="1"/>
  <c r="F928"/>
  <c r="F927"/>
  <c r="F926"/>
  <c r="F905"/>
  <c r="D905"/>
  <c r="D904"/>
  <c r="F904" s="1"/>
  <c r="D903"/>
  <c r="F903" s="1"/>
  <c r="D902"/>
  <c r="F902" s="1"/>
  <c r="F900"/>
  <c r="F899"/>
  <c r="F898"/>
  <c r="D877"/>
  <c r="F877" s="1"/>
  <c r="D876"/>
  <c r="F876" s="1"/>
  <c r="D875"/>
  <c r="F875" s="1"/>
  <c r="D874"/>
  <c r="F874" s="1"/>
  <c r="F872"/>
  <c r="F871"/>
  <c r="F870"/>
  <c r="E859"/>
  <c r="E887" s="1"/>
  <c r="E915" s="1"/>
  <c r="E943" s="1"/>
  <c r="E971" s="1"/>
  <c r="E999" s="1"/>
  <c r="E1028" s="1"/>
  <c r="E1050" s="1"/>
  <c r="D849"/>
  <c r="F849" s="1"/>
  <c r="D848"/>
  <c r="F848" s="1"/>
  <c r="D847"/>
  <c r="F847" s="1"/>
  <c r="D846"/>
  <c r="F846" s="1"/>
  <c r="F844"/>
  <c r="F843"/>
  <c r="F842"/>
  <c r="F830"/>
  <c r="F829"/>
  <c r="F828"/>
  <c r="F806"/>
  <c r="F805"/>
  <c r="F804"/>
  <c r="E792"/>
  <c r="F792" s="1"/>
  <c r="F791" s="1"/>
  <c r="M137" i="24" s="1"/>
  <c r="D792" i="34"/>
  <c r="F780"/>
  <c r="E768"/>
  <c r="F754"/>
  <c r="E745"/>
  <c r="E771" s="1"/>
  <c r="E795" s="1"/>
  <c r="E743"/>
  <c r="E769" s="1"/>
  <c r="E793" s="1"/>
  <c r="E817" s="1"/>
  <c r="E742"/>
  <c r="E740"/>
  <c r="E766" s="1"/>
  <c r="E790" s="1"/>
  <c r="E816" s="1"/>
  <c r="E858" s="1"/>
  <c r="E886" s="1"/>
  <c r="E914" s="1"/>
  <c r="E942" s="1"/>
  <c r="E970" s="1"/>
  <c r="E998" s="1"/>
  <c r="E1027" s="1"/>
  <c r="E1047" s="1"/>
  <c r="E739"/>
  <c r="E765" s="1"/>
  <c r="E789" s="1"/>
  <c r="E815" s="1"/>
  <c r="E857" s="1"/>
  <c r="E885" s="1"/>
  <c r="E913" s="1"/>
  <c r="E941" s="1"/>
  <c r="E969" s="1"/>
  <c r="E997" s="1"/>
  <c r="E1026" s="1"/>
  <c r="E1046" s="1"/>
  <c r="E738"/>
  <c r="E764" s="1"/>
  <c r="E788" s="1"/>
  <c r="E814" s="1"/>
  <c r="E856" s="1"/>
  <c r="E884" s="1"/>
  <c r="E912" s="1"/>
  <c r="E940" s="1"/>
  <c r="E968" s="1"/>
  <c r="E996" s="1"/>
  <c r="E1025" s="1"/>
  <c r="E1045" s="1"/>
  <c r="E737"/>
  <c r="E763" s="1"/>
  <c r="E787" s="1"/>
  <c r="E813" s="1"/>
  <c r="E855" s="1"/>
  <c r="E883" s="1"/>
  <c r="E911" s="1"/>
  <c r="E939" s="1"/>
  <c r="E967" s="1"/>
  <c r="E995" s="1"/>
  <c r="E1024" s="1"/>
  <c r="E1044" s="1"/>
  <c r="F728"/>
  <c r="D707"/>
  <c r="F707" s="1"/>
  <c r="F706"/>
  <c r="F705"/>
  <c r="F704"/>
  <c r="D703"/>
  <c r="F703" s="1"/>
  <c r="F702"/>
  <c r="F700"/>
  <c r="F699"/>
  <c r="F698"/>
  <c r="E686"/>
  <c r="E685"/>
  <c r="E684"/>
  <c r="E683"/>
  <c r="D666"/>
  <c r="F666" s="1"/>
  <c r="F665"/>
  <c r="F664"/>
  <c r="F663"/>
  <c r="F662"/>
  <c r="F661"/>
  <c r="D660"/>
  <c r="F660" s="1"/>
  <c r="D659"/>
  <c r="F659" s="1"/>
  <c r="F657"/>
  <c r="F656"/>
  <c r="F655"/>
  <c r="E643"/>
  <c r="D629"/>
  <c r="F629" s="1"/>
  <c r="D628"/>
  <c r="F628" s="1"/>
  <c r="F626"/>
  <c r="F625"/>
  <c r="F624"/>
  <c r="E615"/>
  <c r="E646" s="1"/>
  <c r="E689" s="1"/>
  <c r="E613"/>
  <c r="E644" s="1"/>
  <c r="E687" s="1"/>
  <c r="E717" s="1"/>
  <c r="E612"/>
  <c r="E641" s="1"/>
  <c r="E681" s="1"/>
  <c r="E716" s="1"/>
  <c r="E611"/>
  <c r="E640" s="1"/>
  <c r="E680" s="1"/>
  <c r="E715" s="1"/>
  <c r="E610"/>
  <c r="E639" s="1"/>
  <c r="E679" s="1"/>
  <c r="E714" s="1"/>
  <c r="E609"/>
  <c r="E638" s="1"/>
  <c r="E678" s="1"/>
  <c r="E713" s="1"/>
  <c r="D603"/>
  <c r="F603" s="1"/>
  <c r="F602"/>
  <c r="F601"/>
  <c r="F600"/>
  <c r="F599"/>
  <c r="F598"/>
  <c r="F596"/>
  <c r="F595"/>
  <c r="F594"/>
  <c r="D580"/>
  <c r="D579"/>
  <c r="F577"/>
  <c r="D577"/>
  <c r="F576"/>
  <c r="F575"/>
  <c r="F574"/>
  <c r="F573"/>
  <c r="F572"/>
  <c r="E561"/>
  <c r="F551"/>
  <c r="F530"/>
  <c r="F528"/>
  <c r="F527"/>
  <c r="F526"/>
  <c r="E514"/>
  <c r="F503"/>
  <c r="F501"/>
  <c r="F500"/>
  <c r="F499"/>
  <c r="D485"/>
  <c r="D484"/>
  <c r="F482"/>
  <c r="D482"/>
  <c r="F481"/>
  <c r="F480"/>
  <c r="F479"/>
  <c r="F478"/>
  <c r="F477"/>
  <c r="F476"/>
  <c r="E465"/>
  <c r="F454"/>
  <c r="F453"/>
  <c r="F452"/>
  <c r="F432"/>
  <c r="F431"/>
  <c r="F430"/>
  <c r="F410"/>
  <c r="F409"/>
  <c r="F408"/>
  <c r="F388"/>
  <c r="F387"/>
  <c r="F386"/>
  <c r="F369"/>
  <c r="D369"/>
  <c r="F366"/>
  <c r="F365"/>
  <c r="F364"/>
  <c r="F347"/>
  <c r="D347"/>
  <c r="F344"/>
  <c r="F343"/>
  <c r="F342"/>
  <c r="F325"/>
  <c r="D325"/>
  <c r="F322"/>
  <c r="F321"/>
  <c r="F320"/>
  <c r="F303"/>
  <c r="D303"/>
  <c r="F300"/>
  <c r="F299"/>
  <c r="F298"/>
  <c r="E286"/>
  <c r="F286" s="1"/>
  <c r="F285" s="1"/>
  <c r="M118" i="24" s="1"/>
  <c r="D286" i="34"/>
  <c r="F276"/>
  <c r="E264"/>
  <c r="F264" s="1"/>
  <c r="F263" s="1"/>
  <c r="M117" i="24" s="1"/>
  <c r="D260" i="34"/>
  <c r="D259"/>
  <c r="F257"/>
  <c r="D257"/>
  <c r="F256"/>
  <c r="F255"/>
  <c r="F254"/>
  <c r="F253"/>
  <c r="E242"/>
  <c r="E233"/>
  <c r="E232"/>
  <c r="F230"/>
  <c r="E230"/>
  <c r="E218"/>
  <c r="E210"/>
  <c r="E209"/>
  <c r="E208"/>
  <c r="F206"/>
  <c r="E206"/>
  <c r="E194"/>
  <c r="E186"/>
  <c r="E185"/>
  <c r="E184"/>
  <c r="F182"/>
  <c r="E182"/>
  <c r="E170"/>
  <c r="E162"/>
  <c r="E161"/>
  <c r="E160"/>
  <c r="F158"/>
  <c r="E158"/>
  <c r="E146"/>
  <c r="E138"/>
  <c r="E137"/>
  <c r="E136"/>
  <c r="F134"/>
  <c r="E134"/>
  <c r="E122"/>
  <c r="E114"/>
  <c r="E113"/>
  <c r="E112"/>
  <c r="F110"/>
  <c r="E110"/>
  <c r="E98"/>
  <c r="D98"/>
  <c r="E90"/>
  <c r="E89"/>
  <c r="E88"/>
  <c r="F86"/>
  <c r="E86"/>
  <c r="E74"/>
  <c r="E66"/>
  <c r="E65"/>
  <c r="E64"/>
  <c r="F62"/>
  <c r="E62"/>
  <c r="E50"/>
  <c r="F36"/>
  <c r="E27"/>
  <c r="E25"/>
  <c r="E51" s="1"/>
  <c r="E75" s="1"/>
  <c r="E99" s="1"/>
  <c r="E123" s="1"/>
  <c r="E147" s="1"/>
  <c r="E171" s="1"/>
  <c r="E195" s="1"/>
  <c r="E24"/>
  <c r="E22"/>
  <c r="E48" s="1"/>
  <c r="E72" s="1"/>
  <c r="E96" s="1"/>
  <c r="E120" s="1"/>
  <c r="E144" s="1"/>
  <c r="E168" s="1"/>
  <c r="E192" s="1"/>
  <c r="E21"/>
  <c r="E47" s="1"/>
  <c r="E71" s="1"/>
  <c r="E95" s="1"/>
  <c r="E119" s="1"/>
  <c r="E143" s="1"/>
  <c r="E167" s="1"/>
  <c r="E191" s="1"/>
  <c r="E20"/>
  <c r="E46" s="1"/>
  <c r="E70" s="1"/>
  <c r="E94" s="1"/>
  <c r="E118" s="1"/>
  <c r="E142" s="1"/>
  <c r="E166" s="1"/>
  <c r="E190" s="1"/>
  <c r="E214" s="1"/>
  <c r="E238" s="1"/>
  <c r="E19"/>
  <c r="E45" s="1"/>
  <c r="E69" s="1"/>
  <c r="E93" s="1"/>
  <c r="E117" s="1"/>
  <c r="E141" s="1"/>
  <c r="E165" s="1"/>
  <c r="E189" s="1"/>
  <c r="F10"/>
  <c r="E2"/>
  <c r="D683" s="1"/>
  <c r="F683" s="1"/>
  <c r="D2"/>
  <c r="D684" s="1"/>
  <c r="F684" s="1"/>
  <c r="C2"/>
  <c r="B2"/>
  <c r="D465" s="1"/>
  <c r="A2"/>
  <c r="D685" s="1"/>
  <c r="E817" i="33"/>
  <c r="E816"/>
  <c r="B816"/>
  <c r="B815"/>
  <c r="E813"/>
  <c r="E812"/>
  <c r="E811"/>
  <c r="E810"/>
  <c r="E804"/>
  <c r="D804"/>
  <c r="F804" s="1"/>
  <c r="F802"/>
  <c r="E802"/>
  <c r="F801"/>
  <c r="E801"/>
  <c r="F800"/>
  <c r="D786"/>
  <c r="D785"/>
  <c r="F783"/>
  <c r="D783"/>
  <c r="F782"/>
  <c r="D782"/>
  <c r="F781"/>
  <c r="F780"/>
  <c r="F779"/>
  <c r="F778"/>
  <c r="F777"/>
  <c r="F776"/>
  <c r="F765"/>
  <c r="F764"/>
  <c r="D761"/>
  <c r="D760"/>
  <c r="F758"/>
  <c r="D758"/>
  <c r="F757"/>
  <c r="F756"/>
  <c r="F755"/>
  <c r="F754"/>
  <c r="F753"/>
  <c r="F752"/>
  <c r="F741"/>
  <c r="F740"/>
  <c r="D737"/>
  <c r="D736"/>
  <c r="F734"/>
  <c r="D734"/>
  <c r="F733"/>
  <c r="F732"/>
  <c r="F731"/>
  <c r="F730"/>
  <c r="F729"/>
  <c r="F728"/>
  <c r="E720"/>
  <c r="E718"/>
  <c r="E742" s="1"/>
  <c r="E766" s="1"/>
  <c r="E717"/>
  <c r="E716"/>
  <c r="E715"/>
  <c r="E714"/>
  <c r="E712"/>
  <c r="E763" s="1"/>
  <c r="E711"/>
  <c r="E738" s="1"/>
  <c r="E787" s="1"/>
  <c r="E710"/>
  <c r="E761" s="1"/>
  <c r="F761" s="1"/>
  <c r="E709"/>
  <c r="E760" s="1"/>
  <c r="F760" s="1"/>
  <c r="F700"/>
  <c r="D700"/>
  <c r="F699"/>
  <c r="F698"/>
  <c r="F697"/>
  <c r="D696"/>
  <c r="F696" s="1"/>
  <c r="F692" s="1"/>
  <c r="F695"/>
  <c r="F694"/>
  <c r="F693"/>
  <c r="F691"/>
  <c r="F690"/>
  <c r="F689"/>
  <c r="E677"/>
  <c r="E676"/>
  <c r="E665"/>
  <c r="F663"/>
  <c r="E663"/>
  <c r="F662"/>
  <c r="E662"/>
  <c r="F661"/>
  <c r="E649"/>
  <c r="E648"/>
  <c r="F636"/>
  <c r="F634"/>
  <c r="F633"/>
  <c r="F632"/>
  <c r="E620"/>
  <c r="E619"/>
  <c r="F608"/>
  <c r="F607"/>
  <c r="F606"/>
  <c r="F594"/>
  <c r="E594"/>
  <c r="F593"/>
  <c r="D590"/>
  <c r="D589"/>
  <c r="F587"/>
  <c r="D587"/>
  <c r="F586"/>
  <c r="F585"/>
  <c r="F584"/>
  <c r="F583"/>
  <c r="F582"/>
  <c r="F581"/>
  <c r="E569"/>
  <c r="D561"/>
  <c r="D560"/>
  <c r="D610" s="1"/>
  <c r="F610" s="1"/>
  <c r="F558"/>
  <c r="F557"/>
  <c r="F556"/>
  <c r="E544"/>
  <c r="F533"/>
  <c r="F530"/>
  <c r="E530"/>
  <c r="F529"/>
  <c r="E529"/>
  <c r="F528"/>
  <c r="E516"/>
  <c r="F505"/>
  <c r="F502"/>
  <c r="E502"/>
  <c r="F501"/>
  <c r="E501"/>
  <c r="F500"/>
  <c r="E488"/>
  <c r="F477"/>
  <c r="F474"/>
  <c r="E474"/>
  <c r="F473"/>
  <c r="E473"/>
  <c r="F472"/>
  <c r="E460"/>
  <c r="F449"/>
  <c r="F446"/>
  <c r="E446"/>
  <c r="F445"/>
  <c r="E445"/>
  <c r="F444"/>
  <c r="E432"/>
  <c r="F421"/>
  <c r="F418"/>
  <c r="E418"/>
  <c r="F417"/>
  <c r="E417"/>
  <c r="F416"/>
  <c r="E404"/>
  <c r="F393"/>
  <c r="F390"/>
  <c r="E390"/>
  <c r="F389"/>
  <c r="E389"/>
  <c r="F388"/>
  <c r="E376"/>
  <c r="F365"/>
  <c r="F362"/>
  <c r="F361"/>
  <c r="F360"/>
  <c r="E348"/>
  <c r="F337"/>
  <c r="F334"/>
  <c r="F333"/>
  <c r="F332"/>
  <c r="E320"/>
  <c r="F306"/>
  <c r="F305"/>
  <c r="F304"/>
  <c r="E292"/>
  <c r="F278"/>
  <c r="F277"/>
  <c r="F276"/>
  <c r="E264"/>
  <c r="F250"/>
  <c r="F249"/>
  <c r="F248"/>
  <c r="E236"/>
  <c r="F222"/>
  <c r="F221"/>
  <c r="F220"/>
  <c r="E208"/>
  <c r="E207"/>
  <c r="E206"/>
  <c r="F192"/>
  <c r="F191"/>
  <c r="F190"/>
  <c r="E178"/>
  <c r="E177"/>
  <c r="E176"/>
  <c r="F162"/>
  <c r="F161"/>
  <c r="F160"/>
  <c r="E148"/>
  <c r="E147"/>
  <c r="E146"/>
  <c r="F132"/>
  <c r="F131"/>
  <c r="F130"/>
  <c r="E118"/>
  <c r="E117"/>
  <c r="E116"/>
  <c r="F109"/>
  <c r="D109"/>
  <c r="F108"/>
  <c r="D108"/>
  <c r="F107"/>
  <c r="F102"/>
  <c r="F101"/>
  <c r="F100"/>
  <c r="E88"/>
  <c r="E87"/>
  <c r="E86"/>
  <c r="F79"/>
  <c r="D79"/>
  <c r="F78"/>
  <c r="D78"/>
  <c r="F77"/>
  <c r="F72"/>
  <c r="F71"/>
  <c r="F70"/>
  <c r="E58"/>
  <c r="E57"/>
  <c r="E56"/>
  <c r="D44"/>
  <c r="F44" s="1"/>
  <c r="F42"/>
  <c r="F41"/>
  <c r="F40"/>
  <c r="E31"/>
  <c r="E61" s="1"/>
  <c r="E91" s="1"/>
  <c r="E29"/>
  <c r="E59" s="1"/>
  <c r="E89" s="1"/>
  <c r="E119" s="1"/>
  <c r="E28"/>
  <c r="E27"/>
  <c r="E26"/>
  <c r="E24"/>
  <c r="E54" s="1"/>
  <c r="E84" s="1"/>
  <c r="E23"/>
  <c r="E53" s="1"/>
  <c r="E83" s="1"/>
  <c r="E113" s="1"/>
  <c r="E22"/>
  <c r="E52" s="1"/>
  <c r="E82" s="1"/>
  <c r="E21"/>
  <c r="E51" s="1"/>
  <c r="E81" s="1"/>
  <c r="D14"/>
  <c r="F14" s="1"/>
  <c r="F12"/>
  <c r="F11"/>
  <c r="F10"/>
  <c r="H2"/>
  <c r="D816" s="1"/>
  <c r="G2"/>
  <c r="D815" s="1"/>
  <c r="F815" s="1"/>
  <c r="F2"/>
  <c r="D118" s="1"/>
  <c r="F118" s="1"/>
  <c r="E2"/>
  <c r="D2"/>
  <c r="C2"/>
  <c r="D714" s="1"/>
  <c r="F714" s="1"/>
  <c r="B2"/>
  <c r="D715" s="1"/>
  <c r="F715" s="1"/>
  <c r="A2"/>
  <c r="D116" s="1"/>
  <c r="F116" s="1"/>
  <c r="F160" i="32"/>
  <c r="D159"/>
  <c r="F159" s="1"/>
  <c r="F158"/>
  <c r="F156"/>
  <c r="F155"/>
  <c r="F154"/>
  <c r="E143"/>
  <c r="E142"/>
  <c r="F132"/>
  <c r="D132"/>
  <c r="F129"/>
  <c r="F128"/>
  <c r="D126"/>
  <c r="F126" s="1"/>
  <c r="F124"/>
  <c r="F123"/>
  <c r="F121"/>
  <c r="F120"/>
  <c r="F119"/>
  <c r="E107"/>
  <c r="E106"/>
  <c r="F99"/>
  <c r="D99"/>
  <c r="F98"/>
  <c r="D98"/>
  <c r="F97"/>
  <c r="D97"/>
  <c r="F96"/>
  <c r="F94"/>
  <c r="D93"/>
  <c r="F93" s="1"/>
  <c r="D92"/>
  <c r="F92" s="1"/>
  <c r="F90"/>
  <c r="F89"/>
  <c r="F87"/>
  <c r="F86"/>
  <c r="F85"/>
  <c r="E73"/>
  <c r="E72"/>
  <c r="E71"/>
  <c r="F49"/>
  <c r="F48"/>
  <c r="F47"/>
  <c r="E38"/>
  <c r="E76" s="1"/>
  <c r="E110" s="1"/>
  <c r="E146" s="1"/>
  <c r="E169" s="1"/>
  <c r="E36"/>
  <c r="E74" s="1"/>
  <c r="E108" s="1"/>
  <c r="E144" s="1"/>
  <c r="E167" s="1"/>
  <c r="E35"/>
  <c r="E34"/>
  <c r="E32"/>
  <c r="E69" s="1"/>
  <c r="E104" s="1"/>
  <c r="E140" s="1"/>
  <c r="E166" s="1"/>
  <c r="E31"/>
  <c r="E68" s="1"/>
  <c r="E103" s="1"/>
  <c r="E139" s="1"/>
  <c r="E165" s="1"/>
  <c r="E30"/>
  <c r="E67" s="1"/>
  <c r="E102" s="1"/>
  <c r="E138" s="1"/>
  <c r="E164" s="1"/>
  <c r="E29"/>
  <c r="E66" s="1"/>
  <c r="E101" s="1"/>
  <c r="E137" s="1"/>
  <c r="E163" s="1"/>
  <c r="D16"/>
  <c r="F16" s="1"/>
  <c r="D15"/>
  <c r="F15" s="1"/>
  <c r="D14"/>
  <c r="F12"/>
  <c r="F11"/>
  <c r="F10"/>
  <c r="F2"/>
  <c r="D142" s="1"/>
  <c r="E2"/>
  <c r="C2"/>
  <c r="B2"/>
  <c r="D71" s="1"/>
  <c r="F71" s="1"/>
  <c r="E2764" i="31"/>
  <c r="E2763"/>
  <c r="E2761"/>
  <c r="E2760"/>
  <c r="E2759"/>
  <c r="E2758"/>
  <c r="F2752"/>
  <c r="F2751"/>
  <c r="F2750"/>
  <c r="D2736"/>
  <c r="D2735"/>
  <c r="E2723"/>
  <c r="E2722"/>
  <c r="F2712"/>
  <c r="F2709"/>
  <c r="F2708"/>
  <c r="F2707"/>
  <c r="F2688"/>
  <c r="D2688"/>
  <c r="F2687"/>
  <c r="F2686"/>
  <c r="F2685"/>
  <c r="F2684"/>
  <c r="F2683"/>
  <c r="F2682"/>
  <c r="F2681"/>
  <c r="D2667"/>
  <c r="D2666"/>
  <c r="F2664"/>
  <c r="D2664"/>
  <c r="F2663"/>
  <c r="F2662"/>
  <c r="F2661"/>
  <c r="F2660"/>
  <c r="F2659"/>
  <c r="F2658"/>
  <c r="F2657"/>
  <c r="D2644"/>
  <c r="D2643"/>
  <c r="F2641"/>
  <c r="D2641"/>
  <c r="F2640"/>
  <c r="F2639"/>
  <c r="F2638"/>
  <c r="F2637"/>
  <c r="F2636"/>
  <c r="F2635"/>
  <c r="E2627"/>
  <c r="E2649" s="1"/>
  <c r="E2672" s="1"/>
  <c r="E2625"/>
  <c r="E2647" s="1"/>
  <c r="E2670" s="1"/>
  <c r="E2624"/>
  <c r="E2646" s="1"/>
  <c r="E2669" s="1"/>
  <c r="E2623"/>
  <c r="E2645" s="1"/>
  <c r="E2668" s="1"/>
  <c r="E2622"/>
  <c r="E2644" s="1"/>
  <c r="F2644" s="1"/>
  <c r="J70" i="24" s="1"/>
  <c r="D2622" i="31"/>
  <c r="E2621"/>
  <c r="E2643" s="1"/>
  <c r="D2621"/>
  <c r="F2619"/>
  <c r="D2619"/>
  <c r="F2618"/>
  <c r="F2617"/>
  <c r="F2616"/>
  <c r="F2615"/>
  <c r="F2614"/>
  <c r="F2613"/>
  <c r="E2602"/>
  <c r="E2601"/>
  <c r="E2600"/>
  <c r="E2599"/>
  <c r="E2598"/>
  <c r="E2597"/>
  <c r="F2585"/>
  <c r="F2583"/>
  <c r="F2582"/>
  <c r="D2581"/>
  <c r="F2581" s="1"/>
  <c r="F2579"/>
  <c r="F2578"/>
  <c r="F2577"/>
  <c r="E2565"/>
  <c r="E2564"/>
  <c r="E2563"/>
  <c r="E2562"/>
  <c r="E2561"/>
  <c r="E2560"/>
  <c r="F2548"/>
  <c r="F2546"/>
  <c r="F2545"/>
  <c r="D2544"/>
  <c r="F2544" s="1"/>
  <c r="F2542"/>
  <c r="F2541"/>
  <c r="F2540"/>
  <c r="E2528"/>
  <c r="E2527"/>
  <c r="E2526"/>
  <c r="E2525"/>
  <c r="E2524"/>
  <c r="E2523"/>
  <c r="F2511"/>
  <c r="F2509"/>
  <c r="F2508"/>
  <c r="D2507"/>
  <c r="F2507" s="1"/>
  <c r="F2505"/>
  <c r="F2504"/>
  <c r="F2503"/>
  <c r="E2491"/>
  <c r="E2489"/>
  <c r="E2488"/>
  <c r="E2487"/>
  <c r="F2473"/>
  <c r="E2473"/>
  <c r="F2472"/>
  <c r="E2472"/>
  <c r="F2471"/>
  <c r="E2470"/>
  <c r="D2470"/>
  <c r="F2470" s="1"/>
  <c r="D2469"/>
  <c r="F2469" s="1"/>
  <c r="D2468"/>
  <c r="F2468" s="1"/>
  <c r="F2466"/>
  <c r="E2466"/>
  <c r="F2465"/>
  <c r="E2465"/>
  <c r="F2464"/>
  <c r="E2452"/>
  <c r="E2450"/>
  <c r="E2449"/>
  <c r="E2448"/>
  <c r="E2439"/>
  <c r="F2434"/>
  <c r="E2434"/>
  <c r="F2433"/>
  <c r="F2432"/>
  <c r="E2431"/>
  <c r="D2431"/>
  <c r="F2431" s="1"/>
  <c r="E2430"/>
  <c r="D2430"/>
  <c r="F2430" s="1"/>
  <c r="D2429"/>
  <c r="F2429" s="1"/>
  <c r="F2427"/>
  <c r="E2427"/>
  <c r="F2426"/>
  <c r="E2426"/>
  <c r="F2425"/>
  <c r="E2413"/>
  <c r="L2413" s="1"/>
  <c r="L2412"/>
  <c r="L2411"/>
  <c r="E2411"/>
  <c r="L2410"/>
  <c r="E2410"/>
  <c r="L2409"/>
  <c r="E2409"/>
  <c r="L2408"/>
  <c r="E2408"/>
  <c r="L2399"/>
  <c r="E2399"/>
  <c r="L2398"/>
  <c r="E2398"/>
  <c r="M2395"/>
  <c r="K2395"/>
  <c r="F2395"/>
  <c r="M2394"/>
  <c r="K2394"/>
  <c r="F2394"/>
  <c r="M2393"/>
  <c r="K2393"/>
  <c r="F2393"/>
  <c r="L2392"/>
  <c r="E2392"/>
  <c r="L2391"/>
  <c r="E2391"/>
  <c r="D2391"/>
  <c r="F2391" s="1"/>
  <c r="M2389"/>
  <c r="L2389"/>
  <c r="F2389"/>
  <c r="E2389"/>
  <c r="M2388"/>
  <c r="L2388"/>
  <c r="F2388"/>
  <c r="E2388"/>
  <c r="M2387"/>
  <c r="F2387"/>
  <c r="E2378"/>
  <c r="E2416" s="1"/>
  <c r="E2376"/>
  <c r="E2492" s="1"/>
  <c r="E2375"/>
  <c r="E2373"/>
  <c r="E2372"/>
  <c r="E2371"/>
  <c r="E2368"/>
  <c r="E2367"/>
  <c r="E2483" s="1"/>
  <c r="E2366"/>
  <c r="E2404" s="1"/>
  <c r="L2404" s="1"/>
  <c r="E2365"/>
  <c r="E2442" s="1"/>
  <c r="E2361"/>
  <c r="E2360"/>
  <c r="F2357"/>
  <c r="E2357"/>
  <c r="F2356"/>
  <c r="E2356"/>
  <c r="F2355"/>
  <c r="E2355"/>
  <c r="E2354"/>
  <c r="D2354"/>
  <c r="F2354" s="1"/>
  <c r="E2353"/>
  <c r="D2353"/>
  <c r="F2353" s="1"/>
  <c r="D2352"/>
  <c r="F2352" s="1"/>
  <c r="F2350"/>
  <c r="E2350"/>
  <c r="F2349"/>
  <c r="E2349"/>
  <c r="F2348"/>
  <c r="E2336"/>
  <c r="E2335"/>
  <c r="E2334"/>
  <c r="E2333"/>
  <c r="E2332"/>
  <c r="E2331"/>
  <c r="F2331" s="1"/>
  <c r="D2331"/>
  <c r="F2315"/>
  <c r="F2314"/>
  <c r="D2313"/>
  <c r="F2313" s="1"/>
  <c r="F2311"/>
  <c r="F2310"/>
  <c r="F2309"/>
  <c r="E2300"/>
  <c r="E2339" s="1"/>
  <c r="E2298"/>
  <c r="E2337" s="1"/>
  <c r="E2297"/>
  <c r="E2296"/>
  <c r="E2295"/>
  <c r="E2294"/>
  <c r="E2292"/>
  <c r="E2329" s="1"/>
  <c r="E2291"/>
  <c r="E2328" s="1"/>
  <c r="E2290"/>
  <c r="E2327" s="1"/>
  <c r="E2289"/>
  <c r="E2326" s="1"/>
  <c r="D2276"/>
  <c r="F2276" s="1"/>
  <c r="F2275"/>
  <c r="F2274"/>
  <c r="F2273"/>
  <c r="D2272"/>
  <c r="F2272" s="1"/>
  <c r="D2271"/>
  <c r="F2271" s="1"/>
  <c r="F2269"/>
  <c r="F2268"/>
  <c r="F2267"/>
  <c r="D2242"/>
  <c r="F2242" s="1"/>
  <c r="D2241"/>
  <c r="F2241" s="1"/>
  <c r="D2232"/>
  <c r="F2232" s="1"/>
  <c r="F2230"/>
  <c r="D2229"/>
  <c r="F2229" s="1"/>
  <c r="D2228"/>
  <c r="F2228" s="1"/>
  <c r="D2227"/>
  <c r="F2227" s="1"/>
  <c r="F2224"/>
  <c r="F2223"/>
  <c r="F2222"/>
  <c r="E2209"/>
  <c r="E2254" s="1"/>
  <c r="E2208"/>
  <c r="E2207"/>
  <c r="E2252" s="1"/>
  <c r="E2206"/>
  <c r="E2251" s="1"/>
  <c r="E2205"/>
  <c r="E2250" s="1"/>
  <c r="D2188"/>
  <c r="F2188" s="1"/>
  <c r="F2186"/>
  <c r="D2185"/>
  <c r="F2185" s="1"/>
  <c r="D2184"/>
  <c r="F2184" s="1"/>
  <c r="D2183"/>
  <c r="F2183" s="1"/>
  <c r="D2182"/>
  <c r="F2182" s="1"/>
  <c r="F2180"/>
  <c r="F2179"/>
  <c r="F2178"/>
  <c r="E2166"/>
  <c r="E2165"/>
  <c r="E2164"/>
  <c r="D2149"/>
  <c r="F2149" s="1"/>
  <c r="F2146"/>
  <c r="F2145"/>
  <c r="F2144"/>
  <c r="E2132"/>
  <c r="E2255" s="1"/>
  <c r="E2120"/>
  <c r="F2117"/>
  <c r="E2117"/>
  <c r="F2116"/>
  <c r="F2115"/>
  <c r="E2103"/>
  <c r="E1990" s="1"/>
  <c r="E2091"/>
  <c r="F2088"/>
  <c r="F2087"/>
  <c r="F2086"/>
  <c r="E2072"/>
  <c r="F2050"/>
  <c r="F2049"/>
  <c r="F2048"/>
  <c r="F2045"/>
  <c r="F2044"/>
  <c r="F2043"/>
  <c r="E2028"/>
  <c r="E2027"/>
  <c r="E2026"/>
  <c r="E2019"/>
  <c r="F2009"/>
  <c r="F2008"/>
  <c r="F2007"/>
  <c r="F2004"/>
  <c r="F2003"/>
  <c r="F2002"/>
  <c r="Z1987"/>
  <c r="S1987"/>
  <c r="L1987"/>
  <c r="E1987"/>
  <c r="Z1986"/>
  <c r="S1986"/>
  <c r="L1986"/>
  <c r="E1986"/>
  <c r="Z1985"/>
  <c r="S1985"/>
  <c r="L1985"/>
  <c r="E1985"/>
  <c r="Z1978"/>
  <c r="L1978"/>
  <c r="E1978"/>
  <c r="AA1968"/>
  <c r="T1968"/>
  <c r="M1968"/>
  <c r="F1968"/>
  <c r="AA1967"/>
  <c r="T1967"/>
  <c r="M1967"/>
  <c r="F1967"/>
  <c r="AA1966"/>
  <c r="T1966"/>
  <c r="M1966"/>
  <c r="F1966"/>
  <c r="AA1963"/>
  <c r="T1963"/>
  <c r="M1963"/>
  <c r="F1963"/>
  <c r="AA1962"/>
  <c r="T1962"/>
  <c r="M1962"/>
  <c r="F1962"/>
  <c r="AA1961"/>
  <c r="T1961"/>
  <c r="M1961"/>
  <c r="F1961"/>
  <c r="E1948"/>
  <c r="E1947"/>
  <c r="E1946"/>
  <c r="E1945"/>
  <c r="E1944"/>
  <c r="F1927"/>
  <c r="F1926"/>
  <c r="F1925"/>
  <c r="F1922"/>
  <c r="F1921"/>
  <c r="F1920"/>
  <c r="E1908"/>
  <c r="E1907"/>
  <c r="E1906"/>
  <c r="E1905"/>
  <c r="E1904"/>
  <c r="E1903"/>
  <c r="F1887"/>
  <c r="F1886"/>
  <c r="F1885"/>
  <c r="F1882"/>
  <c r="F1881"/>
  <c r="F1880"/>
  <c r="E1868"/>
  <c r="E1867"/>
  <c r="E1866"/>
  <c r="E1865"/>
  <c r="E1864"/>
  <c r="E1863"/>
  <c r="D1845"/>
  <c r="F1845" s="1"/>
  <c r="F1844"/>
  <c r="F1843"/>
  <c r="F1840"/>
  <c r="F1839"/>
  <c r="F1838"/>
  <c r="E1826"/>
  <c r="E1825"/>
  <c r="E1824"/>
  <c r="E1823"/>
  <c r="E1822"/>
  <c r="E1821"/>
  <c r="D1803"/>
  <c r="F1803" s="1"/>
  <c r="F1802"/>
  <c r="F1801"/>
  <c r="F1798"/>
  <c r="F1797"/>
  <c r="F1796"/>
  <c r="E1784"/>
  <c r="E1783"/>
  <c r="E1782"/>
  <c r="E1781"/>
  <c r="E1780"/>
  <c r="E1779"/>
  <c r="F1761"/>
  <c r="D1761"/>
  <c r="F1760"/>
  <c r="F1759"/>
  <c r="F1756"/>
  <c r="F1755"/>
  <c r="F1754"/>
  <c r="E1741"/>
  <c r="E1740"/>
  <c r="E1739"/>
  <c r="E2071" s="1"/>
  <c r="E1738"/>
  <c r="E2070" s="1"/>
  <c r="E1737"/>
  <c r="E2069" s="1"/>
  <c r="D1719"/>
  <c r="F1719" s="1"/>
  <c r="D1718"/>
  <c r="F1718" s="1"/>
  <c r="F1717"/>
  <c r="D1717"/>
  <c r="D1716"/>
  <c r="F1716" s="1"/>
  <c r="F1713"/>
  <c r="F1712"/>
  <c r="F1711"/>
  <c r="E1698"/>
  <c r="E2030" s="1"/>
  <c r="E1696"/>
  <c r="E1695"/>
  <c r="E1694"/>
  <c r="D1678"/>
  <c r="F1678" s="1"/>
  <c r="F1677"/>
  <c r="F1675"/>
  <c r="F1674"/>
  <c r="F1673"/>
  <c r="E1664"/>
  <c r="E1702" s="1"/>
  <c r="E1745" s="1"/>
  <c r="E1787" s="1"/>
  <c r="E1662"/>
  <c r="E1700" s="1"/>
  <c r="E1743" s="1"/>
  <c r="E1785" s="1"/>
  <c r="E1660"/>
  <c r="S1989" s="1"/>
  <c r="E1658"/>
  <c r="E1657"/>
  <c r="E1656"/>
  <c r="E1654"/>
  <c r="E1692" s="1"/>
  <c r="E1735" s="1"/>
  <c r="E1777" s="1"/>
  <c r="E1819" s="1"/>
  <c r="E1861" s="1"/>
  <c r="E1653"/>
  <c r="E1691" s="1"/>
  <c r="E1734" s="1"/>
  <c r="E1776" s="1"/>
  <c r="E1652"/>
  <c r="E1690" s="1"/>
  <c r="E1733" s="1"/>
  <c r="E1775" s="1"/>
  <c r="E1651"/>
  <c r="E1689" s="1"/>
  <c r="E1732" s="1"/>
  <c r="E1774" s="1"/>
  <c r="E1816" s="1"/>
  <c r="E1858" s="1"/>
  <c r="D1642"/>
  <c r="F1642" s="1"/>
  <c r="D1640"/>
  <c r="F1640" s="1"/>
  <c r="F1639"/>
  <c r="F1637"/>
  <c r="F1636"/>
  <c r="F1635"/>
  <c r="E1622"/>
  <c r="D1609"/>
  <c r="F1609" s="1"/>
  <c r="D1608"/>
  <c r="F1608" s="1"/>
  <c r="F1606"/>
  <c r="F1605"/>
  <c r="F1604"/>
  <c r="E1595"/>
  <c r="E1626" s="1"/>
  <c r="E1593"/>
  <c r="E1624" s="1"/>
  <c r="E1591"/>
  <c r="E1590"/>
  <c r="E1589"/>
  <c r="E1587"/>
  <c r="E1620" s="1"/>
  <c r="E1586"/>
  <c r="E1619" s="1"/>
  <c r="E1585"/>
  <c r="E1618" s="1"/>
  <c r="E1584"/>
  <c r="E1617" s="1"/>
  <c r="D1582"/>
  <c r="F1582" s="1"/>
  <c r="D1581"/>
  <c r="F1581" s="1"/>
  <c r="F1573"/>
  <c r="D1572"/>
  <c r="F1572" s="1"/>
  <c r="D1571"/>
  <c r="F1571" s="1"/>
  <c r="D1570"/>
  <c r="F1570" s="1"/>
  <c r="F1568"/>
  <c r="F1567"/>
  <c r="F1566"/>
  <c r="E1552"/>
  <c r="E1551"/>
  <c r="E1550"/>
  <c r="E1549"/>
  <c r="D1532"/>
  <c r="F1532" s="1"/>
  <c r="F1530"/>
  <c r="D1529"/>
  <c r="F1529" s="1"/>
  <c r="D1528"/>
  <c r="F1528" s="1"/>
  <c r="D1527"/>
  <c r="F1527" s="1"/>
  <c r="F1526"/>
  <c r="D1526"/>
  <c r="F1524"/>
  <c r="F1523"/>
  <c r="F1522"/>
  <c r="E1510"/>
  <c r="E1509"/>
  <c r="E1508"/>
  <c r="E1507"/>
  <c r="E1506"/>
  <c r="E1505"/>
  <c r="D1486"/>
  <c r="F1486" s="1"/>
  <c r="D1484"/>
  <c r="F1484" s="1"/>
  <c r="D1483"/>
  <c r="F1483" s="1"/>
  <c r="D1482"/>
  <c r="F1482" s="1"/>
  <c r="D1481"/>
  <c r="F1481" s="1"/>
  <c r="D1480"/>
  <c r="F1480" s="1"/>
  <c r="D1479"/>
  <c r="F1479" s="1"/>
  <c r="D1478"/>
  <c r="F1478" s="1"/>
  <c r="F1476"/>
  <c r="F1475"/>
  <c r="F1474"/>
  <c r="E1462"/>
  <c r="E1461"/>
  <c r="E1460"/>
  <c r="E1459"/>
  <c r="E1458"/>
  <c r="E1457"/>
  <c r="D1438"/>
  <c r="F1438" s="1"/>
  <c r="D1436"/>
  <c r="F1436" s="1"/>
  <c r="D1435"/>
  <c r="F1435" s="1"/>
  <c r="D1434"/>
  <c r="F1434" s="1"/>
  <c r="D1433"/>
  <c r="F1433" s="1"/>
  <c r="D1432"/>
  <c r="F1432" s="1"/>
  <c r="D1431"/>
  <c r="F1431" s="1"/>
  <c r="D1430"/>
  <c r="F1430" s="1"/>
  <c r="F1428"/>
  <c r="F1427"/>
  <c r="F1426"/>
  <c r="E1414"/>
  <c r="E1413"/>
  <c r="E1412"/>
  <c r="E1411"/>
  <c r="E1410"/>
  <c r="E1409"/>
  <c r="D1390"/>
  <c r="F1390" s="1"/>
  <c r="D1388"/>
  <c r="F1388" s="1"/>
  <c r="D1387"/>
  <c r="F1387" s="1"/>
  <c r="D1386"/>
  <c r="F1386" s="1"/>
  <c r="D1385"/>
  <c r="F1385" s="1"/>
  <c r="D1384"/>
  <c r="F1384" s="1"/>
  <c r="D1383"/>
  <c r="F1383" s="1"/>
  <c r="D1382"/>
  <c r="F1382" s="1"/>
  <c r="F1380"/>
  <c r="F1379"/>
  <c r="F1378"/>
  <c r="E1366"/>
  <c r="E1363"/>
  <c r="E1362"/>
  <c r="E1361"/>
  <c r="F1343"/>
  <c r="F1342"/>
  <c r="F1341"/>
  <c r="E1328"/>
  <c r="E1326"/>
  <c r="E1325"/>
  <c r="E1324"/>
  <c r="D1309"/>
  <c r="F1309" s="1"/>
  <c r="F1306"/>
  <c r="F1305"/>
  <c r="F1304"/>
  <c r="E1290"/>
  <c r="E1289"/>
  <c r="E1288"/>
  <c r="E1287"/>
  <c r="D1272"/>
  <c r="F1272" s="1"/>
  <c r="D1270"/>
  <c r="F1270" s="1"/>
  <c r="D1269"/>
  <c r="F1269" s="1"/>
  <c r="F1268"/>
  <c r="D1268"/>
  <c r="D1267"/>
  <c r="F1267" s="1"/>
  <c r="D1266"/>
  <c r="F1266" s="1"/>
  <c r="F1264"/>
  <c r="F1263"/>
  <c r="F1262"/>
  <c r="E1248"/>
  <c r="E1247"/>
  <c r="E1246"/>
  <c r="E1245"/>
  <c r="D1230"/>
  <c r="F1230" s="1"/>
  <c r="D1228"/>
  <c r="F1228" s="1"/>
  <c r="D1227"/>
  <c r="F1227" s="1"/>
  <c r="D1226"/>
  <c r="F1226" s="1"/>
  <c r="D1225"/>
  <c r="F1225" s="1"/>
  <c r="D1224"/>
  <c r="F1224" s="1"/>
  <c r="F1222"/>
  <c r="F1221"/>
  <c r="F1220"/>
  <c r="E1206"/>
  <c r="E1205"/>
  <c r="E1204"/>
  <c r="E1203"/>
  <c r="D1188"/>
  <c r="F1188" s="1"/>
  <c r="D1186"/>
  <c r="F1186" s="1"/>
  <c r="D1185"/>
  <c r="F1185" s="1"/>
  <c r="D1184"/>
  <c r="F1184" s="1"/>
  <c r="D1183"/>
  <c r="F1183" s="1"/>
  <c r="D1182"/>
  <c r="F1182" s="1"/>
  <c r="F1180"/>
  <c r="F1179"/>
  <c r="F1178"/>
  <c r="E1165"/>
  <c r="E1163"/>
  <c r="E1162"/>
  <c r="E1161"/>
  <c r="D1144"/>
  <c r="F1144" s="1"/>
  <c r="D1142"/>
  <c r="F1142" s="1"/>
  <c r="F1141"/>
  <c r="D1141"/>
  <c r="D1140"/>
  <c r="F1140" s="1"/>
  <c r="D1139"/>
  <c r="F1139" s="1"/>
  <c r="D1138"/>
  <c r="F1138" s="1"/>
  <c r="F1136"/>
  <c r="F1135"/>
  <c r="F1134"/>
  <c r="E1120"/>
  <c r="E1119"/>
  <c r="E1118"/>
  <c r="E1117"/>
  <c r="D1102"/>
  <c r="F1102" s="1"/>
  <c r="D1100"/>
  <c r="F1100" s="1"/>
  <c r="F1099"/>
  <c r="D1099"/>
  <c r="D1098"/>
  <c r="F1098" s="1"/>
  <c r="D1097"/>
  <c r="F1097" s="1"/>
  <c r="D1096"/>
  <c r="F1096" s="1"/>
  <c r="F1094"/>
  <c r="F1093"/>
  <c r="F1092"/>
  <c r="E1080"/>
  <c r="E1079"/>
  <c r="E1078"/>
  <c r="E1077"/>
  <c r="E1076"/>
  <c r="E1075"/>
  <c r="D1056"/>
  <c r="F1056" s="1"/>
  <c r="D1055"/>
  <c r="F1055" s="1"/>
  <c r="F1054"/>
  <c r="D1054"/>
  <c r="D1053"/>
  <c r="F1053" s="1"/>
  <c r="D1052"/>
  <c r="F1052" s="1"/>
  <c r="F1049"/>
  <c r="F1048"/>
  <c r="F1047"/>
  <c r="E1035"/>
  <c r="E1034"/>
  <c r="E1033"/>
  <c r="E1032"/>
  <c r="E1031"/>
  <c r="E1030"/>
  <c r="D1011"/>
  <c r="F1011" s="1"/>
  <c r="D1010"/>
  <c r="F1010" s="1"/>
  <c r="D1009"/>
  <c r="F1009" s="1"/>
  <c r="D1008"/>
  <c r="F1008" s="1"/>
  <c r="D1007"/>
  <c r="F1007" s="1"/>
  <c r="F1004"/>
  <c r="F1003"/>
  <c r="F1002"/>
  <c r="E990"/>
  <c r="E989"/>
  <c r="E988"/>
  <c r="E987"/>
  <c r="E986"/>
  <c r="E985"/>
  <c r="D966"/>
  <c r="F966" s="1"/>
  <c r="D965"/>
  <c r="F965" s="1"/>
  <c r="D964"/>
  <c r="F964" s="1"/>
  <c r="D963"/>
  <c r="F963" s="1"/>
  <c r="D962"/>
  <c r="F962" s="1"/>
  <c r="F959"/>
  <c r="F958"/>
  <c r="F957"/>
  <c r="E945"/>
  <c r="E944"/>
  <c r="E943"/>
  <c r="E942"/>
  <c r="E941"/>
  <c r="E940"/>
  <c r="D921"/>
  <c r="F921" s="1"/>
  <c r="D920"/>
  <c r="F920" s="1"/>
  <c r="D919"/>
  <c r="F919" s="1"/>
  <c r="D918"/>
  <c r="F918" s="1"/>
  <c r="D917"/>
  <c r="F917" s="1"/>
  <c r="F914"/>
  <c r="F913"/>
  <c r="F912"/>
  <c r="E900"/>
  <c r="E899"/>
  <c r="E898"/>
  <c r="E897"/>
  <c r="E896"/>
  <c r="E895"/>
  <c r="D876"/>
  <c r="F876" s="1"/>
  <c r="D875"/>
  <c r="F875" s="1"/>
  <c r="D874"/>
  <c r="F874" s="1"/>
  <c r="D873"/>
  <c r="F873" s="1"/>
  <c r="D872"/>
  <c r="F872" s="1"/>
  <c r="F869"/>
  <c r="F868"/>
  <c r="F867"/>
  <c r="E855"/>
  <c r="E854"/>
  <c r="E853"/>
  <c r="E852"/>
  <c r="E851"/>
  <c r="E850"/>
  <c r="D829"/>
  <c r="F829" s="1"/>
  <c r="D828"/>
  <c r="F828" s="1"/>
  <c r="D827"/>
  <c r="F827" s="1"/>
  <c r="D826"/>
  <c r="F826" s="1"/>
  <c r="D825"/>
  <c r="F825" s="1"/>
  <c r="D824"/>
  <c r="F824" s="1"/>
  <c r="F821"/>
  <c r="F820"/>
  <c r="F819"/>
  <c r="E807"/>
  <c r="E806"/>
  <c r="E805"/>
  <c r="E804"/>
  <c r="E803"/>
  <c r="E802"/>
  <c r="D782"/>
  <c r="F782" s="1"/>
  <c r="D781"/>
  <c r="F781" s="1"/>
  <c r="D780"/>
  <c r="F780" s="1"/>
  <c r="D779"/>
  <c r="F779" s="1"/>
  <c r="D778"/>
  <c r="F778" s="1"/>
  <c r="D777"/>
  <c r="F777" s="1"/>
  <c r="F774"/>
  <c r="F773"/>
  <c r="F772"/>
  <c r="E760"/>
  <c r="E759"/>
  <c r="E758"/>
  <c r="E757"/>
  <c r="E756"/>
  <c r="E755"/>
  <c r="D735"/>
  <c r="F735" s="1"/>
  <c r="D734"/>
  <c r="F734" s="1"/>
  <c r="D733"/>
  <c r="F733" s="1"/>
  <c r="D732"/>
  <c r="F732" s="1"/>
  <c r="D731"/>
  <c r="F731" s="1"/>
  <c r="D730"/>
  <c r="F730" s="1"/>
  <c r="F727"/>
  <c r="F726"/>
  <c r="F725"/>
  <c r="E713"/>
  <c r="L713" s="1"/>
  <c r="S713" s="1"/>
  <c r="E712"/>
  <c r="L712" s="1"/>
  <c r="S712" s="1"/>
  <c r="S711"/>
  <c r="L711"/>
  <c r="E711"/>
  <c r="S710"/>
  <c r="L710"/>
  <c r="E710"/>
  <c r="S709"/>
  <c r="L709"/>
  <c r="E709"/>
  <c r="S708"/>
  <c r="L708"/>
  <c r="E708"/>
  <c r="R688"/>
  <c r="T688" s="1"/>
  <c r="K688"/>
  <c r="M688" s="1"/>
  <c r="D688"/>
  <c r="F688" s="1"/>
  <c r="R687"/>
  <c r="T687" s="1"/>
  <c r="K687"/>
  <c r="M687" s="1"/>
  <c r="D687"/>
  <c r="F687" s="1"/>
  <c r="R686"/>
  <c r="T686" s="1"/>
  <c r="K686"/>
  <c r="M686" s="1"/>
  <c r="D686"/>
  <c r="F686" s="1"/>
  <c r="R685"/>
  <c r="T685" s="1"/>
  <c r="K685"/>
  <c r="M685" s="1"/>
  <c r="D685"/>
  <c r="F685" s="1"/>
  <c r="R684"/>
  <c r="T684" s="1"/>
  <c r="K684"/>
  <c r="M684" s="1"/>
  <c r="D684"/>
  <c r="F684" s="1"/>
  <c r="T681"/>
  <c r="M681"/>
  <c r="F681"/>
  <c r="T680"/>
  <c r="M680"/>
  <c r="F680"/>
  <c r="T679"/>
  <c r="M679"/>
  <c r="F679"/>
  <c r="E667"/>
  <c r="E666"/>
  <c r="E665"/>
  <c r="E664"/>
  <c r="E663"/>
  <c r="E662"/>
  <c r="D642"/>
  <c r="F642" s="1"/>
  <c r="D641"/>
  <c r="F641" s="1"/>
  <c r="D640"/>
  <c r="F640" s="1"/>
  <c r="D639"/>
  <c r="F639" s="1"/>
  <c r="D638"/>
  <c r="F638" s="1"/>
  <c r="D637"/>
  <c r="F637" s="1"/>
  <c r="F634"/>
  <c r="F633"/>
  <c r="F632"/>
  <c r="E620"/>
  <c r="E619"/>
  <c r="E618"/>
  <c r="E617"/>
  <c r="E616"/>
  <c r="E615"/>
  <c r="D595"/>
  <c r="F595" s="1"/>
  <c r="D594"/>
  <c r="F594" s="1"/>
  <c r="D593"/>
  <c r="F593" s="1"/>
  <c r="D592"/>
  <c r="F592" s="1"/>
  <c r="D591"/>
  <c r="F591" s="1"/>
  <c r="D590"/>
  <c r="F590" s="1"/>
  <c r="F587"/>
  <c r="F586"/>
  <c r="F585"/>
  <c r="E573"/>
  <c r="E572"/>
  <c r="E571"/>
  <c r="E570"/>
  <c r="E569"/>
  <c r="E568"/>
  <c r="D548"/>
  <c r="F548" s="1"/>
  <c r="D547"/>
  <c r="F547" s="1"/>
  <c r="D546"/>
  <c r="F546" s="1"/>
  <c r="D545"/>
  <c r="F545" s="1"/>
  <c r="D544"/>
  <c r="F544" s="1"/>
  <c r="D543"/>
  <c r="F543" s="1"/>
  <c r="F540"/>
  <c r="F539"/>
  <c r="F538"/>
  <c r="E526"/>
  <c r="E525"/>
  <c r="E524"/>
  <c r="E523"/>
  <c r="E522"/>
  <c r="E521"/>
  <c r="D501"/>
  <c r="F501" s="1"/>
  <c r="D500"/>
  <c r="F500" s="1"/>
  <c r="D499"/>
  <c r="F499" s="1"/>
  <c r="D498"/>
  <c r="F498" s="1"/>
  <c r="D497"/>
  <c r="F497" s="1"/>
  <c r="D496"/>
  <c r="F496" s="1"/>
  <c r="F493"/>
  <c r="F492"/>
  <c r="F491"/>
  <c r="E479"/>
  <c r="E478"/>
  <c r="E477"/>
  <c r="E476"/>
  <c r="E475"/>
  <c r="E474"/>
  <c r="D453"/>
  <c r="F453" s="1"/>
  <c r="D452"/>
  <c r="F452" s="1"/>
  <c r="D451"/>
  <c r="F451" s="1"/>
  <c r="D450"/>
  <c r="F450" s="1"/>
  <c r="D449"/>
  <c r="F449" s="1"/>
  <c r="D448"/>
  <c r="F448" s="1"/>
  <c r="F445"/>
  <c r="F444"/>
  <c r="F443"/>
  <c r="E431"/>
  <c r="E430"/>
  <c r="E429"/>
  <c r="E428"/>
  <c r="E427"/>
  <c r="E426"/>
  <c r="D405"/>
  <c r="F405" s="1"/>
  <c r="D404"/>
  <c r="F404" s="1"/>
  <c r="D403"/>
  <c r="F403" s="1"/>
  <c r="D402"/>
  <c r="F402" s="1"/>
  <c r="D401"/>
  <c r="F401" s="1"/>
  <c r="D400"/>
  <c r="F400" s="1"/>
  <c r="F397"/>
  <c r="F396"/>
  <c r="F395"/>
  <c r="E383"/>
  <c r="E382"/>
  <c r="E381"/>
  <c r="E380"/>
  <c r="E379"/>
  <c r="E378"/>
  <c r="D357"/>
  <c r="F357" s="1"/>
  <c r="D356"/>
  <c r="F356" s="1"/>
  <c r="D355"/>
  <c r="F355" s="1"/>
  <c r="D354"/>
  <c r="F354" s="1"/>
  <c r="F353"/>
  <c r="D353"/>
  <c r="D352"/>
  <c r="F352" s="1"/>
  <c r="F349"/>
  <c r="F348"/>
  <c r="F347"/>
  <c r="E335"/>
  <c r="E334"/>
  <c r="E333"/>
  <c r="E332"/>
  <c r="E331"/>
  <c r="E330"/>
  <c r="D309"/>
  <c r="F309" s="1"/>
  <c r="D308"/>
  <c r="F308" s="1"/>
  <c r="D307"/>
  <c r="F307" s="1"/>
  <c r="D306"/>
  <c r="F306" s="1"/>
  <c r="F305"/>
  <c r="D305"/>
  <c r="D304"/>
  <c r="F304" s="1"/>
  <c r="F301"/>
  <c r="F300"/>
  <c r="F299"/>
  <c r="E287"/>
  <c r="E286"/>
  <c r="E285"/>
  <c r="E284"/>
  <c r="E283"/>
  <c r="E282"/>
  <c r="D261"/>
  <c r="F261" s="1"/>
  <c r="D260"/>
  <c r="F260" s="1"/>
  <c r="D259"/>
  <c r="F259" s="1"/>
  <c r="D258"/>
  <c r="F258" s="1"/>
  <c r="D257"/>
  <c r="F257" s="1"/>
  <c r="D256"/>
  <c r="F256" s="1"/>
  <c r="F253"/>
  <c r="F252"/>
  <c r="F251"/>
  <c r="E239"/>
  <c r="L239" s="1"/>
  <c r="E238"/>
  <c r="L238" s="1"/>
  <c r="L237"/>
  <c r="E237"/>
  <c r="L236"/>
  <c r="E236"/>
  <c r="L235"/>
  <c r="E235"/>
  <c r="L234"/>
  <c r="E234"/>
  <c r="K213"/>
  <c r="M213" s="1"/>
  <c r="D213"/>
  <c r="F213" s="1"/>
  <c r="K212"/>
  <c r="M212" s="1"/>
  <c r="D212"/>
  <c r="F212" s="1"/>
  <c r="K211"/>
  <c r="M211" s="1"/>
  <c r="D211"/>
  <c r="F211" s="1"/>
  <c r="K210"/>
  <c r="M210" s="1"/>
  <c r="D210"/>
  <c r="F210" s="1"/>
  <c r="K209"/>
  <c r="M209" s="1"/>
  <c r="D209"/>
  <c r="F209" s="1"/>
  <c r="K208"/>
  <c r="M208" s="1"/>
  <c r="D208"/>
  <c r="F208" s="1"/>
  <c r="M205"/>
  <c r="F205"/>
  <c r="M204"/>
  <c r="F204"/>
  <c r="M203"/>
  <c r="F203"/>
  <c r="E191"/>
  <c r="E190"/>
  <c r="E189"/>
  <c r="E188"/>
  <c r="E187"/>
  <c r="E186"/>
  <c r="D165"/>
  <c r="F165" s="1"/>
  <c r="D164"/>
  <c r="F164" s="1"/>
  <c r="D163"/>
  <c r="F163" s="1"/>
  <c r="D162"/>
  <c r="F162" s="1"/>
  <c r="F161"/>
  <c r="D161"/>
  <c r="D160"/>
  <c r="F160" s="1"/>
  <c r="F157"/>
  <c r="F156"/>
  <c r="F155"/>
  <c r="E143"/>
  <c r="E142"/>
  <c r="E141"/>
  <c r="E140"/>
  <c r="E139"/>
  <c r="E138"/>
  <c r="D119"/>
  <c r="F119" s="1"/>
  <c r="D117"/>
  <c r="F117" s="1"/>
  <c r="D116"/>
  <c r="F116" s="1"/>
  <c r="D115"/>
  <c r="F115" s="1"/>
  <c r="D114"/>
  <c r="F114" s="1"/>
  <c r="D113"/>
  <c r="F113" s="1"/>
  <c r="D112"/>
  <c r="F112" s="1"/>
  <c r="D111"/>
  <c r="F111" s="1"/>
  <c r="F109"/>
  <c r="F108"/>
  <c r="F107"/>
  <c r="E95"/>
  <c r="E94"/>
  <c r="E93"/>
  <c r="E92"/>
  <c r="E91"/>
  <c r="E90"/>
  <c r="D71"/>
  <c r="D167" s="1"/>
  <c r="D69"/>
  <c r="F69" s="1"/>
  <c r="D68"/>
  <c r="F68" s="1"/>
  <c r="D67"/>
  <c r="F67" s="1"/>
  <c r="D66"/>
  <c r="F66" s="1"/>
  <c r="D65"/>
  <c r="F65" s="1"/>
  <c r="F64"/>
  <c r="D64"/>
  <c r="D63"/>
  <c r="D159" s="1"/>
  <c r="F61"/>
  <c r="F60"/>
  <c r="F59"/>
  <c r="E50"/>
  <c r="E98" s="1"/>
  <c r="E48"/>
  <c r="E96" s="1"/>
  <c r="E144" s="1"/>
  <c r="E192" s="1"/>
  <c r="E240" s="1"/>
  <c r="E47"/>
  <c r="E46"/>
  <c r="E45"/>
  <c r="E44"/>
  <c r="E43"/>
  <c r="E42"/>
  <c r="E40"/>
  <c r="E88" s="1"/>
  <c r="E136" s="1"/>
  <c r="E184" s="1"/>
  <c r="E232" s="1"/>
  <c r="L232" s="1"/>
  <c r="E39"/>
  <c r="E87" s="1"/>
  <c r="E135" s="1"/>
  <c r="E183" s="1"/>
  <c r="E231" s="1"/>
  <c r="E38"/>
  <c r="E86" s="1"/>
  <c r="E134" s="1"/>
  <c r="E182" s="1"/>
  <c r="E230" s="1"/>
  <c r="E37"/>
  <c r="E85" s="1"/>
  <c r="E133" s="1"/>
  <c r="E181" s="1"/>
  <c r="E229" s="1"/>
  <c r="D23"/>
  <c r="F23" s="1"/>
  <c r="D21"/>
  <c r="F21" s="1"/>
  <c r="D20"/>
  <c r="F20" s="1"/>
  <c r="D19"/>
  <c r="F19" s="1"/>
  <c r="D18"/>
  <c r="F18" s="1"/>
  <c r="D17"/>
  <c r="F17" s="1"/>
  <c r="D16"/>
  <c r="F16" s="1"/>
  <c r="F15"/>
  <c r="D14"/>
  <c r="F14" s="1"/>
  <c r="F12"/>
  <c r="F11"/>
  <c r="F10"/>
  <c r="H2"/>
  <c r="D95" s="1"/>
  <c r="F95" s="1"/>
  <c r="G2"/>
  <c r="D1553" s="1"/>
  <c r="F2"/>
  <c r="E2"/>
  <c r="D140" s="1"/>
  <c r="D2"/>
  <c r="D1410" s="1"/>
  <c r="F1410" s="1"/>
  <c r="C2"/>
  <c r="D93" s="1"/>
  <c r="F93" s="1"/>
  <c r="B2"/>
  <c r="D2294" s="1"/>
  <c r="F2294" s="1"/>
  <c r="A2"/>
  <c r="D1203" s="1"/>
  <c r="J61" i="30"/>
  <c r="J60"/>
  <c r="J59"/>
  <c r="J49"/>
  <c r="I38"/>
  <c r="I33"/>
  <c r="I30"/>
  <c r="I29"/>
  <c r="I28"/>
  <c r="I27"/>
  <c r="I24"/>
  <c r="I23"/>
  <c r="G23"/>
  <c r="G29" s="1"/>
  <c r="J29" s="1"/>
  <c r="I22"/>
  <c r="I21"/>
  <c r="I18"/>
  <c r="I17"/>
  <c r="I16"/>
  <c r="I15"/>
  <c r="I12"/>
  <c r="G12"/>
  <c r="J12" s="1"/>
  <c r="I11"/>
  <c r="G11"/>
  <c r="G17" s="1"/>
  <c r="J17" s="1"/>
  <c r="I10"/>
  <c r="G10"/>
  <c r="J10" s="1"/>
  <c r="I9"/>
  <c r="G9"/>
  <c r="D65" i="51"/>
  <c r="F64"/>
  <c r="F62"/>
  <c r="F55"/>
  <c r="D55"/>
  <c r="F54"/>
  <c r="F53"/>
  <c r="F52"/>
  <c r="F51"/>
  <c r="F50"/>
  <c r="F49"/>
  <c r="F48"/>
  <c r="F47"/>
  <c r="E36"/>
  <c r="E72" s="1"/>
  <c r="E34"/>
  <c r="E70" s="1"/>
  <c r="E33"/>
  <c r="E69" s="1"/>
  <c r="D33"/>
  <c r="D69" s="1"/>
  <c r="E32"/>
  <c r="E68" s="1"/>
  <c r="D32"/>
  <c r="E31"/>
  <c r="D31"/>
  <c r="F31" s="1"/>
  <c r="E29"/>
  <c r="E66" s="1"/>
  <c r="E28"/>
  <c r="E65" s="1"/>
  <c r="F65" s="1"/>
  <c r="D28"/>
  <c r="F27"/>
  <c r="E26"/>
  <c r="E63" s="1"/>
  <c r="F25"/>
  <c r="F17"/>
  <c r="F16"/>
  <c r="F15"/>
  <c r="D14"/>
  <c r="F14" s="1"/>
  <c r="F13"/>
  <c r="F12"/>
  <c r="F10"/>
  <c r="F9"/>
  <c r="F8"/>
  <c r="F32" i="29"/>
  <c r="F33" s="1"/>
  <c r="CT30"/>
  <c r="CS30"/>
  <c r="CR30"/>
  <c r="CQ30"/>
  <c r="CP30"/>
  <c r="CO30"/>
  <c r="CN30"/>
  <c r="CM30"/>
  <c r="CL30"/>
  <c r="CK30"/>
  <c r="CJ30"/>
  <c r="CI30"/>
  <c r="CH30"/>
  <c r="CG30"/>
  <c r="CF30"/>
  <c r="CE30"/>
  <c r="CD30"/>
  <c r="CC30"/>
  <c r="CB30"/>
  <c r="CA30"/>
  <c r="BZ30"/>
  <c r="BY30"/>
  <c r="BX30"/>
  <c r="BV30"/>
  <c r="BU30"/>
  <c r="BT30"/>
  <c r="BS30"/>
  <c r="BR30"/>
  <c r="BQ30"/>
  <c r="BP30"/>
  <c r="BO30"/>
  <c r="BN30"/>
  <c r="BM30"/>
  <c r="BL30"/>
  <c r="BK30"/>
  <c r="BJ30"/>
  <c r="BI30"/>
  <c r="BH30"/>
  <c r="BG30"/>
  <c r="BF30"/>
  <c r="BE30"/>
  <c r="BD30"/>
  <c r="BC30"/>
  <c r="BB30"/>
  <c r="BA30"/>
  <c r="AZ30"/>
  <c r="AY30"/>
  <c r="AX30"/>
  <c r="AW30"/>
  <c r="AV30"/>
  <c r="AU30"/>
  <c r="AT30"/>
  <c r="AS30"/>
  <c r="AR30"/>
  <c r="AQ30"/>
  <c r="AP30"/>
  <c r="AO30"/>
  <c r="AN30"/>
  <c r="AM30"/>
  <c r="AL30"/>
  <c r="AK30"/>
  <c r="AJ30"/>
  <c r="AI30"/>
  <c r="AH30"/>
  <c r="AG30"/>
  <c r="AF30"/>
  <c r="AE30"/>
  <c r="AD30"/>
  <c r="AC30"/>
  <c r="AB30"/>
  <c r="AA30"/>
  <c r="Z30"/>
  <c r="Y30"/>
  <c r="X30"/>
  <c r="W30"/>
  <c r="V30"/>
  <c r="U30"/>
  <c r="T30"/>
  <c r="S30"/>
  <c r="R30"/>
  <c r="Q30"/>
  <c r="P30"/>
  <c r="O30"/>
  <c r="N30"/>
  <c r="M30"/>
  <c r="L30"/>
  <c r="K30"/>
  <c r="J30"/>
  <c r="I30"/>
  <c r="H30"/>
  <c r="G30"/>
  <c r="F30"/>
  <c r="CT29"/>
  <c r="CS29"/>
  <c r="CR29"/>
  <c r="CQ29"/>
  <c r="CP29"/>
  <c r="CO29"/>
  <c r="CN29"/>
  <c r="CM29"/>
  <c r="CL29"/>
  <c r="CK29"/>
  <c r="CJ29"/>
  <c r="CI29"/>
  <c r="CH29"/>
  <c r="CG29"/>
  <c r="CF29"/>
  <c r="CE29"/>
  <c r="CD29"/>
  <c r="CC29"/>
  <c r="CB29"/>
  <c r="CA29"/>
  <c r="BZ29"/>
  <c r="BY29"/>
  <c r="BX29"/>
  <c r="BV29"/>
  <c r="BU29"/>
  <c r="BT29"/>
  <c r="BS29"/>
  <c r="BR29"/>
  <c r="BQ29"/>
  <c r="BP29"/>
  <c r="BO29"/>
  <c r="BN29"/>
  <c r="BM29"/>
  <c r="BL29"/>
  <c r="BK29"/>
  <c r="BJ29"/>
  <c r="BI29"/>
  <c r="BH29"/>
  <c r="BG29"/>
  <c r="BF29"/>
  <c r="BE29"/>
  <c r="BD29"/>
  <c r="BC29"/>
  <c r="BB29"/>
  <c r="BA29"/>
  <c r="AZ29"/>
  <c r="AY29"/>
  <c r="AX29"/>
  <c r="AW29"/>
  <c r="AV29"/>
  <c r="AU29"/>
  <c r="AT29"/>
  <c r="AS29"/>
  <c r="AR29"/>
  <c r="AQ29"/>
  <c r="AP29"/>
  <c r="AO29"/>
  <c r="AN29"/>
  <c r="AM29"/>
  <c r="AL29"/>
  <c r="AK29"/>
  <c r="AJ29"/>
  <c r="AI29"/>
  <c r="AH29"/>
  <c r="AG29"/>
  <c r="AF29"/>
  <c r="AE29"/>
  <c r="AD29"/>
  <c r="AC29"/>
  <c r="AB29"/>
  <c r="AA29"/>
  <c r="Z29"/>
  <c r="Y29"/>
  <c r="X29"/>
  <c r="W29"/>
  <c r="V29"/>
  <c r="U29"/>
  <c r="T29"/>
  <c r="S29"/>
  <c r="R29"/>
  <c r="Q29"/>
  <c r="P29"/>
  <c r="O29"/>
  <c r="N29"/>
  <c r="M29"/>
  <c r="L29"/>
  <c r="K29"/>
  <c r="J29"/>
  <c r="I29"/>
  <c r="H29"/>
  <c r="G29"/>
  <c r="F26"/>
  <c r="F27" s="1"/>
  <c r="F23"/>
  <c r="G23" s="1"/>
  <c r="F20"/>
  <c r="F21" s="1"/>
  <c r="CT18"/>
  <c r="CS18"/>
  <c r="CR18"/>
  <c r="CQ18"/>
  <c r="CP18"/>
  <c r="CO18"/>
  <c r="CN18"/>
  <c r="CM18"/>
  <c r="CL18"/>
  <c r="CK18"/>
  <c r="CJ18"/>
  <c r="CI18"/>
  <c r="CH18"/>
  <c r="CG18"/>
  <c r="CF18"/>
  <c r="CE18"/>
  <c r="CD18"/>
  <c r="CC18"/>
  <c r="CB18"/>
  <c r="CA18"/>
  <c r="BZ18"/>
  <c r="BY18"/>
  <c r="BX18"/>
  <c r="BW18"/>
  <c r="BV18"/>
  <c r="BU18"/>
  <c r="BT18"/>
  <c r="BS18"/>
  <c r="BR18"/>
  <c r="BQ18"/>
  <c r="BP18"/>
  <c r="BO18"/>
  <c r="BN18"/>
  <c r="BM18"/>
  <c r="BL18"/>
  <c r="BK18"/>
  <c r="BJ18"/>
  <c r="BI18"/>
  <c r="BH18"/>
  <c r="BG18"/>
  <c r="BF18"/>
  <c r="BE18"/>
  <c r="BD18"/>
  <c r="BC18"/>
  <c r="BB18"/>
  <c r="BA18"/>
  <c r="AZ18"/>
  <c r="AY18"/>
  <c r="AX18"/>
  <c r="AW18"/>
  <c r="AV18"/>
  <c r="AU18"/>
  <c r="AT18"/>
  <c r="AS18"/>
  <c r="AR18"/>
  <c r="AQ18"/>
  <c r="AP18"/>
  <c r="AO18"/>
  <c r="AN18"/>
  <c r="AM18"/>
  <c r="AL18"/>
  <c r="AK18"/>
  <c r="AJ18"/>
  <c r="AI18"/>
  <c r="AH18"/>
  <c r="AG18"/>
  <c r="AF18"/>
  <c r="AE18"/>
  <c r="AD18"/>
  <c r="AC18"/>
  <c r="AB18"/>
  <c r="AA18"/>
  <c r="Z18"/>
  <c r="Y18"/>
  <c r="X18"/>
  <c r="W18"/>
  <c r="V18"/>
  <c r="U18"/>
  <c r="T18"/>
  <c r="S18"/>
  <c r="R18"/>
  <c r="Q18"/>
  <c r="P18"/>
  <c r="O18"/>
  <c r="N18"/>
  <c r="M18"/>
  <c r="L18"/>
  <c r="K18"/>
  <c r="J18"/>
  <c r="I18"/>
  <c r="H18"/>
  <c r="G18"/>
  <c r="F18"/>
  <c r="CT17"/>
  <c r="CS17"/>
  <c r="CR17"/>
  <c r="CQ17"/>
  <c r="CP17"/>
  <c r="CO17"/>
  <c r="CN17"/>
  <c r="CM17"/>
  <c r="CL17"/>
  <c r="CK17"/>
  <c r="CJ17"/>
  <c r="CI17"/>
  <c r="CH17"/>
  <c r="CG17"/>
  <c r="CF17"/>
  <c r="CE17"/>
  <c r="CD17"/>
  <c r="CC17"/>
  <c r="CB17"/>
  <c r="CA17"/>
  <c r="BZ17"/>
  <c r="BY17"/>
  <c r="BX17"/>
  <c r="BW17"/>
  <c r="BV17"/>
  <c r="BU17"/>
  <c r="BT17"/>
  <c r="BS17"/>
  <c r="BR17"/>
  <c r="BQ17"/>
  <c r="BP17"/>
  <c r="BO17"/>
  <c r="BN17"/>
  <c r="BM17"/>
  <c r="BL17"/>
  <c r="BK17"/>
  <c r="BJ17"/>
  <c r="BI17"/>
  <c r="BH17"/>
  <c r="BG17"/>
  <c r="BF17"/>
  <c r="BE17"/>
  <c r="BD17"/>
  <c r="BC17"/>
  <c r="BB17"/>
  <c r="BA17"/>
  <c r="AZ17"/>
  <c r="AY17"/>
  <c r="AX17"/>
  <c r="AW17"/>
  <c r="AV17"/>
  <c r="AU17"/>
  <c r="AT17"/>
  <c r="AS17"/>
  <c r="AR17"/>
  <c r="AQ17"/>
  <c r="AP17"/>
  <c r="AO17"/>
  <c r="AN17"/>
  <c r="AM17"/>
  <c r="AL17"/>
  <c r="AK17"/>
  <c r="AJ17"/>
  <c r="AI17"/>
  <c r="AH17"/>
  <c r="AG17"/>
  <c r="AF17"/>
  <c r="AE17"/>
  <c r="AD17"/>
  <c r="AC17"/>
  <c r="AB17"/>
  <c r="AA17"/>
  <c r="Z17"/>
  <c r="Y17"/>
  <c r="X17"/>
  <c r="W17"/>
  <c r="V17"/>
  <c r="U17"/>
  <c r="T17"/>
  <c r="S17"/>
  <c r="R17"/>
  <c r="Q17"/>
  <c r="P17"/>
  <c r="O17"/>
  <c r="N17"/>
  <c r="M17"/>
  <c r="L17"/>
  <c r="K17"/>
  <c r="J17"/>
  <c r="I17"/>
  <c r="H17"/>
  <c r="G17"/>
  <c r="CT15"/>
  <c r="CS15"/>
  <c r="CR15"/>
  <c r="CQ15"/>
  <c r="CP15"/>
  <c r="CN15"/>
  <c r="CM15"/>
  <c r="CK15"/>
  <c r="CJ15"/>
  <c r="CI15"/>
  <c r="CH15"/>
  <c r="CG15"/>
  <c r="CF15"/>
  <c r="CE15"/>
  <c r="CD15"/>
  <c r="CA15"/>
  <c r="BZ15"/>
  <c r="BY15"/>
  <c r="BX15"/>
  <c r="BW15"/>
  <c r="BV15"/>
  <c r="BU15"/>
  <c r="BT15"/>
  <c r="BQ15"/>
  <c r="BN15"/>
  <c r="BM15"/>
  <c r="BL15"/>
  <c r="BK15"/>
  <c r="BJ15"/>
  <c r="BI15"/>
  <c r="BH15"/>
  <c r="BG15"/>
  <c r="BF15"/>
  <c r="BE15"/>
  <c r="BD15"/>
  <c r="BC15"/>
  <c r="BB15"/>
  <c r="BA15"/>
  <c r="AZ15"/>
  <c r="AY15"/>
  <c r="AX15"/>
  <c r="AW15"/>
  <c r="AV15"/>
  <c r="AU15"/>
  <c r="AT15"/>
  <c r="AS15"/>
  <c r="AP15"/>
  <c r="AO15"/>
  <c r="AN15"/>
  <c r="AM15"/>
  <c r="AL15"/>
  <c r="AK15"/>
  <c r="AJ15"/>
  <c r="AI15"/>
  <c r="AH15"/>
  <c r="AG15"/>
  <c r="AF15"/>
  <c r="AE15"/>
  <c r="AC15"/>
  <c r="AB15"/>
  <c r="AA15"/>
  <c r="Z15"/>
  <c r="X15"/>
  <c r="W15"/>
  <c r="V15"/>
  <c r="U15"/>
  <c r="T15"/>
  <c r="S15"/>
  <c r="R15"/>
  <c r="P15"/>
  <c r="O15"/>
  <c r="N15"/>
  <c r="M15"/>
  <c r="L15"/>
  <c r="K15"/>
  <c r="J15"/>
  <c r="I15"/>
  <c r="H15"/>
  <c r="G15"/>
  <c r="F15"/>
  <c r="BW11"/>
  <c r="BW8"/>
  <c r="CT1"/>
  <c r="CS1"/>
  <c r="CR1"/>
  <c r="CQ1"/>
  <c r="CP1"/>
  <c r="CO1"/>
  <c r="CN1"/>
  <c r="CM1"/>
  <c r="CL1"/>
  <c r="CK1"/>
  <c r="CJ1"/>
  <c r="CI1"/>
  <c r="CH1"/>
  <c r="CG1"/>
  <c r="CF1"/>
  <c r="CE1"/>
  <c r="CD1"/>
  <c r="CC1"/>
  <c r="CB1"/>
  <c r="CA1"/>
  <c r="BZ1"/>
  <c r="BY1"/>
  <c r="BX1"/>
  <c r="BV1"/>
  <c r="BU1"/>
  <c r="BT1"/>
  <c r="BS1"/>
  <c r="BR1"/>
  <c r="BQ1"/>
  <c r="BP1"/>
  <c r="BO1"/>
  <c r="BN1"/>
  <c r="BM1"/>
  <c r="BL1"/>
  <c r="BK1"/>
  <c r="BJ1"/>
  <c r="BI1"/>
  <c r="BH1"/>
  <c r="BG1"/>
  <c r="BF1"/>
  <c r="BE1"/>
  <c r="BD1"/>
  <c r="BC1"/>
  <c r="BB1"/>
  <c r="BA1"/>
  <c r="AZ1"/>
  <c r="AY1"/>
  <c r="AX1"/>
  <c r="AW1"/>
  <c r="AV1"/>
  <c r="AU1"/>
  <c r="AT1"/>
  <c r="AS1"/>
  <c r="AR1"/>
  <c r="AQ1"/>
  <c r="AP1"/>
  <c r="AO1"/>
  <c r="AN1"/>
  <c r="AM1"/>
  <c r="AL1"/>
  <c r="AK1"/>
  <c r="AJ1"/>
  <c r="AI1"/>
  <c r="AH1"/>
  <c r="AG1"/>
  <c r="AF1"/>
  <c r="AE1"/>
  <c r="AD1"/>
  <c r="AC1"/>
  <c r="AB1"/>
  <c r="AA1"/>
  <c r="Z1"/>
  <c r="Y1"/>
  <c r="X1"/>
  <c r="W1"/>
  <c r="V1"/>
  <c r="U1"/>
  <c r="T1"/>
  <c r="S1"/>
  <c r="R1"/>
  <c r="Q1"/>
  <c r="P1"/>
  <c r="O1"/>
  <c r="N1"/>
  <c r="M1"/>
  <c r="L1"/>
  <c r="K1"/>
  <c r="J1"/>
  <c r="I1"/>
  <c r="H1"/>
  <c r="G1"/>
  <c r="L75" i="43"/>
  <c r="E70"/>
  <c r="F66"/>
  <c r="D66"/>
  <c r="F65"/>
  <c r="E65"/>
  <c r="C65"/>
  <c r="F64"/>
  <c r="E64"/>
  <c r="C64"/>
  <c r="E62"/>
  <c r="F60"/>
  <c r="F59"/>
  <c r="F58"/>
  <c r="F57"/>
  <c r="F51"/>
  <c r="E51"/>
  <c r="D51"/>
  <c r="C51"/>
  <c r="F50"/>
  <c r="E50"/>
  <c r="D50"/>
  <c r="C50"/>
  <c r="E49"/>
  <c r="E48"/>
  <c r="E47"/>
  <c r="E46"/>
  <c r="P40"/>
  <c r="L40"/>
  <c r="K40"/>
  <c r="E38"/>
  <c r="F34"/>
  <c r="F33"/>
  <c r="E28"/>
  <c r="F25"/>
  <c r="E25"/>
  <c r="F24"/>
  <c r="E24"/>
  <c r="D24"/>
  <c r="C24"/>
  <c r="E23"/>
  <c r="E22"/>
  <c r="E21"/>
  <c r="E20"/>
  <c r="F18"/>
  <c r="F17"/>
  <c r="F16"/>
  <c r="F15"/>
  <c r="M13"/>
  <c r="F9"/>
  <c r="D9"/>
  <c r="C9"/>
  <c r="F8"/>
  <c r="D8"/>
  <c r="C8"/>
  <c r="E6"/>
  <c r="E5"/>
  <c r="E4"/>
  <c r="K29" i="28"/>
  <c r="J29"/>
  <c r="I29"/>
  <c r="H29"/>
  <c r="G29"/>
  <c r="D29"/>
  <c r="K28"/>
  <c r="J28"/>
  <c r="I28"/>
  <c r="H28"/>
  <c r="G28"/>
  <c r="K27"/>
  <c r="J27"/>
  <c r="I27"/>
  <c r="H27"/>
  <c r="G27"/>
  <c r="K26"/>
  <c r="J26"/>
  <c r="I26"/>
  <c r="H26"/>
  <c r="G26"/>
  <c r="K25"/>
  <c r="J25"/>
  <c r="I25"/>
  <c r="H25"/>
  <c r="K24"/>
  <c r="J24"/>
  <c r="H24"/>
  <c r="K23"/>
  <c r="J23"/>
  <c r="H23"/>
  <c r="M14"/>
  <c r="M13"/>
  <c r="M12"/>
  <c r="L12"/>
  <c r="K12"/>
  <c r="J12"/>
  <c r="I12"/>
  <c r="H12"/>
  <c r="G12"/>
  <c r="D12"/>
  <c r="M11"/>
  <c r="K11"/>
  <c r="J11"/>
  <c r="I11"/>
  <c r="H11"/>
  <c r="G11"/>
  <c r="M10"/>
  <c r="K10"/>
  <c r="J10"/>
  <c r="I10"/>
  <c r="H10"/>
  <c r="G10"/>
  <c r="M9"/>
  <c r="K9"/>
  <c r="J9"/>
  <c r="I9"/>
  <c r="H9"/>
  <c r="G9"/>
  <c r="M8"/>
  <c r="L8"/>
  <c r="K8"/>
  <c r="J8"/>
  <c r="I8"/>
  <c r="H8"/>
  <c r="M7"/>
  <c r="K7"/>
  <c r="J7"/>
  <c r="H7"/>
  <c r="M6"/>
  <c r="K6"/>
  <c r="J6"/>
  <c r="H6"/>
  <c r="M5"/>
  <c r="K5"/>
  <c r="J5"/>
  <c r="H5"/>
  <c r="D97" i="27"/>
  <c r="A97"/>
  <c r="D96"/>
  <c r="A96"/>
  <c r="D95"/>
  <c r="A95"/>
  <c r="D94"/>
  <c r="A94"/>
  <c r="D93"/>
  <c r="A93"/>
  <c r="D92"/>
  <c r="A92"/>
  <c r="D91"/>
  <c r="A91"/>
  <c r="D90"/>
  <c r="A90"/>
  <c r="D89"/>
  <c r="A89"/>
  <c r="D88"/>
  <c r="A88"/>
  <c r="D87"/>
  <c r="A87"/>
  <c r="D86"/>
  <c r="A86"/>
  <c r="D85"/>
  <c r="A85"/>
  <c r="D84"/>
  <c r="A84"/>
  <c r="D83"/>
  <c r="A83"/>
  <c r="D82"/>
  <c r="A82"/>
  <c r="D81"/>
  <c r="A81"/>
  <c r="D80"/>
  <c r="A80"/>
  <c r="D79"/>
  <c r="A79"/>
  <c r="D78"/>
  <c r="A78"/>
  <c r="D77"/>
  <c r="A77"/>
  <c r="D76"/>
  <c r="A76"/>
  <c r="D75"/>
  <c r="A75"/>
  <c r="D74"/>
  <c r="A74"/>
  <c r="D73"/>
  <c r="A73"/>
  <c r="D72"/>
  <c r="A72"/>
  <c r="D71"/>
  <c r="A71"/>
  <c r="D70"/>
  <c r="A70"/>
  <c r="D69"/>
  <c r="A69"/>
  <c r="D68"/>
  <c r="A68"/>
  <c r="D67"/>
  <c r="A67"/>
  <c r="D66"/>
  <c r="A66"/>
  <c r="D65"/>
  <c r="A65"/>
  <c r="D64"/>
  <c r="A64"/>
  <c r="D63"/>
  <c r="C63" s="1"/>
  <c r="D2235" i="31" s="1"/>
  <c r="F2235" s="1"/>
  <c r="A63" i="27"/>
  <c r="D62"/>
  <c r="A62"/>
  <c r="D61"/>
  <c r="A61"/>
  <c r="D60"/>
  <c r="A60"/>
  <c r="D59"/>
  <c r="A59"/>
  <c r="D58"/>
  <c r="A58"/>
  <c r="D57"/>
  <c r="A57"/>
  <c r="D56"/>
  <c r="A56"/>
  <c r="D55"/>
  <c r="A55"/>
  <c r="D54"/>
  <c r="A54"/>
  <c r="D53"/>
  <c r="A53"/>
  <c r="D52"/>
  <c r="A52"/>
  <c r="D51"/>
  <c r="A51"/>
  <c r="D50"/>
  <c r="A50"/>
  <c r="D49"/>
  <c r="A49"/>
  <c r="D48"/>
  <c r="A48"/>
  <c r="D47"/>
  <c r="A47"/>
  <c r="D46"/>
  <c r="A46"/>
  <c r="D45"/>
  <c r="A45"/>
  <c r="D44"/>
  <c r="A44"/>
  <c r="D43"/>
  <c r="A43"/>
  <c r="D42"/>
  <c r="A42"/>
  <c r="D41"/>
  <c r="A41"/>
  <c r="D40"/>
  <c r="A40"/>
  <c r="D39"/>
  <c r="A39"/>
  <c r="D38"/>
  <c r="A38"/>
  <c r="D37"/>
  <c r="A37"/>
  <c r="D36"/>
  <c r="A36"/>
  <c r="D35"/>
  <c r="A35"/>
  <c r="D34"/>
  <c r="A34"/>
  <c r="D33"/>
  <c r="A33"/>
  <c r="D32"/>
  <c r="A32"/>
  <c r="D31"/>
  <c r="A31"/>
  <c r="D30"/>
  <c r="A30"/>
  <c r="D29"/>
  <c r="C29"/>
  <c r="A29"/>
  <c r="D28"/>
  <c r="A28"/>
  <c r="D27"/>
  <c r="C27" s="1"/>
  <c r="A27"/>
  <c r="D26"/>
  <c r="A26"/>
  <c r="D25"/>
  <c r="A25"/>
  <c r="D24"/>
  <c r="A24"/>
  <c r="D23"/>
  <c r="A23"/>
  <c r="D22"/>
  <c r="A22"/>
  <c r="D21"/>
  <c r="A21"/>
  <c r="D20"/>
  <c r="C20" s="1"/>
  <c r="A20"/>
  <c r="D19"/>
  <c r="C19" s="1"/>
  <c r="D698" i="31" s="1"/>
  <c r="F698" s="1"/>
  <c r="A19" i="27"/>
  <c r="D18"/>
  <c r="C18" s="1"/>
  <c r="A18"/>
  <c r="D17"/>
  <c r="C17" s="1"/>
  <c r="A17"/>
  <c r="D16"/>
  <c r="A16"/>
  <c r="D15"/>
  <c r="A15"/>
  <c r="D14"/>
  <c r="C14" s="1"/>
  <c r="A14"/>
  <c r="D13"/>
  <c r="A13"/>
  <c r="D12"/>
  <c r="A12"/>
  <c r="D11"/>
  <c r="A11"/>
  <c r="D10"/>
  <c r="A10"/>
  <c r="D9"/>
  <c r="A9"/>
  <c r="D8"/>
  <c r="A8"/>
  <c r="D7"/>
  <c r="A7"/>
  <c r="D6"/>
  <c r="A6"/>
  <c r="D15" i="25"/>
  <c r="D14"/>
  <c r="H13"/>
  <c r="F13"/>
  <c r="E13"/>
  <c r="H12"/>
  <c r="F12"/>
  <c r="E12"/>
  <c r="H11"/>
  <c r="F11"/>
  <c r="E11"/>
  <c r="H10"/>
  <c r="F10"/>
  <c r="E10"/>
  <c r="H9"/>
  <c r="F9"/>
  <c r="E9"/>
  <c r="H8"/>
  <c r="F8"/>
  <c r="E8"/>
  <c r="H7"/>
  <c r="F7"/>
  <c r="E7"/>
  <c r="I150" i="24"/>
  <c r="F150"/>
  <c r="E150"/>
  <c r="E149"/>
  <c r="A149"/>
  <c r="E148"/>
  <c r="A148"/>
  <c r="E147"/>
  <c r="A147"/>
  <c r="E146"/>
  <c r="A146"/>
  <c r="E145"/>
  <c r="A145"/>
  <c r="E144"/>
  <c r="A144"/>
  <c r="F143"/>
  <c r="E143"/>
  <c r="A143"/>
  <c r="F142"/>
  <c r="E142"/>
  <c r="A142"/>
  <c r="E141"/>
  <c r="A141"/>
  <c r="E140"/>
  <c r="A140"/>
  <c r="E139"/>
  <c r="A139"/>
  <c r="E138"/>
  <c r="A138"/>
  <c r="E137"/>
  <c r="A137"/>
  <c r="E136"/>
  <c r="A136"/>
  <c r="E135"/>
  <c r="A135"/>
  <c r="E134"/>
  <c r="A134"/>
  <c r="E133"/>
  <c r="A133"/>
  <c r="E132"/>
  <c r="A132"/>
  <c r="E131"/>
  <c r="A131"/>
  <c r="G130"/>
  <c r="F130"/>
  <c r="E130"/>
  <c r="A130"/>
  <c r="E129"/>
  <c r="A129"/>
  <c r="E128"/>
  <c r="A128"/>
  <c r="E127"/>
  <c r="A127"/>
  <c r="E126"/>
  <c r="A126"/>
  <c r="H125"/>
  <c r="G125"/>
  <c r="E125"/>
  <c r="A125"/>
  <c r="E124"/>
  <c r="A124"/>
  <c r="E123"/>
  <c r="A123"/>
  <c r="H122"/>
  <c r="E122"/>
  <c r="A122"/>
  <c r="H121"/>
  <c r="E121"/>
  <c r="A121"/>
  <c r="H120"/>
  <c r="E120"/>
  <c r="A120"/>
  <c r="H119"/>
  <c r="E119"/>
  <c r="A119"/>
  <c r="E118"/>
  <c r="A118"/>
  <c r="H117"/>
  <c r="G117"/>
  <c r="E117"/>
  <c r="A117"/>
  <c r="E116"/>
  <c r="E115"/>
  <c r="A115"/>
  <c r="A116" s="1"/>
  <c r="E114"/>
  <c r="A114"/>
  <c r="E113"/>
  <c r="A113"/>
  <c r="E112"/>
  <c r="A112"/>
  <c r="E111"/>
  <c r="A111"/>
  <c r="E110"/>
  <c r="A110"/>
  <c r="E109"/>
  <c r="A109"/>
  <c r="E108"/>
  <c r="A108"/>
  <c r="M107"/>
  <c r="F107"/>
  <c r="E107"/>
  <c r="E106"/>
  <c r="A106"/>
  <c r="E105"/>
  <c r="A105"/>
  <c r="E104"/>
  <c r="A104"/>
  <c r="E103"/>
  <c r="A103"/>
  <c r="E102"/>
  <c r="E101"/>
  <c r="E100"/>
  <c r="E99"/>
  <c r="E98"/>
  <c r="E97"/>
  <c r="E96"/>
  <c r="A96"/>
  <c r="E95"/>
  <c r="A95"/>
  <c r="E94"/>
  <c r="A94"/>
  <c r="E93"/>
  <c r="A93"/>
  <c r="E92"/>
  <c r="A92"/>
  <c r="E91"/>
  <c r="A91"/>
  <c r="E89"/>
  <c r="A89"/>
  <c r="A90" s="1"/>
  <c r="E87"/>
  <c r="A87"/>
  <c r="A88" s="1"/>
  <c r="E85"/>
  <c r="A85"/>
  <c r="A86" s="1"/>
  <c r="G84"/>
  <c r="E84"/>
  <c r="A84"/>
  <c r="G82"/>
  <c r="G83" s="1"/>
  <c r="E82"/>
  <c r="E83" s="1"/>
  <c r="A82"/>
  <c r="A83" s="1"/>
  <c r="E80"/>
  <c r="E81" s="1"/>
  <c r="A80"/>
  <c r="A81" s="1"/>
  <c r="E78"/>
  <c r="E79" s="1"/>
  <c r="A78"/>
  <c r="A79" s="1"/>
  <c r="E77"/>
  <c r="A77"/>
  <c r="E76"/>
  <c r="A76"/>
  <c r="G75"/>
  <c r="E75"/>
  <c r="A75"/>
  <c r="E74"/>
  <c r="A74"/>
  <c r="E73"/>
  <c r="A73"/>
  <c r="E72"/>
  <c r="F71"/>
  <c r="E71"/>
  <c r="A71"/>
  <c r="F70"/>
  <c r="E70"/>
  <c r="A70"/>
  <c r="F69"/>
  <c r="E69"/>
  <c r="A69"/>
  <c r="E68"/>
  <c r="A68"/>
  <c r="F67"/>
  <c r="E67"/>
  <c r="A67"/>
  <c r="E66"/>
  <c r="A66"/>
  <c r="E65"/>
  <c r="E58" s="1"/>
  <c r="A65"/>
  <c r="A64"/>
  <c r="A63"/>
  <c r="A61"/>
  <c r="A62" s="1"/>
  <c r="A60"/>
  <c r="A59"/>
  <c r="A58"/>
  <c r="E57"/>
  <c r="A57"/>
  <c r="A55"/>
  <c r="A56" s="1"/>
  <c r="E54"/>
  <c r="A54"/>
  <c r="E52"/>
  <c r="A52"/>
  <c r="A53" s="1"/>
  <c r="E51"/>
  <c r="A51"/>
  <c r="A49"/>
  <c r="A50" s="1"/>
  <c r="A48"/>
  <c r="A47"/>
  <c r="A45"/>
  <c r="A46" s="1"/>
  <c r="A44"/>
  <c r="A42"/>
  <c r="A43" s="1"/>
  <c r="A40"/>
  <c r="A41" s="1"/>
  <c r="A38"/>
  <c r="A39" s="1"/>
  <c r="A36"/>
  <c r="A37" s="1"/>
  <c r="A34"/>
  <c r="A35" s="1"/>
  <c r="A32"/>
  <c r="A33" s="1"/>
  <c r="A29"/>
  <c r="A30" s="1"/>
  <c r="A27"/>
  <c r="A28" s="1"/>
  <c r="A25"/>
  <c r="A26" s="1"/>
  <c r="A24"/>
  <c r="A23"/>
  <c r="A22"/>
  <c r="A20"/>
  <c r="A21" s="1"/>
  <c r="A19"/>
  <c r="A17"/>
  <c r="A18" s="1"/>
  <c r="A15"/>
  <c r="A16" s="1"/>
  <c r="E14"/>
  <c r="A14"/>
  <c r="E13"/>
  <c r="E63" s="1"/>
  <c r="A13"/>
  <c r="L17" i="82"/>
  <c r="F17"/>
  <c r="F16"/>
  <c r="D16"/>
  <c r="F15"/>
  <c r="D15"/>
  <c r="F14"/>
  <c r="D14"/>
  <c r="F13"/>
  <c r="D13"/>
  <c r="F12"/>
  <c r="D12"/>
  <c r="F11"/>
  <c r="D11"/>
  <c r="F10"/>
  <c r="F9"/>
  <c r="L8"/>
  <c r="J8"/>
  <c r="F8"/>
  <c r="L7"/>
  <c r="J7"/>
  <c r="F7"/>
  <c r="L6"/>
  <c r="J6"/>
  <c r="F6"/>
  <c r="F5"/>
  <c r="F4"/>
  <c r="G15" i="83"/>
  <c r="D14"/>
  <c r="D11"/>
  <c r="H10"/>
  <c r="G10"/>
  <c r="F10"/>
  <c r="E10"/>
  <c r="H9"/>
  <c r="G9"/>
  <c r="F9"/>
  <c r="E9"/>
  <c r="H8"/>
  <c r="G8"/>
  <c r="E8"/>
  <c r="H7"/>
  <c r="G7"/>
  <c r="E7"/>
  <c r="H6"/>
  <c r="G6"/>
  <c r="E6"/>
  <c r="H5"/>
  <c r="G5"/>
  <c r="D272" i="48"/>
  <c r="I271"/>
  <c r="F271"/>
  <c r="D271"/>
  <c r="I270"/>
  <c r="F270"/>
  <c r="I269"/>
  <c r="F269"/>
  <c r="D269"/>
  <c r="I268"/>
  <c r="F268"/>
  <c r="D268"/>
  <c r="I267"/>
  <c r="F267"/>
  <c r="D267"/>
  <c r="I266"/>
  <c r="H266"/>
  <c r="F266"/>
  <c r="I265"/>
  <c r="F265"/>
  <c r="D265"/>
  <c r="I264"/>
  <c r="F264"/>
  <c r="D264"/>
  <c r="I263"/>
  <c r="F263"/>
  <c r="D263"/>
  <c r="I262"/>
  <c r="F262"/>
  <c r="D262"/>
  <c r="I261"/>
  <c r="F261"/>
  <c r="D261"/>
  <c r="I260"/>
  <c r="F260"/>
  <c r="D260"/>
  <c r="I259"/>
  <c r="F259"/>
  <c r="D259"/>
  <c r="I258"/>
  <c r="H258"/>
  <c r="F258"/>
  <c r="I257"/>
  <c r="F257"/>
  <c r="D257"/>
  <c r="I256"/>
  <c r="F256"/>
  <c r="D256"/>
  <c r="I255"/>
  <c r="F255"/>
  <c r="D255"/>
  <c r="I254"/>
  <c r="F254"/>
  <c r="D254"/>
  <c r="I253"/>
  <c r="F253"/>
  <c r="D253"/>
  <c r="I252"/>
  <c r="F252"/>
  <c r="D252"/>
  <c r="I251"/>
  <c r="H251"/>
  <c r="F251"/>
  <c r="D251"/>
  <c r="I250"/>
  <c r="H250"/>
  <c r="F250"/>
  <c r="I249"/>
  <c r="F249"/>
  <c r="I248"/>
  <c r="F248"/>
  <c r="E248"/>
  <c r="D248"/>
  <c r="I247"/>
  <c r="F247"/>
  <c r="E247"/>
  <c r="D247"/>
  <c r="I246"/>
  <c r="F246"/>
  <c r="E246"/>
  <c r="D246"/>
  <c r="I245"/>
  <c r="F245"/>
  <c r="E245"/>
  <c r="D245"/>
  <c r="I244"/>
  <c r="F244"/>
  <c r="E244"/>
  <c r="D244"/>
  <c r="I243"/>
  <c r="F243"/>
  <c r="E243"/>
  <c r="D243"/>
  <c r="I242"/>
  <c r="F242"/>
  <c r="E242"/>
  <c r="D242"/>
  <c r="I241"/>
  <c r="F241"/>
  <c r="E241"/>
  <c r="D241"/>
  <c r="I240"/>
  <c r="F240"/>
  <c r="I239"/>
  <c r="F239"/>
  <c r="D239"/>
  <c r="I238"/>
  <c r="F238"/>
  <c r="E238"/>
  <c r="D238"/>
  <c r="I237"/>
  <c r="F237"/>
  <c r="E237"/>
  <c r="I236"/>
  <c r="F236"/>
  <c r="E236"/>
  <c r="I235"/>
  <c r="F235"/>
  <c r="I234"/>
  <c r="F234"/>
  <c r="I233"/>
  <c r="F233"/>
  <c r="I232"/>
  <c r="F232"/>
  <c r="I231"/>
  <c r="F231"/>
  <c r="I230"/>
  <c r="F230"/>
  <c r="D230"/>
  <c r="I229"/>
  <c r="H229"/>
  <c r="F229"/>
  <c r="I228"/>
  <c r="F228"/>
  <c r="D228"/>
  <c r="I227"/>
  <c r="F227"/>
  <c r="E227"/>
  <c r="D227"/>
  <c r="I226"/>
  <c r="F226"/>
  <c r="E226"/>
  <c r="D226"/>
  <c r="I225"/>
  <c r="F225"/>
  <c r="E225"/>
  <c r="D225"/>
  <c r="I224"/>
  <c r="H224"/>
  <c r="F224"/>
  <c r="I223"/>
  <c r="F223"/>
  <c r="E223"/>
  <c r="D223"/>
  <c r="I222"/>
  <c r="F222"/>
  <c r="E222"/>
  <c r="D222"/>
  <c r="I221"/>
  <c r="F221"/>
  <c r="D221"/>
  <c r="I220"/>
  <c r="H220"/>
  <c r="F220"/>
  <c r="I219"/>
  <c r="F219"/>
  <c r="D218"/>
  <c r="D217"/>
  <c r="D216"/>
  <c r="I215"/>
  <c r="F215"/>
  <c r="E215"/>
  <c r="D215"/>
  <c r="I214"/>
  <c r="I213"/>
  <c r="F213"/>
  <c r="E213"/>
  <c r="D213"/>
  <c r="I212"/>
  <c r="F212"/>
  <c r="E212"/>
  <c r="D212"/>
  <c r="I211"/>
  <c r="F211"/>
  <c r="E211"/>
  <c r="D211"/>
  <c r="D210"/>
  <c r="I209"/>
  <c r="I208"/>
  <c r="D207"/>
  <c r="D206"/>
  <c r="D205"/>
  <c r="F204"/>
  <c r="E204"/>
  <c r="D204"/>
  <c r="D202"/>
  <c r="D201"/>
  <c r="D200"/>
  <c r="I199"/>
  <c r="F199"/>
  <c r="E199"/>
  <c r="D199"/>
  <c r="I198"/>
  <c r="I197"/>
  <c r="F197"/>
  <c r="E197"/>
  <c r="D197"/>
  <c r="I196"/>
  <c r="F196"/>
  <c r="E196"/>
  <c r="D196"/>
  <c r="L195"/>
  <c r="K195"/>
  <c r="D195"/>
  <c r="L194"/>
  <c r="K194"/>
  <c r="I194"/>
  <c r="L193"/>
  <c r="K193"/>
  <c r="I193"/>
  <c r="F193"/>
  <c r="E193"/>
  <c r="D193"/>
  <c r="L192"/>
  <c r="K192"/>
  <c r="I192"/>
  <c r="F192"/>
  <c r="E192"/>
  <c r="D192"/>
  <c r="I191"/>
  <c r="F191"/>
  <c r="E191"/>
  <c r="D191"/>
  <c r="D190"/>
  <c r="I189"/>
  <c r="I188"/>
  <c r="D187"/>
  <c r="D186"/>
  <c r="D185"/>
  <c r="F184"/>
  <c r="E184"/>
  <c r="D184"/>
  <c r="D182"/>
  <c r="I181"/>
  <c r="F181"/>
  <c r="E181"/>
  <c r="D181"/>
  <c r="D180"/>
  <c r="D179"/>
  <c r="D178"/>
  <c r="D177"/>
  <c r="D176"/>
  <c r="I175"/>
  <c r="F175"/>
  <c r="E175"/>
  <c r="D175"/>
  <c r="I174"/>
  <c r="D173"/>
  <c r="D172"/>
  <c r="D171"/>
  <c r="I170"/>
  <c r="F170"/>
  <c r="E170"/>
  <c r="D170"/>
  <c r="I169"/>
  <c r="I168"/>
  <c r="F168"/>
  <c r="E168"/>
  <c r="D168"/>
  <c r="I167"/>
  <c r="F167"/>
  <c r="E167"/>
  <c r="D167"/>
  <c r="D166"/>
  <c r="I165"/>
  <c r="I164"/>
  <c r="F164"/>
  <c r="E164"/>
  <c r="D164"/>
  <c r="I163"/>
  <c r="F163"/>
  <c r="E163"/>
  <c r="D163"/>
  <c r="I162"/>
  <c r="F162"/>
  <c r="E162"/>
  <c r="D162"/>
  <c r="D161"/>
  <c r="I160"/>
  <c r="I159"/>
  <c r="D158"/>
  <c r="D157"/>
  <c r="D156"/>
  <c r="F155"/>
  <c r="E155"/>
  <c r="D155"/>
  <c r="D153"/>
  <c r="D152"/>
  <c r="D151"/>
  <c r="I150"/>
  <c r="F150"/>
  <c r="E150"/>
  <c r="D150"/>
  <c r="I149"/>
  <c r="I148"/>
  <c r="F148"/>
  <c r="E148"/>
  <c r="D148"/>
  <c r="I147"/>
  <c r="F147"/>
  <c r="E147"/>
  <c r="D147"/>
  <c r="D146"/>
  <c r="I145"/>
  <c r="I144"/>
  <c r="D143"/>
  <c r="D142"/>
  <c r="D141"/>
  <c r="F140"/>
  <c r="E140"/>
  <c r="D140"/>
  <c r="D138"/>
  <c r="D137"/>
  <c r="D136"/>
  <c r="I135"/>
  <c r="F135"/>
  <c r="D135"/>
  <c r="I134"/>
  <c r="I133"/>
  <c r="F133"/>
  <c r="E133"/>
  <c r="D133"/>
  <c r="I132"/>
  <c r="F132"/>
  <c r="E132"/>
  <c r="D132"/>
  <c r="I131"/>
  <c r="F131"/>
  <c r="E131"/>
  <c r="D131"/>
  <c r="D130"/>
  <c r="I129"/>
  <c r="I128"/>
  <c r="D127"/>
  <c r="D126"/>
  <c r="D125"/>
  <c r="F124"/>
  <c r="E124"/>
  <c r="D124"/>
  <c r="M122"/>
  <c r="L122"/>
  <c r="D122"/>
  <c r="M121"/>
  <c r="L121"/>
  <c r="D121"/>
  <c r="D120"/>
  <c r="I119"/>
  <c r="F119"/>
  <c r="D119"/>
  <c r="I118"/>
  <c r="I117"/>
  <c r="F117"/>
  <c r="E117"/>
  <c r="D117"/>
  <c r="D116"/>
  <c r="I115"/>
  <c r="F115"/>
  <c r="E115"/>
  <c r="D115"/>
  <c r="I114"/>
  <c r="F114"/>
  <c r="E114"/>
  <c r="D114"/>
  <c r="I113"/>
  <c r="I112"/>
  <c r="F112"/>
  <c r="E112"/>
  <c r="D112"/>
  <c r="I111"/>
  <c r="F111"/>
  <c r="E111"/>
  <c r="D111"/>
  <c r="I110"/>
  <c r="F110"/>
  <c r="E110"/>
  <c r="D110"/>
  <c r="D109"/>
  <c r="I108"/>
  <c r="I107"/>
  <c r="F107"/>
  <c r="E107"/>
  <c r="D107"/>
  <c r="I106"/>
  <c r="F106"/>
  <c r="E106"/>
  <c r="D106"/>
  <c r="I105"/>
  <c r="F105"/>
  <c r="E105"/>
  <c r="D105"/>
  <c r="D104"/>
  <c r="I103"/>
  <c r="I102"/>
  <c r="D101"/>
  <c r="D100"/>
  <c r="D99"/>
  <c r="F98"/>
  <c r="E98"/>
  <c r="D98"/>
  <c r="I96"/>
  <c r="F96"/>
  <c r="E96"/>
  <c r="D96"/>
  <c r="I95"/>
  <c r="F95"/>
  <c r="E95"/>
  <c r="D95"/>
  <c r="D94"/>
  <c r="I93"/>
  <c r="F93"/>
  <c r="E93"/>
  <c r="D93"/>
  <c r="I92"/>
  <c r="F92"/>
  <c r="E92"/>
  <c r="D92"/>
  <c r="I91"/>
  <c r="I90"/>
  <c r="F90"/>
  <c r="E90"/>
  <c r="D90"/>
  <c r="I89"/>
  <c r="F89"/>
  <c r="E89"/>
  <c r="D89"/>
  <c r="I88"/>
  <c r="F88"/>
  <c r="D88"/>
  <c r="D87"/>
  <c r="I86"/>
  <c r="F86"/>
  <c r="E86"/>
  <c r="D86"/>
  <c r="I85"/>
  <c r="I84"/>
  <c r="I83"/>
  <c r="I82"/>
  <c r="F82"/>
  <c r="D82"/>
  <c r="I81"/>
  <c r="F81"/>
  <c r="D81"/>
  <c r="I80"/>
  <c r="F80"/>
  <c r="D80"/>
  <c r="I79"/>
  <c r="F79"/>
  <c r="D79"/>
  <c r="I78"/>
  <c r="F78"/>
  <c r="D78"/>
  <c r="I77"/>
  <c r="H77"/>
  <c r="F77"/>
  <c r="I76"/>
  <c r="F76"/>
  <c r="I75"/>
  <c r="F75"/>
  <c r="D75"/>
  <c r="I74"/>
  <c r="F74"/>
  <c r="D74"/>
  <c r="I73"/>
  <c r="F73"/>
  <c r="D73"/>
  <c r="I72"/>
  <c r="F72"/>
  <c r="D72"/>
  <c r="I71"/>
  <c r="F71"/>
  <c r="D71"/>
  <c r="I70"/>
  <c r="F70"/>
  <c r="D70"/>
  <c r="I69"/>
  <c r="F69"/>
  <c r="I68"/>
  <c r="F68"/>
  <c r="D68"/>
  <c r="I67"/>
  <c r="F67"/>
  <c r="D67"/>
  <c r="I66"/>
  <c r="F66"/>
  <c r="D66"/>
  <c r="I65"/>
  <c r="F65"/>
  <c r="D65"/>
  <c r="I64"/>
  <c r="F64"/>
  <c r="D64"/>
  <c r="I63"/>
  <c r="H63"/>
  <c r="F63"/>
  <c r="I62"/>
  <c r="F62"/>
  <c r="D62"/>
  <c r="I61"/>
  <c r="F61"/>
  <c r="D61"/>
  <c r="I60"/>
  <c r="F60"/>
  <c r="D60"/>
  <c r="I59"/>
  <c r="F59"/>
  <c r="D59"/>
  <c r="I58"/>
  <c r="F58"/>
  <c r="D58"/>
  <c r="I57"/>
  <c r="H57"/>
  <c r="F57"/>
  <c r="I56"/>
  <c r="F56"/>
  <c r="D56"/>
  <c r="I55"/>
  <c r="F55"/>
  <c r="E55"/>
  <c r="D55"/>
  <c r="I54"/>
  <c r="F54"/>
  <c r="D54"/>
  <c r="I53"/>
  <c r="F53"/>
  <c r="D53"/>
  <c r="I52"/>
  <c r="H52"/>
  <c r="F52"/>
  <c r="I51"/>
  <c r="F51"/>
  <c r="D51"/>
  <c r="I50"/>
  <c r="F50"/>
  <c r="D50"/>
  <c r="I49"/>
  <c r="F49"/>
  <c r="D49"/>
  <c r="I48"/>
  <c r="H48"/>
  <c r="F48"/>
  <c r="I47"/>
  <c r="F47"/>
  <c r="D47"/>
  <c r="I46"/>
  <c r="F46"/>
  <c r="D46"/>
  <c r="I45"/>
  <c r="F45"/>
  <c r="D45"/>
  <c r="I44"/>
  <c r="F44"/>
  <c r="D44"/>
  <c r="I43"/>
  <c r="H43"/>
  <c r="F43"/>
  <c r="I42"/>
  <c r="F42"/>
  <c r="I41"/>
  <c r="F41"/>
  <c r="D41"/>
  <c r="I40"/>
  <c r="F40"/>
  <c r="D40"/>
  <c r="I39"/>
  <c r="F39"/>
  <c r="D39"/>
  <c r="I38"/>
  <c r="F38"/>
  <c r="D38"/>
  <c r="I37"/>
  <c r="F37"/>
  <c r="D37"/>
  <c r="I36"/>
  <c r="H36"/>
  <c r="F36"/>
  <c r="I35"/>
  <c r="F35"/>
  <c r="D35"/>
  <c r="I34"/>
  <c r="F34"/>
  <c r="D34"/>
  <c r="I33"/>
  <c r="F33"/>
  <c r="D33"/>
  <c r="I32"/>
  <c r="F32"/>
  <c r="D32"/>
  <c r="I31"/>
  <c r="F31"/>
  <c r="D31"/>
  <c r="I30"/>
  <c r="F30"/>
  <c r="I29"/>
  <c r="F29"/>
  <c r="I28"/>
  <c r="F28"/>
  <c r="I27"/>
  <c r="F27"/>
  <c r="D27"/>
  <c r="I26"/>
  <c r="F26"/>
  <c r="D26"/>
  <c r="I25"/>
  <c r="F25"/>
  <c r="I24"/>
  <c r="F24"/>
  <c r="D24"/>
  <c r="I23"/>
  <c r="F23"/>
  <c r="D23"/>
  <c r="I22"/>
  <c r="F22"/>
  <c r="D22"/>
  <c r="I21"/>
  <c r="F21"/>
  <c r="D21"/>
  <c r="I20"/>
  <c r="H20"/>
  <c r="F20"/>
  <c r="I19"/>
  <c r="F19"/>
  <c r="F18"/>
  <c r="D18"/>
  <c r="I17"/>
  <c r="F17"/>
  <c r="D17"/>
  <c r="I16"/>
  <c r="F16"/>
  <c r="D16"/>
  <c r="I15"/>
  <c r="F15"/>
  <c r="D15"/>
  <c r="I14"/>
  <c r="F14"/>
  <c r="D14"/>
  <c r="I13"/>
  <c r="H13"/>
  <c r="F13"/>
  <c r="I12"/>
  <c r="F12"/>
  <c r="D12"/>
  <c r="L11"/>
  <c r="I11"/>
  <c r="F11"/>
  <c r="D11"/>
  <c r="L10"/>
  <c r="I10"/>
  <c r="F10"/>
  <c r="D10"/>
  <c r="I9"/>
  <c r="H9"/>
  <c r="F9"/>
  <c r="D9"/>
  <c r="I8"/>
  <c r="F8"/>
  <c r="D8"/>
  <c r="H7"/>
  <c r="F7"/>
  <c r="O6"/>
  <c r="F6"/>
  <c r="F5"/>
  <c r="F4"/>
  <c r="D10" i="47"/>
  <c r="D11" s="1"/>
  <c r="D13" s="1"/>
  <c r="C10"/>
  <c r="C9"/>
  <c r="F9" s="1"/>
  <c r="C8"/>
  <c r="F8" s="1"/>
  <c r="C6"/>
  <c r="F6" s="1"/>
  <c r="F71" i="31" l="1"/>
  <c r="D142"/>
  <c r="G26" i="29"/>
  <c r="H26" s="1"/>
  <c r="D86" i="33"/>
  <c r="F86" s="1"/>
  <c r="F2621" i="31"/>
  <c r="I69" i="24" s="1"/>
  <c r="E55"/>
  <c r="E56" s="1"/>
  <c r="D1610" i="31"/>
  <c r="F1610" s="1"/>
  <c r="D218" i="34"/>
  <c r="Z1990" i="31"/>
  <c r="E1898"/>
  <c r="E1939" s="1"/>
  <c r="F816" i="33"/>
  <c r="F814" s="1"/>
  <c r="E2414" i="31"/>
  <c r="L2414" s="1"/>
  <c r="D189"/>
  <c r="D381" s="1"/>
  <c r="F751" i="33"/>
  <c r="D762" s="1"/>
  <c r="D122" i="34"/>
  <c r="F122" s="1"/>
  <c r="F121" s="1"/>
  <c r="M111" i="24" s="1"/>
  <c r="D10" i="25"/>
  <c r="F33" i="51"/>
  <c r="G16" i="30"/>
  <c r="G22" s="1"/>
  <c r="G34" s="1"/>
  <c r="J34" s="1"/>
  <c r="E2031" i="31"/>
  <c r="E2074"/>
  <c r="E736" i="33"/>
  <c r="F736" s="1"/>
  <c r="I142" i="24" s="1"/>
  <c r="D50" i="34"/>
  <c r="F50" s="1"/>
  <c r="F49" s="1"/>
  <c r="F98"/>
  <c r="F97" s="1"/>
  <c r="M110" i="24" s="1"/>
  <c r="E64"/>
  <c r="F218" i="34"/>
  <c r="F217" s="1"/>
  <c r="M115" i="24" s="1"/>
  <c r="F1203" i="31"/>
  <c r="D215"/>
  <c r="F215" s="1"/>
  <c r="D73" i="32"/>
  <c r="F73" s="1"/>
  <c r="D717" i="33"/>
  <c r="F717" s="1"/>
  <c r="E739"/>
  <c r="E788" s="1"/>
  <c r="D146" i="34"/>
  <c r="F146" s="1"/>
  <c r="F145" s="1"/>
  <c r="M112" i="24" s="1"/>
  <c r="D12" i="25"/>
  <c r="E737" i="33"/>
  <c r="E789"/>
  <c r="K2391" i="31"/>
  <c r="M2391" s="1"/>
  <c r="D34" i="32"/>
  <c r="F34" s="1"/>
  <c r="F140" i="31"/>
  <c r="D236"/>
  <c r="K236" s="1"/>
  <c r="M236" s="1"/>
  <c r="E2666"/>
  <c r="F2643"/>
  <c r="I70" i="24" s="1"/>
  <c r="F69" i="51"/>
  <c r="F10" i="47"/>
  <c r="D74" i="33"/>
  <c r="E260" i="34"/>
  <c r="E282" s="1"/>
  <c r="E306" s="1"/>
  <c r="E328" s="1"/>
  <c r="E350" s="1"/>
  <c r="E372" s="1"/>
  <c r="E394" s="1"/>
  <c r="E45" i="24"/>
  <c r="E46" s="1"/>
  <c r="D32" i="31"/>
  <c r="F32" s="1"/>
  <c r="D44"/>
  <c r="F44" s="1"/>
  <c r="D143"/>
  <c r="D239" s="1"/>
  <c r="D28" i="33"/>
  <c r="D148" s="1"/>
  <c r="D74" i="34"/>
  <c r="F74" s="1"/>
  <c r="F73" s="1"/>
  <c r="M109" i="24" s="1"/>
  <c r="D686" i="34"/>
  <c r="F686" s="1"/>
  <c r="D91" i="31"/>
  <c r="D43"/>
  <c r="F43" s="1"/>
  <c r="D990"/>
  <c r="F990" s="1"/>
  <c r="S1990"/>
  <c r="F24" i="29"/>
  <c r="F34" s="1"/>
  <c r="J11" i="30"/>
  <c r="F63" i="31"/>
  <c r="D1080"/>
  <c r="F1080" s="1"/>
  <c r="L1990"/>
  <c r="D106" i="32"/>
  <c r="F106" s="1"/>
  <c r="D26" i="33"/>
  <c r="F26" s="1"/>
  <c r="D11" i="25"/>
  <c r="D207" i="31"/>
  <c r="E2405"/>
  <c r="L2405" s="1"/>
  <c r="E2482"/>
  <c r="D58" i="33"/>
  <c r="F58" s="1"/>
  <c r="D24" i="34"/>
  <c r="F24" s="1"/>
  <c r="F23" s="1"/>
  <c r="M108" i="24" s="1"/>
  <c r="D170" i="34"/>
  <c r="F170" s="1"/>
  <c r="F169" s="1"/>
  <c r="M113" i="24" s="1"/>
  <c r="D561" i="34"/>
  <c r="F561" s="1"/>
  <c r="F560" s="1"/>
  <c r="M129" i="24" s="1"/>
  <c r="E149" i="33"/>
  <c r="E179" s="1"/>
  <c r="E237" s="1"/>
  <c r="E265" s="1"/>
  <c r="D53" i="32"/>
  <c r="J16" i="30"/>
  <c r="D45" i="31"/>
  <c r="F45" s="1"/>
  <c r="D272"/>
  <c r="F272" s="1"/>
  <c r="L1989"/>
  <c r="D2474"/>
  <c r="F2474" s="1"/>
  <c r="F2467" s="1"/>
  <c r="D161" i="32"/>
  <c r="F161" s="1"/>
  <c r="F157" s="1"/>
  <c r="E143" i="33"/>
  <c r="E173" s="1"/>
  <c r="F465" i="34"/>
  <c r="F464" s="1"/>
  <c r="D194"/>
  <c r="F194" s="1"/>
  <c r="F193" s="1"/>
  <c r="M114" i="24" s="1"/>
  <c r="E384" i="31"/>
  <c r="E432" s="1"/>
  <c r="E288"/>
  <c r="E336" s="1"/>
  <c r="L240"/>
  <c r="H23" i="29"/>
  <c r="G24"/>
  <c r="G27"/>
  <c r="E278" i="31"/>
  <c r="E326" s="1"/>
  <c r="E374"/>
  <c r="E422" s="1"/>
  <c r="L230"/>
  <c r="E1899"/>
  <c r="E1940" s="1"/>
  <c r="E1817"/>
  <c r="E1859" s="1"/>
  <c r="E61" i="24"/>
  <c r="E22"/>
  <c r="E49"/>
  <c r="D2523" i="31"/>
  <c r="F2523" s="1"/>
  <c r="D2370"/>
  <c r="F2370" s="1"/>
  <c r="D2250"/>
  <c r="F2250" s="1"/>
  <c r="D2722"/>
  <c r="F2722" s="1"/>
  <c r="D2447"/>
  <c r="F2447" s="1"/>
  <c r="D2408"/>
  <c r="D2597"/>
  <c r="F2597" s="1"/>
  <c r="D2205"/>
  <c r="F2205" s="1"/>
  <c r="D2486"/>
  <c r="F2486" s="1"/>
  <c r="D2560"/>
  <c r="F2560" s="1"/>
  <c r="D1549"/>
  <c r="F1549" s="1"/>
  <c r="D1622"/>
  <c r="F1622" s="1"/>
  <c r="D1505"/>
  <c r="F1505" s="1"/>
  <c r="D1361"/>
  <c r="F1361" s="1"/>
  <c r="D1457"/>
  <c r="F1457" s="1"/>
  <c r="D1117"/>
  <c r="D1694"/>
  <c r="F1694" s="1"/>
  <c r="D1656"/>
  <c r="F1656" s="1"/>
  <c r="D1409"/>
  <c r="F1409" s="1"/>
  <c r="D1324"/>
  <c r="D755"/>
  <c r="D708"/>
  <c r="D1245"/>
  <c r="F1245" s="1"/>
  <c r="D1075"/>
  <c r="F1075" s="1"/>
  <c r="D521"/>
  <c r="D1287"/>
  <c r="F1287" s="1"/>
  <c r="D985"/>
  <c r="F985" s="1"/>
  <c r="D138"/>
  <c r="D1589"/>
  <c r="F1589" s="1"/>
  <c r="D940"/>
  <c r="F940" s="1"/>
  <c r="D895"/>
  <c r="F895" s="1"/>
  <c r="D90"/>
  <c r="D42"/>
  <c r="F42" s="1"/>
  <c r="D1030"/>
  <c r="F1030" s="1"/>
  <c r="E25" i="24"/>
  <c r="E17"/>
  <c r="E20"/>
  <c r="D8" i="25"/>
  <c r="E88" i="24"/>
  <c r="D68" i="51"/>
  <c r="F68" s="1"/>
  <c r="F67" s="1"/>
  <c r="F32"/>
  <c r="D18"/>
  <c r="F18" s="1"/>
  <c r="F11" s="1"/>
  <c r="G39" i="30"/>
  <c r="J39" s="1"/>
  <c r="E2592" i="31"/>
  <c r="E2555"/>
  <c r="E2518"/>
  <c r="E86" i="24"/>
  <c r="E90"/>
  <c r="G15" i="30"/>
  <c r="J9"/>
  <c r="E38" i="24"/>
  <c r="C7" i="43"/>
  <c r="E53" i="24"/>
  <c r="L231" i="31"/>
  <c r="E279"/>
  <c r="E327" s="1"/>
  <c r="E375"/>
  <c r="E423" s="1"/>
  <c r="L229"/>
  <c r="E277"/>
  <c r="E325" s="1"/>
  <c r="E373"/>
  <c r="E421" s="1"/>
  <c r="E31" i="24"/>
  <c r="E47"/>
  <c r="D542" i="31"/>
  <c r="F542" s="1"/>
  <c r="F142"/>
  <c r="D238"/>
  <c r="D255"/>
  <c r="F255" s="1"/>
  <c r="D351"/>
  <c r="F159"/>
  <c r="D7" i="25"/>
  <c r="E376" i="31"/>
  <c r="E424" s="1"/>
  <c r="E1911"/>
  <c r="E1829"/>
  <c r="E15" i="24"/>
  <c r="E23"/>
  <c r="E36"/>
  <c r="E44"/>
  <c r="E59"/>
  <c r="D9" i="25"/>
  <c r="G28" i="30"/>
  <c r="J28" s="1"/>
  <c r="E146" i="31"/>
  <c r="E280"/>
  <c r="E328" s="1"/>
  <c r="D263"/>
  <c r="F263" s="1"/>
  <c r="F167"/>
  <c r="E29" i="24"/>
  <c r="E34"/>
  <c r="E42"/>
  <c r="D13" i="25"/>
  <c r="G20" i="29"/>
  <c r="F28" i="51"/>
  <c r="D191" i="31"/>
  <c r="D359"/>
  <c r="D833" i="34"/>
  <c r="F833" s="1"/>
  <c r="D809"/>
  <c r="F809" s="1"/>
  <c r="D2209" i="31"/>
  <c r="F2209" s="1"/>
  <c r="D2490"/>
  <c r="F2490" s="1"/>
  <c r="D2296"/>
  <c r="D2564"/>
  <c r="F2564" s="1"/>
  <c r="D2412"/>
  <c r="D2254"/>
  <c r="F2254" s="1"/>
  <c r="D1509"/>
  <c r="F1509" s="1"/>
  <c r="D1461"/>
  <c r="F1461" s="1"/>
  <c r="D1591"/>
  <c r="F1591" s="1"/>
  <c r="D1413"/>
  <c r="F1413" s="1"/>
  <c r="D2763"/>
  <c r="F2763" s="1"/>
  <c r="D1365"/>
  <c r="D1291"/>
  <c r="F1291" s="1"/>
  <c r="D1249"/>
  <c r="F1249" s="1"/>
  <c r="D1207"/>
  <c r="F1207" s="1"/>
  <c r="D712"/>
  <c r="D2527"/>
  <c r="F2527" s="1"/>
  <c r="D2451"/>
  <c r="F2451" s="1"/>
  <c r="D1079"/>
  <c r="F1079" s="1"/>
  <c r="D1034"/>
  <c r="F1034" s="1"/>
  <c r="D989"/>
  <c r="F989" s="1"/>
  <c r="D94"/>
  <c r="D46"/>
  <c r="F46" s="1"/>
  <c r="F236"/>
  <c r="E60" i="24"/>
  <c r="D80" i="31"/>
  <c r="F80" s="1"/>
  <c r="D641" i="33"/>
  <c r="F641" s="1"/>
  <c r="D324" i="34"/>
  <c r="F324" s="1"/>
  <c r="F323" s="1"/>
  <c r="F319" s="1"/>
  <c r="D509" i="33"/>
  <c r="F509" s="1"/>
  <c r="D397"/>
  <c r="F397" s="1"/>
  <c r="D302" i="34"/>
  <c r="F302" s="1"/>
  <c r="F301" s="1"/>
  <c r="D537" i="33"/>
  <c r="F537" s="1"/>
  <c r="D425"/>
  <c r="F425" s="1"/>
  <c r="D635" i="34"/>
  <c r="F635" s="1"/>
  <c r="D346"/>
  <c r="F346" s="1"/>
  <c r="F345" s="1"/>
  <c r="F341" s="1"/>
  <c r="D481" i="33"/>
  <c r="F481" s="1"/>
  <c r="D369"/>
  <c r="F369" s="1"/>
  <c r="D341"/>
  <c r="F341" s="1"/>
  <c r="D313"/>
  <c r="F313" s="1"/>
  <c r="D453"/>
  <c r="F453" s="1"/>
  <c r="D285"/>
  <c r="F285" s="1"/>
  <c r="D257"/>
  <c r="F257" s="1"/>
  <c r="D49"/>
  <c r="F49" s="1"/>
  <c r="D669"/>
  <c r="F669" s="1"/>
  <c r="D19"/>
  <c r="F19" s="1"/>
  <c r="D2690" i="31"/>
  <c r="F2690" s="1"/>
  <c r="F2689" s="1"/>
  <c r="D229" i="33"/>
  <c r="F229" s="1"/>
  <c r="D2321" i="31"/>
  <c r="F2321" s="1"/>
  <c r="D2239"/>
  <c r="F2239" s="1"/>
  <c r="D368" i="34"/>
  <c r="F368" s="1"/>
  <c r="F367" s="1"/>
  <c r="F363" s="1"/>
  <c r="D199" i="33"/>
  <c r="F199" s="1"/>
  <c r="D2715" i="31"/>
  <c r="F2715" s="1"/>
  <c r="F2714" s="1"/>
  <c r="G68" i="24" s="1"/>
  <c r="D169" i="33"/>
  <c r="F169" s="1"/>
  <c r="D1976" i="31"/>
  <c r="F1976" s="1"/>
  <c r="D1495"/>
  <c r="F1495" s="1"/>
  <c r="D1579"/>
  <c r="F1579" s="1"/>
  <c r="K1976"/>
  <c r="M1976" s="1"/>
  <c r="D1614"/>
  <c r="F1614" s="1"/>
  <c r="D1447"/>
  <c r="F1447" s="1"/>
  <c r="D2017"/>
  <c r="F2017" s="1"/>
  <c r="D139" i="33"/>
  <c r="F139" s="1"/>
  <c r="D2195" i="31"/>
  <c r="F2195" s="1"/>
  <c r="D2060"/>
  <c r="F2060" s="1"/>
  <c r="R1976"/>
  <c r="T1976" s="1"/>
  <c r="D1935"/>
  <c r="F1935" s="1"/>
  <c r="D1686"/>
  <c r="F1686" s="1"/>
  <c r="D1539"/>
  <c r="F1539" s="1"/>
  <c r="D745"/>
  <c r="F745" s="1"/>
  <c r="K698"/>
  <c r="M698" s="1"/>
  <c r="D1349"/>
  <c r="F1349" s="1"/>
  <c r="Y1976"/>
  <c r="AA1976" s="1"/>
  <c r="D1065"/>
  <c r="F1065" s="1"/>
  <c r="D1020"/>
  <c r="F1020" s="1"/>
  <c r="D975"/>
  <c r="F975" s="1"/>
  <c r="D930"/>
  <c r="F930" s="1"/>
  <c r="D885"/>
  <c r="F885" s="1"/>
  <c r="D840"/>
  <c r="F840" s="1"/>
  <c r="R698"/>
  <c r="T698" s="1"/>
  <c r="D605"/>
  <c r="F605" s="1"/>
  <c r="D511"/>
  <c r="F511" s="1"/>
  <c r="D368"/>
  <c r="F368" s="1"/>
  <c r="D1648"/>
  <c r="F1648" s="1"/>
  <c r="D1277"/>
  <c r="F1277" s="1"/>
  <c r="D1235"/>
  <c r="F1235" s="1"/>
  <c r="D1193"/>
  <c r="F1193" s="1"/>
  <c r="D1315"/>
  <c r="F1315" s="1"/>
  <c r="D1149"/>
  <c r="F1149" s="1"/>
  <c r="D1107"/>
  <c r="F1107" s="1"/>
  <c r="D792"/>
  <c r="F792" s="1"/>
  <c r="D1729"/>
  <c r="F1729" s="1"/>
  <c r="D1399"/>
  <c r="F1399" s="1"/>
  <c r="D224"/>
  <c r="F224" s="1"/>
  <c r="D464"/>
  <c r="F464" s="1"/>
  <c r="K224"/>
  <c r="M224" s="1"/>
  <c r="D1894"/>
  <c r="F1894" s="1"/>
  <c r="D558"/>
  <c r="F558" s="1"/>
  <c r="D416"/>
  <c r="F416" s="1"/>
  <c r="D320"/>
  <c r="F320" s="1"/>
  <c r="D176"/>
  <c r="F176" s="1"/>
  <c r="G50" i="30"/>
  <c r="J50" s="1"/>
  <c r="D652" i="31"/>
  <c r="F652" s="1"/>
  <c r="D128"/>
  <c r="F128" s="1"/>
  <c r="E19" i="24"/>
  <c r="E27"/>
  <c r="E32"/>
  <c r="E40"/>
  <c r="E48"/>
  <c r="J23" i="30"/>
  <c r="D2525" i="31"/>
  <c r="F2525" s="1"/>
  <c r="D2449"/>
  <c r="F2449" s="1"/>
  <c r="D2252"/>
  <c r="F2252" s="1"/>
  <c r="D2207"/>
  <c r="F2207" s="1"/>
  <c r="D2488"/>
  <c r="F2488" s="1"/>
  <c r="D2562"/>
  <c r="F2562" s="1"/>
  <c r="D1551"/>
  <c r="F1551" s="1"/>
  <c r="D1507"/>
  <c r="F1507" s="1"/>
  <c r="D1363"/>
  <c r="D2410"/>
  <c r="D1459"/>
  <c r="F1459" s="1"/>
  <c r="D1411"/>
  <c r="F1411" s="1"/>
  <c r="D2333"/>
  <c r="D1289"/>
  <c r="F1289" s="1"/>
  <c r="D1247"/>
  <c r="F1247" s="1"/>
  <c r="D1205"/>
  <c r="F1205" s="1"/>
  <c r="D1077"/>
  <c r="F1077" s="1"/>
  <c r="D1032"/>
  <c r="F1032" s="1"/>
  <c r="D987"/>
  <c r="F987" s="1"/>
  <c r="E233" i="33"/>
  <c r="E261" s="1"/>
  <c r="E203"/>
  <c r="G32" i="29"/>
  <c r="G18" i="30"/>
  <c r="D47" i="31"/>
  <c r="F47" s="1"/>
  <c r="D139"/>
  <c r="D709"/>
  <c r="D2487"/>
  <c r="F2487" s="1"/>
  <c r="D2409"/>
  <c r="D2561"/>
  <c r="F2561" s="1"/>
  <c r="D2332"/>
  <c r="D2524"/>
  <c r="F2524" s="1"/>
  <c r="D2448"/>
  <c r="F2448" s="1"/>
  <c r="D2251"/>
  <c r="F2251" s="1"/>
  <c r="D2723"/>
  <c r="F2723" s="1"/>
  <c r="D1506"/>
  <c r="F1506" s="1"/>
  <c r="D1590"/>
  <c r="F1590" s="1"/>
  <c r="D1458"/>
  <c r="F1458" s="1"/>
  <c r="D1550"/>
  <c r="F1550" s="1"/>
  <c r="D2206"/>
  <c r="F2206" s="1"/>
  <c r="D1288"/>
  <c r="F1288" s="1"/>
  <c r="D1246"/>
  <c r="F1246" s="1"/>
  <c r="D1204"/>
  <c r="F1204" s="1"/>
  <c r="D1076"/>
  <c r="F1076" s="1"/>
  <c r="D1031"/>
  <c r="F1031" s="1"/>
  <c r="D986"/>
  <c r="F986" s="1"/>
  <c r="D1362"/>
  <c r="E2093"/>
  <c r="E1980"/>
  <c r="D2563"/>
  <c r="F2563" s="1"/>
  <c r="D2526"/>
  <c r="F2526" s="1"/>
  <c r="D2450"/>
  <c r="F2450" s="1"/>
  <c r="D2253"/>
  <c r="F2253" s="1"/>
  <c r="D2411"/>
  <c r="D2208"/>
  <c r="F2208" s="1"/>
  <c r="D1412"/>
  <c r="F1412" s="1"/>
  <c r="D1290"/>
  <c r="F1290" s="1"/>
  <c r="D1248"/>
  <c r="F1248" s="1"/>
  <c r="D1206"/>
  <c r="F1206" s="1"/>
  <c r="E1164"/>
  <c r="D1552"/>
  <c r="F1552" s="1"/>
  <c r="D2489"/>
  <c r="F2489" s="1"/>
  <c r="D2295"/>
  <c r="D1460"/>
  <c r="F1460" s="1"/>
  <c r="D1078"/>
  <c r="F1078" s="1"/>
  <c r="D1033"/>
  <c r="F1033" s="1"/>
  <c r="D988"/>
  <c r="F988" s="1"/>
  <c r="D711"/>
  <c r="D805"/>
  <c r="D1508"/>
  <c r="F1508" s="1"/>
  <c r="D141"/>
  <c r="D92"/>
  <c r="D710"/>
  <c r="E142" i="33"/>
  <c r="E172" s="1"/>
  <c r="E112"/>
  <c r="D2452" i="31"/>
  <c r="F2452" s="1"/>
  <c r="D2413"/>
  <c r="D2255"/>
  <c r="F2255" s="1"/>
  <c r="D2528"/>
  <c r="F2528" s="1"/>
  <c r="D2764"/>
  <c r="F2764" s="1"/>
  <c r="D2210"/>
  <c r="F2210" s="1"/>
  <c r="D2491"/>
  <c r="F2491" s="1"/>
  <c r="D2297"/>
  <c r="D2565"/>
  <c r="F2565" s="1"/>
  <c r="D1554"/>
  <c r="F1554" s="1"/>
  <c r="D1366"/>
  <c r="D1510"/>
  <c r="F1510" s="1"/>
  <c r="D1414"/>
  <c r="F1414" s="1"/>
  <c r="D713"/>
  <c r="D1592"/>
  <c r="F1592" s="1"/>
  <c r="D1462"/>
  <c r="F1462" s="1"/>
  <c r="D1292"/>
  <c r="F1292" s="1"/>
  <c r="D1250"/>
  <c r="F1250" s="1"/>
  <c r="D1208"/>
  <c r="F1208" s="1"/>
  <c r="D1623"/>
  <c r="F1623" s="1"/>
  <c r="D1035"/>
  <c r="F1035" s="1"/>
  <c r="D1364"/>
  <c r="D1574"/>
  <c r="F1574" s="1"/>
  <c r="F1569" s="1"/>
  <c r="D143" i="32"/>
  <c r="F143" s="1"/>
  <c r="D35"/>
  <c r="F35" s="1"/>
  <c r="D107"/>
  <c r="F107" s="1"/>
  <c r="F105" s="1"/>
  <c r="M75" i="24" s="1"/>
  <c r="D72" i="32"/>
  <c r="F72" s="1"/>
  <c r="F70" s="1"/>
  <c r="M74" i="24" s="1"/>
  <c r="D805" i="33"/>
  <c r="F805" s="1"/>
  <c r="F803" s="1"/>
  <c r="F799" s="1"/>
  <c r="F53" i="32"/>
  <c r="D91"/>
  <c r="E1827" i="31"/>
  <c r="E1869" s="1"/>
  <c r="E1909"/>
  <c r="E1950" s="1"/>
  <c r="E2720"/>
  <c r="E2738" s="1"/>
  <c r="E2695"/>
  <c r="F142" i="32"/>
  <c r="F1607" i="31"/>
  <c r="E1901"/>
  <c r="E1942" s="1"/>
  <c r="E151" i="33"/>
  <c r="E121"/>
  <c r="E262" i="34"/>
  <c r="E284" s="1"/>
  <c r="E308" s="1"/>
  <c r="E330" s="1"/>
  <c r="E352" s="1"/>
  <c r="E374" s="1"/>
  <c r="E396" s="1"/>
  <c r="E216"/>
  <c r="E240" s="1"/>
  <c r="E1818" i="31"/>
  <c r="E1860" s="1"/>
  <c r="E1900"/>
  <c r="E1941" s="1"/>
  <c r="D708" i="34"/>
  <c r="F708" s="1"/>
  <c r="F701" s="1"/>
  <c r="E2403" i="31"/>
  <c r="L2403" s="1"/>
  <c r="E2481"/>
  <c r="E2455"/>
  <c r="E2494"/>
  <c r="E141" i="33"/>
  <c r="E171" s="1"/>
  <c r="E111"/>
  <c r="F737"/>
  <c r="J142" i="24" s="1"/>
  <c r="E786" i="33"/>
  <c r="F786" s="1"/>
  <c r="J143" i="24" s="1"/>
  <c r="Z1989" i="31"/>
  <c r="E2694"/>
  <c r="E2719"/>
  <c r="E2737" s="1"/>
  <c r="F2666"/>
  <c r="E2692"/>
  <c r="F14" i="32"/>
  <c r="D51"/>
  <c r="F51" s="1"/>
  <c r="D630" i="34"/>
  <c r="F630" s="1"/>
  <c r="F627" s="1"/>
  <c r="E1989" i="31"/>
  <c r="E2717"/>
  <c r="E2735" s="1"/>
  <c r="F2735" s="1"/>
  <c r="E2696"/>
  <c r="E2724"/>
  <c r="E2739" s="1"/>
  <c r="E2765" s="1"/>
  <c r="D619" i="33"/>
  <c r="F619" s="1"/>
  <c r="D569"/>
  <c r="F569" s="1"/>
  <c r="E215" i="34"/>
  <c r="E239" s="1"/>
  <c r="E261"/>
  <c r="E283" s="1"/>
  <c r="E307" s="1"/>
  <c r="E329" s="1"/>
  <c r="E351" s="1"/>
  <c r="E373" s="1"/>
  <c r="E395" s="1"/>
  <c r="D878"/>
  <c r="F878" s="1"/>
  <c r="F873" s="1"/>
  <c r="E2445" i="31"/>
  <c r="E2484"/>
  <c r="E2406"/>
  <c r="L2406" s="1"/>
  <c r="E2698"/>
  <c r="D570" i="33"/>
  <c r="F570" s="1"/>
  <c r="D677"/>
  <c r="F677" s="1"/>
  <c r="D620"/>
  <c r="F620" s="1"/>
  <c r="D117"/>
  <c r="F117" s="1"/>
  <c r="F115" s="1"/>
  <c r="M84" i="24" s="1"/>
  <c r="D87" i="33"/>
  <c r="F87" s="1"/>
  <c r="D57"/>
  <c r="F57" s="1"/>
  <c r="D27"/>
  <c r="D649"/>
  <c r="F649" s="1"/>
  <c r="E144"/>
  <c r="E174" s="1"/>
  <c r="E114"/>
  <c r="D2435" i="31"/>
  <c r="F2435" s="1"/>
  <c r="F2428" s="1"/>
  <c r="E2726"/>
  <c r="L2416"/>
  <c r="D604" i="34"/>
  <c r="F604" s="1"/>
  <c r="F597" s="1"/>
  <c r="E819"/>
  <c r="D2358" i="31"/>
  <c r="F2358" s="1"/>
  <c r="F2351" s="1"/>
  <c r="D2277"/>
  <c r="F2277" s="1"/>
  <c r="F2270" s="1"/>
  <c r="F28" i="33"/>
  <c r="E2667" i="31"/>
  <c r="D850" i="34"/>
  <c r="F850" s="1"/>
  <c r="F845" s="1"/>
  <c r="D934"/>
  <c r="F934" s="1"/>
  <c r="F929" s="1"/>
  <c r="E2444" i="31"/>
  <c r="D52" i="32"/>
  <c r="F52" s="1"/>
  <c r="D88" i="33"/>
  <c r="F88" s="1"/>
  <c r="D134"/>
  <c r="D146"/>
  <c r="D906" i="34"/>
  <c r="F906" s="1"/>
  <c r="F901" s="1"/>
  <c r="D643"/>
  <c r="F643" s="1"/>
  <c r="F642" s="1"/>
  <c r="D514"/>
  <c r="F514" s="1"/>
  <c r="F513" s="1"/>
  <c r="M127" i="24" s="1"/>
  <c r="E2453" i="31"/>
  <c r="F2622"/>
  <c r="D716" i="33"/>
  <c r="F716" s="1"/>
  <c r="F685" i="34"/>
  <c r="F52" i="41"/>
  <c r="D676" i="33"/>
  <c r="F676" s="1"/>
  <c r="D648"/>
  <c r="F648" s="1"/>
  <c r="E213" i="34"/>
  <c r="E237" s="1"/>
  <c r="E259"/>
  <c r="E219"/>
  <c r="E243" s="1"/>
  <c r="E265"/>
  <c r="E287" s="1"/>
  <c r="E309" s="1"/>
  <c r="E331" s="1"/>
  <c r="E353" s="1"/>
  <c r="E375" s="1"/>
  <c r="E397" s="1"/>
  <c r="D14" i="41"/>
  <c r="F14" s="1"/>
  <c r="F11" s="1"/>
  <c r="E65"/>
  <c r="D990" i="34"/>
  <c r="F990" s="1"/>
  <c r="F985" s="1"/>
  <c r="D611" i="33"/>
  <c r="F611" s="1"/>
  <c r="F561"/>
  <c r="E744"/>
  <c r="E2443" i="31"/>
  <c r="D667" i="34"/>
  <c r="F667" s="1"/>
  <c r="F658" s="1"/>
  <c r="E719"/>
  <c r="D56" i="33"/>
  <c r="F56" s="1"/>
  <c r="E53" i="34"/>
  <c r="D962"/>
  <c r="F962" s="1"/>
  <c r="F957" s="1"/>
  <c r="F34" i="41"/>
  <c r="E762" i="33"/>
  <c r="D742" i="34"/>
  <c r="F742" s="1"/>
  <c r="F741" s="1"/>
  <c r="D768"/>
  <c r="F768" s="1"/>
  <c r="F767" s="1"/>
  <c r="F560" i="33"/>
  <c r="D242" i="34"/>
  <c r="F242" s="1"/>
  <c r="F241" s="1"/>
  <c r="M116" i="24" s="1"/>
  <c r="D1049" i="34"/>
  <c r="F1049" s="1"/>
  <c r="F1048" s="1"/>
  <c r="M138" i="24" s="1"/>
  <c r="E209" i="33" l="1"/>
  <c r="F30" i="51"/>
  <c r="J8" i="30"/>
  <c r="D1762" i="31" s="1"/>
  <c r="F1762" s="1"/>
  <c r="F33" i="32"/>
  <c r="M73" i="24" s="1"/>
  <c r="J22" i="30"/>
  <c r="E785" i="33"/>
  <c r="F785" s="1"/>
  <c r="I143" i="24" s="1"/>
  <c r="F713" i="33"/>
  <c r="F260" i="34"/>
  <c r="J117" i="24" s="1"/>
  <c r="F682" i="34"/>
  <c r="D285" i="31"/>
  <c r="F285" s="1"/>
  <c r="F55" i="33"/>
  <c r="M80" i="24" s="1"/>
  <c r="M81" s="1"/>
  <c r="F189" i="31"/>
  <c r="F85" i="33"/>
  <c r="M82" i="24" s="1"/>
  <c r="M83" s="1"/>
  <c r="D311" i="31"/>
  <c r="F311" s="1"/>
  <c r="F675" i="33"/>
  <c r="M104" i="24" s="1"/>
  <c r="K215" i="31"/>
  <c r="M215" s="1"/>
  <c r="F153" i="32"/>
  <c r="F77" i="24"/>
  <c r="E6" i="27"/>
  <c r="C6" s="1"/>
  <c r="F36" i="29"/>
  <c r="F74" i="33"/>
  <c r="D104"/>
  <c r="F104" s="1"/>
  <c r="K207" i="31"/>
  <c r="M207" s="1"/>
  <c r="D303"/>
  <c r="F303" s="1"/>
  <c r="F207"/>
  <c r="F141" i="32"/>
  <c r="M76" i="24" s="1"/>
  <c r="D187" i="31"/>
  <c r="F91"/>
  <c r="F143"/>
  <c r="D332"/>
  <c r="F332" s="1"/>
  <c r="F1029"/>
  <c r="M48" i="24" s="1"/>
  <c r="F1286" i="31"/>
  <c r="F2559"/>
  <c r="M140" i="24" s="1"/>
  <c r="F984" i="31"/>
  <c r="M47" i="24" s="1"/>
  <c r="F2249" i="31"/>
  <c r="F2634"/>
  <c r="D2645" s="1"/>
  <c r="F2645" s="1"/>
  <c r="F1202"/>
  <c r="D612" i="33"/>
  <c r="F612" s="1"/>
  <c r="F609" s="1"/>
  <c r="F106" i="24" s="1"/>
  <c r="F131"/>
  <c r="F134"/>
  <c r="E194" i="31"/>
  <c r="D2187"/>
  <c r="F2187" s="1"/>
  <c r="D2316"/>
  <c r="F2316" s="1"/>
  <c r="K2392"/>
  <c r="M2392" s="1"/>
  <c r="D2231"/>
  <c r="F2231" s="1"/>
  <c r="D1888"/>
  <c r="F1888" s="1"/>
  <c r="D1485"/>
  <c r="F1485" s="1"/>
  <c r="D1437"/>
  <c r="F1437" s="1"/>
  <c r="D1308"/>
  <c r="F1308" s="1"/>
  <c r="D1143"/>
  <c r="F1143" s="1"/>
  <c r="D1101"/>
  <c r="F1101" s="1"/>
  <c r="D1389"/>
  <c r="F1389" s="1"/>
  <c r="D1187"/>
  <c r="F1187" s="1"/>
  <c r="D783"/>
  <c r="D1531"/>
  <c r="F1531" s="1"/>
  <c r="D643"/>
  <c r="F643" s="1"/>
  <c r="D118"/>
  <c r="D736"/>
  <c r="F736" s="1"/>
  <c r="D22"/>
  <c r="F22" s="1"/>
  <c r="F8" i="24"/>
  <c r="D8" s="1"/>
  <c r="F144"/>
  <c r="E518" i="31"/>
  <c r="E612" s="1"/>
  <c r="E659" s="1"/>
  <c r="E705" s="1"/>
  <c r="E471"/>
  <c r="E565" s="1"/>
  <c r="E2566"/>
  <c r="E2529"/>
  <c r="E2603"/>
  <c r="F147" i="24"/>
  <c r="E416" i="34"/>
  <c r="E438"/>
  <c r="I67" i="24"/>
  <c r="E1991" i="31"/>
  <c r="E2104"/>
  <c r="F2413"/>
  <c r="K2413"/>
  <c r="M2413" s="1"/>
  <c r="E2021"/>
  <c r="E2064" s="1"/>
  <c r="L1980"/>
  <c r="S1980" s="1"/>
  <c r="Z1980" s="1"/>
  <c r="D235"/>
  <c r="F139"/>
  <c r="F1363"/>
  <c r="D1119"/>
  <c r="E33" i="24"/>
  <c r="D349" i="34"/>
  <c r="D350"/>
  <c r="F350" s="1"/>
  <c r="J121" i="24" s="1"/>
  <c r="D2335" i="31"/>
  <c r="F2296"/>
  <c r="H20" i="29"/>
  <c r="G21"/>
  <c r="E1952" i="31"/>
  <c r="D234"/>
  <c r="F138"/>
  <c r="D1737"/>
  <c r="F1324"/>
  <c r="H27" i="29"/>
  <c r="I26"/>
  <c r="F2762" i="31"/>
  <c r="F1621"/>
  <c r="F2721"/>
  <c r="M68" i="24" s="1"/>
  <c r="G24" i="30"/>
  <c r="J18"/>
  <c r="I23" i="29"/>
  <c r="H24"/>
  <c r="E417" i="34"/>
  <c r="E439"/>
  <c r="E2519" i="31"/>
  <c r="E2593"/>
  <c r="E2556"/>
  <c r="F2612"/>
  <c r="J69" i="24"/>
  <c r="E2693" i="31"/>
  <c r="E2718"/>
  <c r="E2736" s="1"/>
  <c r="F2736" s="1"/>
  <c r="J72" i="24" s="1"/>
  <c r="F2667" i="31"/>
  <c r="J67" i="24" s="1"/>
  <c r="E204" i="33"/>
  <c r="E234"/>
  <c r="E262" s="1"/>
  <c r="E2531" i="31"/>
  <c r="E2605"/>
  <c r="E2568"/>
  <c r="E2095"/>
  <c r="E1982"/>
  <c r="F1366"/>
  <c r="D1122"/>
  <c r="F92"/>
  <c r="D188"/>
  <c r="D237"/>
  <c r="F141"/>
  <c r="D756"/>
  <c r="F709"/>
  <c r="K709"/>
  <c r="F2410"/>
  <c r="K2410"/>
  <c r="M2410" s="1"/>
  <c r="E41" i="24"/>
  <c r="G51" i="30"/>
  <c r="J51" s="1"/>
  <c r="G13" i="24"/>
  <c r="D328" i="34"/>
  <c r="F328" s="1"/>
  <c r="J120" i="24" s="1"/>
  <c r="D327" i="34"/>
  <c r="F1365" i="31"/>
  <c r="D1121"/>
  <c r="C23" i="43"/>
  <c r="C22" s="1"/>
  <c r="C21" s="1"/>
  <c r="C49"/>
  <c r="C6"/>
  <c r="C5" s="1"/>
  <c r="G7"/>
  <c r="D136" i="34"/>
  <c r="F136" s="1"/>
  <c r="D112"/>
  <c r="F112" s="1"/>
  <c r="D88"/>
  <c r="F88" s="1"/>
  <c r="D64"/>
  <c r="F64" s="1"/>
  <c r="D232"/>
  <c r="F232" s="1"/>
  <c r="D2754" i="31"/>
  <c r="F2754" s="1"/>
  <c r="D208" i="34"/>
  <c r="F208" s="1"/>
  <c r="D782"/>
  <c r="F782" s="1"/>
  <c r="D160"/>
  <c r="F160" s="1"/>
  <c r="D184"/>
  <c r="F184" s="1"/>
  <c r="D802" i="31"/>
  <c r="F755"/>
  <c r="E1981"/>
  <c r="E2094"/>
  <c r="F647" i="33"/>
  <c r="M103" i="24" s="1"/>
  <c r="F1588" i="31"/>
  <c r="F1504"/>
  <c r="F2446"/>
  <c r="M146" i="24" s="1"/>
  <c r="F133"/>
  <c r="K2411" i="31"/>
  <c r="M2411" s="1"/>
  <c r="F2411"/>
  <c r="D562" i="33"/>
  <c r="F562" s="1"/>
  <c r="F559" s="1"/>
  <c r="E77" i="34"/>
  <c r="D164" i="33"/>
  <c r="F134"/>
  <c r="E2595" i="31"/>
  <c r="E2558"/>
  <c r="E2521"/>
  <c r="D17" i="32"/>
  <c r="F17" s="1"/>
  <c r="F13" s="1"/>
  <c r="E1983" i="31"/>
  <c r="E2096"/>
  <c r="F91" i="32"/>
  <c r="D125"/>
  <c r="F125" s="1"/>
  <c r="F710" i="31"/>
  <c r="K710"/>
  <c r="D757"/>
  <c r="F2412"/>
  <c r="K2412"/>
  <c r="M2412" s="1"/>
  <c r="D287"/>
  <c r="F287" s="1"/>
  <c r="D383"/>
  <c r="F191"/>
  <c r="E30" i="24"/>
  <c r="E1871" i="31"/>
  <c r="K708"/>
  <c r="F708"/>
  <c r="F2408"/>
  <c r="K2408"/>
  <c r="M2408" s="1"/>
  <c r="F1408"/>
  <c r="F7" i="41"/>
  <c r="F148" i="24"/>
  <c r="E2557" i="31"/>
  <c r="E2520"/>
  <c r="E2594"/>
  <c r="F146" i="24"/>
  <c r="D1120" i="31"/>
  <c r="F1364"/>
  <c r="F381"/>
  <c r="D429"/>
  <c r="E768" i="33"/>
  <c r="E791"/>
  <c r="D2334" i="31"/>
  <c r="F2295"/>
  <c r="E2122"/>
  <c r="E2156"/>
  <c r="E2200" s="1"/>
  <c r="E2245" s="1"/>
  <c r="E28" i="24"/>
  <c r="F259" i="34"/>
  <c r="E281"/>
  <c r="E305" s="1"/>
  <c r="E327" s="1"/>
  <c r="E349" s="1"/>
  <c r="E371" s="1"/>
  <c r="E393" s="1"/>
  <c r="D54" i="32"/>
  <c r="F54" s="1"/>
  <c r="F50" s="1"/>
  <c r="F2680" i="31"/>
  <c r="G71" i="24"/>
  <c r="F94" i="31"/>
  <c r="D190"/>
  <c r="F359"/>
  <c r="D407"/>
  <c r="E35" i="24"/>
  <c r="E16"/>
  <c r="E472" i="31"/>
  <c r="E566" s="1"/>
  <c r="E519"/>
  <c r="E613" s="1"/>
  <c r="E660" s="1"/>
  <c r="E706" s="1"/>
  <c r="E39" i="24"/>
  <c r="E26"/>
  <c r="E50"/>
  <c r="E62"/>
  <c r="E470" i="31"/>
  <c r="E564" s="1"/>
  <c r="E517"/>
  <c r="E611" s="1"/>
  <c r="E658" s="1"/>
  <c r="E704" s="1"/>
  <c r="F762" i="33"/>
  <c r="F1244" i="31"/>
  <c r="F1456"/>
  <c r="E861" i="34"/>
  <c r="D810" i="33"/>
  <c r="F810" s="1"/>
  <c r="D811"/>
  <c r="F811" s="1"/>
  <c r="F2297" i="31"/>
  <c r="D2336"/>
  <c r="F2332"/>
  <c r="D1657"/>
  <c r="F351"/>
  <c r="D399"/>
  <c r="E516"/>
  <c r="E610" s="1"/>
  <c r="E657" s="1"/>
  <c r="E703" s="1"/>
  <c r="E469"/>
  <c r="E563" s="1"/>
  <c r="E21" i="24"/>
  <c r="E527" i="31"/>
  <c r="E621" s="1"/>
  <c r="E668" s="1"/>
  <c r="E714" s="1"/>
  <c r="E480"/>
  <c r="E574" s="1"/>
  <c r="D371" i="34"/>
  <c r="D372"/>
  <c r="F372" s="1"/>
  <c r="J122" i="24" s="1"/>
  <c r="F136"/>
  <c r="D176" i="33"/>
  <c r="F146"/>
  <c r="E181"/>
  <c r="E232"/>
  <c r="E260" s="1"/>
  <c r="E202"/>
  <c r="E566"/>
  <c r="E289"/>
  <c r="E317" s="1"/>
  <c r="E345" s="1"/>
  <c r="E373" s="1"/>
  <c r="E401" s="1"/>
  <c r="E429" s="1"/>
  <c r="E457" s="1"/>
  <c r="E485" s="1"/>
  <c r="E513" s="1"/>
  <c r="E541" s="1"/>
  <c r="E2741" i="31"/>
  <c r="E231" i="33"/>
  <c r="E259" s="1"/>
  <c r="E201"/>
  <c r="E293"/>
  <c r="E321" s="1"/>
  <c r="E349" s="1"/>
  <c r="E377" s="1"/>
  <c r="E405" s="1"/>
  <c r="E433" s="1"/>
  <c r="E461" s="1"/>
  <c r="E489" s="1"/>
  <c r="E517" s="1"/>
  <c r="E545" s="1"/>
  <c r="E571"/>
  <c r="D760" i="31"/>
  <c r="F713"/>
  <c r="K713"/>
  <c r="F711"/>
  <c r="K711"/>
  <c r="D758"/>
  <c r="F758" s="1"/>
  <c r="F2409"/>
  <c r="K2409"/>
  <c r="M2409" s="1"/>
  <c r="F2333"/>
  <c r="D1658"/>
  <c r="F239"/>
  <c r="K239"/>
  <c r="M239" s="1"/>
  <c r="D335"/>
  <c r="F335" s="1"/>
  <c r="F297" i="34"/>
  <c r="G119" i="24"/>
  <c r="E43"/>
  <c r="E24"/>
  <c r="D186" i="31"/>
  <c r="F90"/>
  <c r="F1117"/>
  <c r="D1161"/>
  <c r="F1161" s="1"/>
  <c r="F727" i="33"/>
  <c r="F618"/>
  <c r="M106" i="24" s="1"/>
  <c r="F1074" i="31"/>
  <c r="M49" i="24" s="1"/>
  <c r="M50" s="1"/>
  <c r="F2204" i="31"/>
  <c r="F1362"/>
  <c r="D1118"/>
  <c r="D61" i="41"/>
  <c r="F135" i="24"/>
  <c r="F30" i="41"/>
  <c r="F149" i="24"/>
  <c r="E441" i="34"/>
  <c r="E419"/>
  <c r="F132" i="24"/>
  <c r="D178" i="33"/>
  <c r="F148"/>
  <c r="D147"/>
  <c r="F27"/>
  <c r="F25" s="1"/>
  <c r="M78" i="24" s="1"/>
  <c r="M79" s="1"/>
  <c r="I72"/>
  <c r="E418" i="34"/>
  <c r="E440"/>
  <c r="D853" i="31"/>
  <c r="F805"/>
  <c r="H32" i="29"/>
  <c r="G33"/>
  <c r="D759" i="31"/>
  <c r="F712"/>
  <c r="K712"/>
  <c r="E37" i="24"/>
  <c r="F238" i="31"/>
  <c r="K238"/>
  <c r="M238" s="1"/>
  <c r="D334"/>
  <c r="F334" s="1"/>
  <c r="G21" i="30"/>
  <c r="J15"/>
  <c r="E18" i="24"/>
  <c r="F521" i="31"/>
  <c r="D615"/>
  <c r="F568" i="33"/>
  <c r="M105" i="24" s="1"/>
  <c r="F41" i="31"/>
  <c r="M15" i="24" s="1"/>
  <c r="M16" s="1"/>
  <c r="F2485" i="31"/>
  <c r="M147" i="24" s="1"/>
  <c r="F2522" i="31"/>
  <c r="M139" i="24" s="1"/>
  <c r="F2733" i="31" l="1"/>
  <c r="D2737" s="1"/>
  <c r="F2737" s="1"/>
  <c r="D70"/>
  <c r="F70" s="1"/>
  <c r="D1271"/>
  <c r="F1271" s="1"/>
  <c r="D1273" s="1"/>
  <c r="F1273" s="1"/>
  <c r="F1265" s="1"/>
  <c r="D1804"/>
  <c r="F1804" s="1"/>
  <c r="R689"/>
  <c r="T689" s="1"/>
  <c r="D1229"/>
  <c r="F1229" s="1"/>
  <c r="D1231" s="1"/>
  <c r="F1231" s="1"/>
  <c r="F1223" s="1"/>
  <c r="F775" i="33"/>
  <c r="D787" s="1"/>
  <c r="F787" s="1"/>
  <c r="K143" i="24" s="1"/>
  <c r="F798" i="33"/>
  <c r="D812" s="1"/>
  <c r="F812" s="1"/>
  <c r="D813" s="1"/>
  <c r="F813" s="1"/>
  <c r="D817" s="1"/>
  <c r="F817" s="1"/>
  <c r="D163" i="32"/>
  <c r="F163" s="1"/>
  <c r="I77" i="24" s="1"/>
  <c r="D164" i="32"/>
  <c r="F164" s="1"/>
  <c r="J77" i="24" s="1"/>
  <c r="F187" i="31"/>
  <c r="D283"/>
  <c r="F283" s="1"/>
  <c r="D379"/>
  <c r="F605" i="33"/>
  <c r="D614" s="1"/>
  <c r="F707" i="31"/>
  <c r="M36" i="24" s="1"/>
  <c r="M37" s="1"/>
  <c r="J14" i="30"/>
  <c r="D2052" i="31" s="1"/>
  <c r="F2052" s="1"/>
  <c r="F1360"/>
  <c r="G34" i="29"/>
  <c r="E7" i="27" s="1"/>
  <c r="C7" s="1"/>
  <c r="F74" i="24"/>
  <c r="F555" i="33"/>
  <c r="F105" i="24"/>
  <c r="F73"/>
  <c r="E2125" i="31"/>
  <c r="E2159"/>
  <c r="E2203" s="1"/>
  <c r="E2248" s="1"/>
  <c r="D2623"/>
  <c r="F2623" s="1"/>
  <c r="H33" i="29"/>
  <c r="I32"/>
  <c r="E621" i="33"/>
  <c r="E650" s="1"/>
  <c r="E678" s="1"/>
  <c r="E595"/>
  <c r="F2334" i="31"/>
  <c r="D1659"/>
  <c r="D130" i="32"/>
  <c r="F130" s="1"/>
  <c r="F122" s="1"/>
  <c r="F802" i="31"/>
  <c r="D850"/>
  <c r="F850" s="1"/>
  <c r="D333"/>
  <c r="F333" s="1"/>
  <c r="F237"/>
  <c r="K237"/>
  <c r="M237" s="1"/>
  <c r="I24" i="29"/>
  <c r="J23"/>
  <c r="E2106" i="31"/>
  <c r="E1993"/>
  <c r="D1145"/>
  <c r="F1145" s="1"/>
  <c r="F1137" s="1"/>
  <c r="K2396"/>
  <c r="M2396" s="1"/>
  <c r="M2390" s="1"/>
  <c r="D615" i="33"/>
  <c r="F2407" i="31"/>
  <c r="M145" i="24" s="1"/>
  <c r="M2407" i="31"/>
  <c r="F252" i="34"/>
  <c r="I117" i="24"/>
  <c r="D224" i="33"/>
  <c r="D194"/>
  <c r="F194" s="1"/>
  <c r="F164"/>
  <c r="E437" i="34"/>
  <c r="E415"/>
  <c r="D431" i="31"/>
  <c r="F383"/>
  <c r="D1165"/>
  <c r="F1165" s="1"/>
  <c r="F1121"/>
  <c r="F1525"/>
  <c r="D1533"/>
  <c r="F1533" s="1"/>
  <c r="D1310"/>
  <c r="F1310" s="1"/>
  <c r="F1307" s="1"/>
  <c r="D2317"/>
  <c r="F2317" s="1"/>
  <c r="F2312" s="1"/>
  <c r="F147" i="33"/>
  <c r="F145" s="1"/>
  <c r="M85" i="24" s="1"/>
  <c r="M86" s="1"/>
  <c r="D177" i="33"/>
  <c r="D40" i="41"/>
  <c r="F40" s="1"/>
  <c r="J149" i="24" s="1"/>
  <c r="D39" i="41"/>
  <c r="F39" s="1"/>
  <c r="I149" i="24" s="1"/>
  <c r="D1162" i="31"/>
  <c r="F1162" s="1"/>
  <c r="F1118"/>
  <c r="D807"/>
  <c r="F760"/>
  <c r="E591" i="33"/>
  <c r="E616"/>
  <c r="E645" s="1"/>
  <c r="E673" s="1"/>
  <c r="D206"/>
  <c r="F206" s="1"/>
  <c r="F176"/>
  <c r="F2336" i="31"/>
  <c r="D1661"/>
  <c r="L704"/>
  <c r="S704" s="1"/>
  <c r="E751"/>
  <c r="E798" s="1"/>
  <c r="E846" s="1"/>
  <c r="E891" s="1"/>
  <c r="E936" s="1"/>
  <c r="D503"/>
  <c r="D455"/>
  <c r="F455" s="1"/>
  <c r="F407"/>
  <c r="F1120"/>
  <c r="D1164"/>
  <c r="F1164" s="1"/>
  <c r="H13" i="24"/>
  <c r="D13" s="1"/>
  <c r="J52" i="30"/>
  <c r="F234" i="31"/>
  <c r="K234"/>
  <c r="M234" s="1"/>
  <c r="D330"/>
  <c r="F330" s="1"/>
  <c r="E485" i="34"/>
  <c r="E461"/>
  <c r="L705" i="31"/>
  <c r="S705" s="1"/>
  <c r="E752"/>
  <c r="E799" s="1"/>
  <c r="E847" s="1"/>
  <c r="E892" s="1"/>
  <c r="E937" s="1"/>
  <c r="D214"/>
  <c r="F118"/>
  <c r="D1103"/>
  <c r="F1103" s="1"/>
  <c r="F1095" s="1"/>
  <c r="F2293"/>
  <c r="F349" i="34"/>
  <c r="I27" i="29"/>
  <c r="J26"/>
  <c r="D1439" i="31"/>
  <c r="F1439" s="1"/>
  <c r="F1429" s="1"/>
  <c r="D95" i="32"/>
  <c r="F95" s="1"/>
  <c r="F88" s="1"/>
  <c r="F759" i="31"/>
  <c r="D806"/>
  <c r="E488" i="34"/>
  <c r="E515" s="1"/>
  <c r="E540" s="1"/>
  <c r="E562" s="1"/>
  <c r="E583" s="1"/>
  <c r="E466"/>
  <c r="D738" i="33"/>
  <c r="F738" s="1"/>
  <c r="K142" i="24" s="1"/>
  <c r="D2372" i="31"/>
  <c r="F2372" s="1"/>
  <c r="F1658"/>
  <c r="E761"/>
  <c r="E808" s="1"/>
  <c r="E856" s="1"/>
  <c r="E901" s="1"/>
  <c r="E946" s="1"/>
  <c r="L714"/>
  <c r="S714" s="1"/>
  <c r="D763" i="33"/>
  <c r="F763" s="1"/>
  <c r="D16" i="41"/>
  <c r="F16" s="1"/>
  <c r="I148" i="24" s="1"/>
  <c r="D17" i="41"/>
  <c r="F17" s="1"/>
  <c r="J148" i="24" s="1"/>
  <c r="M710" i="31"/>
  <c r="R710"/>
  <c r="T710" s="1"/>
  <c r="L1981"/>
  <c r="S1981" s="1"/>
  <c r="Z1981" s="1"/>
  <c r="E2022"/>
  <c r="E2065" s="1"/>
  <c r="D33" i="43"/>
  <c r="D34"/>
  <c r="D65" s="1"/>
  <c r="F756" i="31"/>
  <c r="D803"/>
  <c r="E2158"/>
  <c r="E2202" s="1"/>
  <c r="E2247" s="1"/>
  <c r="E2124"/>
  <c r="F235"/>
  <c r="K235"/>
  <c r="M235" s="1"/>
  <c r="D331"/>
  <c r="F331" s="1"/>
  <c r="D1391"/>
  <c r="F1391" s="1"/>
  <c r="F1381" s="1"/>
  <c r="F137"/>
  <c r="F2656"/>
  <c r="G33" i="30"/>
  <c r="J21"/>
  <c r="G27"/>
  <c r="J27" s="1"/>
  <c r="D208" i="33"/>
  <c r="F208" s="1"/>
  <c r="D236"/>
  <c r="F178"/>
  <c r="D2189" i="31"/>
  <c r="F2189" s="1"/>
  <c r="F2181" s="1"/>
  <c r="E753"/>
  <c r="E800" s="1"/>
  <c r="E848" s="1"/>
  <c r="E893" s="1"/>
  <c r="E938" s="1"/>
  <c r="L706"/>
  <c r="S706" s="1"/>
  <c r="F188"/>
  <c r="D284"/>
  <c r="F284" s="1"/>
  <c r="D380"/>
  <c r="D2371"/>
  <c r="F2371" s="1"/>
  <c r="F1657"/>
  <c r="F757"/>
  <c r="D804"/>
  <c r="C48" i="43"/>
  <c r="C47" s="1"/>
  <c r="G49"/>
  <c r="E486" i="34"/>
  <c r="E511" s="1"/>
  <c r="E538" s="1"/>
  <c r="E558" s="1"/>
  <c r="E581" s="1"/>
  <c r="E462"/>
  <c r="D305"/>
  <c r="F305" s="1"/>
  <c r="I119" i="24" s="1"/>
  <c r="D306" i="34"/>
  <c r="F306" s="1"/>
  <c r="J119" i="24" s="1"/>
  <c r="E565" i="33"/>
  <c r="E288"/>
  <c r="E316" s="1"/>
  <c r="E344" s="1"/>
  <c r="E372" s="1"/>
  <c r="E400" s="1"/>
  <c r="E428" s="1"/>
  <c r="E456" s="1"/>
  <c r="E484" s="1"/>
  <c r="E512" s="1"/>
  <c r="E540" s="1"/>
  <c r="D382" i="31"/>
  <c r="D286"/>
  <c r="F286" s="1"/>
  <c r="F190"/>
  <c r="F615"/>
  <c r="D662"/>
  <c r="F662" s="1"/>
  <c r="F61" i="41"/>
  <c r="D62" s="1"/>
  <c r="E2767" i="31"/>
  <c r="E889" i="34"/>
  <c r="E101"/>
  <c r="E2023" i="31"/>
  <c r="E2066" s="1"/>
  <c r="L1982"/>
  <c r="S1982" s="1"/>
  <c r="Z1982" s="1"/>
  <c r="F1737"/>
  <c r="D1779"/>
  <c r="D1660"/>
  <c r="F2335"/>
  <c r="M712"/>
  <c r="R712"/>
  <c r="T712" s="1"/>
  <c r="D378"/>
  <c r="F186"/>
  <c r="D282"/>
  <c r="F282" s="1"/>
  <c r="D2646"/>
  <c r="F2646" s="1"/>
  <c r="K70" i="24"/>
  <c r="D2692" i="31"/>
  <c r="F2692" s="1"/>
  <c r="I71" i="24" s="1"/>
  <c r="D2693" i="31"/>
  <c r="F2693" s="1"/>
  <c r="J71" i="24" s="1"/>
  <c r="D524" i="31"/>
  <c r="D477"/>
  <c r="F429"/>
  <c r="D18" i="43"/>
  <c r="D17"/>
  <c r="D15"/>
  <c r="D16"/>
  <c r="M709" i="31"/>
  <c r="R709"/>
  <c r="T709" s="1"/>
  <c r="E2032"/>
  <c r="E2075" s="1"/>
  <c r="L1991"/>
  <c r="S1991" s="1"/>
  <c r="Z1991" s="1"/>
  <c r="F371" i="34"/>
  <c r="D898" i="31"/>
  <c r="F853"/>
  <c r="E750"/>
  <c r="E797" s="1"/>
  <c r="E845" s="1"/>
  <c r="E890" s="1"/>
  <c r="E935" s="1"/>
  <c r="L703"/>
  <c r="S703" s="1"/>
  <c r="E819" i="33"/>
  <c r="G35" i="30"/>
  <c r="J24"/>
  <c r="G30"/>
  <c r="J30" s="1"/>
  <c r="F783" i="31"/>
  <c r="D830"/>
  <c r="R713"/>
  <c r="T713" s="1"/>
  <c r="M713"/>
  <c r="E2157"/>
  <c r="E2201" s="1"/>
  <c r="E2246" s="1"/>
  <c r="E2123"/>
  <c r="E487" i="34"/>
  <c r="E512" s="1"/>
  <c r="E539" s="1"/>
  <c r="E559" s="1"/>
  <c r="E582" s="1"/>
  <c r="E463"/>
  <c r="M711" i="31"/>
  <c r="R711"/>
  <c r="T711" s="1"/>
  <c r="E287" i="33"/>
  <c r="E315" s="1"/>
  <c r="E343" s="1"/>
  <c r="E371" s="1"/>
  <c r="E399" s="1"/>
  <c r="E427" s="1"/>
  <c r="E455" s="1"/>
  <c r="E483" s="1"/>
  <c r="E511" s="1"/>
  <c r="E539" s="1"/>
  <c r="E564"/>
  <c r="E239"/>
  <c r="E211"/>
  <c r="D495" i="31"/>
  <c r="D447"/>
  <c r="F447" s="1"/>
  <c r="F399"/>
  <c r="M708"/>
  <c r="R708"/>
  <c r="T708" s="1"/>
  <c r="L1983"/>
  <c r="S1983" s="1"/>
  <c r="Z1983" s="1"/>
  <c r="E2024"/>
  <c r="E2067" s="1"/>
  <c r="F1122"/>
  <c r="D1166"/>
  <c r="F1166" s="1"/>
  <c r="E567" i="33"/>
  <c r="E290"/>
  <c r="E318" s="1"/>
  <c r="E346" s="1"/>
  <c r="E374" s="1"/>
  <c r="E402" s="1"/>
  <c r="E430" s="1"/>
  <c r="E458" s="1"/>
  <c r="E486" s="1"/>
  <c r="E514" s="1"/>
  <c r="E542" s="1"/>
  <c r="H21" i="29"/>
  <c r="I20"/>
  <c r="F1119" i="31"/>
  <c r="D1163"/>
  <c r="F1163" s="1"/>
  <c r="E2167"/>
  <c r="E2211" s="1"/>
  <c r="E2256" s="1"/>
  <c r="E2133"/>
  <c r="D24"/>
  <c r="F24" s="1"/>
  <c r="F13" s="1"/>
  <c r="D1189"/>
  <c r="F1189" s="1"/>
  <c r="F1181" s="1"/>
  <c r="D1487"/>
  <c r="F1487" s="1"/>
  <c r="F1477" s="1"/>
  <c r="E242"/>
  <c r="F89"/>
  <c r="F327" i="34"/>
  <c r="D166" i="31" l="1"/>
  <c r="D262" s="1"/>
  <c r="F262" s="1"/>
  <c r="H34" i="29"/>
  <c r="E8" i="27" s="1"/>
  <c r="C8" s="1"/>
  <c r="F1116" i="31"/>
  <c r="F9" i="24"/>
  <c r="D9" s="1"/>
  <c r="D1846" i="31"/>
  <c r="F1846" s="1"/>
  <c r="G36" i="29"/>
  <c r="F29" i="41"/>
  <c r="D41" s="1"/>
  <c r="F41" s="1"/>
  <c r="K149" i="24" s="1"/>
  <c r="F1160" i="31"/>
  <c r="D1345"/>
  <c r="F1345" s="1"/>
  <c r="F2330"/>
  <c r="D596"/>
  <c r="F596" s="1"/>
  <c r="D2392"/>
  <c r="F2392" s="1"/>
  <c r="D2396" s="1"/>
  <c r="F2396" s="1"/>
  <c r="D1721"/>
  <c r="F1721" s="1"/>
  <c r="K689"/>
  <c r="M689" s="1"/>
  <c r="D1641"/>
  <c r="F1641" s="1"/>
  <c r="D1643" s="1"/>
  <c r="F1643" s="1"/>
  <c r="F1638" s="1"/>
  <c r="D2010"/>
  <c r="F2010" s="1"/>
  <c r="D1679"/>
  <c r="F1679" s="1"/>
  <c r="D427"/>
  <c r="F379"/>
  <c r="F754"/>
  <c r="M38" i="24" s="1"/>
  <c r="M39" s="1"/>
  <c r="D1928" i="31"/>
  <c r="F1928" s="1"/>
  <c r="F6" i="41"/>
  <c r="D18" s="1"/>
  <c r="F18" s="1"/>
  <c r="K148" i="24" s="1"/>
  <c r="D549" i="31"/>
  <c r="F549" s="1"/>
  <c r="D1969"/>
  <c r="K214"/>
  <c r="M214" s="1"/>
  <c r="K216" s="1"/>
  <c r="M216" s="1"/>
  <c r="M206" s="1"/>
  <c r="F152" i="32"/>
  <c r="D165" s="1"/>
  <c r="F165" s="1"/>
  <c r="K77" i="24" s="1"/>
  <c r="D2668" i="31"/>
  <c r="F2668" s="1"/>
  <c r="E290"/>
  <c r="E338" s="1"/>
  <c r="L242"/>
  <c r="E386"/>
  <c r="D589"/>
  <c r="F495"/>
  <c r="G40" i="30"/>
  <c r="J40" s="1"/>
  <c r="J35"/>
  <c r="K150" i="24"/>
  <c r="E590" i="33"/>
  <c r="F590" s="1"/>
  <c r="J107" i="24" s="1"/>
  <c r="E615" i="33"/>
  <c r="E644" s="1"/>
  <c r="E672" s="1"/>
  <c r="D428" i="31"/>
  <c r="F380"/>
  <c r="C20" i="43"/>
  <c r="D64"/>
  <c r="C62" s="1"/>
  <c r="D597" i="31"/>
  <c r="F503"/>
  <c r="D550"/>
  <c r="F550" s="1"/>
  <c r="F177" i="33"/>
  <c r="F175" s="1"/>
  <c r="M87" i="24" s="1"/>
  <c r="M88" s="1"/>
  <c r="D207" i="33"/>
  <c r="F207" s="1"/>
  <c r="F205" s="1"/>
  <c r="M89" i="24" s="1"/>
  <c r="M90" s="1"/>
  <c r="E2034" i="31"/>
  <c r="L1993"/>
  <c r="D564" i="33"/>
  <c r="F564" s="1"/>
  <c r="I105" i="24" s="1"/>
  <c r="D565" i="33"/>
  <c r="F565" s="1"/>
  <c r="J105" i="24" s="1"/>
  <c r="D788" i="33"/>
  <c r="F788" s="1"/>
  <c r="F296" i="34"/>
  <c r="J20" i="30"/>
  <c r="D766" i="33"/>
  <c r="F766" s="1"/>
  <c r="F767" s="1"/>
  <c r="F818"/>
  <c r="M233" i="31"/>
  <c r="F15" i="24"/>
  <c r="E617" i="33"/>
  <c r="E646" s="1"/>
  <c r="E674" s="1"/>
  <c r="E592"/>
  <c r="F378" i="31"/>
  <c r="D426"/>
  <c r="D854"/>
  <c r="F806"/>
  <c r="J32" i="29"/>
  <c r="I33"/>
  <c r="J26" i="30"/>
  <c r="D739" i="33"/>
  <c r="F739" s="1"/>
  <c r="F329" i="31"/>
  <c r="M20" i="24" s="1"/>
  <c r="M21" s="1"/>
  <c r="D2197" i="31"/>
  <c r="F2197" s="1"/>
  <c r="D1937"/>
  <c r="F1937" s="1"/>
  <c r="D1541"/>
  <c r="F1541" s="1"/>
  <c r="D1896"/>
  <c r="F1896" s="1"/>
  <c r="D1497"/>
  <c r="F1497" s="1"/>
  <c r="D1771"/>
  <c r="F1771" s="1"/>
  <c r="D1401"/>
  <c r="F1401" s="1"/>
  <c r="D1855"/>
  <c r="F1855" s="1"/>
  <c r="D1195"/>
  <c r="F1195" s="1"/>
  <c r="D82"/>
  <c r="D1237"/>
  <c r="F1237" s="1"/>
  <c r="D34"/>
  <c r="F34" s="1"/>
  <c r="D1279"/>
  <c r="F1279" s="1"/>
  <c r="D130"/>
  <c r="D1813"/>
  <c r="F1813" s="1"/>
  <c r="D1353"/>
  <c r="D1449"/>
  <c r="F1449" s="1"/>
  <c r="E1071"/>
  <c r="E1113" s="1"/>
  <c r="E981"/>
  <c r="E1026" s="1"/>
  <c r="D943"/>
  <c r="F898"/>
  <c r="D430"/>
  <c r="F382"/>
  <c r="D72"/>
  <c r="F72" s="1"/>
  <c r="F62" s="1"/>
  <c r="E1073"/>
  <c r="E1115" s="1"/>
  <c r="E983"/>
  <c r="E1028" s="1"/>
  <c r="D2738"/>
  <c r="F2738" s="1"/>
  <c r="K72" i="24"/>
  <c r="F485" i="34"/>
  <c r="J125" i="24" s="1"/>
  <c r="E510" i="34"/>
  <c r="E537" s="1"/>
  <c r="E557" s="1"/>
  <c r="E580" s="1"/>
  <c r="F580" s="1"/>
  <c r="J130" i="24" s="1"/>
  <c r="F2679" i="31"/>
  <c r="F185"/>
  <c r="M22" i="24" s="1"/>
  <c r="E125" i="34"/>
  <c r="F84" i="32"/>
  <c r="F75" i="24"/>
  <c r="G38" i="30"/>
  <c r="J38" s="1"/>
  <c r="J33"/>
  <c r="D120" i="31"/>
  <c r="F120" s="1"/>
  <c r="F110" s="1"/>
  <c r="D2624"/>
  <c r="F2624" s="1"/>
  <c r="K69" i="24"/>
  <c r="D618" i="31"/>
  <c r="F524"/>
  <c r="D264" i="33"/>
  <c r="F236"/>
  <c r="F235" s="1"/>
  <c r="M91" i="24" s="1"/>
  <c r="D851" i="31"/>
  <c r="F803"/>
  <c r="K26" i="29"/>
  <c r="J27"/>
  <c r="E460" i="34"/>
  <c r="E484"/>
  <c r="F233" i="31"/>
  <c r="M17" i="24" s="1"/>
  <c r="M18" s="1"/>
  <c r="M707" i="31"/>
  <c r="F807"/>
  <c r="D855"/>
  <c r="D252" i="33"/>
  <c r="F224"/>
  <c r="F76" i="24"/>
  <c r="I120"/>
  <c r="F318" i="34"/>
  <c r="I21" i="29"/>
  <c r="J20"/>
  <c r="K20" s="1"/>
  <c r="E614" i="33"/>
  <c r="E643" s="1"/>
  <c r="E671" s="1"/>
  <c r="E589"/>
  <c r="F589" s="1"/>
  <c r="F830" i="31"/>
  <c r="D877"/>
  <c r="E1070"/>
  <c r="E1112" s="1"/>
  <c r="E980"/>
  <c r="E1025" s="1"/>
  <c r="D571"/>
  <c r="F571" s="1"/>
  <c r="F477"/>
  <c r="L70" i="24"/>
  <c r="D2647" i="31"/>
  <c r="F1779"/>
  <c r="D1903"/>
  <c r="D1821"/>
  <c r="E917" i="34"/>
  <c r="F804" i="31"/>
  <c r="D852"/>
  <c r="E1081"/>
  <c r="E1123" s="1"/>
  <c r="E991"/>
  <c r="E1036" s="1"/>
  <c r="I121" i="24"/>
  <c r="F340" i="34"/>
  <c r="D261"/>
  <c r="F261" s="1"/>
  <c r="K117" i="24" s="1"/>
  <c r="F281" i="31"/>
  <c r="M19" i="24" s="1"/>
  <c r="T707" i="31"/>
  <c r="C4" i="43"/>
  <c r="D310" i="31"/>
  <c r="F310" s="1"/>
  <c r="F214"/>
  <c r="J24" i="29"/>
  <c r="K23"/>
  <c r="F62" i="41"/>
  <c r="L150" i="24" s="1"/>
  <c r="E2169" i="31"/>
  <c r="E2135"/>
  <c r="E267" i="33"/>
  <c r="I122" i="24"/>
  <c r="F362" i="34"/>
  <c r="D2374" i="31"/>
  <c r="F2374" s="1"/>
  <c r="F1660"/>
  <c r="F1969"/>
  <c r="K1969"/>
  <c r="D59" i="43"/>
  <c r="D60"/>
  <c r="D57"/>
  <c r="D58"/>
  <c r="E1072" i="31"/>
  <c r="E1114" s="1"/>
  <c r="E982"/>
  <c r="E1027" s="1"/>
  <c r="H64" i="24"/>
  <c r="H63"/>
  <c r="D2375" i="31"/>
  <c r="F2375" s="1"/>
  <c r="F1661"/>
  <c r="D479"/>
  <c r="F431"/>
  <c r="D526"/>
  <c r="D2373"/>
  <c r="F2373" s="1"/>
  <c r="F1659"/>
  <c r="D358" l="1"/>
  <c r="D406" s="1"/>
  <c r="F166"/>
  <c r="D168" s="1"/>
  <c r="F168" s="1"/>
  <c r="H36" i="29"/>
  <c r="D551" i="31"/>
  <c r="F551" s="1"/>
  <c r="F541" s="1"/>
  <c r="F31" i="24" s="1"/>
  <c r="F801" i="31"/>
  <c r="M40" i="24" s="1"/>
  <c r="M41" s="1"/>
  <c r="D63" i="41"/>
  <c r="F63" s="1"/>
  <c r="N150" i="24" s="1"/>
  <c r="D42" i="41"/>
  <c r="F42" s="1"/>
  <c r="L149" i="24" s="1"/>
  <c r="F2390" i="31"/>
  <c r="D166" i="32"/>
  <c r="F166" s="1"/>
  <c r="L77" i="24" s="1"/>
  <c r="D262" i="34"/>
  <c r="F262" s="1"/>
  <c r="L117" i="24" s="1"/>
  <c r="I34" i="29"/>
  <c r="I36" s="1"/>
  <c r="F427" i="31"/>
  <c r="D522"/>
  <c r="D475"/>
  <c r="C38" i="43"/>
  <c r="C39" s="1"/>
  <c r="F2369" i="31"/>
  <c r="M144" i="24" s="1"/>
  <c r="J37" i="30"/>
  <c r="F12" i="24" s="1"/>
  <c r="D12" s="1"/>
  <c r="F1655" i="31"/>
  <c r="M51" i="24" s="1"/>
  <c r="F51"/>
  <c r="D216" i="31"/>
  <c r="F216" s="1"/>
  <c r="F206" s="1"/>
  <c r="D233" i="34"/>
  <c r="F233" s="1"/>
  <c r="D209"/>
  <c r="F209" s="1"/>
  <c r="D185"/>
  <c r="F185" s="1"/>
  <c r="D161"/>
  <c r="F161" s="1"/>
  <c r="D137"/>
  <c r="F137" s="1"/>
  <c r="D113"/>
  <c r="F113" s="1"/>
  <c r="D89"/>
  <c r="F89" s="1"/>
  <c r="D65"/>
  <c r="F65" s="1"/>
  <c r="D307"/>
  <c r="F307" s="1"/>
  <c r="K119" i="24" s="1"/>
  <c r="S1993" i="31"/>
  <c r="E573" i="33"/>
  <c r="E295"/>
  <c r="K24" i="29"/>
  <c r="L23"/>
  <c r="E1209" i="31"/>
  <c r="E1251" s="1"/>
  <c r="E1293" s="1"/>
  <c r="E1330" s="1"/>
  <c r="E1367" s="1"/>
  <c r="E1167"/>
  <c r="F1903"/>
  <c r="D1944"/>
  <c r="D922"/>
  <c r="F877"/>
  <c r="E149" i="34"/>
  <c r="D525" i="31"/>
  <c r="F430"/>
  <c r="D478"/>
  <c r="F82"/>
  <c r="D178"/>
  <c r="L142" i="24"/>
  <c r="D742" i="33"/>
  <c r="F742" s="1"/>
  <c r="N142" i="24" s="1"/>
  <c r="J33" i="29"/>
  <c r="J34" s="1"/>
  <c r="K32"/>
  <c r="F16" i="24"/>
  <c r="D689" i="31"/>
  <c r="F689" s="1"/>
  <c r="F10" i="24"/>
  <c r="D10" s="1"/>
  <c r="F589" i="31"/>
  <c r="D636"/>
  <c r="D167" i="32"/>
  <c r="F167" s="1"/>
  <c r="N77" i="24" s="1"/>
  <c r="R1969" i="31"/>
  <c r="M1969"/>
  <c r="F1821"/>
  <c r="D1863"/>
  <c r="F1863" s="1"/>
  <c r="E1156"/>
  <c r="E1198"/>
  <c r="E1240" s="1"/>
  <c r="E1282" s="1"/>
  <c r="E1319" s="1"/>
  <c r="E1356" s="1"/>
  <c r="D896"/>
  <c r="F851"/>
  <c r="L69" i="24"/>
  <c r="D2625" i="31"/>
  <c r="D101" i="32"/>
  <c r="F101" s="1"/>
  <c r="I75" i="24" s="1"/>
  <c r="D102" i="32"/>
  <c r="F102" s="1"/>
  <c r="J75" i="24" s="1"/>
  <c r="E1200" i="31"/>
  <c r="E1242" s="1"/>
  <c r="E1284" s="1"/>
  <c r="E1321" s="1"/>
  <c r="E1358" s="1"/>
  <c r="E1158"/>
  <c r="D1697"/>
  <c r="F943"/>
  <c r="D899"/>
  <c r="F854"/>
  <c r="F145" i="24"/>
  <c r="E434" i="31"/>
  <c r="E945" i="34"/>
  <c r="D329"/>
  <c r="F329" s="1"/>
  <c r="K120" i="24" s="1"/>
  <c r="F484" i="34"/>
  <c r="E509"/>
  <c r="E536" s="1"/>
  <c r="E556" s="1"/>
  <c r="E579" s="1"/>
  <c r="F579" s="1"/>
  <c r="E1157" i="31"/>
  <c r="E1199"/>
  <c r="E1241" s="1"/>
  <c r="E1283" s="1"/>
  <c r="E1320" s="1"/>
  <c r="E1357" s="1"/>
  <c r="D476"/>
  <c r="D523"/>
  <c r="F428"/>
  <c r="F614" i="33"/>
  <c r="F743"/>
  <c r="F554"/>
  <c r="F580"/>
  <c r="I107" i="24"/>
  <c r="L72"/>
  <c r="D2739" i="31"/>
  <c r="L143" i="24"/>
  <c r="D897" i="31"/>
  <c r="F852"/>
  <c r="D351" i="34"/>
  <c r="F351" s="1"/>
  <c r="K121" i="24" s="1"/>
  <c r="D819" i="33"/>
  <c r="F819" s="1"/>
  <c r="F820" s="1"/>
  <c r="D2669" i="31"/>
  <c r="F2669" s="1"/>
  <c r="L67" i="24" s="1"/>
  <c r="K67"/>
  <c r="F2647" i="31"/>
  <c r="N70" i="24" s="1"/>
  <c r="F1353" i="31"/>
  <c r="D1109"/>
  <c r="D768" i="33"/>
  <c r="F768" s="1"/>
  <c r="F769" s="1"/>
  <c r="D292"/>
  <c r="F264"/>
  <c r="F263" s="1"/>
  <c r="M92" i="24" s="1"/>
  <c r="D373" i="34"/>
  <c r="F373" s="1"/>
  <c r="K122" i="24" s="1"/>
  <c r="F618" i="31"/>
  <c r="D665"/>
  <c r="F665" s="1"/>
  <c r="D2694"/>
  <c r="F2694" s="1"/>
  <c r="D264"/>
  <c r="F264" s="1"/>
  <c r="F254" s="1"/>
  <c r="L20" i="29"/>
  <c r="K21"/>
  <c r="F855" i="31"/>
  <c r="D900"/>
  <c r="E1159"/>
  <c r="E1201"/>
  <c r="E1243" s="1"/>
  <c r="E1285" s="1"/>
  <c r="E1322" s="1"/>
  <c r="E1359" s="1"/>
  <c r="D226"/>
  <c r="F130"/>
  <c r="C46" i="43"/>
  <c r="C70" s="1"/>
  <c r="C71" s="1"/>
  <c r="D19" i="41"/>
  <c r="J32" i="30"/>
  <c r="D789" i="33"/>
  <c r="F789" s="1"/>
  <c r="N143" i="24" s="1"/>
  <c r="D474" i="31"/>
  <c r="F426"/>
  <c r="F597"/>
  <c r="D644"/>
  <c r="D573"/>
  <c r="F573" s="1"/>
  <c r="F479"/>
  <c r="E2213"/>
  <c r="F526"/>
  <c r="D620"/>
  <c r="D312"/>
  <c r="F312" s="1"/>
  <c r="F302" s="1"/>
  <c r="D280" i="33"/>
  <c r="F252"/>
  <c r="K27" i="29"/>
  <c r="L26"/>
  <c r="E2077" i="31"/>
  <c r="F377"/>
  <c r="M23" i="24" s="1"/>
  <c r="M24" s="1"/>
  <c r="F615" i="33"/>
  <c r="J106" i="24" s="1"/>
  <c r="F168" i="32" l="1"/>
  <c r="D169" s="1"/>
  <c r="F169" s="1"/>
  <c r="O77" i="24" s="1"/>
  <c r="D77" s="1"/>
  <c r="F358" i="31"/>
  <c r="D360" s="1"/>
  <c r="F360" s="1"/>
  <c r="F350" s="1"/>
  <c r="F158"/>
  <c r="F64" i="41"/>
  <c r="D65" s="1"/>
  <c r="F65" s="1"/>
  <c r="O150" i="24" s="1"/>
  <c r="D150" s="1"/>
  <c r="D308" i="34"/>
  <c r="F308" s="1"/>
  <c r="L119" i="24" s="1"/>
  <c r="D265" i="34"/>
  <c r="F265" s="1"/>
  <c r="N117" i="24" s="1"/>
  <c r="E9" i="27"/>
  <c r="C9" s="1"/>
  <c r="D783" i="34" s="1"/>
  <c r="F783" s="1"/>
  <c r="D569" i="31"/>
  <c r="F569" s="1"/>
  <c r="F475"/>
  <c r="D616"/>
  <c r="F522"/>
  <c r="D330" i="34"/>
  <c r="F330" s="1"/>
  <c r="L120" i="24" s="1"/>
  <c r="F19"/>
  <c r="F20"/>
  <c r="F17"/>
  <c r="E2258" i="31"/>
  <c r="F1109"/>
  <c r="D1153"/>
  <c r="F1153" s="1"/>
  <c r="E1404"/>
  <c r="E1452" s="1"/>
  <c r="E1500" s="1"/>
  <c r="E1544"/>
  <c r="Z1993"/>
  <c r="F1697"/>
  <c r="D1327"/>
  <c r="D591" i="33"/>
  <c r="F591" s="1"/>
  <c r="K107" i="24" s="1"/>
  <c r="F571" i="34"/>
  <c r="I130" i="24"/>
  <c r="D1057" i="31"/>
  <c r="F1057" s="1"/>
  <c r="D967"/>
  <c r="F922"/>
  <c r="E323" i="33"/>
  <c r="F849" i="31"/>
  <c r="M42" i="24" s="1"/>
  <c r="M43" s="1"/>
  <c r="D744" i="33"/>
  <c r="F744" s="1"/>
  <c r="O142" i="24" s="1"/>
  <c r="D142" s="1"/>
  <c r="D566" i="33"/>
  <c r="F566" s="1"/>
  <c r="K105" i="24" s="1"/>
  <c r="E597" i="33"/>
  <c r="E623"/>
  <c r="F620" i="31"/>
  <c r="D667"/>
  <c r="F667" s="1"/>
  <c r="F292" i="33"/>
  <c r="F291" s="1"/>
  <c r="M93" i="24" s="1"/>
  <c r="D320" i="33"/>
  <c r="E973" i="34"/>
  <c r="D944" i="31"/>
  <c r="F899"/>
  <c r="T1969"/>
  <c r="Y1969"/>
  <c r="AA1969" s="1"/>
  <c r="F425"/>
  <c r="M25" i="24" s="1"/>
  <c r="M26" s="1"/>
  <c r="D352" i="34"/>
  <c r="F352" s="1"/>
  <c r="L121" i="24" s="1"/>
  <c r="D941" i="31"/>
  <c r="F896"/>
  <c r="F900"/>
  <c r="D945"/>
  <c r="E1545"/>
  <c r="E1405"/>
  <c r="E1453" s="1"/>
  <c r="E1501" s="1"/>
  <c r="J36" i="29"/>
  <c r="E10" i="27"/>
  <c r="C10" s="1"/>
  <c r="F2625" i="31"/>
  <c r="N69" i="24" s="1"/>
  <c r="D274" i="31"/>
  <c r="F274" s="1"/>
  <c r="F178"/>
  <c r="D370"/>
  <c r="D942"/>
  <c r="F897"/>
  <c r="E482"/>
  <c r="E529"/>
  <c r="D2098"/>
  <c r="F1944"/>
  <c r="D1985"/>
  <c r="F2739"/>
  <c r="N72" i="24" s="1"/>
  <c r="F22"/>
  <c r="D598" i="31"/>
  <c r="F598" s="1"/>
  <c r="F588" s="1"/>
  <c r="E173" i="34"/>
  <c r="M23" i="29"/>
  <c r="L24"/>
  <c r="D2670" i="31"/>
  <c r="D617"/>
  <c r="F523"/>
  <c r="L32" i="29"/>
  <c r="K33"/>
  <c r="K34" s="1"/>
  <c r="M26"/>
  <c r="L27"/>
  <c r="M20"/>
  <c r="L21"/>
  <c r="D502" i="31"/>
  <c r="F502" s="1"/>
  <c r="D454"/>
  <c r="F454" s="1"/>
  <c r="F406"/>
  <c r="D568"/>
  <c r="F568" s="1"/>
  <c r="F474"/>
  <c r="F644"/>
  <c r="D690"/>
  <c r="E1547"/>
  <c r="E1407"/>
  <c r="E1455" s="1"/>
  <c r="E1503" s="1"/>
  <c r="D2695"/>
  <c r="F2695" s="1"/>
  <c r="K71" i="24"/>
  <c r="F636" i="31"/>
  <c r="D683"/>
  <c r="D619"/>
  <c r="F525"/>
  <c r="E1555"/>
  <c r="E1415"/>
  <c r="E1463" s="1"/>
  <c r="E1511" s="1"/>
  <c r="F2648"/>
  <c r="D43" i="41"/>
  <c r="F83" i="32"/>
  <c r="F478" i="31"/>
  <c r="D572"/>
  <c r="F572" s="1"/>
  <c r="F475" i="34"/>
  <c r="I125" i="24"/>
  <c r="F19" i="41"/>
  <c r="L148" i="24" s="1"/>
  <c r="D308" i="33"/>
  <c r="F280"/>
  <c r="D637"/>
  <c r="F637" s="1"/>
  <c r="D2510" i="31"/>
  <c r="F2510" s="1"/>
  <c r="D45" i="33"/>
  <c r="D15"/>
  <c r="D2584" i="31"/>
  <c r="F2584" s="1"/>
  <c r="D225" i="33"/>
  <c r="D2711" i="31"/>
  <c r="F2711" s="1"/>
  <c r="D2011"/>
  <c r="F2011" s="1"/>
  <c r="D1929"/>
  <c r="F1929" s="1"/>
  <c r="D2547"/>
  <c r="F2547" s="1"/>
  <c r="D1970"/>
  <c r="D665" i="33"/>
  <c r="F665" s="1"/>
  <c r="D1720" i="31"/>
  <c r="F1720" s="1"/>
  <c r="D2053"/>
  <c r="F2053" s="1"/>
  <c r="F11" i="24"/>
  <c r="D11" s="1"/>
  <c r="K226" i="31"/>
  <c r="M226" s="1"/>
  <c r="D322"/>
  <c r="F322" s="1"/>
  <c r="F226"/>
  <c r="I106" i="24"/>
  <c r="F604" i="33"/>
  <c r="D570" i="31"/>
  <c r="F570" s="1"/>
  <c r="F476"/>
  <c r="E1406"/>
  <c r="E1454" s="1"/>
  <c r="E1502" s="1"/>
  <c r="E1546"/>
  <c r="D374" i="34"/>
  <c r="F374" s="1"/>
  <c r="F790" i="33"/>
  <c r="D309" i="34" l="1"/>
  <c r="F309" s="1"/>
  <c r="F310" s="1"/>
  <c r="F170" i="32"/>
  <c r="D331" i="34"/>
  <c r="F331" s="1"/>
  <c r="N120" i="24" s="1"/>
  <c r="D2755" i="31"/>
  <c r="F2755" s="1"/>
  <c r="D2756" s="1"/>
  <c r="F2756" s="1"/>
  <c r="F2753" s="1"/>
  <c r="F2749" s="1"/>
  <c r="D353" i="34"/>
  <c r="F353" s="1"/>
  <c r="N121" i="24" s="1"/>
  <c r="D758" i="34"/>
  <c r="F758" s="1"/>
  <c r="F266"/>
  <c r="D267" s="1"/>
  <c r="D663" i="31"/>
  <c r="F663" s="1"/>
  <c r="F616"/>
  <c r="D39" i="34"/>
  <c r="F39" s="1"/>
  <c r="D457"/>
  <c r="F457" s="1"/>
  <c r="F473" i="31"/>
  <c r="M27" i="24" s="1"/>
  <c r="M28" s="1"/>
  <c r="D732" i="34"/>
  <c r="F732" s="1"/>
  <c r="F894" i="31"/>
  <c r="M44" i="24" s="1"/>
  <c r="F745" i="33"/>
  <c r="D553" i="34"/>
  <c r="F553" s="1"/>
  <c r="F552" s="1"/>
  <c r="D13"/>
  <c r="F13" s="1"/>
  <c r="D278"/>
  <c r="F278" s="1"/>
  <c r="F277" s="1"/>
  <c r="G118" i="24" s="1"/>
  <c r="F2740" i="31"/>
  <c r="D2741" s="1"/>
  <c r="F2741" s="1"/>
  <c r="O72" i="24" s="1"/>
  <c r="D72" s="1"/>
  <c r="F23"/>
  <c r="D2586" i="31"/>
  <c r="F2586" s="1"/>
  <c r="F2580" s="1"/>
  <c r="F32" i="24"/>
  <c r="F619" i="31"/>
  <c r="D666"/>
  <c r="F666" s="1"/>
  <c r="N20" i="29"/>
  <c r="M21"/>
  <c r="D664" i="31"/>
  <c r="F664" s="1"/>
  <c r="F617"/>
  <c r="E1001" i="34"/>
  <c r="F2626" i="31"/>
  <c r="D645"/>
  <c r="F645" s="1"/>
  <c r="F635" s="1"/>
  <c r="D581" i="34"/>
  <c r="F581" s="1"/>
  <c r="K130" i="24" s="1"/>
  <c r="K36" i="29"/>
  <c r="D22" i="51" s="1"/>
  <c r="E11" i="27"/>
  <c r="C11" s="1"/>
  <c r="D336" i="33"/>
  <c r="F308"/>
  <c r="D616"/>
  <c r="F616" s="1"/>
  <c r="K106" i="24" s="1"/>
  <c r="D737" i="31"/>
  <c r="F690"/>
  <c r="K690"/>
  <c r="E197" i="34"/>
  <c r="F1985" i="31"/>
  <c r="K1985"/>
  <c r="D2026"/>
  <c r="D1698"/>
  <c r="F944"/>
  <c r="D1012"/>
  <c r="F1012" s="1"/>
  <c r="F967"/>
  <c r="D1740"/>
  <c r="F1327"/>
  <c r="D20" i="41"/>
  <c r="D567" i="33"/>
  <c r="F567" s="1"/>
  <c r="L105" i="24" s="1"/>
  <c r="F520" i="31"/>
  <c r="M29" i="24" s="1"/>
  <c r="M30" s="1"/>
  <c r="F683" i="31"/>
  <c r="D729"/>
  <c r="K683"/>
  <c r="L122" i="24"/>
  <c r="D375" i="34"/>
  <c r="F375" s="1"/>
  <c r="N122" i="24" s="1"/>
  <c r="D638" i="33"/>
  <c r="F638" s="1"/>
  <c r="F635" s="1"/>
  <c r="D554" i="34"/>
  <c r="F554" s="1"/>
  <c r="H129" i="24" s="1"/>
  <c r="G129"/>
  <c r="D504" i="31"/>
  <c r="F504" s="1"/>
  <c r="F494" s="1"/>
  <c r="N23" i="29"/>
  <c r="M24"/>
  <c r="D1696" i="31"/>
  <c r="F942"/>
  <c r="D1699"/>
  <c r="F945"/>
  <c r="E652" i="33"/>
  <c r="D253"/>
  <c r="F225"/>
  <c r="D103" i="32"/>
  <c r="F103" s="1"/>
  <c r="K75" i="24" s="1"/>
  <c r="D2161" i="31"/>
  <c r="F2161" s="1"/>
  <c r="F2098"/>
  <c r="D2127"/>
  <c r="F2127" s="1"/>
  <c r="D1695"/>
  <c r="F941"/>
  <c r="F370"/>
  <c r="D418"/>
  <c r="E351" i="33"/>
  <c r="F354" i="34"/>
  <c r="F44" i="41"/>
  <c r="F43"/>
  <c r="N149" i="24" s="1"/>
  <c r="N26" i="29"/>
  <c r="M27"/>
  <c r="E623" i="31"/>
  <c r="D348" i="33"/>
  <c r="F320"/>
  <c r="F319" s="1"/>
  <c r="M94" i="24" s="1"/>
  <c r="F18"/>
  <c r="D2713" i="31"/>
  <c r="F2713" s="1"/>
  <c r="F2710" s="1"/>
  <c r="D2549"/>
  <c r="F2549" s="1"/>
  <c r="F2543" s="1"/>
  <c r="D2512"/>
  <c r="F2512" s="1"/>
  <c r="F2506" s="1"/>
  <c r="D456"/>
  <c r="F456" s="1"/>
  <c r="F446" s="1"/>
  <c r="F1970"/>
  <c r="K1970"/>
  <c r="D75" i="33"/>
  <c r="F45"/>
  <c r="D486" i="34"/>
  <c r="F486" s="1"/>
  <c r="K125" i="24" s="1"/>
  <c r="L71"/>
  <c r="D2696" i="31"/>
  <c r="D408"/>
  <c r="F408" s="1"/>
  <c r="F398" s="1"/>
  <c r="M32" i="29"/>
  <c r="L33"/>
  <c r="L34" s="1"/>
  <c r="F2670" i="31"/>
  <c r="N67" i="24" s="1"/>
  <c r="E576" i="31"/>
  <c r="D791" i="33"/>
  <c r="F791" s="1"/>
  <c r="O143" i="24" s="1"/>
  <c r="D143" s="1"/>
  <c r="D666" i="33"/>
  <c r="F666" s="1"/>
  <c r="F664" s="1"/>
  <c r="F15"/>
  <c r="D135"/>
  <c r="D2649" i="31"/>
  <c r="F2649" s="1"/>
  <c r="O70" i="24" s="1"/>
  <c r="D70" s="1"/>
  <c r="F21"/>
  <c r="F567" i="31"/>
  <c r="M31" i="24" s="1"/>
  <c r="F66" i="41"/>
  <c r="D592" i="33"/>
  <c r="F592" s="1"/>
  <c r="N119" i="24" l="1"/>
  <c r="F332" i="34"/>
  <c r="D333" s="1"/>
  <c r="F550"/>
  <c r="D556" s="1"/>
  <c r="F556" s="1"/>
  <c r="I129" i="24" s="1"/>
  <c r="D582" i="34"/>
  <c r="F582" s="1"/>
  <c r="L130" i="24" s="1"/>
  <c r="D571" i="33"/>
  <c r="F571" s="1"/>
  <c r="N105" i="24" s="1"/>
  <c r="F376" i="34"/>
  <c r="D377" s="1"/>
  <c r="D279"/>
  <c r="F279" s="1"/>
  <c r="H118" i="24" s="1"/>
  <c r="F614" i="31"/>
  <c r="M32" i="24" s="1"/>
  <c r="M33" s="1"/>
  <c r="E12" i="27"/>
  <c r="C12" s="1"/>
  <c r="L36" i="29"/>
  <c r="F29" i="24"/>
  <c r="F140"/>
  <c r="F141"/>
  <c r="F25"/>
  <c r="F27"/>
  <c r="F34"/>
  <c r="D2758" i="31"/>
  <c r="F2758" s="1"/>
  <c r="D2759"/>
  <c r="F2759" s="1"/>
  <c r="F1699"/>
  <c r="D1329"/>
  <c r="F729"/>
  <c r="D776"/>
  <c r="F22" i="51"/>
  <c r="D59"/>
  <c r="F59" s="1"/>
  <c r="F24" i="24"/>
  <c r="F939" i="31"/>
  <c r="M45" i="24" s="1"/>
  <c r="M46" s="1"/>
  <c r="F135" i="33"/>
  <c r="D165"/>
  <c r="D46"/>
  <c r="F46" s="1"/>
  <c r="F43" s="1"/>
  <c r="F139" i="24"/>
  <c r="F46" i="41"/>
  <c r="D45"/>
  <c r="F45" s="1"/>
  <c r="O149" i="24" s="1"/>
  <c r="D149" s="1"/>
  <c r="M683" i="31"/>
  <c r="R683"/>
  <c r="T683" s="1"/>
  <c r="D1782"/>
  <c r="F1740"/>
  <c r="E221" i="34"/>
  <c r="E267"/>
  <c r="F2628" i="31"/>
  <c r="D2627"/>
  <c r="F2627" s="1"/>
  <c r="O69" i="24" s="1"/>
  <c r="D69" s="1"/>
  <c r="F2742" i="31"/>
  <c r="D104" i="32"/>
  <c r="F104" s="1"/>
  <c r="D108" s="1"/>
  <c r="F108" s="1"/>
  <c r="N75" i="24" s="1"/>
  <c r="F661" i="31"/>
  <c r="M34" i="24" s="1"/>
  <c r="M35" s="1"/>
  <c r="F2696" i="31"/>
  <c r="N71" i="24" s="1"/>
  <c r="D226" i="33"/>
  <c r="F226" s="1"/>
  <c r="F223" s="1"/>
  <c r="D376"/>
  <c r="F348"/>
  <c r="F347" s="1"/>
  <c r="M96" i="24" s="1"/>
  <c r="D557" i="34"/>
  <c r="F557" s="1"/>
  <c r="J129" i="24" s="1"/>
  <c r="F737" i="31"/>
  <c r="D784"/>
  <c r="D364" i="33"/>
  <c r="F336"/>
  <c r="F2706" i="31"/>
  <c r="F68" i="24"/>
  <c r="F103"/>
  <c r="F682" i="31"/>
  <c r="D691"/>
  <c r="F691" s="1"/>
  <c r="N32" i="29"/>
  <c r="M33"/>
  <c r="M34" s="1"/>
  <c r="N27"/>
  <c r="O26"/>
  <c r="D466" i="31"/>
  <c r="D513"/>
  <c r="F418"/>
  <c r="E680" i="33"/>
  <c r="F20" i="41"/>
  <c r="N148" i="24" s="1"/>
  <c r="M1985" i="31"/>
  <c r="R1985"/>
  <c r="L107" i="24"/>
  <c r="D595" i="33"/>
  <c r="F595" s="1"/>
  <c r="N107" i="24" s="1"/>
  <c r="D16" i="33"/>
  <c r="F16" s="1"/>
  <c r="F13" s="1"/>
  <c r="D1325" i="31"/>
  <c r="F1695"/>
  <c r="O23" i="29"/>
  <c r="N24"/>
  <c r="F2026" i="31"/>
  <c r="D2069"/>
  <c r="F2069" s="1"/>
  <c r="M690"/>
  <c r="R690"/>
  <c r="T690" s="1"/>
  <c r="D311" i="34"/>
  <c r="F33" i="24"/>
  <c r="F2650" i="31"/>
  <c r="F792" i="33"/>
  <c r="F2671" i="31"/>
  <c r="D487" i="34"/>
  <c r="F487" s="1"/>
  <c r="D617" i="33"/>
  <c r="F617" s="1"/>
  <c r="L106" i="24" s="1"/>
  <c r="R1970" i="31"/>
  <c r="M1970"/>
  <c r="D1326"/>
  <c r="F1696"/>
  <c r="D105" i="33"/>
  <c r="F105" s="1"/>
  <c r="F75"/>
  <c r="N21" i="29"/>
  <c r="O20"/>
  <c r="D355" i="34"/>
  <c r="F104" i="24"/>
  <c r="E670" i="31"/>
  <c r="E379" i="33"/>
  <c r="D281"/>
  <c r="F253"/>
  <c r="D1328" i="31"/>
  <c r="F1698"/>
  <c r="E1030" i="34"/>
  <c r="F572" i="33"/>
  <c r="F596" l="1"/>
  <c r="D597" s="1"/>
  <c r="F597" s="1"/>
  <c r="O107" i="24" s="1"/>
  <c r="D107" s="1"/>
  <c r="F275" i="34"/>
  <c r="F2748" i="31"/>
  <c r="D2760" s="1"/>
  <c r="F2760" s="1"/>
  <c r="D2761" s="1"/>
  <c r="F2761" s="1"/>
  <c r="F2697"/>
  <c r="D2698" s="1"/>
  <c r="F2698" s="1"/>
  <c r="O71" i="24" s="1"/>
  <c r="D71" s="1"/>
  <c r="M36" i="29"/>
  <c r="E13" i="27"/>
  <c r="C13" s="1"/>
  <c r="F91" i="24"/>
  <c r="F80"/>
  <c r="F78"/>
  <c r="F36"/>
  <c r="F26"/>
  <c r="R691" i="31"/>
  <c r="T691" s="1"/>
  <c r="T682" s="1"/>
  <c r="D1742"/>
  <c r="F1329"/>
  <c r="F30" i="24"/>
  <c r="F549" i="34"/>
  <c r="D1824" i="31"/>
  <c r="F1782"/>
  <c r="D1906"/>
  <c r="D254" i="33"/>
  <c r="F254" s="1"/>
  <c r="F251" s="1"/>
  <c r="D1741" i="31"/>
  <c r="F1328"/>
  <c r="D1739"/>
  <c r="F1326"/>
  <c r="D1738"/>
  <c r="F1325"/>
  <c r="N33" i="29"/>
  <c r="N34" s="1"/>
  <c r="N36" s="1"/>
  <c r="O32"/>
  <c r="D2718" i="31"/>
  <c r="F2718" s="1"/>
  <c r="J68" i="24" s="1"/>
  <c r="D2717" i="31"/>
  <c r="F2717" s="1"/>
  <c r="I68" i="24" s="1"/>
  <c r="E245" i="34"/>
  <c r="D738" i="31"/>
  <c r="F738" s="1"/>
  <c r="F728" s="1"/>
  <c r="F28" i="24"/>
  <c r="D621" i="33"/>
  <c r="F621" s="1"/>
  <c r="N106" i="24" s="1"/>
  <c r="D560" i="31"/>
  <c r="F560" s="1"/>
  <c r="F466"/>
  <c r="D38" i="34"/>
  <c r="F38" s="1"/>
  <c r="D12"/>
  <c r="F12" s="1"/>
  <c r="D757"/>
  <c r="F757" s="1"/>
  <c r="D731"/>
  <c r="F731" s="1"/>
  <c r="E407" i="33"/>
  <c r="P23" i="29"/>
  <c r="O24"/>
  <c r="L75" i="24"/>
  <c r="F109" i="32"/>
  <c r="F267" i="34"/>
  <c r="E289"/>
  <c r="D136" i="33"/>
  <c r="F136" s="1"/>
  <c r="F133" s="1"/>
  <c r="D823" i="31"/>
  <c r="F776"/>
  <c r="D573" i="33"/>
  <c r="F573" s="1"/>
  <c r="O105" i="24" s="1"/>
  <c r="D105" s="1"/>
  <c r="D404" i="33"/>
  <c r="F376"/>
  <c r="F375" s="1"/>
  <c r="M95" i="24" s="1"/>
  <c r="D309" i="33"/>
  <c r="F309" s="1"/>
  <c r="F281"/>
  <c r="T1970" i="31"/>
  <c r="Y1970"/>
  <c r="AA1970" s="1"/>
  <c r="Y1985"/>
  <c r="AA1985" s="1"/>
  <c r="T1985"/>
  <c r="E716"/>
  <c r="D106" i="33"/>
  <c r="F106" s="1"/>
  <c r="F103" s="1"/>
  <c r="D2672" i="31"/>
  <c r="F2672" s="1"/>
  <c r="O67" i="24" s="1"/>
  <c r="D67" s="1"/>
  <c r="D831" i="31"/>
  <c r="F784"/>
  <c r="D195" i="33"/>
  <c r="F195" s="1"/>
  <c r="F165"/>
  <c r="F35" i="24"/>
  <c r="D583" i="34"/>
  <c r="F1693" i="31"/>
  <c r="M54" i="24" s="1"/>
  <c r="D338" i="33"/>
  <c r="F338" s="1"/>
  <c r="F335" s="1"/>
  <c r="O21" i="29"/>
  <c r="P20"/>
  <c r="D607" i="31"/>
  <c r="F513"/>
  <c r="E1052" i="34"/>
  <c r="F73" i="33"/>
  <c r="D76"/>
  <c r="F76" s="1"/>
  <c r="L125" i="24"/>
  <c r="D488" i="34"/>
  <c r="F488" s="1"/>
  <c r="N125" i="24" s="1"/>
  <c r="P26" i="29"/>
  <c r="O27"/>
  <c r="D392" i="33"/>
  <c r="F364"/>
  <c r="K691" i="31"/>
  <c r="M691" s="1"/>
  <c r="M682" s="1"/>
  <c r="F21" i="41"/>
  <c r="F622" i="33" l="1"/>
  <c r="D623" s="1"/>
  <c r="F623" s="1"/>
  <c r="O106" i="24" s="1"/>
  <c r="D106" s="1"/>
  <c r="D281" i="34"/>
  <c r="F281" s="1"/>
  <c r="I118" i="24" s="1"/>
  <c r="D282" i="34"/>
  <c r="F282" s="1"/>
  <c r="J118" i="24" s="1"/>
  <c r="F2673" i="31"/>
  <c r="F2699"/>
  <c r="F2705"/>
  <c r="F92" i="24"/>
  <c r="F831" i="31"/>
  <c r="D878"/>
  <c r="D1866"/>
  <c r="F1866" s="1"/>
  <c r="F1824"/>
  <c r="D1947"/>
  <c r="F1906"/>
  <c r="F1323"/>
  <c r="F598" i="33"/>
  <c r="D654" i="31"/>
  <c r="F607"/>
  <c r="L716"/>
  <c r="E763"/>
  <c r="F85" i="24"/>
  <c r="Q23" i="29"/>
  <c r="P24"/>
  <c r="D558" i="34"/>
  <c r="F558" s="1"/>
  <c r="K129" i="24" s="1"/>
  <c r="F79"/>
  <c r="D2765" i="31"/>
  <c r="P27" i="29"/>
  <c r="Q26"/>
  <c r="O117" i="24"/>
  <c r="D117" s="1"/>
  <c r="F268" i="34"/>
  <c r="D1780" i="31"/>
  <c r="F1738"/>
  <c r="D420" i="33"/>
  <c r="F392"/>
  <c r="F96" i="24"/>
  <c r="F99" i="33"/>
  <c r="F84" i="24"/>
  <c r="D310" i="33"/>
  <c r="F310" s="1"/>
  <c r="F307" s="1"/>
  <c r="P32" i="29"/>
  <c r="O33"/>
  <c r="E435" i="33"/>
  <c r="F81" i="24"/>
  <c r="D432" i="33"/>
  <c r="F404"/>
  <c r="F403" s="1"/>
  <c r="M97" i="24" s="1"/>
  <c r="F69" i="33"/>
  <c r="F82" i="24"/>
  <c r="D282" i="33"/>
  <c r="F282" s="1"/>
  <c r="F279" s="1"/>
  <c r="F823" i="31"/>
  <c r="D871"/>
  <c r="D2719"/>
  <c r="F2719" s="1"/>
  <c r="D1783"/>
  <c r="F1741"/>
  <c r="F1742"/>
  <c r="D1784"/>
  <c r="F37" i="24"/>
  <c r="D1041" i="34"/>
  <c r="F1041" s="1"/>
  <c r="F1040" s="1"/>
  <c r="D2091" i="31"/>
  <c r="F2091" s="1"/>
  <c r="F2090" s="1"/>
  <c r="D2120"/>
  <c r="F2120" s="1"/>
  <c r="F2119" s="1"/>
  <c r="D2118" s="1"/>
  <c r="F2118" s="1"/>
  <c r="F2114" s="1"/>
  <c r="D196" i="33"/>
  <c r="F196" s="1"/>
  <c r="F193" s="1"/>
  <c r="E311" i="34"/>
  <c r="D166" i="33"/>
  <c r="F166" s="1"/>
  <c r="F163" s="1"/>
  <c r="D366"/>
  <c r="F366" s="1"/>
  <c r="F363" s="1"/>
  <c r="D785" i="31"/>
  <c r="F785" s="1"/>
  <c r="F775" s="1"/>
  <c r="D110" i="32"/>
  <c r="F110" s="1"/>
  <c r="O75" i="24" s="1"/>
  <c r="D75" s="1"/>
  <c r="F574" i="33"/>
  <c r="O34" i="29"/>
  <c r="F583" i="34"/>
  <c r="N130" i="24" s="1"/>
  <c r="D22" i="41"/>
  <c r="F22" s="1"/>
  <c r="O148" i="24" s="1"/>
  <c r="D148" s="1"/>
  <c r="F38"/>
  <c r="P21" i="29"/>
  <c r="Q20"/>
  <c r="F1739" i="31"/>
  <c r="D1781"/>
  <c r="F489" i="34"/>
  <c r="D559" l="1"/>
  <c r="F559" s="1"/>
  <c r="L129" i="24" s="1"/>
  <c r="F624" i="33"/>
  <c r="F274" i="34"/>
  <c r="F87" i="24"/>
  <c r="F89"/>
  <c r="F94"/>
  <c r="D81" i="33"/>
  <c r="F81" s="1"/>
  <c r="I82" i="24" s="1"/>
  <c r="I83" s="1"/>
  <c r="D82" i="33"/>
  <c r="F82" s="1"/>
  <c r="J82" i="24" s="1"/>
  <c r="J83" s="1"/>
  <c r="F95"/>
  <c r="E810" i="31"/>
  <c r="D2720"/>
  <c r="F2720" s="1"/>
  <c r="K68" i="24"/>
  <c r="F23" i="41"/>
  <c r="F1736" i="31"/>
  <c r="M57" i="24" s="1"/>
  <c r="D1042" i="34"/>
  <c r="F1042" s="1"/>
  <c r="H138" i="24" s="1"/>
  <c r="G138"/>
  <c r="D111" i="33"/>
  <c r="F111" s="1"/>
  <c r="I84" i="24" s="1"/>
  <c r="D112" i="33"/>
  <c r="F112" s="1"/>
  <c r="J84" i="24" s="1"/>
  <c r="D1905" i="31"/>
  <c r="D1823"/>
  <c r="F1781"/>
  <c r="F83" i="24"/>
  <c r="D832" i="31"/>
  <c r="F832" s="1"/>
  <c r="F822" s="1"/>
  <c r="P33" i="29"/>
  <c r="P34" s="1"/>
  <c r="P36" s="1"/>
  <c r="Q32"/>
  <c r="F420" i="33"/>
  <c r="D448"/>
  <c r="F86" i="24"/>
  <c r="F1947" i="31"/>
  <c r="D1988"/>
  <c r="D2101"/>
  <c r="D1825"/>
  <c r="F1783"/>
  <c r="D1907"/>
  <c r="D1822"/>
  <c r="F1780"/>
  <c r="D1904"/>
  <c r="F39" i="24"/>
  <c r="O36" i="29"/>
  <c r="E15" i="27"/>
  <c r="C15" s="1"/>
  <c r="F311" i="34"/>
  <c r="E333"/>
  <c r="F1784" i="31"/>
  <c r="D1908"/>
  <c r="D1826"/>
  <c r="F871"/>
  <c r="D916"/>
  <c r="D394" i="33"/>
  <c r="F394" s="1"/>
  <c r="F391" s="1"/>
  <c r="F2765" i="31"/>
  <c r="F2766" s="1"/>
  <c r="Q24" i="29"/>
  <c r="R23"/>
  <c r="D923" i="31"/>
  <c r="F878"/>
  <c r="F584" i="34"/>
  <c r="S716" i="31"/>
  <c r="D490" i="34"/>
  <c r="F93" i="24"/>
  <c r="F40"/>
  <c r="E463" i="33"/>
  <c r="D460"/>
  <c r="F432"/>
  <c r="F431" s="1"/>
  <c r="M98" i="24" s="1"/>
  <c r="D700" i="31"/>
  <c r="F654"/>
  <c r="F111" i="32"/>
  <c r="D2089" i="31"/>
  <c r="F2089" s="1"/>
  <c r="G65" i="24"/>
  <c r="D2243" i="31"/>
  <c r="F2243" s="1"/>
  <c r="D2122"/>
  <c r="F2122" s="1"/>
  <c r="F2113" s="1"/>
  <c r="D2123"/>
  <c r="F2123" s="1"/>
  <c r="Q21" i="29"/>
  <c r="R20"/>
  <c r="Q27"/>
  <c r="R26"/>
  <c r="D562" i="34" l="1"/>
  <c r="F562" s="1"/>
  <c r="N129" i="24" s="1"/>
  <c r="F1038" i="34"/>
  <c r="D1045" s="1"/>
  <c r="F1045" s="1"/>
  <c r="J138" i="24" s="1"/>
  <c r="D283" i="34"/>
  <c r="F283" s="1"/>
  <c r="K118" i="24" s="1"/>
  <c r="F42"/>
  <c r="D2124" i="31"/>
  <c r="F2124" s="1"/>
  <c r="D2125" s="1"/>
  <c r="F2125" s="1"/>
  <c r="F97" i="24"/>
  <c r="F1826" i="31"/>
  <c r="D1868"/>
  <c r="F1868" s="1"/>
  <c r="F870"/>
  <c r="D879"/>
  <c r="F879" s="1"/>
  <c r="D2164"/>
  <c r="D2130"/>
  <c r="F2130" s="1"/>
  <c r="F2101"/>
  <c r="D1715"/>
  <c r="F916"/>
  <c r="D1051"/>
  <c r="F1051" s="1"/>
  <c r="D961"/>
  <c r="D1865"/>
  <c r="F1865" s="1"/>
  <c r="F1823"/>
  <c r="R21" i="29"/>
  <c r="S20"/>
  <c r="D1680" i="31"/>
  <c r="D1058"/>
  <c r="F1058" s="1"/>
  <c r="D968"/>
  <c r="F923"/>
  <c r="F1905"/>
  <c r="D1946"/>
  <c r="D422" i="33"/>
  <c r="F422" s="1"/>
  <c r="F419" s="1"/>
  <c r="D412" i="34"/>
  <c r="F412" s="1"/>
  <c r="F411" s="1"/>
  <c r="D759"/>
  <c r="F759" s="1"/>
  <c r="D733"/>
  <c r="F733" s="1"/>
  <c r="D390"/>
  <c r="F390" s="1"/>
  <c r="F389" s="1"/>
  <c r="D507"/>
  <c r="F507" s="1"/>
  <c r="F506" s="1"/>
  <c r="G127" i="24" s="1"/>
  <c r="D434" i="34"/>
  <c r="F434" s="1"/>
  <c r="F433" s="1"/>
  <c r="D534"/>
  <c r="F534" s="1"/>
  <c r="F533" s="1"/>
  <c r="G128" i="24" s="1"/>
  <c r="D41" i="34"/>
  <c r="F41" s="1"/>
  <c r="D15"/>
  <c r="F15" s="1"/>
  <c r="D476" i="33"/>
  <c r="F448"/>
  <c r="E858" i="31"/>
  <c r="F90" i="24"/>
  <c r="R32" i="29"/>
  <c r="Q33"/>
  <c r="O119" i="24"/>
  <c r="D119" s="1"/>
  <c r="F312" i="34"/>
  <c r="F1907" i="31"/>
  <c r="D1948"/>
  <c r="R24" i="29"/>
  <c r="S23"/>
  <c r="F700" i="31"/>
  <c r="D747"/>
  <c r="K700"/>
  <c r="D2767"/>
  <c r="F2767" s="1"/>
  <c r="F2768" s="1"/>
  <c r="E355" i="34"/>
  <c r="F333"/>
  <c r="D1864" i="31"/>
  <c r="F1864" s="1"/>
  <c r="F1822"/>
  <c r="L68" i="24"/>
  <c r="D2724" i="31"/>
  <c r="F460" i="33"/>
  <c r="F459" s="1"/>
  <c r="M99" i="24" s="1"/>
  <c r="D488" i="33"/>
  <c r="F88" i="24"/>
  <c r="R27" i="29"/>
  <c r="S26"/>
  <c r="F41" i="24"/>
  <c r="E491" i="33"/>
  <c r="F1778" i="31"/>
  <c r="M59" i="24" s="1"/>
  <c r="F98" i="33"/>
  <c r="F68"/>
  <c r="D2029" i="31"/>
  <c r="F1988"/>
  <c r="K1988"/>
  <c r="F2085"/>
  <c r="H65" i="24"/>
  <c r="D1867" i="31"/>
  <c r="F1867" s="1"/>
  <c r="F1825"/>
  <c r="D585" i="34"/>
  <c r="F1908" i="31"/>
  <c r="D1949"/>
  <c r="D1945"/>
  <c r="F1904"/>
  <c r="Q34" i="29"/>
  <c r="F563" i="34" l="1"/>
  <c r="D564" s="1"/>
  <c r="D284"/>
  <c r="F284" s="1"/>
  <c r="L118" i="24" s="1"/>
  <c r="F1902" i="31"/>
  <c r="M63" i="24" s="1"/>
  <c r="D1044" i="34"/>
  <c r="F1044" s="1"/>
  <c r="I138" i="24" s="1"/>
  <c r="D2103" i="31"/>
  <c r="F1949"/>
  <c r="D1990"/>
  <c r="D413" i="34"/>
  <c r="F413" s="1"/>
  <c r="H124" i="24" s="1"/>
  <c r="D2062" i="31"/>
  <c r="F2062" s="1"/>
  <c r="D1978"/>
  <c r="D2093"/>
  <c r="F2093" s="1"/>
  <c r="I65" i="24" s="1"/>
  <c r="D2019" i="31"/>
  <c r="F2019" s="1"/>
  <c r="D2094"/>
  <c r="F2094" s="1"/>
  <c r="J65" i="24" s="1"/>
  <c r="F476" i="33"/>
  <c r="D504"/>
  <c r="D1059" i="31"/>
  <c r="F1059" s="1"/>
  <c r="F1050" s="1"/>
  <c r="F43" i="24"/>
  <c r="O120"/>
  <c r="D120" s="1"/>
  <c r="F334" i="34"/>
  <c r="F385"/>
  <c r="D391"/>
  <c r="F391" s="1"/>
  <c r="H126" i="24" s="1"/>
  <c r="G126"/>
  <c r="F961" i="31"/>
  <c r="D1006"/>
  <c r="F1006" s="1"/>
  <c r="F44" i="24"/>
  <c r="D1722" i="31"/>
  <c r="F1680"/>
  <c r="D1013"/>
  <c r="F1013" s="1"/>
  <c r="F968"/>
  <c r="S24" i="29"/>
  <c r="T23"/>
  <c r="D2099" i="31"/>
  <c r="D1986"/>
  <c r="F1945"/>
  <c r="F355" i="34"/>
  <c r="E377"/>
  <c r="E16" i="27"/>
  <c r="C16" s="1"/>
  <c r="Q36" i="29"/>
  <c r="D83" i="33"/>
  <c r="F83" s="1"/>
  <c r="K82" i="24" s="1"/>
  <c r="D504" i="34"/>
  <c r="F504" s="1"/>
  <c r="D531"/>
  <c r="F531" s="1"/>
  <c r="D435"/>
  <c r="F435" s="1"/>
  <c r="H123" i="24" s="1"/>
  <c r="G123"/>
  <c r="D2100" i="31"/>
  <c r="D1987"/>
  <c r="F1946"/>
  <c r="F2164"/>
  <c r="D2600"/>
  <c r="F2600" s="1"/>
  <c r="F1820"/>
  <c r="M60" i="24" s="1"/>
  <c r="M1988" i="31"/>
  <c r="R1988"/>
  <c r="D2102"/>
  <c r="D1989"/>
  <c r="F1948"/>
  <c r="D924"/>
  <c r="F924" s="1"/>
  <c r="F915" s="1"/>
  <c r="D450" i="33"/>
  <c r="F450" s="1"/>
  <c r="F447" s="1"/>
  <c r="S27" i="29"/>
  <c r="T26"/>
  <c r="R33"/>
  <c r="R34" s="1"/>
  <c r="S32"/>
  <c r="D2072" i="31"/>
  <c r="F2072" s="1"/>
  <c r="F2029"/>
  <c r="D794"/>
  <c r="F747"/>
  <c r="F98" i="24"/>
  <c r="F1715" i="31"/>
  <c r="D1758"/>
  <c r="H58" i="24"/>
  <c r="H55"/>
  <c r="H56" s="1"/>
  <c r="H52"/>
  <c r="H53" s="1"/>
  <c r="D113" i="33"/>
  <c r="F113" s="1"/>
  <c r="K84" i="24" s="1"/>
  <c r="E519" i="33"/>
  <c r="D516"/>
  <c r="F488"/>
  <c r="F487" s="1"/>
  <c r="M100" i="24" s="1"/>
  <c r="F2724" i="31"/>
  <c r="N68" i="24" s="1"/>
  <c r="M700" i="31"/>
  <c r="R700"/>
  <c r="T700" s="1"/>
  <c r="E903"/>
  <c r="T20" i="29"/>
  <c r="S21"/>
  <c r="F1862" i="31"/>
  <c r="M61" i="24" s="1"/>
  <c r="M62" s="1"/>
  <c r="D287" i="34" l="1"/>
  <c r="F287" s="1"/>
  <c r="N118" i="24" s="1"/>
  <c r="F2725" i="31"/>
  <c r="D114" i="33"/>
  <c r="F114" s="1"/>
  <c r="L84" i="24" s="1"/>
  <c r="F1037" i="34"/>
  <c r="F99" i="24"/>
  <c r="E21" i="27"/>
  <c r="C21" s="1"/>
  <c r="R36" i="29"/>
  <c r="F49" i="24"/>
  <c r="F45"/>
  <c r="U23" i="29"/>
  <c r="T24"/>
  <c r="D1046" i="34"/>
  <c r="F1046" s="1"/>
  <c r="K138" i="24" s="1"/>
  <c r="D2163" i="31"/>
  <c r="D2129"/>
  <c r="F2129" s="1"/>
  <c r="F2100"/>
  <c r="K83" i="24"/>
  <c r="D2162" i="31"/>
  <c r="D2128"/>
  <c r="F2128" s="1"/>
  <c r="F2099"/>
  <c r="F1990"/>
  <c r="K1990"/>
  <c r="D2031"/>
  <c r="U26" i="29"/>
  <c r="T27"/>
  <c r="D1014" i="31"/>
  <c r="F1014" s="1"/>
  <c r="F1005" s="1"/>
  <c r="F1758"/>
  <c r="D1800"/>
  <c r="D1884"/>
  <c r="F1987"/>
  <c r="K1987"/>
  <c r="D2028"/>
  <c r="D2027"/>
  <c r="F1986"/>
  <c r="K1986"/>
  <c r="F1722"/>
  <c r="D1763"/>
  <c r="D393" i="34"/>
  <c r="F393" s="1"/>
  <c r="I126" i="24" s="1"/>
  <c r="D394" i="34"/>
  <c r="F394" s="1"/>
  <c r="J126" i="24" s="1"/>
  <c r="D478" i="33"/>
  <c r="F478" s="1"/>
  <c r="F475" s="1"/>
  <c r="D40" i="34"/>
  <c r="F40" s="1"/>
  <c r="D14"/>
  <c r="F14" s="1"/>
  <c r="F1978" i="31"/>
  <c r="K1978"/>
  <c r="T21" i="29"/>
  <c r="U20"/>
  <c r="D544" i="33"/>
  <c r="F544" s="1"/>
  <c r="F543" s="1"/>
  <c r="M102" i="24" s="1"/>
  <c r="F516" i="33"/>
  <c r="F515" s="1"/>
  <c r="M101" i="24" s="1"/>
  <c r="F794" i="31"/>
  <c r="D842"/>
  <c r="T1988"/>
  <c r="Y1988"/>
  <c r="AA1988" s="1"/>
  <c r="F1676"/>
  <c r="D1681"/>
  <c r="F1681" s="1"/>
  <c r="D532" i="33"/>
  <c r="F532" s="1"/>
  <c r="F504"/>
  <c r="F429" i="34"/>
  <c r="D84" i="33"/>
  <c r="F84" s="1"/>
  <c r="F1943" i="31"/>
  <c r="M64" i="24" s="1"/>
  <c r="F407" i="34"/>
  <c r="F2103" i="31"/>
  <c r="D2166"/>
  <c r="D2132"/>
  <c r="F2132" s="1"/>
  <c r="T32" i="29"/>
  <c r="S33"/>
  <c r="E948" i="31"/>
  <c r="D2165"/>
  <c r="F2102"/>
  <c r="D2131"/>
  <c r="F2131" s="1"/>
  <c r="D505" i="34"/>
  <c r="F505" s="1"/>
  <c r="F502" s="1"/>
  <c r="O121" i="24"/>
  <c r="D121" s="1"/>
  <c r="F356" i="34"/>
  <c r="S34" i="29"/>
  <c r="F2084" i="31"/>
  <c r="E547" i="33"/>
  <c r="D2030" i="31"/>
  <c r="F1989"/>
  <c r="K1989"/>
  <c r="D532" i="34"/>
  <c r="F532" s="1"/>
  <c r="F529" s="1"/>
  <c r="E399"/>
  <c r="F377"/>
  <c r="D969" i="31"/>
  <c r="F969" s="1"/>
  <c r="F960" s="1"/>
  <c r="F288" i="34" l="1"/>
  <c r="D1047"/>
  <c r="F1047" s="1"/>
  <c r="L138" i="24" s="1"/>
  <c r="F2727" i="31"/>
  <c r="D119" i="33"/>
  <c r="F119" s="1"/>
  <c r="N84" i="24" s="1"/>
  <c r="F1984" i="31"/>
  <c r="M52" i="24" s="1"/>
  <c r="M53" s="1"/>
  <c r="D2726" i="31"/>
  <c r="F2726" s="1"/>
  <c r="O68" i="24" s="1"/>
  <c r="D68" s="1"/>
  <c r="D1723" i="31"/>
  <c r="F1723" s="1"/>
  <c r="F1714" s="1"/>
  <c r="F57" i="24" s="1"/>
  <c r="F47"/>
  <c r="F100"/>
  <c r="F498" i="34"/>
  <c r="F127" i="24"/>
  <c r="F48"/>
  <c r="E22" i="27"/>
  <c r="C22" s="1"/>
  <c r="S36" i="29"/>
  <c r="F1800" i="31"/>
  <c r="D1842"/>
  <c r="F1842" s="1"/>
  <c r="D2074"/>
  <c r="F2074" s="1"/>
  <c r="F2031"/>
  <c r="V23" i="29"/>
  <c r="U24"/>
  <c r="D536" i="33"/>
  <c r="F536" s="1"/>
  <c r="F535" s="1"/>
  <c r="G102" i="24" s="1"/>
  <c r="D424" i="33"/>
  <c r="F424" s="1"/>
  <c r="F423" s="1"/>
  <c r="D668"/>
  <c r="F668" s="1"/>
  <c r="F667" s="1"/>
  <c r="D452"/>
  <c r="F452" s="1"/>
  <c r="F451" s="1"/>
  <c r="D640"/>
  <c r="F640" s="1"/>
  <c r="F639" s="1"/>
  <c r="D508"/>
  <c r="F508" s="1"/>
  <c r="F507" s="1"/>
  <c r="G101" i="24" s="1"/>
  <c r="D396" i="33"/>
  <c r="F396" s="1"/>
  <c r="F395" s="1"/>
  <c r="D18"/>
  <c r="F18" s="1"/>
  <c r="F17" s="1"/>
  <c r="D228"/>
  <c r="F228" s="1"/>
  <c r="F227" s="1"/>
  <c r="D198"/>
  <c r="F198" s="1"/>
  <c r="F197" s="1"/>
  <c r="D168"/>
  <c r="F168" s="1"/>
  <c r="F167" s="1"/>
  <c r="D2399" i="31"/>
  <c r="F2399" s="1"/>
  <c r="D2193"/>
  <c r="F2193" s="1"/>
  <c r="D480" i="33"/>
  <c r="F480" s="1"/>
  <c r="F479" s="1"/>
  <c r="G100" i="24" s="1"/>
  <c r="D368" i="33"/>
  <c r="F368" s="1"/>
  <c r="F367" s="1"/>
  <c r="D340"/>
  <c r="F340" s="1"/>
  <c r="F339" s="1"/>
  <c r="D312"/>
  <c r="F312" s="1"/>
  <c r="F311" s="1"/>
  <c r="D138"/>
  <c r="F138" s="1"/>
  <c r="F137" s="1"/>
  <c r="D2477" i="31"/>
  <c r="F2477" s="1"/>
  <c r="D256" i="33"/>
  <c r="F256" s="1"/>
  <c r="F255" s="1"/>
  <c r="D1975" i="31"/>
  <c r="F1975" s="1"/>
  <c r="D1852"/>
  <c r="F1852" s="1"/>
  <c r="D1810"/>
  <c r="F1810" s="1"/>
  <c r="D1768"/>
  <c r="F1768" s="1"/>
  <c r="D2016"/>
  <c r="F2016" s="1"/>
  <c r="D1684"/>
  <c r="F1684" s="1"/>
  <c r="D1537"/>
  <c r="F1537" s="1"/>
  <c r="D284" i="33"/>
  <c r="F284" s="1"/>
  <c r="F283" s="1"/>
  <c r="D2059" i="31"/>
  <c r="F2059" s="1"/>
  <c r="K1975"/>
  <c r="M1975" s="1"/>
  <c r="D1934"/>
  <c r="F1934" s="1"/>
  <c r="D1646"/>
  <c r="F1646" s="1"/>
  <c r="D1314"/>
  <c r="F1314" s="1"/>
  <c r="D2361"/>
  <c r="F2361" s="1"/>
  <c r="D1727"/>
  <c r="F1727" s="1"/>
  <c r="D48" i="33"/>
  <c r="F48" s="1"/>
  <c r="F47" s="1"/>
  <c r="D2438" i="31"/>
  <c r="F2438" s="1"/>
  <c r="R1975"/>
  <c r="T1975" s="1"/>
  <c r="D1493"/>
  <c r="F1493" s="1"/>
  <c r="K2399"/>
  <c r="M2399" s="1"/>
  <c r="D2319"/>
  <c r="F2319" s="1"/>
  <c r="D2237"/>
  <c r="F2237" s="1"/>
  <c r="D1893"/>
  <c r="F1893" s="1"/>
  <c r="Y1975"/>
  <c r="AA1975" s="1"/>
  <c r="D1275"/>
  <c r="F1275" s="1"/>
  <c r="D1233"/>
  <c r="F1233" s="1"/>
  <c r="D1191"/>
  <c r="F1191" s="1"/>
  <c r="D1147"/>
  <c r="F1147" s="1"/>
  <c r="D1105"/>
  <c r="F1105" s="1"/>
  <c r="D790"/>
  <c r="F790" s="1"/>
  <c r="D1445"/>
  <c r="F1445" s="1"/>
  <c r="D1350"/>
  <c r="F1350" s="1"/>
  <c r="D696"/>
  <c r="F696" s="1"/>
  <c r="D650"/>
  <c r="F650" s="1"/>
  <c r="D556"/>
  <c r="F556" s="1"/>
  <c r="D462"/>
  <c r="F462" s="1"/>
  <c r="D270"/>
  <c r="F270" s="1"/>
  <c r="D1397"/>
  <c r="F1397" s="1"/>
  <c r="D743"/>
  <c r="F743" s="1"/>
  <c r="K696"/>
  <c r="M696" s="1"/>
  <c r="D318"/>
  <c r="F318" s="1"/>
  <c r="D222"/>
  <c r="F222" s="1"/>
  <c r="D1018"/>
  <c r="F1018" s="1"/>
  <c r="D603"/>
  <c r="F603" s="1"/>
  <c r="K222"/>
  <c r="M222" s="1"/>
  <c r="D973"/>
  <c r="F973" s="1"/>
  <c r="D78"/>
  <c r="F78" s="1"/>
  <c r="D928"/>
  <c r="F928" s="1"/>
  <c r="D366"/>
  <c r="F366" s="1"/>
  <c r="D883"/>
  <c r="F883" s="1"/>
  <c r="D30"/>
  <c r="F30" s="1"/>
  <c r="R696"/>
  <c r="T696" s="1"/>
  <c r="D509"/>
  <c r="F509" s="1"/>
  <c r="D414"/>
  <c r="F414" s="1"/>
  <c r="D174"/>
  <c r="F174" s="1"/>
  <c r="D1063"/>
  <c r="F1063" s="1"/>
  <c r="D838"/>
  <c r="F838" s="1"/>
  <c r="D126"/>
  <c r="F126" s="1"/>
  <c r="F54" i="24"/>
  <c r="D42" i="34"/>
  <c r="F42" s="1"/>
  <c r="F37" s="1"/>
  <c r="F1763" i="31"/>
  <c r="D1764" s="1"/>
  <c r="F1764" s="1"/>
  <c r="F1757" s="1"/>
  <c r="D2054"/>
  <c r="F2054" s="1"/>
  <c r="D1805"/>
  <c r="D1346"/>
  <c r="F1346" s="1"/>
  <c r="D2148"/>
  <c r="F2148" s="1"/>
  <c r="F1884"/>
  <c r="D1924"/>
  <c r="M1989"/>
  <c r="R1989"/>
  <c r="D2601"/>
  <c r="F2601" s="1"/>
  <c r="F2165"/>
  <c r="E443" i="34"/>
  <c r="E421"/>
  <c r="D16"/>
  <c r="F16" s="1"/>
  <c r="F11" s="1"/>
  <c r="F120" i="33"/>
  <c r="D2599" i="31"/>
  <c r="F2599" s="1"/>
  <c r="F2163"/>
  <c r="F46" i="24"/>
  <c r="D534" i="33"/>
  <c r="F534" s="1"/>
  <c r="F531" s="1"/>
  <c r="U32" i="29"/>
  <c r="T33"/>
  <c r="T34" s="1"/>
  <c r="F428" i="34"/>
  <c r="D437"/>
  <c r="F437" s="1"/>
  <c r="I123" i="24" s="1"/>
  <c r="D438" i="34"/>
  <c r="F438" s="1"/>
  <c r="J123" i="24" s="1"/>
  <c r="M1987" i="31"/>
  <c r="R1987"/>
  <c r="V26" i="29"/>
  <c r="U27"/>
  <c r="F2162" i="31"/>
  <c r="D2598"/>
  <c r="F2598" s="1"/>
  <c r="F50" i="24"/>
  <c r="F525" i="34"/>
  <c r="F128" i="24"/>
  <c r="M1986" i="31"/>
  <c r="R1986"/>
  <c r="D2095"/>
  <c r="F2095" s="1"/>
  <c r="F2166"/>
  <c r="D2602"/>
  <c r="F2602" s="1"/>
  <c r="D506" i="33"/>
  <c r="F506" s="1"/>
  <c r="F503" s="1"/>
  <c r="D2073" i="31"/>
  <c r="F2073" s="1"/>
  <c r="F2030"/>
  <c r="D887"/>
  <c r="F842"/>
  <c r="M1978"/>
  <c r="R1978"/>
  <c r="D2071"/>
  <c r="F2071" s="1"/>
  <c r="F2028"/>
  <c r="F384" i="34"/>
  <c r="F2126" i="31"/>
  <c r="D2133" s="1"/>
  <c r="D416" i="34"/>
  <c r="F416" s="1"/>
  <c r="J124" i="24" s="1"/>
  <c r="D415" i="34"/>
  <c r="F415" s="1"/>
  <c r="I124" i="24" s="1"/>
  <c r="M1990" i="31"/>
  <c r="R1990"/>
  <c r="U21" i="29"/>
  <c r="V20"/>
  <c r="O122" i="24"/>
  <c r="D122" s="1"/>
  <c r="F378" i="34"/>
  <c r="E993" i="31"/>
  <c r="E1083"/>
  <c r="L82" i="24"/>
  <c r="L83" s="1"/>
  <c r="D89" i="33"/>
  <c r="F89" s="1"/>
  <c r="D2070" i="31"/>
  <c r="F2070" s="1"/>
  <c r="F2027"/>
  <c r="F2097"/>
  <c r="M65" i="24" s="1"/>
  <c r="F290" i="34" l="1"/>
  <c r="D289"/>
  <c r="F289" s="1"/>
  <c r="O118" i="24" s="1"/>
  <c r="D118" s="1"/>
  <c r="F2596" i="31"/>
  <c r="M141" i="24" s="1"/>
  <c r="D1050" i="34"/>
  <c r="F1050" s="1"/>
  <c r="F2160" i="31"/>
  <c r="M66" i="24" s="1"/>
  <c r="F2068" i="31"/>
  <c r="M58" i="24" s="1"/>
  <c r="F471" i="33"/>
  <c r="D483" s="1"/>
  <c r="F483" s="1"/>
  <c r="I100" i="24" s="1"/>
  <c r="F527" i="33"/>
  <c r="F102" i="24"/>
  <c r="F59"/>
  <c r="D17" i="34"/>
  <c r="F17" s="1"/>
  <c r="H108" i="24" s="1"/>
  <c r="G108"/>
  <c r="E23" i="27"/>
  <c r="C23" s="1"/>
  <c r="T36" i="29"/>
  <c r="F35" i="34"/>
  <c r="D43"/>
  <c r="F43" s="1"/>
  <c r="W23" i="29"/>
  <c r="V24"/>
  <c r="W20"/>
  <c r="V21"/>
  <c r="G94" i="24"/>
  <c r="F303" i="33"/>
  <c r="G91" i="24"/>
  <c r="F219" i="33"/>
  <c r="F2025" i="31"/>
  <c r="M55" i="24" s="1"/>
  <c r="M56" s="1"/>
  <c r="D2150" i="31"/>
  <c r="F2150" s="1"/>
  <c r="F2147" s="1"/>
  <c r="G95" i="24"/>
  <c r="F359" i="33"/>
  <c r="D395" i="34"/>
  <c r="F395" s="1"/>
  <c r="K126" i="24" s="1"/>
  <c r="G85"/>
  <c r="F129" i="33"/>
  <c r="G89" i="24"/>
  <c r="F189" i="33"/>
  <c r="G98" i="24"/>
  <c r="F415" i="33"/>
  <c r="D121"/>
  <c r="F121" s="1"/>
  <c r="O84" i="24" s="1"/>
  <c r="D84" s="1"/>
  <c r="D2096" i="31"/>
  <c r="F2096" s="1"/>
  <c r="L65" i="24" s="1"/>
  <c r="K65"/>
  <c r="D1889" i="31"/>
  <c r="F1889" s="1"/>
  <c r="F1883" s="1"/>
  <c r="G96" i="24"/>
  <c r="F331" i="33"/>
  <c r="E468" i="34"/>
  <c r="E490"/>
  <c r="G87" i="24"/>
  <c r="F159" i="33"/>
  <c r="G104" i="24"/>
  <c r="F660" i="33"/>
  <c r="G97" i="24"/>
  <c r="F387" i="33"/>
  <c r="F2133" i="31"/>
  <c r="F2134" s="1"/>
  <c r="F499" i="33"/>
  <c r="F101" i="24"/>
  <c r="D536" i="34"/>
  <c r="F536" s="1"/>
  <c r="I128" i="24" s="1"/>
  <c r="D537" i="34"/>
  <c r="F537" s="1"/>
  <c r="J128" i="24" s="1"/>
  <c r="Y1987" i="31"/>
  <c r="AA1987" s="1"/>
  <c r="T1987"/>
  <c r="G80" i="24"/>
  <c r="F39" i="33"/>
  <c r="G93" i="24"/>
  <c r="F275" i="33"/>
  <c r="G92" i="24"/>
  <c r="F247" i="33"/>
  <c r="G99" i="24"/>
  <c r="F443" i="33"/>
  <c r="F406" i="34"/>
  <c r="N82" i="24"/>
  <c r="N83" s="1"/>
  <c r="F90" i="33"/>
  <c r="F887" i="31"/>
  <c r="D932"/>
  <c r="F1924"/>
  <c r="D2047"/>
  <c r="F2047" s="1"/>
  <c r="E1038"/>
  <c r="Y1978"/>
  <c r="AA1978" s="1"/>
  <c r="T1978"/>
  <c r="E1125"/>
  <c r="V27" i="29"/>
  <c r="W26"/>
  <c r="T1989" i="31"/>
  <c r="Y1989"/>
  <c r="AA1989" s="1"/>
  <c r="F1805"/>
  <c r="D1847"/>
  <c r="F1847" s="1"/>
  <c r="D1848" s="1"/>
  <c r="F1848" s="1"/>
  <c r="F1841" s="1"/>
  <c r="G103" i="24"/>
  <c r="F631" i="33"/>
  <c r="D510" i="34"/>
  <c r="F510" s="1"/>
  <c r="J127" i="24" s="1"/>
  <c r="D509" i="34"/>
  <c r="F509" s="1"/>
  <c r="I127" i="24" s="1"/>
  <c r="T1986" i="31"/>
  <c r="Y1986"/>
  <c r="AA1986" s="1"/>
  <c r="D439" i="34"/>
  <c r="F439" s="1"/>
  <c r="K123" i="24" s="1"/>
  <c r="G78"/>
  <c r="F9" i="33"/>
  <c r="Y1990" i="31"/>
  <c r="AA1990" s="1"/>
  <c r="T1990"/>
  <c r="V32" i="29"/>
  <c r="U33"/>
  <c r="U34" s="1"/>
  <c r="D1347" i="31"/>
  <c r="F1347" s="1"/>
  <c r="F1344" s="1"/>
  <c r="M1984"/>
  <c r="D484" i="33" l="1"/>
  <c r="F484" s="1"/>
  <c r="J100" i="24" s="1"/>
  <c r="F9" i="34"/>
  <c r="D20" s="1"/>
  <c r="F20" s="1"/>
  <c r="J108" i="24" s="1"/>
  <c r="F122" i="33"/>
  <c r="N138" i="24"/>
  <c r="F1051" i="34"/>
  <c r="D1052" s="1"/>
  <c r="F1052" s="1"/>
  <c r="O138" i="24" s="1"/>
  <c r="D440" i="34"/>
  <c r="F440" s="1"/>
  <c r="L123" i="24" s="1"/>
  <c r="T1984" i="31"/>
  <c r="F66" i="24"/>
  <c r="F63"/>
  <c r="U36" i="29"/>
  <c r="E24" i="27"/>
  <c r="C24" s="1"/>
  <c r="F61" i="24"/>
  <c r="V33" i="29"/>
  <c r="W32"/>
  <c r="G88" i="24"/>
  <c r="D1067" i="31"/>
  <c r="F1067" s="1"/>
  <c r="D977"/>
  <c r="F932"/>
  <c r="D172" i="33"/>
  <c r="F172" s="1"/>
  <c r="J87" i="24" s="1"/>
  <c r="J88" s="1"/>
  <c r="D171" i="33"/>
  <c r="F171" s="1"/>
  <c r="I87" i="24" s="1"/>
  <c r="I88" s="1"/>
  <c r="D45" i="34"/>
  <c r="F45" s="1"/>
  <c r="F34" s="1"/>
  <c r="D46"/>
  <c r="F46" s="1"/>
  <c r="D417"/>
  <c r="F417" s="1"/>
  <c r="K124" i="24" s="1"/>
  <c r="D399" i="33"/>
  <c r="F399" s="1"/>
  <c r="I97" i="24" s="1"/>
  <c r="D400" i="33"/>
  <c r="F400" s="1"/>
  <c r="J97" i="24" s="1"/>
  <c r="G86"/>
  <c r="X23" i="29"/>
  <c r="W24"/>
  <c r="D2104" i="31"/>
  <c r="D51" i="33"/>
  <c r="F51" s="1"/>
  <c r="I80" i="24" s="1"/>
  <c r="I81" s="1"/>
  <c r="D52" i="33"/>
  <c r="F52" s="1"/>
  <c r="J80" i="24" s="1"/>
  <c r="J81" s="1"/>
  <c r="D428" i="33"/>
  <c r="F428" s="1"/>
  <c r="J98" i="24" s="1"/>
  <c r="D427" i="33"/>
  <c r="F427" s="1"/>
  <c r="I98" i="24" s="1"/>
  <c r="E1211" i="31"/>
  <c r="E1169"/>
  <c r="D259" i="33"/>
  <c r="F259" s="1"/>
  <c r="I92" i="24" s="1"/>
  <c r="D260" i="33"/>
  <c r="F260" s="1"/>
  <c r="J92" i="24" s="1"/>
  <c r="D2135" i="31"/>
  <c r="F2135" s="1"/>
  <c r="F2136" s="1"/>
  <c r="D671" i="33"/>
  <c r="F671" s="1"/>
  <c r="I104" i="24" s="1"/>
  <c r="D672" i="33"/>
  <c r="F672" s="1"/>
  <c r="J104" i="24" s="1"/>
  <c r="D141" i="33"/>
  <c r="F141" s="1"/>
  <c r="I85" i="24" s="1"/>
  <c r="I86" s="1"/>
  <c r="D142" i="33"/>
  <c r="F142" s="1"/>
  <c r="J85" i="24" s="1"/>
  <c r="J86" s="1"/>
  <c r="D315" i="33"/>
  <c r="F315" s="1"/>
  <c r="I94" i="24" s="1"/>
  <c r="D316" i="33"/>
  <c r="F316" s="1"/>
  <c r="J94" i="24" s="1"/>
  <c r="D91" i="33"/>
  <c r="F91" s="1"/>
  <c r="O82" i="24" s="1"/>
  <c r="D287" i="33"/>
  <c r="F287" s="1"/>
  <c r="I93" i="24" s="1"/>
  <c r="D288" i="33"/>
  <c r="F288" s="1"/>
  <c r="J93" i="24" s="1"/>
  <c r="D21" i="33"/>
  <c r="F21" s="1"/>
  <c r="I78" i="24" s="1"/>
  <c r="I79" s="1"/>
  <c r="D22" i="33"/>
  <c r="F22" s="1"/>
  <c r="J78" i="24" s="1"/>
  <c r="J79" s="1"/>
  <c r="D343" i="33"/>
  <c r="F343" s="1"/>
  <c r="I96" i="24" s="1"/>
  <c r="D344" i="33"/>
  <c r="F344" s="1"/>
  <c r="J96" i="24" s="1"/>
  <c r="G90"/>
  <c r="X20" i="29"/>
  <c r="W21"/>
  <c r="F524" i="34"/>
  <c r="AA1984" i="31"/>
  <c r="D1806"/>
  <c r="F1806" s="1"/>
  <c r="F1799" s="1"/>
  <c r="D1930"/>
  <c r="F1930" s="1"/>
  <c r="F1923" s="1"/>
  <c r="G79" i="24"/>
  <c r="D643" i="33"/>
  <c r="F643" s="1"/>
  <c r="I103" i="24" s="1"/>
  <c r="D644" i="33"/>
  <c r="F644" s="1"/>
  <c r="J103" i="24" s="1"/>
  <c r="X26" i="29"/>
  <c r="W27"/>
  <c r="D455" i="33"/>
  <c r="F455" s="1"/>
  <c r="I99" i="24" s="1"/>
  <c r="D456" i="33"/>
  <c r="F456" s="1"/>
  <c r="J99" i="24" s="1"/>
  <c r="D511" i="33"/>
  <c r="F511" s="1"/>
  <c r="I101" i="24" s="1"/>
  <c r="D512" i="33"/>
  <c r="F512" s="1"/>
  <c r="J101" i="24" s="1"/>
  <c r="D202" i="33"/>
  <c r="F202" s="1"/>
  <c r="J89" i="24" s="1"/>
  <c r="J90" s="1"/>
  <c r="D201" i="33"/>
  <c r="F201" s="1"/>
  <c r="I89" i="24" s="1"/>
  <c r="I90" s="1"/>
  <c r="D371" i="33"/>
  <c r="F371" s="1"/>
  <c r="I95" i="24" s="1"/>
  <c r="D372" i="33"/>
  <c r="F372" s="1"/>
  <c r="J95" i="24" s="1"/>
  <c r="D232" i="33"/>
  <c r="F232" s="1"/>
  <c r="J91" i="24" s="1"/>
  <c r="D231" i="33"/>
  <c r="F231" s="1"/>
  <c r="I91" i="24" s="1"/>
  <c r="V34" i="29"/>
  <c r="E517" i="34"/>
  <c r="F490"/>
  <c r="D540" i="33"/>
  <c r="F540" s="1"/>
  <c r="J102" i="24" s="1"/>
  <c r="D539" i="33"/>
  <c r="F539" s="1"/>
  <c r="I102" i="24" s="1"/>
  <c r="G81"/>
  <c r="D1019" i="31"/>
  <c r="F1019" s="1"/>
  <c r="D463"/>
  <c r="F463" s="1"/>
  <c r="D415"/>
  <c r="F415" s="1"/>
  <c r="F497" i="34"/>
  <c r="D396"/>
  <c r="F396" s="1"/>
  <c r="F470" i="33" l="1"/>
  <c r="D485" s="1"/>
  <c r="F485" s="1"/>
  <c r="K100" i="24" s="1"/>
  <c r="D138"/>
  <c r="D19" i="34"/>
  <c r="F19" s="1"/>
  <c r="I108" i="24" s="1"/>
  <c r="F38" i="33"/>
  <c r="D53" s="1"/>
  <c r="F53" s="1"/>
  <c r="K80" i="24" s="1"/>
  <c r="F1053" i="34"/>
  <c r="F386" i="33"/>
  <c r="F8"/>
  <c r="D23" s="1"/>
  <c r="F23" s="1"/>
  <c r="K78" i="24" s="1"/>
  <c r="K79" s="1"/>
  <c r="D441" i="34"/>
  <c r="F441" s="1"/>
  <c r="F442" i="33"/>
  <c r="D457" s="1"/>
  <c r="F457" s="1"/>
  <c r="K99" i="24" s="1"/>
  <c r="F498" i="33"/>
  <c r="D513" s="1"/>
  <c r="F513" s="1"/>
  <c r="K101" i="24" s="1"/>
  <c r="F60"/>
  <c r="D47" i="34"/>
  <c r="F47" s="1"/>
  <c r="D401" i="33"/>
  <c r="F401" s="1"/>
  <c r="K97" i="24" s="1"/>
  <c r="D1022" i="31"/>
  <c r="F1022" s="1"/>
  <c r="F977"/>
  <c r="F218" i="33"/>
  <c r="F128"/>
  <c r="E1253" i="31"/>
  <c r="F2104"/>
  <c r="N65" i="24" s="1"/>
  <c r="D538" i="34"/>
  <c r="F538" s="1"/>
  <c r="K128" i="24" s="1"/>
  <c r="F62"/>
  <c r="F414" i="33"/>
  <c r="F630"/>
  <c r="F246"/>
  <c r="D511" i="34"/>
  <c r="F511" s="1"/>
  <c r="K127" i="24" s="1"/>
  <c r="X27" i="29"/>
  <c r="Y26"/>
  <c r="O83" i="24"/>
  <c r="D83" s="1"/>
  <c r="D82"/>
  <c r="Y23" i="29"/>
  <c r="X24"/>
  <c r="F526" i="33"/>
  <c r="F188"/>
  <c r="F302"/>
  <c r="E542" i="34"/>
  <c r="O125" i="24"/>
  <c r="D125" s="1"/>
  <c r="E120" i="48" s="1"/>
  <c r="F491" i="34"/>
  <c r="F64" i="24"/>
  <c r="W33" i="29"/>
  <c r="W34" s="1"/>
  <c r="X32"/>
  <c r="F330" i="33"/>
  <c r="F92"/>
  <c r="F659"/>
  <c r="F158"/>
  <c r="X21" i="29"/>
  <c r="Y20"/>
  <c r="L126" i="24"/>
  <c r="D397" i="34"/>
  <c r="F397" s="1"/>
  <c r="N126" i="24" s="1"/>
  <c r="E25" i="27"/>
  <c r="C25" s="1"/>
  <c r="V36" i="29"/>
  <c r="D2194" i="31"/>
  <c r="F2194" s="1"/>
  <c r="D1853"/>
  <c r="F1853" s="1"/>
  <c r="D1811"/>
  <c r="F1811" s="1"/>
  <c r="D1769"/>
  <c r="F1769" s="1"/>
  <c r="D1398"/>
  <c r="F1398" s="1"/>
  <c r="D1276"/>
  <c r="F1276" s="1"/>
  <c r="D1234"/>
  <c r="F1234" s="1"/>
  <c r="D1192"/>
  <c r="F1192" s="1"/>
  <c r="D1538"/>
  <c r="F1538" s="1"/>
  <c r="D1647"/>
  <c r="F1647" s="1"/>
  <c r="D1728"/>
  <c r="F1728" s="1"/>
  <c r="D2238"/>
  <c r="F2238" s="1"/>
  <c r="D1064"/>
  <c r="F1064" s="1"/>
  <c r="D974"/>
  <c r="F974" s="1"/>
  <c r="D929"/>
  <c r="F929" s="1"/>
  <c r="D839"/>
  <c r="F839" s="1"/>
  <c r="D697"/>
  <c r="F697" s="1"/>
  <c r="D604"/>
  <c r="F604" s="1"/>
  <c r="D510"/>
  <c r="F510" s="1"/>
  <c r="D1494"/>
  <c r="F1494" s="1"/>
  <c r="D1148"/>
  <c r="F1148" s="1"/>
  <c r="D1106"/>
  <c r="F1106" s="1"/>
  <c r="D791"/>
  <c r="F791" s="1"/>
  <c r="K697"/>
  <c r="M697" s="1"/>
  <c r="D319"/>
  <c r="F319" s="1"/>
  <c r="D1446"/>
  <c r="F1446" s="1"/>
  <c r="D1351"/>
  <c r="F1351" s="1"/>
  <c r="R697"/>
  <c r="T697" s="1"/>
  <c r="D651"/>
  <c r="F651" s="1"/>
  <c r="D557"/>
  <c r="F557" s="1"/>
  <c r="D127"/>
  <c r="F127" s="1"/>
  <c r="D223"/>
  <c r="F223" s="1"/>
  <c r="D271"/>
  <c r="F271" s="1"/>
  <c r="D79"/>
  <c r="F79" s="1"/>
  <c r="D744"/>
  <c r="F744" s="1"/>
  <c r="D175"/>
  <c r="F175" s="1"/>
  <c r="K223"/>
  <c r="M223" s="1"/>
  <c r="D31"/>
  <c r="F31" s="1"/>
  <c r="D367"/>
  <c r="F367" s="1"/>
  <c r="F358" i="33"/>
  <c r="F274"/>
  <c r="D418" i="34"/>
  <c r="F418" s="1"/>
  <c r="D458" i="33" l="1"/>
  <c r="F458" s="1"/>
  <c r="L99" i="24" s="1"/>
  <c r="F8" i="34"/>
  <c r="D21" s="1"/>
  <c r="F21" s="1"/>
  <c r="K108" i="24" s="1"/>
  <c r="N123"/>
  <c r="F442" i="34"/>
  <c r="W36" i="29"/>
  <c r="E26" i="27"/>
  <c r="C26" s="1"/>
  <c r="D1685" i="31"/>
  <c r="F1685" s="1"/>
  <c r="D884"/>
  <c r="F884" s="1"/>
  <c r="D290" i="33"/>
  <c r="F290" s="1"/>
  <c r="L93" i="24" s="1"/>
  <c r="D289" i="33"/>
  <c r="F289" s="1"/>
  <c r="K93" i="24" s="1"/>
  <c r="D144" i="33"/>
  <c r="F144" s="1"/>
  <c r="L85" i="24" s="1"/>
  <c r="L86" s="1"/>
  <c r="D143" i="33"/>
  <c r="F143" s="1"/>
  <c r="K85" i="24" s="1"/>
  <c r="E1295" i="31"/>
  <c r="D54" i="33"/>
  <c r="F54" s="1"/>
  <c r="D512" i="34"/>
  <c r="F512" s="1"/>
  <c r="D317" i="33"/>
  <c r="F317" s="1"/>
  <c r="K94" i="24" s="1"/>
  <c r="X33" i="29"/>
  <c r="X34" s="1"/>
  <c r="X36" s="1"/>
  <c r="Y32"/>
  <c r="L124" i="24"/>
  <c r="D419" i="34"/>
  <c r="F419" s="1"/>
  <c r="Y21" i="29"/>
  <c r="Z20"/>
  <c r="Y24"/>
  <c r="Z23"/>
  <c r="D514" i="33"/>
  <c r="F514" s="1"/>
  <c r="L101" i="24" s="1"/>
  <c r="D539" i="34"/>
  <c r="F539" s="1"/>
  <c r="F120" i="48"/>
  <c r="E99"/>
  <c r="E136"/>
  <c r="I120"/>
  <c r="K81" i="24"/>
  <c r="D233" i="33"/>
  <c r="F233" s="1"/>
  <c r="K91" i="24" s="1"/>
  <c r="D1108" i="31"/>
  <c r="F1108" s="1"/>
  <c r="F1104" s="1"/>
  <c r="D1278"/>
  <c r="F1278" s="1"/>
  <c r="F1274" s="1"/>
  <c r="Y27" i="29"/>
  <c r="Z26"/>
  <c r="D24" i="33"/>
  <c r="F24" s="1"/>
  <c r="D402"/>
  <c r="F402" s="1"/>
  <c r="L97" i="24" s="1"/>
  <c r="D1236" i="31"/>
  <c r="F1236" s="1"/>
  <c r="F1232" s="1"/>
  <c r="D345" i="33"/>
  <c r="F345" s="1"/>
  <c r="K96" i="24" s="1"/>
  <c r="D541" i="33"/>
  <c r="F541" s="1"/>
  <c r="K102" i="24" s="1"/>
  <c r="F398" i="34"/>
  <c r="D48"/>
  <c r="F48" s="1"/>
  <c r="D51" s="1"/>
  <c r="F51" s="1"/>
  <c r="D673" i="33"/>
  <c r="F673" s="1"/>
  <c r="K104" i="24" s="1"/>
  <c r="D645" i="33"/>
  <c r="F645" s="1"/>
  <c r="K103" i="24" s="1"/>
  <c r="D261" i="33"/>
  <c r="F261" s="1"/>
  <c r="K92" i="24" s="1"/>
  <c r="D1352" i="31"/>
  <c r="F1352" s="1"/>
  <c r="F1348" s="1"/>
  <c r="D173" i="33"/>
  <c r="F173" s="1"/>
  <c r="K87" i="24" s="1"/>
  <c r="D373" i="33"/>
  <c r="F373" s="1"/>
  <c r="K95" i="24" s="1"/>
  <c r="D1194" i="31"/>
  <c r="F1194" s="1"/>
  <c r="F1190" s="1"/>
  <c r="E564" i="34"/>
  <c r="D203" i="33"/>
  <c r="F203" s="1"/>
  <c r="K89" i="24" s="1"/>
  <c r="D429" i="33"/>
  <c r="F429" s="1"/>
  <c r="K98" i="24" s="1"/>
  <c r="D486" i="33"/>
  <c r="F486" s="1"/>
  <c r="F2105" i="31"/>
  <c r="D461" i="33" l="1"/>
  <c r="F461" s="1"/>
  <c r="N99" i="24" s="1"/>
  <c r="D174" i="33"/>
  <c r="F174" s="1"/>
  <c r="L87" i="24" s="1"/>
  <c r="L88" s="1"/>
  <c r="D293" i="33"/>
  <c r="F293" s="1"/>
  <c r="N93" i="24" s="1"/>
  <c r="D262" i="33"/>
  <c r="F262" s="1"/>
  <c r="L92" i="24" s="1"/>
  <c r="D22" i="34"/>
  <c r="F22" s="1"/>
  <c r="L108" i="24" s="1"/>
  <c r="D443" i="34"/>
  <c r="F443" s="1"/>
  <c r="O123" i="24" s="1"/>
  <c r="D123" s="1"/>
  <c r="D674" i="33"/>
  <c r="F674" s="1"/>
  <c r="L104" i="24" s="1"/>
  <c r="L127"/>
  <c r="F52" i="34"/>
  <c r="L128" i="24"/>
  <c r="D540" i="34"/>
  <c r="F540" s="1"/>
  <c r="N128" i="24" s="1"/>
  <c r="E1332" i="31"/>
  <c r="D346" i="33"/>
  <c r="F346" s="1"/>
  <c r="L96" i="24" s="1"/>
  <c r="D149" i="33"/>
  <c r="F149" s="1"/>
  <c r="Z27" i="29"/>
  <c r="AA26"/>
  <c r="Z21"/>
  <c r="AA20"/>
  <c r="K86" i="24"/>
  <c r="D405" i="33"/>
  <c r="F405" s="1"/>
  <c r="N97" i="24" s="1"/>
  <c r="D318" i="33"/>
  <c r="F318" s="1"/>
  <c r="K88" i="24"/>
  <c r="L100"/>
  <c r="D489" i="33"/>
  <c r="F489" s="1"/>
  <c r="N100" i="24" s="1"/>
  <c r="D204" i="33"/>
  <c r="F204" s="1"/>
  <c r="E585" i="34"/>
  <c r="F585" s="1"/>
  <c r="F564"/>
  <c r="K90" i="24"/>
  <c r="D2106" i="31"/>
  <c r="F2106" s="1"/>
  <c r="O65" i="24" s="1"/>
  <c r="D65" s="1"/>
  <c r="D399" i="34"/>
  <c r="F399" s="1"/>
  <c r="O126" i="24" s="1"/>
  <c r="D126" s="1"/>
  <c r="F99" i="48"/>
  <c r="E125"/>
  <c r="Z24" i="29"/>
  <c r="AA23"/>
  <c r="Z32"/>
  <c r="Y33"/>
  <c r="Y34" s="1"/>
  <c r="D374" i="33"/>
  <c r="F374" s="1"/>
  <c r="D234"/>
  <c r="F234" s="1"/>
  <c r="D517"/>
  <c r="F517" s="1"/>
  <c r="D515" i="34"/>
  <c r="F515" s="1"/>
  <c r="N127" i="24" s="1"/>
  <c r="N124"/>
  <c r="F420" i="34"/>
  <c r="L78" i="24"/>
  <c r="L79" s="1"/>
  <c r="D29" i="33"/>
  <c r="F29" s="1"/>
  <c r="F136" i="48"/>
  <c r="E151"/>
  <c r="I136"/>
  <c r="L80" i="24"/>
  <c r="L81" s="1"/>
  <c r="D59" i="33"/>
  <c r="F59" s="1"/>
  <c r="D430"/>
  <c r="F430" s="1"/>
  <c r="L98" i="24" s="1"/>
  <c r="D542" i="33"/>
  <c r="F542" s="1"/>
  <c r="D646"/>
  <c r="F646" s="1"/>
  <c r="F406" l="1"/>
  <c r="D407" s="1"/>
  <c r="F407" s="1"/>
  <c r="O97" i="24" s="1"/>
  <c r="D97" s="1"/>
  <c r="D349" i="33"/>
  <c r="F349" s="1"/>
  <c r="N96" i="24" s="1"/>
  <c r="F462" i="33"/>
  <c r="D463" s="1"/>
  <c r="F463" s="1"/>
  <c r="O99" i="24" s="1"/>
  <c r="D99" s="1"/>
  <c r="D179" i="33"/>
  <c r="F179" s="1"/>
  <c r="F294"/>
  <c r="F490"/>
  <c r="D491" s="1"/>
  <c r="F491" s="1"/>
  <c r="O100" i="24" s="1"/>
  <c r="D100" s="1"/>
  <c r="F444" i="34"/>
  <c r="D25"/>
  <c r="F25" s="1"/>
  <c r="N108" i="24" s="1"/>
  <c r="D265" i="33"/>
  <c r="F265" s="1"/>
  <c r="N92" i="24" s="1"/>
  <c r="D678" i="33"/>
  <c r="F678" s="1"/>
  <c r="N104" i="24" s="1"/>
  <c r="Y36" i="29"/>
  <c r="E28" i="27"/>
  <c r="C28" s="1"/>
  <c r="O130" i="24"/>
  <c r="D130" s="1"/>
  <c r="F586" i="34"/>
  <c r="L95" i="24"/>
  <c r="D377" i="33"/>
  <c r="F377" s="1"/>
  <c r="N95" i="24" s="1"/>
  <c r="L91"/>
  <c r="D421" i="34"/>
  <c r="F421" s="1"/>
  <c r="O124" i="24" s="1"/>
  <c r="D124" s="1"/>
  <c r="O129"/>
  <c r="D129" s="1"/>
  <c r="F565" i="34"/>
  <c r="N78" i="24"/>
  <c r="N79" s="1"/>
  <c r="F30" i="33"/>
  <c r="L89" i="24"/>
  <c r="D209" i="33"/>
  <c r="F209" s="1"/>
  <c r="E1369" i="31"/>
  <c r="F541" i="34"/>
  <c r="F516"/>
  <c r="E141" i="48"/>
  <c r="F125"/>
  <c r="N85" i="24"/>
  <c r="N86" s="1"/>
  <c r="F150" i="33"/>
  <c r="L102" i="24"/>
  <c r="AA24" i="29"/>
  <c r="AB23"/>
  <c r="E171" i="48"/>
  <c r="F151"/>
  <c r="I151"/>
  <c r="L94" i="24"/>
  <c r="D321" i="33"/>
  <c r="F321" s="1"/>
  <c r="N94" i="24" s="1"/>
  <c r="AA27" i="29"/>
  <c r="AB26"/>
  <c r="D433" i="33"/>
  <c r="F433" s="1"/>
  <c r="N98" i="24" s="1"/>
  <c r="F2107" i="31"/>
  <c r="D545" i="33"/>
  <c r="F545" s="1"/>
  <c r="N102" i="24" s="1"/>
  <c r="N101"/>
  <c r="F518" i="33"/>
  <c r="L103" i="24"/>
  <c r="D650" i="33"/>
  <c r="F650" s="1"/>
  <c r="N103" i="24" s="1"/>
  <c r="D295" i="33"/>
  <c r="F295" s="1"/>
  <c r="O93" i="24" s="1"/>
  <c r="D93" s="1"/>
  <c r="D237" i="33"/>
  <c r="F237" s="1"/>
  <c r="N91" i="24" s="1"/>
  <c r="Z33" i="29"/>
  <c r="Z34" s="1"/>
  <c r="Z36" s="1"/>
  <c r="AA32"/>
  <c r="N80" i="24"/>
  <c r="N81" s="1"/>
  <c r="F60" i="33"/>
  <c r="AB20" i="29"/>
  <c r="AA21"/>
  <c r="D53" i="34"/>
  <c r="F53" s="1"/>
  <c r="F54" s="1"/>
  <c r="F400"/>
  <c r="F350" i="33" l="1"/>
  <c r="D351" s="1"/>
  <c r="F351" s="1"/>
  <c r="O96" i="24" s="1"/>
  <c r="D96" s="1"/>
  <c r="F378" i="33"/>
  <c r="F464"/>
  <c r="N87" i="24"/>
  <c r="N88" s="1"/>
  <c r="F180" i="33"/>
  <c r="D181" s="1"/>
  <c r="F181" s="1"/>
  <c r="O87" i="24" s="1"/>
  <c r="O88" s="1"/>
  <c r="F422" i="34"/>
  <c r="F26"/>
  <c r="D27" s="1"/>
  <c r="F27" s="1"/>
  <c r="O108" i="24" s="1"/>
  <c r="D108" s="1"/>
  <c r="F266" i="33"/>
  <c r="D267" s="1"/>
  <c r="F267" s="1"/>
  <c r="O92" i="24" s="1"/>
  <c r="D92" s="1"/>
  <c r="F492" i="33"/>
  <c r="F322"/>
  <c r="D323" s="1"/>
  <c r="F323" s="1"/>
  <c r="O94" i="24" s="1"/>
  <c r="D94" s="1"/>
  <c r="F679" i="33"/>
  <c r="D680" s="1"/>
  <c r="F680" s="1"/>
  <c r="O104" i="24" s="1"/>
  <c r="D104" s="1"/>
  <c r="F296" i="33"/>
  <c r="L90" i="24"/>
  <c r="F238" i="33"/>
  <c r="D517" i="34"/>
  <c r="F517" s="1"/>
  <c r="O127" i="24" s="1"/>
  <c r="D127" s="1"/>
  <c r="E156" i="48"/>
  <c r="F156" s="1"/>
  <c r="E185"/>
  <c r="F141"/>
  <c r="D151" i="33"/>
  <c r="F151" s="1"/>
  <c r="O85" i="24" s="1"/>
  <c r="N89"/>
  <c r="N90" s="1"/>
  <c r="F210" i="33"/>
  <c r="F434"/>
  <c r="D519"/>
  <c r="F519" s="1"/>
  <c r="O101" i="24" s="1"/>
  <c r="D101" s="1"/>
  <c r="AC26" i="29"/>
  <c r="AB27"/>
  <c r="AC23"/>
  <c r="AB24"/>
  <c r="AB32"/>
  <c r="AA33"/>
  <c r="AA34" s="1"/>
  <c r="E1557" i="31"/>
  <c r="E1417"/>
  <c r="E1465" s="1"/>
  <c r="E1513" s="1"/>
  <c r="F408" i="33"/>
  <c r="AB21" i="29"/>
  <c r="AC20"/>
  <c r="E176" i="48"/>
  <c r="I171"/>
  <c r="F171"/>
  <c r="E200"/>
  <c r="D31" i="33"/>
  <c r="F31" s="1"/>
  <c r="O78" i="24" s="1"/>
  <c r="F651" i="33"/>
  <c r="F546"/>
  <c r="D379"/>
  <c r="F379" s="1"/>
  <c r="O95" i="24" s="1"/>
  <c r="D95" s="1"/>
  <c r="F62" i="33"/>
  <c r="D61"/>
  <c r="F61" s="1"/>
  <c r="O80" i="24" s="1"/>
  <c r="D542" i="34"/>
  <c r="F542" s="1"/>
  <c r="O128" i="24" s="1"/>
  <c r="D128" s="1"/>
  <c r="D88" l="1"/>
  <c r="D87"/>
  <c r="E122" i="48" s="1"/>
  <c r="E138" s="1"/>
  <c r="I138" s="1"/>
  <c r="F182" i="33"/>
  <c r="F268"/>
  <c r="F543" i="34"/>
  <c r="F518"/>
  <c r="F681" i="33"/>
  <c r="F28" i="34"/>
  <c r="AA36" i="29"/>
  <c r="E31" i="27"/>
  <c r="C31" s="1"/>
  <c r="O79" i="24"/>
  <c r="D79" s="1"/>
  <c r="D78"/>
  <c r="AC32" i="29"/>
  <c r="AB33"/>
  <c r="AB34" s="1"/>
  <c r="O86" i="24"/>
  <c r="D86" s="1"/>
  <c r="D85"/>
  <c r="F352" i="33"/>
  <c r="F324"/>
  <c r="D652"/>
  <c r="F652" s="1"/>
  <c r="O103" i="24" s="1"/>
  <c r="D103" s="1"/>
  <c r="O81"/>
  <c r="D81" s="1"/>
  <c r="D80"/>
  <c r="AD23" i="29"/>
  <c r="AC24"/>
  <c r="F520" i="33"/>
  <c r="F380"/>
  <c r="F152"/>
  <c r="AC21" i="29"/>
  <c r="AD20"/>
  <c r="F185" i="48"/>
  <c r="E205"/>
  <c r="F205" s="1"/>
  <c r="D547" i="33"/>
  <c r="F547" s="1"/>
  <c r="O102" i="24" s="1"/>
  <c r="D102" s="1"/>
  <c r="I176" i="48"/>
  <c r="F176"/>
  <c r="AD26" i="29"/>
  <c r="AC27"/>
  <c r="F200" i="48"/>
  <c r="E216"/>
  <c r="I200"/>
  <c r="D239" i="33"/>
  <c r="F239" s="1"/>
  <c r="O91" i="24" s="1"/>
  <c r="D91" s="1"/>
  <c r="D435" i="33"/>
  <c r="F435" s="1"/>
  <c r="O98" i="24" s="1"/>
  <c r="D98" s="1"/>
  <c r="D211" i="33"/>
  <c r="F211" s="1"/>
  <c r="O89" i="24" s="1"/>
  <c r="F32" i="33"/>
  <c r="F138" i="48" l="1"/>
  <c r="F122"/>
  <c r="I122"/>
  <c r="E153"/>
  <c r="E101"/>
  <c r="F212" i="33"/>
  <c r="F548"/>
  <c r="AB36" i="29"/>
  <c r="E32" i="27"/>
  <c r="C32" s="1"/>
  <c r="D702" i="33" s="1"/>
  <c r="F702" s="1"/>
  <c r="D20" i="32"/>
  <c r="D1492" i="31"/>
  <c r="F1492" s="1"/>
  <c r="D1444"/>
  <c r="F1444" s="1"/>
  <c r="D1396"/>
  <c r="F1396" s="1"/>
  <c r="D124"/>
  <c r="F124" s="1"/>
  <c r="AD27" i="29"/>
  <c r="AE26"/>
  <c r="E173" i="48"/>
  <c r="F153"/>
  <c r="I153"/>
  <c r="AD32" i="29"/>
  <c r="AC33"/>
  <c r="AC34" s="1"/>
  <c r="F240" i="33"/>
  <c r="AE20" i="29"/>
  <c r="AD21"/>
  <c r="O90" i="24"/>
  <c r="D90" s="1"/>
  <c r="D89"/>
  <c r="F216" i="48"/>
  <c r="I216"/>
  <c r="F436" i="33"/>
  <c r="AD24" i="29"/>
  <c r="AE23"/>
  <c r="F653" i="33"/>
  <c r="E127" i="48" l="1"/>
  <c r="F101"/>
  <c r="AC36" i="29"/>
  <c r="E33" i="27"/>
  <c r="C33" s="1"/>
  <c r="AF26" i="29"/>
  <c r="AE27"/>
  <c r="I173" i="48"/>
  <c r="E179"/>
  <c r="F173"/>
  <c r="E202"/>
  <c r="AF20" i="29"/>
  <c r="AE21"/>
  <c r="F20" i="32"/>
  <c r="D57"/>
  <c r="F57" s="1"/>
  <c r="AF23" i="29"/>
  <c r="AE24"/>
  <c r="AD33"/>
  <c r="AD34" s="1"/>
  <c r="AE32"/>
  <c r="E143" i="48" l="1"/>
  <c r="F127"/>
  <c r="F202"/>
  <c r="E218"/>
  <c r="I202"/>
  <c r="AF27" i="29"/>
  <c r="AG26"/>
  <c r="AG20"/>
  <c r="AF21"/>
  <c r="I179" i="48"/>
  <c r="F179"/>
  <c r="AF24" i="29"/>
  <c r="AG23"/>
  <c r="AD36"/>
  <c r="E34" i="27"/>
  <c r="C34" s="1"/>
  <c r="AF32" i="29"/>
  <c r="AE33"/>
  <c r="AE34" s="1"/>
  <c r="F143" i="48" l="1"/>
  <c r="E158"/>
  <c r="AE36" i="29"/>
  <c r="E35" i="27"/>
  <c r="C35" s="1"/>
  <c r="AF33" i="29"/>
  <c r="AF34" s="1"/>
  <c r="AG32"/>
  <c r="F218" i="48"/>
  <c r="I218"/>
  <c r="AG24" i="29"/>
  <c r="AH23"/>
  <c r="AG27"/>
  <c r="AH26"/>
  <c r="AG21"/>
  <c r="AH20"/>
  <c r="F158" i="48" l="1"/>
  <c r="E187"/>
  <c r="AF36" i="29"/>
  <c r="E36" i="27"/>
  <c r="C36" s="1"/>
  <c r="AH27" i="29"/>
  <c r="AI26"/>
  <c r="AH21"/>
  <c r="AI20"/>
  <c r="AH24"/>
  <c r="AI23"/>
  <c r="AH32"/>
  <c r="AG33"/>
  <c r="AG34" s="1"/>
  <c r="E207" i="48" l="1"/>
  <c r="F207" s="1"/>
  <c r="F187"/>
  <c r="AG36" i="29"/>
  <c r="E38" i="27"/>
  <c r="C38" s="1"/>
  <c r="D703" i="33" s="1"/>
  <c r="F703" s="1"/>
  <c r="AI24" i="29"/>
  <c r="AJ23"/>
  <c r="AI27"/>
  <c r="AJ26"/>
  <c r="AJ20"/>
  <c r="AI21"/>
  <c r="AH33"/>
  <c r="AH34" s="1"/>
  <c r="AI32"/>
  <c r="AH36" l="1"/>
  <c r="E39" i="27"/>
  <c r="C39" s="1"/>
  <c r="D670" i="34" s="1"/>
  <c r="F670" s="1"/>
  <c r="AJ32" i="29"/>
  <c r="AI33"/>
  <c r="AI34" s="1"/>
  <c r="AJ21"/>
  <c r="AK20"/>
  <c r="AK23"/>
  <c r="AJ24"/>
  <c r="AK26"/>
  <c r="AJ27"/>
  <c r="E40" i="27" l="1"/>
  <c r="C40" s="1"/>
  <c r="AI36" i="29"/>
  <c r="AL23"/>
  <c r="AK24"/>
  <c r="AK32"/>
  <c r="AJ33"/>
  <c r="AJ34" s="1"/>
  <c r="E1553" i="31"/>
  <c r="F1553" s="1"/>
  <c r="F1548" s="1"/>
  <c r="AL26" i="29"/>
  <c r="AK27"/>
  <c r="AL20"/>
  <c r="AK21"/>
  <c r="AJ36" l="1"/>
  <c r="E41" i="27"/>
  <c r="C41" s="1"/>
  <c r="D23" i="32"/>
  <c r="D2282" i="31"/>
  <c r="F2282" s="1"/>
  <c r="D2236"/>
  <c r="F2236" s="1"/>
  <c r="D1973"/>
  <c r="F1973" s="1"/>
  <c r="D1491"/>
  <c r="F1491" s="1"/>
  <c r="D1891"/>
  <c r="F1891" s="1"/>
  <c r="D2192"/>
  <c r="F2192" s="1"/>
  <c r="K1973"/>
  <c r="M1973" s="1"/>
  <c r="D1443"/>
  <c r="F1443" s="1"/>
  <c r="R1973"/>
  <c r="T1973" s="1"/>
  <c r="D2014"/>
  <c r="F2014" s="1"/>
  <c r="D2057"/>
  <c r="F2057" s="1"/>
  <c r="D1151"/>
  <c r="F1151" s="1"/>
  <c r="R695"/>
  <c r="T695" s="1"/>
  <c r="D649"/>
  <c r="F649" s="1"/>
  <c r="D555"/>
  <c r="F555" s="1"/>
  <c r="D461"/>
  <c r="F461" s="1"/>
  <c r="D1536"/>
  <c r="F1536" s="1"/>
  <c r="D742"/>
  <c r="F742" s="1"/>
  <c r="D413"/>
  <c r="F413" s="1"/>
  <c r="Y1973"/>
  <c r="AA1973" s="1"/>
  <c r="D1932"/>
  <c r="F1932" s="1"/>
  <c r="D1017"/>
  <c r="F1017" s="1"/>
  <c r="D972"/>
  <c r="F972" s="1"/>
  <c r="D882"/>
  <c r="F882" s="1"/>
  <c r="D837"/>
  <c r="F837" s="1"/>
  <c r="D695"/>
  <c r="F695" s="1"/>
  <c r="D602"/>
  <c r="F602" s="1"/>
  <c r="D508"/>
  <c r="F508" s="1"/>
  <c r="D365"/>
  <c r="F365" s="1"/>
  <c r="D269"/>
  <c r="F269" s="1"/>
  <c r="D29"/>
  <c r="F29" s="1"/>
  <c r="D221"/>
  <c r="F221" s="1"/>
  <c r="D789"/>
  <c r="F789" s="1"/>
  <c r="K695"/>
  <c r="M695" s="1"/>
  <c r="D173"/>
  <c r="F173" s="1"/>
  <c r="D317"/>
  <c r="F317" s="1"/>
  <c r="D125"/>
  <c r="F125" s="1"/>
  <c r="D77"/>
  <c r="F77" s="1"/>
  <c r="K221"/>
  <c r="M221" s="1"/>
  <c r="AL27" i="29"/>
  <c r="AM26"/>
  <c r="AL32"/>
  <c r="AK33"/>
  <c r="AK34" s="1"/>
  <c r="AL21"/>
  <c r="AM20"/>
  <c r="AL24"/>
  <c r="AM23"/>
  <c r="AK36" l="1"/>
  <c r="D23" i="51" s="1"/>
  <c r="E42" i="27"/>
  <c r="C42" s="1"/>
  <c r="F23" i="32"/>
  <c r="D60"/>
  <c r="F60" s="1"/>
  <c r="D2240" i="31"/>
  <c r="F2240" s="1"/>
  <c r="F2234" s="1"/>
  <c r="AM21" i="29"/>
  <c r="AN20"/>
  <c r="AN23"/>
  <c r="AM24"/>
  <c r="AL33"/>
  <c r="AL34" s="1"/>
  <c r="AM32"/>
  <c r="AN26"/>
  <c r="AM27"/>
  <c r="AO23" l="1"/>
  <c r="AN24"/>
  <c r="D675" i="34"/>
  <c r="F675" s="1"/>
  <c r="D706" i="33"/>
  <c r="F706" s="1"/>
  <c r="D2285" i="31"/>
  <c r="F2285" s="1"/>
  <c r="D134" i="32"/>
  <c r="F134" s="1"/>
  <c r="D25"/>
  <c r="D2322" i="31"/>
  <c r="F2322" s="1"/>
  <c r="D1645"/>
  <c r="F1645" s="1"/>
  <c r="D2191"/>
  <c r="F2191" s="1"/>
  <c r="D1576"/>
  <c r="F1576" s="1"/>
  <c r="D1850"/>
  <c r="F1850" s="1"/>
  <c r="D1808"/>
  <c r="F1808" s="1"/>
  <c r="D1766"/>
  <c r="F1766" s="1"/>
  <c r="D1489"/>
  <c r="F1489" s="1"/>
  <c r="D1535"/>
  <c r="F1535" s="1"/>
  <c r="D693"/>
  <c r="F693" s="1"/>
  <c r="D600"/>
  <c r="F600" s="1"/>
  <c r="D506"/>
  <c r="F506" s="1"/>
  <c r="D1313"/>
  <c r="F1313" s="1"/>
  <c r="D1061"/>
  <c r="F1061" s="1"/>
  <c r="D1016"/>
  <c r="F1016" s="1"/>
  <c r="D971"/>
  <c r="F971" s="1"/>
  <c r="D926"/>
  <c r="F926" s="1"/>
  <c r="D881"/>
  <c r="F881" s="1"/>
  <c r="D787"/>
  <c r="F787" s="1"/>
  <c r="K693"/>
  <c r="M693" s="1"/>
  <c r="D458"/>
  <c r="F458" s="1"/>
  <c r="D266"/>
  <c r="F266" s="1"/>
  <c r="D1725"/>
  <c r="F1725" s="1"/>
  <c r="D1441"/>
  <c r="F1441" s="1"/>
  <c r="R693"/>
  <c r="T693" s="1"/>
  <c r="D647"/>
  <c r="F647" s="1"/>
  <c r="D553"/>
  <c r="F553" s="1"/>
  <c r="D410"/>
  <c r="F410" s="1"/>
  <c r="D218"/>
  <c r="F218" s="1"/>
  <c r="K218"/>
  <c r="M218" s="1"/>
  <c r="D74"/>
  <c r="F74" s="1"/>
  <c r="D834"/>
  <c r="F834" s="1"/>
  <c r="D740"/>
  <c r="F740" s="1"/>
  <c r="D1150"/>
  <c r="F1150" s="1"/>
  <c r="D362"/>
  <c r="F362" s="1"/>
  <c r="D26"/>
  <c r="F26" s="1"/>
  <c r="D1683"/>
  <c r="F1683" s="1"/>
  <c r="D314"/>
  <c r="F314" s="1"/>
  <c r="D170"/>
  <c r="F170" s="1"/>
  <c r="D1393"/>
  <c r="F1393" s="1"/>
  <c r="D122"/>
  <c r="F122" s="1"/>
  <c r="D60" i="51"/>
  <c r="F60" s="1"/>
  <c r="F23"/>
  <c r="AO20" i="29"/>
  <c r="AN21"/>
  <c r="AN27"/>
  <c r="AO26"/>
  <c r="AL36"/>
  <c r="E43" i="27"/>
  <c r="C43" s="1"/>
  <c r="D2152" i="31" s="1"/>
  <c r="F2152" s="1"/>
  <c r="AM33" i="29"/>
  <c r="AM34" s="1"/>
  <c r="AN32"/>
  <c r="AN33" l="1"/>
  <c r="AN34" s="1"/>
  <c r="AO32"/>
  <c r="F1534" i="31"/>
  <c r="D1540"/>
  <c r="F1540" s="1"/>
  <c r="D1649"/>
  <c r="F1649" s="1"/>
  <c r="F1644" s="1"/>
  <c r="D886"/>
  <c r="F886" s="1"/>
  <c r="F880" s="1"/>
  <c r="AO21" i="29"/>
  <c r="AP20"/>
  <c r="AM36"/>
  <c r="E44" i="27"/>
  <c r="C44" s="1"/>
  <c r="AO24" i="29"/>
  <c r="AP23"/>
  <c r="D2196" i="31"/>
  <c r="F2196" s="1"/>
  <c r="F2190" s="1"/>
  <c r="D1687"/>
  <c r="F1687" s="1"/>
  <c r="F1682" s="1"/>
  <c r="AO27" i="29"/>
  <c r="AP26"/>
  <c r="F1015" i="31"/>
  <c r="D1021"/>
  <c r="F1021" s="1"/>
  <c r="D1152"/>
  <c r="F1152" s="1"/>
  <c r="F1146" s="1"/>
  <c r="D976"/>
  <c r="F976" s="1"/>
  <c r="F970" s="1"/>
  <c r="D62" i="32"/>
  <c r="F62" s="1"/>
  <c r="F25"/>
  <c r="AN36" i="29" l="1"/>
  <c r="E45" i="27"/>
  <c r="C45" s="1"/>
  <c r="G51" i="24"/>
  <c r="F1634" i="31"/>
  <c r="G54" i="24"/>
  <c r="F1672" i="31"/>
  <c r="AP27" i="29"/>
  <c r="AQ26"/>
  <c r="AP32"/>
  <c r="AO33"/>
  <c r="AO34" s="1"/>
  <c r="AP24"/>
  <c r="AQ23"/>
  <c r="AP21"/>
  <c r="AQ20"/>
  <c r="AO36" l="1"/>
  <c r="E46" i="27"/>
  <c r="C46" s="1"/>
  <c r="AQ27" i="29"/>
  <c r="AR26"/>
  <c r="D674" i="34"/>
  <c r="F674" s="1"/>
  <c r="D2284" i="31"/>
  <c r="F2284" s="1"/>
  <c r="G63" i="30"/>
  <c r="J63" s="1"/>
  <c r="J62" s="1"/>
  <c r="AP33" i="29"/>
  <c r="AP34" s="1"/>
  <c r="AQ32"/>
  <c r="D1965" i="31"/>
  <c r="F1633"/>
  <c r="D1651"/>
  <c r="F1651" s="1"/>
  <c r="I51" i="24" s="1"/>
  <c r="D1652" i="31"/>
  <c r="F1652" s="1"/>
  <c r="J51" i="24" s="1"/>
  <c r="D2006" i="31"/>
  <c r="F2006" s="1"/>
  <c r="D1689"/>
  <c r="F1689" s="1"/>
  <c r="I54" i="24" s="1"/>
  <c r="D1690" i="31"/>
  <c r="F1690" s="1"/>
  <c r="J54" i="24" s="1"/>
  <c r="AR23" i="29"/>
  <c r="AQ24"/>
  <c r="AR20"/>
  <c r="AQ21"/>
  <c r="AP36" l="1"/>
  <c r="E47" i="27"/>
  <c r="C47" s="1"/>
  <c r="AS23" i="29"/>
  <c r="AR24"/>
  <c r="AR32"/>
  <c r="AQ33"/>
  <c r="AQ34" s="1"/>
  <c r="D784" i="34"/>
  <c r="F784" s="1"/>
  <c r="F781" s="1"/>
  <c r="K2398" i="31"/>
  <c r="M2398" s="1"/>
  <c r="D2476"/>
  <c r="F2476" s="1"/>
  <c r="D2360"/>
  <c r="F2360" s="1"/>
  <c r="D2437"/>
  <c r="F2437" s="1"/>
  <c r="D2398"/>
  <c r="F2398" s="1"/>
  <c r="AS26" i="29"/>
  <c r="AR27"/>
  <c r="AR21"/>
  <c r="AS20"/>
  <c r="D2012" i="31"/>
  <c r="F2012" s="1"/>
  <c r="F2005" s="1"/>
  <c r="F1965"/>
  <c r="K1965"/>
  <c r="D1653"/>
  <c r="F1653" s="1"/>
  <c r="G14" i="24"/>
  <c r="G64" i="30"/>
  <c r="J64" s="1"/>
  <c r="H14" i="24" s="1"/>
  <c r="F1671" i="31"/>
  <c r="H22" i="24" l="1"/>
  <c r="H19"/>
  <c r="H42"/>
  <c r="H43" s="1"/>
  <c r="H61"/>
  <c r="H62" s="1"/>
  <c r="H45"/>
  <c r="H46" s="1"/>
  <c r="H38"/>
  <c r="H39" s="1"/>
  <c r="H25"/>
  <c r="H26" s="1"/>
  <c r="H44"/>
  <c r="H27"/>
  <c r="H28" s="1"/>
  <c r="H34"/>
  <c r="H35" s="1"/>
  <c r="H36"/>
  <c r="H37" s="1"/>
  <c r="H20"/>
  <c r="H21" s="1"/>
  <c r="H40"/>
  <c r="H41" s="1"/>
  <c r="H59"/>
  <c r="H32"/>
  <c r="H33" s="1"/>
  <c r="H49"/>
  <c r="H50" s="1"/>
  <c r="H23"/>
  <c r="H24" s="1"/>
  <c r="H29"/>
  <c r="H30" s="1"/>
  <c r="H48"/>
  <c r="H15"/>
  <c r="H16" s="1"/>
  <c r="H17" s="1"/>
  <c r="H18" s="1"/>
  <c r="H47"/>
  <c r="H31"/>
  <c r="H60"/>
  <c r="E48" i="27"/>
  <c r="C48" s="1"/>
  <c r="D28" i="31" s="1"/>
  <c r="F28" s="1"/>
  <c r="AQ36" i="29"/>
  <c r="D1654" i="31"/>
  <c r="F1654" s="1"/>
  <c r="L51" i="24" s="1"/>
  <c r="K51"/>
  <c r="D1971" i="31"/>
  <c r="F1971" s="1"/>
  <c r="F1964" s="1"/>
  <c r="F55" i="24"/>
  <c r="D1691" i="31"/>
  <c r="F1691" s="1"/>
  <c r="D234" i="34"/>
  <c r="F234" s="1"/>
  <c r="F231" s="1"/>
  <c r="D210"/>
  <c r="F210" s="1"/>
  <c r="F207" s="1"/>
  <c r="D186"/>
  <c r="F186" s="1"/>
  <c r="F183" s="1"/>
  <c r="D162"/>
  <c r="F162" s="1"/>
  <c r="F159" s="1"/>
  <c r="D138"/>
  <c r="F138" s="1"/>
  <c r="F135" s="1"/>
  <c r="D114"/>
  <c r="F114" s="1"/>
  <c r="F111" s="1"/>
  <c r="D90"/>
  <c r="F90" s="1"/>
  <c r="F87" s="1"/>
  <c r="D66"/>
  <c r="F66" s="1"/>
  <c r="F63" s="1"/>
  <c r="AT23" i="29"/>
  <c r="AS24"/>
  <c r="M1965" i="31"/>
  <c r="R1965"/>
  <c r="AT26" i="29"/>
  <c r="AS27"/>
  <c r="AS32"/>
  <c r="AR33"/>
  <c r="AR34" s="1"/>
  <c r="D785" i="34"/>
  <c r="F785" s="1"/>
  <c r="H137" i="24" s="1"/>
  <c r="G137"/>
  <c r="D14"/>
  <c r="G48"/>
  <c r="G44"/>
  <c r="G47"/>
  <c r="AS21" i="29"/>
  <c r="AT20"/>
  <c r="J65" i="30"/>
  <c r="F52" i="24" l="1"/>
  <c r="E49" i="27"/>
  <c r="C49" s="1"/>
  <c r="AR36" i="29"/>
  <c r="D1700" i="31"/>
  <c r="AU23" i="29"/>
  <c r="AT24"/>
  <c r="AT21"/>
  <c r="AU20"/>
  <c r="D163" i="34"/>
  <c r="F163" s="1"/>
  <c r="H113" i="24" s="1"/>
  <c r="G113"/>
  <c r="F56"/>
  <c r="F779" i="34"/>
  <c r="F205"/>
  <c r="D211"/>
  <c r="F211" s="1"/>
  <c r="H115" i="24" s="1"/>
  <c r="G115"/>
  <c r="D139" i="34"/>
  <c r="F139" s="1"/>
  <c r="H112" i="24" s="1"/>
  <c r="G112"/>
  <c r="AT27" i="29"/>
  <c r="AU26"/>
  <c r="F85" i="34"/>
  <c r="D91"/>
  <c r="F91" s="1"/>
  <c r="H110" i="24" s="1"/>
  <c r="G110"/>
  <c r="D1662" i="31"/>
  <c r="K1971"/>
  <c r="M1971" s="1"/>
  <c r="M1964" s="1"/>
  <c r="D115" i="34"/>
  <c r="F115" s="1"/>
  <c r="H111" i="24" s="1"/>
  <c r="G111"/>
  <c r="D67" i="34"/>
  <c r="F67" s="1"/>
  <c r="H109" i="24" s="1"/>
  <c r="G109"/>
  <c r="D1692" i="31"/>
  <c r="F1692" s="1"/>
  <c r="L54" i="24" s="1"/>
  <c r="K54"/>
  <c r="D187" i="34"/>
  <c r="F187" s="1"/>
  <c r="H114" i="24" s="1"/>
  <c r="G114"/>
  <c r="T1965" i="31"/>
  <c r="Y1965"/>
  <c r="AA1965" s="1"/>
  <c r="D2198"/>
  <c r="F2198" s="1"/>
  <c r="F2177" s="1"/>
  <c r="D1856"/>
  <c r="F1856" s="1"/>
  <c r="D1814"/>
  <c r="F1814" s="1"/>
  <c r="D1772"/>
  <c r="F1772" s="1"/>
  <c r="D1402"/>
  <c r="F1402" s="1"/>
  <c r="D1280"/>
  <c r="F1280" s="1"/>
  <c r="F1261" s="1"/>
  <c r="D1238"/>
  <c r="F1238" s="1"/>
  <c r="F1219" s="1"/>
  <c r="D1196"/>
  <c r="F1196" s="1"/>
  <c r="F1177" s="1"/>
  <c r="D1542"/>
  <c r="F1542" s="1"/>
  <c r="F1521" s="1"/>
  <c r="D1450"/>
  <c r="F1450" s="1"/>
  <c r="D1498"/>
  <c r="F1498" s="1"/>
  <c r="D1354"/>
  <c r="D131"/>
  <c r="D83"/>
  <c r="D35"/>
  <c r="F35" s="1"/>
  <c r="D2324"/>
  <c r="F2324" s="1"/>
  <c r="D1317"/>
  <c r="F1317" s="1"/>
  <c r="AT32" i="29"/>
  <c r="AS33"/>
  <c r="AS34" s="1"/>
  <c r="D235" i="34"/>
  <c r="F235" s="1"/>
  <c r="H116" i="24" s="1"/>
  <c r="G116"/>
  <c r="F61" i="34" l="1"/>
  <c r="D69" s="1"/>
  <c r="F69" s="1"/>
  <c r="I109" i="24" s="1"/>
  <c r="F229" i="34"/>
  <c r="D238" s="1"/>
  <c r="F238" s="1"/>
  <c r="J116" i="24" s="1"/>
  <c r="F181" i="34"/>
  <c r="D190" s="1"/>
  <c r="F190" s="1"/>
  <c r="J114" i="24" s="1"/>
  <c r="F157" i="34"/>
  <c r="D166" s="1"/>
  <c r="F166" s="1"/>
  <c r="J113" i="24" s="1"/>
  <c r="AS36" i="29"/>
  <c r="E50" i="27"/>
  <c r="C50" s="1"/>
  <c r="D213" i="34"/>
  <c r="F213" s="1"/>
  <c r="I115" i="24" s="1"/>
  <c r="D214" i="34"/>
  <c r="F214" s="1"/>
  <c r="J115" i="24" s="1"/>
  <c r="F53"/>
  <c r="D179" i="31"/>
  <c r="F83"/>
  <c r="D1240"/>
  <c r="F1240" s="1"/>
  <c r="D1241"/>
  <c r="F1241" s="1"/>
  <c r="R1971"/>
  <c r="T1971" s="1"/>
  <c r="T1964" s="1"/>
  <c r="F133" i="34"/>
  <c r="F1354" i="31"/>
  <c r="F1340" s="1"/>
  <c r="D1110"/>
  <c r="AV26" i="29"/>
  <c r="AU27"/>
  <c r="AU21"/>
  <c r="AV20"/>
  <c r="D227" i="31"/>
  <c r="F131"/>
  <c r="D93" i="34"/>
  <c r="F93" s="1"/>
  <c r="I110" i="24" s="1"/>
  <c r="D94" i="34"/>
  <c r="F94" s="1"/>
  <c r="J110" i="24" s="1"/>
  <c r="D2201" i="31"/>
  <c r="F2201" s="1"/>
  <c r="D2226"/>
  <c r="F2226" s="1"/>
  <c r="D2200"/>
  <c r="F2200" s="1"/>
  <c r="AT33" i="29"/>
  <c r="AT34" s="1"/>
  <c r="AU32"/>
  <c r="D1282" i="31"/>
  <c r="F1282" s="1"/>
  <c r="F1260" s="1"/>
  <c r="D1283"/>
  <c r="F1283" s="1"/>
  <c r="D1198"/>
  <c r="F1198" s="1"/>
  <c r="F1176" s="1"/>
  <c r="D1199"/>
  <c r="F1199" s="1"/>
  <c r="Y1971"/>
  <c r="AA1971" s="1"/>
  <c r="AA1964" s="1"/>
  <c r="F1662"/>
  <c r="N51" i="24" s="1"/>
  <c r="F1700" i="31"/>
  <c r="N54" i="24" s="1"/>
  <c r="D1545" i="31"/>
  <c r="F1545" s="1"/>
  <c r="D1544"/>
  <c r="F1544" s="1"/>
  <c r="AV23" i="29"/>
  <c r="AU24"/>
  <c r="D788" i="34"/>
  <c r="F788" s="1"/>
  <c r="J137" i="24" s="1"/>
  <c r="D787" i="34"/>
  <c r="F787" s="1"/>
  <c r="I137" i="24" s="1"/>
  <c r="F109" i="34"/>
  <c r="D189" l="1"/>
  <c r="F189" s="1"/>
  <c r="I114" i="24" s="1"/>
  <c r="D165" i="34"/>
  <c r="F165" s="1"/>
  <c r="I113" i="24" s="1"/>
  <c r="D70" i="34"/>
  <c r="F70" s="1"/>
  <c r="J109" i="24" s="1"/>
  <c r="D237" i="34"/>
  <c r="F237" s="1"/>
  <c r="I116" i="24" s="1"/>
  <c r="F84" i="34"/>
  <c r="D95" s="1"/>
  <c r="F95" s="1"/>
  <c r="K110" i="24" s="1"/>
  <c r="F1218" i="31"/>
  <c r="D1242" s="1"/>
  <c r="F1242" s="1"/>
  <c r="D1243" s="1"/>
  <c r="F1243" s="1"/>
  <c r="F2176"/>
  <c r="D2202" s="1"/>
  <c r="F2202" s="1"/>
  <c r="D2203" s="1"/>
  <c r="F2203" s="1"/>
  <c r="F1520"/>
  <c r="D1546" s="1"/>
  <c r="F1546" s="1"/>
  <c r="D1547" s="1"/>
  <c r="F1547" s="1"/>
  <c r="D1284"/>
  <c r="F1284" s="1"/>
  <c r="D1285" s="1"/>
  <c r="F1285" s="1"/>
  <c r="AT36" i="29"/>
  <c r="E51" i="27"/>
  <c r="C51" s="1"/>
  <c r="AW23" i="29"/>
  <c r="AV24"/>
  <c r="D1200" i="31"/>
  <c r="F1200" s="1"/>
  <c r="D1201" s="1"/>
  <c r="F1201" s="1"/>
  <c r="AV27" i="29"/>
  <c r="AW26"/>
  <c r="D808" i="34"/>
  <c r="F808" s="1"/>
  <c r="F807" s="1"/>
  <c r="D2588" i="31"/>
  <c r="F2588" s="1"/>
  <c r="D2551"/>
  <c r="F2551" s="1"/>
  <c r="D2514"/>
  <c r="F2514" s="1"/>
  <c r="AV32" i="29"/>
  <c r="AU33"/>
  <c r="AU34" s="1"/>
  <c r="D141" i="34"/>
  <c r="F141" s="1"/>
  <c r="I112" i="24" s="1"/>
  <c r="D142" i="34"/>
  <c r="F142" s="1"/>
  <c r="J112" i="24" s="1"/>
  <c r="D323" i="31"/>
  <c r="F323" s="1"/>
  <c r="F227"/>
  <c r="K227"/>
  <c r="M227" s="1"/>
  <c r="F1663"/>
  <c r="D117" i="34"/>
  <c r="F117" s="1"/>
  <c r="I111" i="24" s="1"/>
  <c r="D118" i="34"/>
  <c r="F118" s="1"/>
  <c r="J111" i="24" s="1"/>
  <c r="F179" i="31"/>
  <c r="D275"/>
  <c r="F275" s="1"/>
  <c r="D371"/>
  <c r="AV21" i="29"/>
  <c r="AW20"/>
  <c r="D2233" i="31"/>
  <c r="F2233" s="1"/>
  <c r="F2225" s="1"/>
  <c r="F2221" s="1"/>
  <c r="D1357"/>
  <c r="F1357" s="1"/>
  <c r="D1356"/>
  <c r="F1356" s="1"/>
  <c r="F778" i="34"/>
  <c r="F204"/>
  <c r="F1110" i="31"/>
  <c r="F1091" s="1"/>
  <c r="D1154"/>
  <c r="F1154" s="1"/>
  <c r="F1133" s="1"/>
  <c r="F1701"/>
  <c r="F180" i="34" l="1"/>
  <c r="D191" s="1"/>
  <c r="F191" s="1"/>
  <c r="K114" i="24" s="1"/>
  <c r="F60" i="34"/>
  <c r="D71" s="1"/>
  <c r="F71" s="1"/>
  <c r="K109" i="24" s="1"/>
  <c r="F228" i="34"/>
  <c r="D239" s="1"/>
  <c r="F239" s="1"/>
  <c r="K116" i="24" s="1"/>
  <c r="F156" i="34"/>
  <c r="D96"/>
  <c r="F96" s="1"/>
  <c r="L110" i="24" s="1"/>
  <c r="D2211" i="31"/>
  <c r="F2211" s="1"/>
  <c r="F2212" s="1"/>
  <c r="F132" i="34"/>
  <c r="D143" s="1"/>
  <c r="F143" s="1"/>
  <c r="K112" i="24" s="1"/>
  <c r="D1555" i="31"/>
  <c r="F1555" s="1"/>
  <c r="F1556" s="1"/>
  <c r="F1339"/>
  <c r="D2246"/>
  <c r="F2246" s="1"/>
  <c r="D2245"/>
  <c r="F2245" s="1"/>
  <c r="D1702"/>
  <c r="F1702" s="1"/>
  <c r="O54" i="24" s="1"/>
  <c r="D54" s="1"/>
  <c r="D419" i="31"/>
  <c r="F371"/>
  <c r="D832" i="34"/>
  <c r="F832" s="1"/>
  <c r="F831" s="1"/>
  <c r="D1062" i="31"/>
  <c r="F1062" s="1"/>
  <c r="D927"/>
  <c r="F927" s="1"/>
  <c r="D1312"/>
  <c r="F1312" s="1"/>
  <c r="D1251"/>
  <c r="AW24" i="29"/>
  <c r="AX23"/>
  <c r="AW27"/>
  <c r="AX26"/>
  <c r="D167" i="34"/>
  <c r="F167" s="1"/>
  <c r="K113" i="24" s="1"/>
  <c r="D1664" i="31"/>
  <c r="F1664" s="1"/>
  <c r="O51" i="24" s="1"/>
  <c r="D51" s="1"/>
  <c r="D1293" i="31"/>
  <c r="D1156"/>
  <c r="F1156" s="1"/>
  <c r="F1132" s="1"/>
  <c r="D1157"/>
  <c r="F1157" s="1"/>
  <c r="D810" i="34"/>
  <c r="F810" s="1"/>
  <c r="D789"/>
  <c r="F789" s="1"/>
  <c r="K137" i="24" s="1"/>
  <c r="D1209" i="31"/>
  <c r="AU36" i="29"/>
  <c r="E52" i="27"/>
  <c r="C52" s="1"/>
  <c r="AW21" i="29"/>
  <c r="AX20"/>
  <c r="AV33"/>
  <c r="AV34" s="1"/>
  <c r="AW32"/>
  <c r="D215" i="34"/>
  <c r="F215" s="1"/>
  <c r="K115" i="24" s="1"/>
  <c r="D1112" i="31"/>
  <c r="F1112" s="1"/>
  <c r="D1113"/>
  <c r="F1113" s="1"/>
  <c r="F108" i="34"/>
  <c r="D240" l="1"/>
  <c r="F240" s="1"/>
  <c r="D243" s="1"/>
  <c r="F243" s="1"/>
  <c r="D216"/>
  <c r="F216" s="1"/>
  <c r="L115" i="24" s="1"/>
  <c r="D99" i="34"/>
  <c r="F99" s="1"/>
  <c r="N110" i="24" s="1"/>
  <c r="F2220" i="31"/>
  <c r="D2247" s="1"/>
  <c r="F2247" s="1"/>
  <c r="D2248" s="1"/>
  <c r="F2248" s="1"/>
  <c r="F1090"/>
  <c r="D1358"/>
  <c r="F1358" s="1"/>
  <c r="D1359" s="1"/>
  <c r="F1359" s="1"/>
  <c r="D144" i="34"/>
  <c r="F144" s="1"/>
  <c r="L112" i="24" s="1"/>
  <c r="D1158" i="31"/>
  <c r="F1158" s="1"/>
  <c r="D1159" s="1"/>
  <c r="F1159" s="1"/>
  <c r="D2213"/>
  <c r="F2213" s="1"/>
  <c r="F2214" s="1"/>
  <c r="D1114"/>
  <c r="F1114" s="1"/>
  <c r="D1115" s="1"/>
  <c r="F1115" s="1"/>
  <c r="AV36" i="29"/>
  <c r="E53" i="27"/>
  <c r="C53" s="1"/>
  <c r="F1558" i="31"/>
  <c r="D1557"/>
  <c r="F1557" s="1"/>
  <c r="D1316"/>
  <c r="F1316" s="1"/>
  <c r="F1311" s="1"/>
  <c r="F1303" s="1"/>
  <c r="F1209"/>
  <c r="F1210" s="1"/>
  <c r="D72" i="34"/>
  <c r="F72" s="1"/>
  <c r="D192"/>
  <c r="F192" s="1"/>
  <c r="AX21" i="29"/>
  <c r="AY20"/>
  <c r="AX32"/>
  <c r="AW33"/>
  <c r="AW34" s="1"/>
  <c r="F1251" i="31"/>
  <c r="F1252" s="1"/>
  <c r="D119" i="34"/>
  <c r="F119" s="1"/>
  <c r="K111" i="24" s="1"/>
  <c r="F1293" i="31"/>
  <c r="F1294" s="1"/>
  <c r="F1665"/>
  <c r="AX27" i="29"/>
  <c r="AY26"/>
  <c r="D1066" i="31"/>
  <c r="F1066" s="1"/>
  <c r="F1060" s="1"/>
  <c r="D790" i="34"/>
  <c r="F790" s="1"/>
  <c r="L137" i="24" s="1"/>
  <c r="D168" i="34"/>
  <c r="F168" s="1"/>
  <c r="L113" i="24" s="1"/>
  <c r="F1703" i="31"/>
  <c r="AX24" i="29"/>
  <c r="AY23"/>
  <c r="D834" i="34"/>
  <c r="F834" s="1"/>
  <c r="F827" s="1"/>
  <c r="D514" i="31"/>
  <c r="D467"/>
  <c r="F419"/>
  <c r="D2515"/>
  <c r="F2515" s="1"/>
  <c r="D2589"/>
  <c r="F2589" s="1"/>
  <c r="D2552"/>
  <c r="F2552" s="1"/>
  <c r="D931"/>
  <c r="F931" s="1"/>
  <c r="F925" s="1"/>
  <c r="D171" i="34" l="1"/>
  <c r="F171" s="1"/>
  <c r="N113" i="24" s="1"/>
  <c r="D120" i="34"/>
  <c r="F120" s="1"/>
  <c r="L111" i="24" s="1"/>
  <c r="L116"/>
  <c r="D1123" i="31"/>
  <c r="D219" i="34"/>
  <c r="F219" s="1"/>
  <c r="N115" i="24" s="1"/>
  <c r="F100" i="34"/>
  <c r="D101" s="1"/>
  <c r="F101" s="1"/>
  <c r="O110" i="24" s="1"/>
  <c r="D110" s="1"/>
  <c r="D1167" i="31"/>
  <c r="F1167" s="1"/>
  <c r="F1168" s="1"/>
  <c r="D1367"/>
  <c r="F1367" s="1"/>
  <c r="F1368" s="1"/>
  <c r="D1369" s="1"/>
  <c r="F1369" s="1"/>
  <c r="F1370" s="1"/>
  <c r="D793" i="34"/>
  <c r="F793" s="1"/>
  <c r="N137" i="24" s="1"/>
  <c r="D147" i="34"/>
  <c r="F147" s="1"/>
  <c r="N112" i="24" s="1"/>
  <c r="D1211" i="31"/>
  <c r="F1211" s="1"/>
  <c r="F1212" s="1"/>
  <c r="D1319"/>
  <c r="F1319" s="1"/>
  <c r="D1320"/>
  <c r="F1320" s="1"/>
  <c r="D1253"/>
  <c r="F1253" s="1"/>
  <c r="F1254" s="1"/>
  <c r="G45" i="24"/>
  <c r="G49"/>
  <c r="D1295" i="31"/>
  <c r="F1295" s="1"/>
  <c r="F1296" s="1"/>
  <c r="D561"/>
  <c r="F561" s="1"/>
  <c r="F467"/>
  <c r="L109" i="24"/>
  <c r="D75" i="34"/>
  <c r="F75" s="1"/>
  <c r="N109" i="24" s="1"/>
  <c r="AW36" i="29"/>
  <c r="E54" i="27"/>
  <c r="C54" s="1"/>
  <c r="L114" i="24"/>
  <c r="D195" i="34"/>
  <c r="F195" s="1"/>
  <c r="N114" i="24" s="1"/>
  <c r="D2516" i="31"/>
  <c r="F2516" s="1"/>
  <c r="F2513" s="1"/>
  <c r="AZ20" i="29"/>
  <c r="AY21"/>
  <c r="AY24"/>
  <c r="AZ23"/>
  <c r="D811" i="34"/>
  <c r="F811" s="1"/>
  <c r="F803" s="1"/>
  <c r="F826"/>
  <c r="N116" i="24"/>
  <c r="F244" i="34"/>
  <c r="F220"/>
  <c r="AX33" i="29"/>
  <c r="AX34" s="1"/>
  <c r="AY32"/>
  <c r="D2590" i="31"/>
  <c r="F2590" s="1"/>
  <c r="F2587" s="1"/>
  <c r="D2553"/>
  <c r="F2553" s="1"/>
  <c r="F2550" s="1"/>
  <c r="F1123"/>
  <c r="F1124" s="1"/>
  <c r="AY27" i="29"/>
  <c r="AZ26"/>
  <c r="D608" i="31"/>
  <c r="F514"/>
  <c r="D2256"/>
  <c r="F172" i="34" l="1"/>
  <c r="D173" s="1"/>
  <c r="F173" s="1"/>
  <c r="O113" i="24" s="1"/>
  <c r="D113" s="1"/>
  <c r="D123" i="34"/>
  <c r="F123" s="1"/>
  <c r="N111" i="24" s="1"/>
  <c r="F1302" i="31"/>
  <c r="D1321" s="1"/>
  <c r="F1321" s="1"/>
  <c r="F148" i="34"/>
  <c r="D149" s="1"/>
  <c r="F149" s="1"/>
  <c r="O112" i="24" s="1"/>
  <c r="D112" s="1"/>
  <c r="F794" i="34"/>
  <c r="D795" s="1"/>
  <c r="F795" s="1"/>
  <c r="O137" i="24" s="1"/>
  <c r="D137" s="1"/>
  <c r="G139"/>
  <c r="F2502" i="31"/>
  <c r="G140" i="24"/>
  <c r="F2539" i="31"/>
  <c r="AX36" i="29"/>
  <c r="E55" i="27"/>
  <c r="C55" s="1"/>
  <c r="AZ32" i="29"/>
  <c r="AY33"/>
  <c r="AY34" s="1"/>
  <c r="D245" i="34"/>
  <c r="F245" s="1"/>
  <c r="O116" i="24" s="1"/>
  <c r="D116" s="1"/>
  <c r="D1125" i="31"/>
  <c r="F1125" s="1"/>
  <c r="F1126" s="1"/>
  <c r="F2256"/>
  <c r="F2257" s="1"/>
  <c r="G46" i="24"/>
  <c r="BA26" i="29"/>
  <c r="AZ27"/>
  <c r="D1169" i="31"/>
  <c r="F1169" s="1"/>
  <c r="F1170" s="1"/>
  <c r="D221" i="34"/>
  <c r="F221" s="1"/>
  <c r="O115" i="24" s="1"/>
  <c r="D115" s="1"/>
  <c r="AZ21" i="29"/>
  <c r="BA20"/>
  <c r="F608" i="31"/>
  <c r="D655"/>
  <c r="F102" i="34"/>
  <c r="F76"/>
  <c r="F196"/>
  <c r="D813"/>
  <c r="F813" s="1"/>
  <c r="F802" s="1"/>
  <c r="D814"/>
  <c r="F814" s="1"/>
  <c r="G141" i="24"/>
  <c r="F2576" i="31"/>
  <c r="G50" i="24"/>
  <c r="BA23" i="29"/>
  <c r="AZ24"/>
  <c r="D1851" i="31"/>
  <c r="F1851" s="1"/>
  <c r="D1809"/>
  <c r="F1809" s="1"/>
  <c r="D1767"/>
  <c r="F1767" s="1"/>
  <c r="F124" i="34" l="1"/>
  <c r="D125" s="1"/>
  <c r="F125" s="1"/>
  <c r="O111" i="24" s="1"/>
  <c r="D111" s="1"/>
  <c r="F174" i="34"/>
  <c r="D1322" i="31"/>
  <c r="F1322" s="1"/>
  <c r="D1330" s="1"/>
  <c r="F1330" s="1"/>
  <c r="F1331" s="1"/>
  <c r="D1332" s="1"/>
  <c r="F1332" s="1"/>
  <c r="F1333" s="1"/>
  <c r="F2259"/>
  <c r="D2258"/>
  <c r="F2258" s="1"/>
  <c r="D815" i="34"/>
  <c r="F815" s="1"/>
  <c r="D816" s="1"/>
  <c r="D1812" i="31"/>
  <c r="F1812" s="1"/>
  <c r="F1807" s="1"/>
  <c r="D77" i="34"/>
  <c r="F77" s="1"/>
  <c r="O109" i="24" s="1"/>
  <c r="D109" s="1"/>
  <c r="D1770" i="31"/>
  <c r="F1770" s="1"/>
  <c r="F1765" s="1"/>
  <c r="BB26" i="29"/>
  <c r="BA27"/>
  <c r="BA32"/>
  <c r="AZ33"/>
  <c r="AZ34" s="1"/>
  <c r="D2519" i="31"/>
  <c r="F2519" s="1"/>
  <c r="J139" i="24" s="1"/>
  <c r="D2518" i="31"/>
  <c r="F2518" s="1"/>
  <c r="I139" i="24" s="1"/>
  <c r="BB23" i="29"/>
  <c r="BA24"/>
  <c r="D2555" i="31"/>
  <c r="F2555" s="1"/>
  <c r="I140" i="24" s="1"/>
  <c r="D2556" i="31"/>
  <c r="F2556" s="1"/>
  <c r="J140" i="24" s="1"/>
  <c r="F246" i="34"/>
  <c r="D2593" i="31"/>
  <c r="F2593" s="1"/>
  <c r="J141" i="24" s="1"/>
  <c r="D2592" i="31"/>
  <c r="F2592" s="1"/>
  <c r="I141" i="24" s="1"/>
  <c r="D1726" i="31"/>
  <c r="F1726" s="1"/>
  <c r="D26" i="32"/>
  <c r="F26" s="1"/>
  <c r="D1395" i="31"/>
  <c r="F1395" s="1"/>
  <c r="D364"/>
  <c r="F364" s="1"/>
  <c r="D460"/>
  <c r="F460" s="1"/>
  <c r="D268"/>
  <c r="F268" s="1"/>
  <c r="D220"/>
  <c r="F220" s="1"/>
  <c r="K220"/>
  <c r="M220" s="1"/>
  <c r="D172"/>
  <c r="F172" s="1"/>
  <c r="D412"/>
  <c r="F412" s="1"/>
  <c r="D316"/>
  <c r="F316" s="1"/>
  <c r="D76"/>
  <c r="F76" s="1"/>
  <c r="D197" i="34"/>
  <c r="F197" s="1"/>
  <c r="O114" i="24" s="1"/>
  <c r="D114" s="1"/>
  <c r="E56" i="27"/>
  <c r="C56" s="1"/>
  <c r="AY36" i="29"/>
  <c r="BA21"/>
  <c r="BB20"/>
  <c r="D701" i="31"/>
  <c r="F655"/>
  <c r="D1854"/>
  <c r="F1854" s="1"/>
  <c r="F1849" s="1"/>
  <c r="F222" i="34"/>
  <c r="F796"/>
  <c r="F150"/>
  <c r="F126" l="1"/>
  <c r="G61" i="24"/>
  <c r="F1837" i="31"/>
  <c r="F816" i="34"/>
  <c r="D817" s="1"/>
  <c r="G59" i="24"/>
  <c r="F1753" i="31"/>
  <c r="AZ36" i="29"/>
  <c r="E57" i="27"/>
  <c r="C57" s="1"/>
  <c r="G60" i="24"/>
  <c r="F1795" i="31"/>
  <c r="F1724"/>
  <c r="D1730"/>
  <c r="F1730" s="1"/>
  <c r="BB27" i="29"/>
  <c r="BC26"/>
  <c r="F2501" i="31"/>
  <c r="BB32" i="29"/>
  <c r="BA33"/>
  <c r="BA34" s="1"/>
  <c r="BB21"/>
  <c r="BC20"/>
  <c r="F701" i="31"/>
  <c r="K701"/>
  <c r="D748"/>
  <c r="BC23" i="29"/>
  <c r="BB24"/>
  <c r="F2538" i="31"/>
  <c r="F78" i="34"/>
  <c r="F2575" i="31"/>
  <c r="F198" i="34"/>
  <c r="F817" l="1"/>
  <c r="F818" s="1"/>
  <c r="BA36" i="29"/>
  <c r="E58" i="27"/>
  <c r="C58" s="1"/>
  <c r="G62" i="24"/>
  <c r="D2557" i="31"/>
  <c r="F2557" s="1"/>
  <c r="D1858"/>
  <c r="F1858" s="1"/>
  <c r="I61" i="24" s="1"/>
  <c r="I62" s="1"/>
  <c r="D1859" i="31"/>
  <c r="F1859" s="1"/>
  <c r="J61" i="24" s="1"/>
  <c r="J62" s="1"/>
  <c r="G57"/>
  <c r="F1710" i="31"/>
  <c r="M701"/>
  <c r="R701"/>
  <c r="T701" s="1"/>
  <c r="D1774"/>
  <c r="F1774" s="1"/>
  <c r="I59" i="24" s="1"/>
  <c r="D1775" i="31"/>
  <c r="F1775" s="1"/>
  <c r="J59" i="24" s="1"/>
  <c r="BD23" i="29"/>
  <c r="BC24"/>
  <c r="D2520" i="31"/>
  <c r="F2520" s="1"/>
  <c r="D1816"/>
  <c r="F1816" s="1"/>
  <c r="I60" i="24" s="1"/>
  <c r="D1817" i="31"/>
  <c r="F1817" s="1"/>
  <c r="J60" i="24" s="1"/>
  <c r="D2594" i="31"/>
  <c r="F2594" s="1"/>
  <c r="BD20" i="29"/>
  <c r="BC21"/>
  <c r="D795" i="31"/>
  <c r="F748"/>
  <c r="BD26" i="29"/>
  <c r="BC27"/>
  <c r="BB33"/>
  <c r="BB34" s="1"/>
  <c r="BC32"/>
  <c r="D2058" i="31"/>
  <c r="F2058" s="1"/>
  <c r="D1974"/>
  <c r="F1974" s="1"/>
  <c r="D1933"/>
  <c r="F1933" s="1"/>
  <c r="D2153"/>
  <c r="F2153" s="1"/>
  <c r="K1974"/>
  <c r="M1974" s="1"/>
  <c r="D1394"/>
  <c r="F1394" s="1"/>
  <c r="R1974"/>
  <c r="T1974" s="1"/>
  <c r="D835"/>
  <c r="F835" s="1"/>
  <c r="D741"/>
  <c r="F741" s="1"/>
  <c r="K694"/>
  <c r="M694" s="1"/>
  <c r="R694"/>
  <c r="T694" s="1"/>
  <c r="D601"/>
  <c r="F601" s="1"/>
  <c r="D507"/>
  <c r="F507" s="1"/>
  <c r="D315"/>
  <c r="F315" s="1"/>
  <c r="D788"/>
  <c r="F788" s="1"/>
  <c r="D459"/>
  <c r="F459" s="1"/>
  <c r="D648"/>
  <c r="F648" s="1"/>
  <c r="D411"/>
  <c r="F411" s="1"/>
  <c r="D694"/>
  <c r="F694" s="1"/>
  <c r="D123"/>
  <c r="F123" s="1"/>
  <c r="D2015"/>
  <c r="F2015" s="1"/>
  <c r="D1490"/>
  <c r="F1490" s="1"/>
  <c r="D219"/>
  <c r="F219" s="1"/>
  <c r="D1442"/>
  <c r="F1442" s="1"/>
  <c r="D75"/>
  <c r="F75" s="1"/>
  <c r="D554"/>
  <c r="F554" s="1"/>
  <c r="D27"/>
  <c r="F27" s="1"/>
  <c r="Y1974"/>
  <c r="AA1974" s="1"/>
  <c r="D267"/>
  <c r="F267" s="1"/>
  <c r="D363"/>
  <c r="F363" s="1"/>
  <c r="K219"/>
  <c r="M219" s="1"/>
  <c r="D171"/>
  <c r="F171" s="1"/>
  <c r="F1836" l="1"/>
  <c r="D1860" s="1"/>
  <c r="F1860" s="1"/>
  <c r="D2529"/>
  <c r="D819" i="34"/>
  <c r="F819" s="1"/>
  <c r="F820" s="1"/>
  <c r="E59" i="27"/>
  <c r="C59" s="1"/>
  <c r="D63" i="32" s="1"/>
  <c r="F63" s="1"/>
  <c r="BB36" i="29"/>
  <c r="D273" i="31"/>
  <c r="F273" s="1"/>
  <c r="F265" s="1"/>
  <c r="K1977"/>
  <c r="M1977" s="1"/>
  <c r="M1972" s="1"/>
  <c r="M1960" s="1"/>
  <c r="BD27" i="29"/>
  <c r="BE26"/>
  <c r="D1496" i="31"/>
  <c r="F1496" s="1"/>
  <c r="F1488" s="1"/>
  <c r="F1473" s="1"/>
  <c r="K225"/>
  <c r="M225" s="1"/>
  <c r="M217" s="1"/>
  <c r="M202" s="1"/>
  <c r="D225"/>
  <c r="F225" s="1"/>
  <c r="F217" s="1"/>
  <c r="D2595"/>
  <c r="F2595" s="1"/>
  <c r="L141" i="24" s="1"/>
  <c r="K141"/>
  <c r="D177" i="31"/>
  <c r="F177" s="1"/>
  <c r="F169" s="1"/>
  <c r="D465"/>
  <c r="F465" s="1"/>
  <c r="F457" s="1"/>
  <c r="BC33" i="29"/>
  <c r="BC34" s="1"/>
  <c r="BD32"/>
  <c r="D2320" i="31"/>
  <c r="F2320" s="1"/>
  <c r="D2286"/>
  <c r="F2286" s="1"/>
  <c r="D1892"/>
  <c r="F1892" s="1"/>
  <c r="D2018"/>
  <c r="F2018" s="1"/>
  <c r="F2013" s="1"/>
  <c r="D1400"/>
  <c r="F1400" s="1"/>
  <c r="F1392" s="1"/>
  <c r="F1377" s="1"/>
  <c r="D653"/>
  <c r="F653" s="1"/>
  <c r="F646" s="1"/>
  <c r="BD21" i="29"/>
  <c r="BE20"/>
  <c r="D512" i="31"/>
  <c r="F512" s="1"/>
  <c r="F505" s="1"/>
  <c r="D321"/>
  <c r="F321" s="1"/>
  <c r="F313" s="1"/>
  <c r="R1977"/>
  <c r="T1977" s="1"/>
  <c r="T1972" s="1"/>
  <c r="T1960" s="1"/>
  <c r="BD24" i="29"/>
  <c r="BE23"/>
  <c r="D1448" i="31"/>
  <c r="F1448" s="1"/>
  <c r="F1440" s="1"/>
  <c r="F1425" s="1"/>
  <c r="D81"/>
  <c r="F81" s="1"/>
  <c r="F73" s="1"/>
  <c r="F58" s="1"/>
  <c r="D2061"/>
  <c r="F2061" s="1"/>
  <c r="F2056" s="1"/>
  <c r="G58" i="24" s="1"/>
  <c r="D2521" i="31"/>
  <c r="F2521" s="1"/>
  <c r="L139" i="24" s="1"/>
  <c r="K139"/>
  <c r="D559" i="31"/>
  <c r="F559" s="1"/>
  <c r="F552" s="1"/>
  <c r="D1977"/>
  <c r="F1977" s="1"/>
  <c r="F1972" s="1"/>
  <c r="D33"/>
  <c r="F33" s="1"/>
  <c r="F25" s="1"/>
  <c r="D699"/>
  <c r="F699" s="1"/>
  <c r="F692" s="1"/>
  <c r="R699"/>
  <c r="T699" s="1"/>
  <c r="T692" s="1"/>
  <c r="T678" s="1"/>
  <c r="D1936"/>
  <c r="F1936" s="1"/>
  <c r="F1931" s="1"/>
  <c r="D843"/>
  <c r="F795"/>
  <c r="D2558"/>
  <c r="F2558" s="1"/>
  <c r="L140" i="24" s="1"/>
  <c r="K140"/>
  <c r="D369" i="31"/>
  <c r="F369" s="1"/>
  <c r="F361" s="1"/>
  <c r="D793"/>
  <c r="F793" s="1"/>
  <c r="F786" s="1"/>
  <c r="F739"/>
  <c r="D746"/>
  <c r="F746" s="1"/>
  <c r="D2051"/>
  <c r="F2051" s="1"/>
  <c r="D1732"/>
  <c r="F1732" s="1"/>
  <c r="I57" i="24" s="1"/>
  <c r="D1733" i="31"/>
  <c r="F1733" s="1"/>
  <c r="J57" i="24" s="1"/>
  <c r="D417" i="31"/>
  <c r="F417" s="1"/>
  <c r="F409" s="1"/>
  <c r="K699"/>
  <c r="M699" s="1"/>
  <c r="M692" s="1"/>
  <c r="M678" s="1"/>
  <c r="Y1977"/>
  <c r="AA1977" s="1"/>
  <c r="AA1972" s="1"/>
  <c r="AA1960" s="1"/>
  <c r="F121"/>
  <c r="F106" s="1"/>
  <c r="D129"/>
  <c r="F129" s="1"/>
  <c r="D606"/>
  <c r="F606" s="1"/>
  <c r="F599" s="1"/>
  <c r="D2154"/>
  <c r="F2154" s="1"/>
  <c r="F2151" s="1"/>
  <c r="F1794"/>
  <c r="F1752"/>
  <c r="G20" i="24" l="1"/>
  <c r="F298" i="31"/>
  <c r="G17" i="24"/>
  <c r="F202" i="31"/>
  <c r="K1981"/>
  <c r="M1981" s="1"/>
  <c r="K1980"/>
  <c r="M1980" s="1"/>
  <c r="G23" i="24"/>
  <c r="F346" i="31"/>
  <c r="K229"/>
  <c r="M229" s="1"/>
  <c r="M201" s="1"/>
  <c r="K230"/>
  <c r="M230" s="1"/>
  <c r="Y1981"/>
  <c r="AA1981" s="1"/>
  <c r="Y1980"/>
  <c r="AA1980" s="1"/>
  <c r="D1452"/>
  <c r="F1452" s="1"/>
  <c r="D1453"/>
  <c r="F1453" s="1"/>
  <c r="G15" i="24"/>
  <c r="F9" i="31"/>
  <c r="G22" i="24"/>
  <c r="F154" i="31"/>
  <c r="R703"/>
  <c r="T703" s="1"/>
  <c r="R704"/>
  <c r="T704" s="1"/>
  <c r="G19" i="24"/>
  <c r="F250" i="31"/>
  <c r="G52" i="24"/>
  <c r="F1960" i="31"/>
  <c r="F1376"/>
  <c r="D1404"/>
  <c r="F1404" s="1"/>
  <c r="D1405"/>
  <c r="F1405" s="1"/>
  <c r="G27" i="24"/>
  <c r="F442" i="31"/>
  <c r="G40" i="24"/>
  <c r="F771" i="31"/>
  <c r="D888"/>
  <c r="F843"/>
  <c r="G55" i="24"/>
  <c r="F2001" i="31"/>
  <c r="F2529"/>
  <c r="N139" i="24" s="1"/>
  <c r="G38"/>
  <c r="F724" i="31"/>
  <c r="G29" i="24"/>
  <c r="F490" i="31"/>
  <c r="BD33" i="29"/>
  <c r="BD34" s="1"/>
  <c r="BE32"/>
  <c r="BE27"/>
  <c r="BF26"/>
  <c r="D1818" i="31"/>
  <c r="F1818" s="1"/>
  <c r="D2055"/>
  <c r="F2055" s="1"/>
  <c r="F2046" s="1"/>
  <c r="BE24" i="29"/>
  <c r="BF23"/>
  <c r="D2323" i="31"/>
  <c r="F2323" s="1"/>
  <c r="F2318" s="1"/>
  <c r="F2308" s="1"/>
  <c r="G32" i="24"/>
  <c r="F584" i="31"/>
  <c r="R1980"/>
  <c r="T1980" s="1"/>
  <c r="R1981"/>
  <c r="T1981" s="1"/>
  <c r="D134"/>
  <c r="F134" s="1"/>
  <c r="D133"/>
  <c r="F133" s="1"/>
  <c r="D1895"/>
  <c r="F1895" s="1"/>
  <c r="F1890" s="1"/>
  <c r="F1709"/>
  <c r="G66" i="24"/>
  <c r="F2143" i="31"/>
  <c r="G36" i="24"/>
  <c r="F678" i="31"/>
  <c r="D1861"/>
  <c r="F1861" s="1"/>
  <c r="L61" i="24" s="1"/>
  <c r="L62" s="1"/>
  <c r="K61"/>
  <c r="D1500" i="31"/>
  <c r="F1500" s="1"/>
  <c r="D1501"/>
  <c r="F1501" s="1"/>
  <c r="D2566"/>
  <c r="D2603"/>
  <c r="G25" i="24"/>
  <c r="F394" i="31"/>
  <c r="BC36" i="29"/>
  <c r="E60" i="27"/>
  <c r="C60" s="1"/>
  <c r="D673" i="34" s="1"/>
  <c r="F673" s="1"/>
  <c r="K703" i="31"/>
  <c r="M703" s="1"/>
  <c r="K704"/>
  <c r="M704" s="1"/>
  <c r="D1776"/>
  <c r="F1776" s="1"/>
  <c r="G31" i="24"/>
  <c r="F537" i="31"/>
  <c r="G34" i="24"/>
  <c r="F631" i="31"/>
  <c r="G64" i="24"/>
  <c r="F1919" i="31"/>
  <c r="D86"/>
  <c r="F86" s="1"/>
  <c r="D85"/>
  <c r="F85" s="1"/>
  <c r="BE21" i="29"/>
  <c r="BF20"/>
  <c r="M1959" i="31" l="1"/>
  <c r="K1982" s="1"/>
  <c r="M1982" s="1"/>
  <c r="K1983" s="1"/>
  <c r="M1983" s="1"/>
  <c r="F1424"/>
  <c r="D1454" s="1"/>
  <c r="F1454" s="1"/>
  <c r="D1455" s="1"/>
  <c r="F1455" s="1"/>
  <c r="F1472"/>
  <c r="F57"/>
  <c r="D87" s="1"/>
  <c r="F87" s="1"/>
  <c r="D88" s="1"/>
  <c r="F88" s="1"/>
  <c r="T677"/>
  <c r="R705" s="1"/>
  <c r="T705" s="1"/>
  <c r="R706" s="1"/>
  <c r="T706" s="1"/>
  <c r="AA1959"/>
  <c r="Y1982" s="1"/>
  <c r="AA1982" s="1"/>
  <c r="Y1983" s="1"/>
  <c r="AA1983" s="1"/>
  <c r="M677"/>
  <c r="K705" s="1"/>
  <c r="M705" s="1"/>
  <c r="K706" s="1"/>
  <c r="M706" s="1"/>
  <c r="D1869"/>
  <c r="T1959"/>
  <c r="R1982" s="1"/>
  <c r="T1982" s="1"/>
  <c r="R1983" s="1"/>
  <c r="T1983" s="1"/>
  <c r="F105"/>
  <c r="D135" s="1"/>
  <c r="F135" s="1"/>
  <c r="D136" s="1"/>
  <c r="F136" s="1"/>
  <c r="K231"/>
  <c r="M231" s="1"/>
  <c r="K232" s="1"/>
  <c r="M232" s="1"/>
  <c r="D2021"/>
  <c r="F2021" s="1"/>
  <c r="I55" i="24" s="1"/>
  <c r="I56" s="1"/>
  <c r="D2022" i="31"/>
  <c r="F2022" s="1"/>
  <c r="J55" i="24" s="1"/>
  <c r="J56" s="1"/>
  <c r="D373" i="31"/>
  <c r="F373" s="1"/>
  <c r="I23" i="24" s="1"/>
  <c r="I24" s="1"/>
  <c r="D374" i="31"/>
  <c r="F374" s="1"/>
  <c r="J23" i="24" s="1"/>
  <c r="J24" s="1"/>
  <c r="BD36" i="29"/>
  <c r="E61" i="27"/>
  <c r="C61" s="1"/>
  <c r="D836" i="31" s="1"/>
  <c r="F836" s="1"/>
  <c r="F2603"/>
  <c r="N141" i="24" s="1"/>
  <c r="D38" i="31"/>
  <c r="F38" s="1"/>
  <c r="J15" i="24" s="1"/>
  <c r="J16" s="1"/>
  <c r="D37" i="31"/>
  <c r="F37" s="1"/>
  <c r="I15" i="24" s="1"/>
  <c r="I16" s="1"/>
  <c r="G33"/>
  <c r="F2530" i="31"/>
  <c r="D2157"/>
  <c r="F2157" s="1"/>
  <c r="J66" i="24" s="1"/>
  <c r="D2156" i="31"/>
  <c r="F2156" s="1"/>
  <c r="I66" i="24" s="1"/>
  <c r="BF32" i="29"/>
  <c r="BE33"/>
  <c r="BE34" s="1"/>
  <c r="D1939" i="31"/>
  <c r="F1939" s="1"/>
  <c r="I64" i="24" s="1"/>
  <c r="D1940" i="31"/>
  <c r="F1940" s="1"/>
  <c r="J64" i="24" s="1"/>
  <c r="G37"/>
  <c r="D704" i="31"/>
  <c r="F704" s="1"/>
  <c r="J36" i="24" s="1"/>
  <c r="J37" s="1"/>
  <c r="D703" i="31"/>
  <c r="F703" s="1"/>
  <c r="I36" i="24" s="1"/>
  <c r="I37" s="1"/>
  <c r="D277" i="31"/>
  <c r="F277" s="1"/>
  <c r="I19" i="24" s="1"/>
  <c r="D278" i="31"/>
  <c r="F278" s="1"/>
  <c r="J19" i="24" s="1"/>
  <c r="G41"/>
  <c r="K62"/>
  <c r="D564" i="31"/>
  <c r="F564" s="1"/>
  <c r="J31" i="24" s="1"/>
  <c r="D563" i="31"/>
  <c r="F563" s="1"/>
  <c r="I31" i="24" s="1"/>
  <c r="F2042" i="31"/>
  <c r="F58" i="24"/>
  <c r="G30"/>
  <c r="D933" i="31"/>
  <c r="F888"/>
  <c r="F866" s="1"/>
  <c r="D1406"/>
  <c r="F1406" s="1"/>
  <c r="D1407" s="1"/>
  <c r="F1407" s="1"/>
  <c r="D181"/>
  <c r="F181" s="1"/>
  <c r="I22" i="24" s="1"/>
  <c r="D182" i="31"/>
  <c r="F182" s="1"/>
  <c r="J22" i="24" s="1"/>
  <c r="BF24" i="29"/>
  <c r="BG23"/>
  <c r="G21" i="24"/>
  <c r="G16"/>
  <c r="G53"/>
  <c r="D750" i="31"/>
  <c r="F750" s="1"/>
  <c r="I38" i="24" s="1"/>
  <c r="I39" s="1"/>
  <c r="D751" i="31"/>
  <c r="F751" s="1"/>
  <c r="J38" i="24" s="1"/>
  <c r="J39" s="1"/>
  <c r="G35"/>
  <c r="D1734" i="31"/>
  <c r="F1734" s="1"/>
  <c r="D516"/>
  <c r="F516" s="1"/>
  <c r="I29" i="24" s="1"/>
  <c r="I30" s="1"/>
  <c r="D517" i="31"/>
  <c r="F517" s="1"/>
  <c r="J29" i="24" s="1"/>
  <c r="J30" s="1"/>
  <c r="F2566" i="31"/>
  <c r="N140" i="24" s="1"/>
  <c r="G28"/>
  <c r="D2326" i="31"/>
  <c r="F2326" s="1"/>
  <c r="D2327"/>
  <c r="F2327" s="1"/>
  <c r="D470"/>
  <c r="F470" s="1"/>
  <c r="J27" i="24" s="1"/>
  <c r="J28" s="1"/>
  <c r="D469" i="31"/>
  <c r="F469" s="1"/>
  <c r="I27" i="24" s="1"/>
  <c r="I28" s="1"/>
  <c r="D325" i="31"/>
  <c r="F325" s="1"/>
  <c r="I20" i="24" s="1"/>
  <c r="I21" s="1"/>
  <c r="D326" i="31"/>
  <c r="F326" s="1"/>
  <c r="J20" i="24" s="1"/>
  <c r="J21" s="1"/>
  <c r="D1777" i="31"/>
  <c r="F1777" s="1"/>
  <c r="L59" i="24" s="1"/>
  <c r="K59"/>
  <c r="BF27" i="29"/>
  <c r="BG26"/>
  <c r="F1869" i="31"/>
  <c r="N61" i="24" s="1"/>
  <c r="N62" s="1"/>
  <c r="G18"/>
  <c r="G26"/>
  <c r="D1819" i="31"/>
  <c r="F1819" s="1"/>
  <c r="L60" i="24" s="1"/>
  <c r="K60"/>
  <c r="G39"/>
  <c r="D229" i="31"/>
  <c r="F229" s="1"/>
  <c r="I17" i="24" s="1"/>
  <c r="I18" s="1"/>
  <c r="D230" i="31"/>
  <c r="F230" s="1"/>
  <c r="J17" i="24" s="1"/>
  <c r="J18" s="1"/>
  <c r="D421" i="31"/>
  <c r="F421" s="1"/>
  <c r="I25" i="24" s="1"/>
  <c r="I26" s="1"/>
  <c r="D422" i="31"/>
  <c r="F422" s="1"/>
  <c r="J25" i="24" s="1"/>
  <c r="J26" s="1"/>
  <c r="G63"/>
  <c r="F1879" i="31"/>
  <c r="D797"/>
  <c r="F797" s="1"/>
  <c r="I40" i="24" s="1"/>
  <c r="I41" s="1"/>
  <c r="D798" i="31"/>
  <c r="F798" s="1"/>
  <c r="J40" i="24" s="1"/>
  <c r="J41" s="1"/>
  <c r="D1980" i="31"/>
  <c r="F1980" s="1"/>
  <c r="I52" i="24" s="1"/>
  <c r="I53" s="1"/>
  <c r="D1981" i="31"/>
  <c r="F1981" s="1"/>
  <c r="J52" i="24" s="1"/>
  <c r="J53" s="1"/>
  <c r="D610" i="31"/>
  <c r="F610" s="1"/>
  <c r="I32" i="24" s="1"/>
  <c r="I33" s="1"/>
  <c r="D611" i="31"/>
  <c r="F611" s="1"/>
  <c r="J32" i="24" s="1"/>
  <c r="J33" s="1"/>
  <c r="BF21" i="29"/>
  <c r="BG20"/>
  <c r="D658" i="31"/>
  <c r="F658" s="1"/>
  <c r="J34" i="24" s="1"/>
  <c r="J35" s="1"/>
  <c r="D657" i="31"/>
  <c r="F657" s="1"/>
  <c r="I34" i="24" s="1"/>
  <c r="I35" s="1"/>
  <c r="G56"/>
  <c r="G24"/>
  <c r="D1785" i="31" l="1"/>
  <c r="F1785" s="1"/>
  <c r="N59" i="24" s="1"/>
  <c r="F677" i="31"/>
  <c r="D705" s="1"/>
  <c r="F705" s="1"/>
  <c r="D1511"/>
  <c r="F1511" s="1"/>
  <c r="F1512" s="1"/>
  <c r="D1502"/>
  <c r="F1502" s="1"/>
  <c r="D1503" s="1"/>
  <c r="F1503" s="1"/>
  <c r="K240"/>
  <c r="R714"/>
  <c r="T714" s="1"/>
  <c r="T715" s="1"/>
  <c r="Y1991"/>
  <c r="AA1991" s="1"/>
  <c r="AA1992" s="1"/>
  <c r="F297"/>
  <c r="D327" s="1"/>
  <c r="F327" s="1"/>
  <c r="F249"/>
  <c r="D279" s="1"/>
  <c r="F279" s="1"/>
  <c r="F583"/>
  <c r="D612" s="1"/>
  <c r="F612" s="1"/>
  <c r="F2307"/>
  <c r="D2328" s="1"/>
  <c r="F2328" s="1"/>
  <c r="D2329" s="1"/>
  <c r="F2329" s="1"/>
  <c r="F723"/>
  <c r="D752" s="1"/>
  <c r="F752" s="1"/>
  <c r="R1991"/>
  <c r="T1991" s="1"/>
  <c r="T1992" s="1"/>
  <c r="F536"/>
  <c r="D565" s="1"/>
  <c r="F565" s="1"/>
  <c r="F1870"/>
  <c r="D1871" s="1"/>
  <c r="F1871" s="1"/>
  <c r="D1735"/>
  <c r="F1735" s="1"/>
  <c r="K57" i="24"/>
  <c r="D96" i="31"/>
  <c r="F1918"/>
  <c r="K714"/>
  <c r="F770"/>
  <c r="F1959"/>
  <c r="F441"/>
  <c r="F153"/>
  <c r="BF33" i="29"/>
  <c r="BF34" s="1"/>
  <c r="BG32"/>
  <c r="D841" i="31"/>
  <c r="F841" s="1"/>
  <c r="F833" s="1"/>
  <c r="D1415"/>
  <c r="F345"/>
  <c r="D1827"/>
  <c r="BH20" i="29"/>
  <c r="BG21"/>
  <c r="BG27"/>
  <c r="BH26"/>
  <c r="D144" i="31"/>
  <c r="F2567"/>
  <c r="F393"/>
  <c r="K1991"/>
  <c r="D2064"/>
  <c r="F2064" s="1"/>
  <c r="I58" i="24" s="1"/>
  <c r="D2065" i="31"/>
  <c r="F2065" s="1"/>
  <c r="J58" i="24" s="1"/>
  <c r="BE36" i="29"/>
  <c r="D20" i="51" s="1"/>
  <c r="E62" i="27"/>
  <c r="C62" s="1"/>
  <c r="D133" i="32" s="1"/>
  <c r="F133" s="1"/>
  <c r="D135" s="1"/>
  <c r="F135" s="1"/>
  <c r="F131" s="1"/>
  <c r="BG24" i="29"/>
  <c r="BH23"/>
  <c r="D1068" i="31"/>
  <c r="F1068" s="1"/>
  <c r="F1046" s="1"/>
  <c r="D978"/>
  <c r="F933"/>
  <c r="F911" s="1"/>
  <c r="M240"/>
  <c r="M241" s="1"/>
  <c r="F201"/>
  <c r="F8"/>
  <c r="F2142"/>
  <c r="D1463"/>
  <c r="F489"/>
  <c r="F2604"/>
  <c r="F2000"/>
  <c r="D1899"/>
  <c r="F1899" s="1"/>
  <c r="J63" i="24" s="1"/>
  <c r="D1898" i="31"/>
  <c r="F1898" s="1"/>
  <c r="I63" i="24" s="1"/>
  <c r="D890" i="31"/>
  <c r="F890" s="1"/>
  <c r="I44" i="24" s="1"/>
  <c r="D891" i="31"/>
  <c r="F891" s="1"/>
  <c r="J44" i="24" s="1"/>
  <c r="D2531" i="31"/>
  <c r="F2531" s="1"/>
  <c r="O139" i="24" s="1"/>
  <c r="D139" s="1"/>
  <c r="F630" i="31"/>
  <c r="O61" i="24" l="1"/>
  <c r="D61" s="1"/>
  <c r="F1872" i="31"/>
  <c r="K242"/>
  <c r="M242" s="1"/>
  <c r="M243" s="1"/>
  <c r="R1993"/>
  <c r="T1993" s="1"/>
  <c r="T1994" s="1"/>
  <c r="E109" i="48" s="1"/>
  <c r="AA1994" i="31"/>
  <c r="E87" i="48" s="1"/>
  <c r="Y1993" i="31"/>
  <c r="AA1993" s="1"/>
  <c r="D1513"/>
  <c r="F1513" s="1"/>
  <c r="F1514" s="1"/>
  <c r="BF36" i="29"/>
  <c r="E64" i="27"/>
  <c r="C64" s="1"/>
  <c r="D471" i="31"/>
  <c r="F471" s="1"/>
  <c r="F1415"/>
  <c r="F1416" s="1"/>
  <c r="BH21" i="29"/>
  <c r="BI20"/>
  <c r="D375" i="31"/>
  <c r="F375" s="1"/>
  <c r="D1941"/>
  <c r="F1941" s="1"/>
  <c r="K19" i="24"/>
  <c r="D280" i="31"/>
  <c r="F280" s="1"/>
  <c r="BI26" i="29"/>
  <c r="BH27"/>
  <c r="D566" i="31"/>
  <c r="F566" s="1"/>
  <c r="L31" i="24" s="1"/>
  <c r="K31"/>
  <c r="F1827" i="31"/>
  <c r="N60" i="24" s="1"/>
  <c r="D2605" i="31"/>
  <c r="F2605" s="1"/>
  <c r="O141" i="24" s="1"/>
  <c r="D141" s="1"/>
  <c r="D1070" i="31"/>
  <c r="F1070" s="1"/>
  <c r="I49" i="24" s="1"/>
  <c r="D1071" i="31"/>
  <c r="F1071" s="1"/>
  <c r="J49" i="24" s="1"/>
  <c r="J50" s="1"/>
  <c r="F144" i="31"/>
  <c r="F145" s="1"/>
  <c r="BH32" i="29"/>
  <c r="BG33"/>
  <c r="BG34" s="1"/>
  <c r="D183" i="31"/>
  <c r="F183" s="1"/>
  <c r="M714"/>
  <c r="M715" s="1"/>
  <c r="F1786"/>
  <c r="D57" i="51"/>
  <c r="F57" s="1"/>
  <c r="F20"/>
  <c r="D706" i="31"/>
  <c r="F706" s="1"/>
  <c r="L36" i="24" s="1"/>
  <c r="L37" s="1"/>
  <c r="K36"/>
  <c r="D518" i="31"/>
  <c r="F518" s="1"/>
  <c r="BI23" i="29"/>
  <c r="BH24"/>
  <c r="D753" i="31"/>
  <c r="F753" s="1"/>
  <c r="K38" i="24"/>
  <c r="D2023" i="31"/>
  <c r="F2023" s="1"/>
  <c r="D39"/>
  <c r="F39" s="1"/>
  <c r="D1023"/>
  <c r="F1023" s="1"/>
  <c r="F1001" s="1"/>
  <c r="F978"/>
  <c r="F956" s="1"/>
  <c r="D2568"/>
  <c r="F2568" s="1"/>
  <c r="O140" i="24" s="1"/>
  <c r="D140" s="1"/>
  <c r="D799" i="31"/>
  <c r="F799" s="1"/>
  <c r="D2337"/>
  <c r="F2041"/>
  <c r="R716"/>
  <c r="T716" s="1"/>
  <c r="T717" s="1"/>
  <c r="G76" i="24"/>
  <c r="F118" i="32"/>
  <c r="F96" i="31"/>
  <c r="F97" s="1"/>
  <c r="D328"/>
  <c r="F328" s="1"/>
  <c r="L20" i="24" s="1"/>
  <c r="L21" s="1"/>
  <c r="K20"/>
  <c r="D231" i="31"/>
  <c r="F231" s="1"/>
  <c r="D659"/>
  <c r="F659" s="1"/>
  <c r="D2158"/>
  <c r="F2158" s="1"/>
  <c r="D935"/>
  <c r="F935" s="1"/>
  <c r="I45" i="24" s="1"/>
  <c r="D936" i="31"/>
  <c r="F936" s="1"/>
  <c r="J45" i="24" s="1"/>
  <c r="J46" s="1"/>
  <c r="D423" i="31"/>
  <c r="F423" s="1"/>
  <c r="G42" i="24"/>
  <c r="F818" i="31"/>
  <c r="L57" i="24"/>
  <c r="D1743" i="31"/>
  <c r="M1991"/>
  <c r="M1992" s="1"/>
  <c r="D613"/>
  <c r="F613" s="1"/>
  <c r="L32" i="24" s="1"/>
  <c r="L33" s="1"/>
  <c r="K32"/>
  <c r="F1463" i="31"/>
  <c r="F1464" s="1"/>
  <c r="D1982"/>
  <c r="F1982" s="1"/>
  <c r="F2532"/>
  <c r="F865"/>
  <c r="F1878"/>
  <c r="F910" l="1"/>
  <c r="D937" s="1"/>
  <c r="F937" s="1"/>
  <c r="F1045"/>
  <c r="D1072" s="1"/>
  <c r="F1072" s="1"/>
  <c r="D574"/>
  <c r="F574" s="1"/>
  <c r="N31" i="24" s="1"/>
  <c r="O62"/>
  <c r="D62" s="1"/>
  <c r="D1417" i="31"/>
  <c r="F1417" s="1"/>
  <c r="F1418" s="1"/>
  <c r="D98"/>
  <c r="F98" s="1"/>
  <c r="F99" s="1"/>
  <c r="M717"/>
  <c r="K716"/>
  <c r="M716" s="1"/>
  <c r="D146"/>
  <c r="F146" s="1"/>
  <c r="F147" s="1"/>
  <c r="D1465"/>
  <c r="F1465" s="1"/>
  <c r="F1466" s="1"/>
  <c r="E65" i="27"/>
  <c r="C65" s="1"/>
  <c r="BG36" i="29"/>
  <c r="K33" i="24"/>
  <c r="D2159" i="31"/>
  <c r="F2159" s="1"/>
  <c r="L66" i="24" s="1"/>
  <c r="K66"/>
  <c r="K37"/>
  <c r="D184" i="31"/>
  <c r="F184" s="1"/>
  <c r="K22" i="24"/>
  <c r="BJ26" i="29"/>
  <c r="BI27"/>
  <c r="F2606" i="31"/>
  <c r="D1900"/>
  <c r="F1900" s="1"/>
  <c r="I50" i="24"/>
  <c r="BJ20" i="29"/>
  <c r="BI21"/>
  <c r="I46" i="24"/>
  <c r="K21"/>
  <c r="D2066" i="31"/>
  <c r="F2066" s="1"/>
  <c r="D40"/>
  <c r="F40" s="1"/>
  <c r="K15" i="24"/>
  <c r="D472" i="31"/>
  <c r="F472" s="1"/>
  <c r="L27" i="24" s="1"/>
  <c r="L28" s="1"/>
  <c r="K27"/>
  <c r="D892" i="31"/>
  <c r="F892" s="1"/>
  <c r="D519"/>
  <c r="F519" s="1"/>
  <c r="L29" i="24" s="1"/>
  <c r="L30" s="1"/>
  <c r="K29"/>
  <c r="K1993" i="31"/>
  <c r="M1993" s="1"/>
  <c r="M1994" s="1"/>
  <c r="D232"/>
  <c r="F232" s="1"/>
  <c r="L17" i="24" s="1"/>
  <c r="L18" s="1"/>
  <c r="K17"/>
  <c r="D1025" i="31"/>
  <c r="F1025" s="1"/>
  <c r="I48" i="24" s="1"/>
  <c r="D1026" i="31"/>
  <c r="F1026" s="1"/>
  <c r="J48" i="24" s="1"/>
  <c r="BJ23" i="29"/>
  <c r="BI24"/>
  <c r="D1787" i="31"/>
  <c r="F1787" s="1"/>
  <c r="O59" i="24" s="1"/>
  <c r="D59" s="1"/>
  <c r="K23"/>
  <c r="D376" i="31"/>
  <c r="F376" s="1"/>
  <c r="F87" i="48"/>
  <c r="F85" s="1"/>
  <c r="E94"/>
  <c r="I87"/>
  <c r="D336" i="31"/>
  <c r="G43" i="24"/>
  <c r="D137" i="32"/>
  <c r="F137" s="1"/>
  <c r="I76" i="24" s="1"/>
  <c r="D138" i="32"/>
  <c r="F138" s="1"/>
  <c r="J76" i="24" s="1"/>
  <c r="D845" i="31"/>
  <c r="F845" s="1"/>
  <c r="I42" i="24" s="1"/>
  <c r="I43" s="1"/>
  <c r="D846" i="31"/>
  <c r="F846" s="1"/>
  <c r="J42" i="24" s="1"/>
  <c r="J43" s="1"/>
  <c r="D2024" i="31"/>
  <c r="F2024" s="1"/>
  <c r="K55" i="24"/>
  <c r="F1743" i="31"/>
  <c r="N57" i="24" s="1"/>
  <c r="I109" i="48"/>
  <c r="E130"/>
  <c r="E116"/>
  <c r="F109"/>
  <c r="F108" s="1"/>
  <c r="H108" s="1"/>
  <c r="D1983" i="31"/>
  <c r="F1983" s="1"/>
  <c r="K52" i="24"/>
  <c r="D980" i="31"/>
  <c r="F980" s="1"/>
  <c r="I47" i="24" s="1"/>
  <c r="D981" i="31"/>
  <c r="F981" s="1"/>
  <c r="J47" i="24" s="1"/>
  <c r="D714" i="31"/>
  <c r="D621"/>
  <c r="K39" i="24"/>
  <c r="D800" i="31"/>
  <c r="F800" s="1"/>
  <c r="L40" i="24" s="1"/>
  <c r="L41" s="1"/>
  <c r="K40"/>
  <c r="L19"/>
  <c r="D288" i="31"/>
  <c r="F2337"/>
  <c r="F2338" s="1"/>
  <c r="D424"/>
  <c r="F424" s="1"/>
  <c r="L25" i="24" s="1"/>
  <c r="L26" s="1"/>
  <c r="K25"/>
  <c r="K34"/>
  <c r="D660" i="31"/>
  <c r="F660" s="1"/>
  <c r="L38" i="24"/>
  <c r="L39" s="1"/>
  <c r="D761" i="31"/>
  <c r="BI32" i="29"/>
  <c r="BH33"/>
  <c r="BH34" s="1"/>
  <c r="D1942" i="31"/>
  <c r="F1942" s="1"/>
  <c r="K64" i="24"/>
  <c r="F2569" i="31"/>
  <c r="F1828"/>
  <c r="D480" l="1"/>
  <c r="F480" s="1"/>
  <c r="N27" i="24" s="1"/>
  <c r="N28" s="1"/>
  <c r="F955" i="31"/>
  <c r="D982" s="1"/>
  <c r="F982" s="1"/>
  <c r="F1788"/>
  <c r="D240"/>
  <c r="F240" s="1"/>
  <c r="N17" i="24" s="1"/>
  <c r="N18" s="1"/>
  <c r="F575" i="31"/>
  <c r="D576" s="1"/>
  <c r="F576" s="1"/>
  <c r="O31" i="24" s="1"/>
  <c r="D31" s="1"/>
  <c r="E66" i="27"/>
  <c r="C66" s="1"/>
  <c r="BH36" i="29"/>
  <c r="D2339" i="31"/>
  <c r="F2339" s="1"/>
  <c r="F2340" s="1"/>
  <c r="BK23" i="29"/>
  <c r="BJ24"/>
  <c r="K30" i="24"/>
  <c r="D2067" i="31"/>
  <c r="F2067" s="1"/>
  <c r="K58" i="24"/>
  <c r="D808" i="31"/>
  <c r="F1830"/>
  <c r="D1829"/>
  <c r="F1829" s="1"/>
  <c r="O60" i="24" s="1"/>
  <c r="D60" s="1"/>
  <c r="K56"/>
  <c r="L15"/>
  <c r="L16" s="1"/>
  <c r="D48" i="31"/>
  <c r="BK20" i="29"/>
  <c r="BJ21"/>
  <c r="BJ27"/>
  <c r="BK26"/>
  <c r="E146" i="48"/>
  <c r="F130"/>
  <c r="F129" s="1"/>
  <c r="I130"/>
  <c r="K16" i="24"/>
  <c r="F817" i="31"/>
  <c r="D2167"/>
  <c r="I94" i="48"/>
  <c r="E104"/>
  <c r="F94"/>
  <c r="F91" s="1"/>
  <c r="H91" s="1"/>
  <c r="D1073" i="31"/>
  <c r="F1073" s="1"/>
  <c r="L49" i="24" s="1"/>
  <c r="L50" s="1"/>
  <c r="K49"/>
  <c r="K26"/>
  <c r="F336" i="31"/>
  <c r="N20" i="24" s="1"/>
  <c r="L64"/>
  <c r="D1950" i="31"/>
  <c r="L34" i="24"/>
  <c r="L35" s="1"/>
  <c r="D668" i="31"/>
  <c r="F288"/>
  <c r="N19" i="24" s="1"/>
  <c r="F714" i="31"/>
  <c r="N36" i="24" s="1"/>
  <c r="F116" i="48"/>
  <c r="F113" s="1"/>
  <c r="H113" s="1"/>
  <c r="I116"/>
  <c r="F1744" i="31"/>
  <c r="D432"/>
  <c r="K41" i="24"/>
  <c r="F621" i="31"/>
  <c r="N32" i="24" s="1"/>
  <c r="N33" s="1"/>
  <c r="K24"/>
  <c r="K18"/>
  <c r="K28"/>
  <c r="D527" i="31"/>
  <c r="K53" i="24"/>
  <c r="H85" i="48"/>
  <c r="BJ32" i="29"/>
  <c r="BI33"/>
  <c r="BI34" s="1"/>
  <c r="K35" i="24"/>
  <c r="D938" i="31"/>
  <c r="F938" s="1"/>
  <c r="L45" i="24" s="1"/>
  <c r="L46" s="1"/>
  <c r="K45"/>
  <c r="K46" s="1"/>
  <c r="F761" i="31"/>
  <c r="N38" i="24" s="1"/>
  <c r="L52"/>
  <c r="L53" s="1"/>
  <c r="D1991" i="31"/>
  <c r="L55" i="24"/>
  <c r="L56" s="1"/>
  <c r="D2032" i="31"/>
  <c r="L23" i="24"/>
  <c r="L24" s="1"/>
  <c r="D384" i="31"/>
  <c r="D893"/>
  <c r="F893" s="1"/>
  <c r="K44" i="24"/>
  <c r="D1901" i="31"/>
  <c r="F1901" s="1"/>
  <c r="K63" i="24"/>
  <c r="L22"/>
  <c r="D192" i="31"/>
  <c r="F117" i="32"/>
  <c r="F1000" i="31"/>
  <c r="F715" l="1"/>
  <c r="D716" s="1"/>
  <c r="F716" s="1"/>
  <c r="O36" i="24" s="1"/>
  <c r="D946" i="31"/>
  <c r="F946" s="1"/>
  <c r="N45" i="24" s="1"/>
  <c r="N46" s="1"/>
  <c r="D1081" i="31"/>
  <c r="F1081" s="1"/>
  <c r="N49" i="24" s="1"/>
  <c r="N50" s="1"/>
  <c r="F481" i="31"/>
  <c r="N21" i="24"/>
  <c r="F48" i="31"/>
  <c r="N15" i="24" s="1"/>
  <c r="N16" s="1"/>
  <c r="F2032" i="31"/>
  <c r="N55" i="24" s="1"/>
  <c r="N56" s="1"/>
  <c r="H129" i="48"/>
  <c r="N39" i="24"/>
  <c r="D983" i="31"/>
  <c r="F983" s="1"/>
  <c r="L47" i="24" s="1"/>
  <c r="K47"/>
  <c r="D1027" i="31"/>
  <c r="F1027" s="1"/>
  <c r="I104" i="48"/>
  <c r="F104"/>
  <c r="F103" s="1"/>
  <c r="F808" i="31"/>
  <c r="N40" i="24" s="1"/>
  <c r="N41" s="1"/>
  <c r="F1950" i="31"/>
  <c r="N64" i="24" s="1"/>
  <c r="BL23" i="29"/>
  <c r="BK24"/>
  <c r="F337" i="31"/>
  <c r="D139" i="32"/>
  <c r="F139" s="1"/>
  <c r="K76" i="24" s="1"/>
  <c r="L58"/>
  <c r="D2075" i="31"/>
  <c r="F384"/>
  <c r="N23" i="24" s="1"/>
  <c r="N24" s="1"/>
  <c r="F432" i="31"/>
  <c r="N25" i="24" s="1"/>
  <c r="N26" s="1"/>
  <c r="L44"/>
  <c r="D901" i="31"/>
  <c r="BJ33" i="29"/>
  <c r="BJ34" s="1"/>
  <c r="BJ36" s="1"/>
  <c r="BK32"/>
  <c r="N37" i="24"/>
  <c r="BK21" i="29"/>
  <c r="BL20"/>
  <c r="F527" i="31"/>
  <c r="N29" i="24" s="1"/>
  <c r="N30" s="1"/>
  <c r="D847" i="31"/>
  <c r="F847" s="1"/>
  <c r="BL26" i="29"/>
  <c r="BK27"/>
  <c r="F289" i="31"/>
  <c r="F762"/>
  <c r="F622"/>
  <c r="F192"/>
  <c r="N22" i="24" s="1"/>
  <c r="D1745" i="31"/>
  <c r="F1745" s="1"/>
  <c r="O57" i="24" s="1"/>
  <c r="D57" s="1"/>
  <c r="BI36" i="29"/>
  <c r="E67" i="27"/>
  <c r="C67" s="1"/>
  <c r="L63" i="24"/>
  <c r="D1909" i="31"/>
  <c r="F1991"/>
  <c r="N52" i="24" s="1"/>
  <c r="N53" s="1"/>
  <c r="F668" i="31"/>
  <c r="N34" i="24" s="1"/>
  <c r="K50"/>
  <c r="F2167" i="31"/>
  <c r="N66" i="24" s="1"/>
  <c r="E161" i="48"/>
  <c r="I146"/>
  <c r="F146"/>
  <c r="F145" s="1"/>
  <c r="F241" i="31"/>
  <c r="F577"/>
  <c r="D991" l="1"/>
  <c r="F991" s="1"/>
  <c r="N47" i="24" s="1"/>
  <c r="F433" i="31"/>
  <c r="D434" s="1"/>
  <c r="F434" s="1"/>
  <c r="O25" i="24" s="1"/>
  <c r="D140" i="32"/>
  <c r="F140" s="1"/>
  <c r="L76" i="24" s="1"/>
  <c r="D482" i="31"/>
  <c r="F482" s="1"/>
  <c r="O27" i="24" s="1"/>
  <c r="D27" s="1"/>
  <c r="E121" i="48" s="1"/>
  <c r="F1951" i="31"/>
  <c r="D1952" s="1"/>
  <c r="F1952" s="1"/>
  <c r="O64" i="24" s="1"/>
  <c r="D64" s="1"/>
  <c r="E178" i="48" s="1"/>
  <c r="O37" i="24"/>
  <c r="D37" s="1"/>
  <c r="D36"/>
  <c r="F193" i="31"/>
  <c r="D194" s="1"/>
  <c r="F194" s="1"/>
  <c r="O22" i="24" s="1"/>
  <c r="D22" s="1"/>
  <c r="F717" i="31"/>
  <c r="F1992"/>
  <c r="D1993" s="1"/>
  <c r="F1993" s="1"/>
  <c r="O52" i="24" s="1"/>
  <c r="N35"/>
  <c r="D338" i="31"/>
  <c r="F338" s="1"/>
  <c r="O20" i="24" s="1"/>
  <c r="F49" i="31"/>
  <c r="F947"/>
  <c r="D763"/>
  <c r="F763" s="1"/>
  <c r="O38" i="24" s="1"/>
  <c r="F1082" i="31"/>
  <c r="F243"/>
  <c r="D242"/>
  <c r="F242" s="1"/>
  <c r="O17" i="24" s="1"/>
  <c r="D290" i="31"/>
  <c r="F290" s="1"/>
  <c r="O19" i="24" s="1"/>
  <c r="D19" s="1"/>
  <c r="F1909" i="31"/>
  <c r="N63" i="24" s="1"/>
  <c r="D1028" i="31"/>
  <c r="F1028" s="1"/>
  <c r="L48" i="24" s="1"/>
  <c r="K48"/>
  <c r="F385" i="31"/>
  <c r="E195" i="48"/>
  <c r="I161"/>
  <c r="E190"/>
  <c r="E166"/>
  <c r="F161"/>
  <c r="F160" s="1"/>
  <c r="F901" i="31"/>
  <c r="N44" i="24" s="1"/>
  <c r="F528" i="31"/>
  <c r="F2033"/>
  <c r="BL21" i="29"/>
  <c r="BM20"/>
  <c r="D623" i="31"/>
  <c r="F623" s="1"/>
  <c r="O32" i="24" s="1"/>
  <c r="D848" i="31"/>
  <c r="F848" s="1"/>
  <c r="L42" i="24" s="1"/>
  <c r="L43" s="1"/>
  <c r="K42"/>
  <c r="F2168" i="31"/>
  <c r="BL27" i="29"/>
  <c r="BM26"/>
  <c r="H145" i="48"/>
  <c r="BK33" i="29"/>
  <c r="BK34" s="1"/>
  <c r="BL32"/>
  <c r="F2075" i="31"/>
  <c r="N58" i="24" s="1"/>
  <c r="BL24" i="29"/>
  <c r="BM23"/>
  <c r="H103" i="48"/>
  <c r="F809" i="31"/>
  <c r="F669"/>
  <c r="F1746"/>
  <c r="D1036" l="1"/>
  <c r="F1036" s="1"/>
  <c r="N48" i="24" s="1"/>
  <c r="F483" i="31"/>
  <c r="D144" i="32"/>
  <c r="F144" s="1"/>
  <c r="N76" i="24" s="1"/>
  <c r="F435" i="31"/>
  <c r="F339"/>
  <c r="O28" i="24"/>
  <c r="D28" s="1"/>
  <c r="D856" i="31"/>
  <c r="F856" s="1"/>
  <c r="N42" i="24" s="1"/>
  <c r="N43" s="1"/>
  <c r="F1953" i="31"/>
  <c r="D529"/>
  <c r="F529" s="1"/>
  <c r="O29" i="24" s="1"/>
  <c r="O53"/>
  <c r="D53" s="1"/>
  <c r="D52"/>
  <c r="D670" i="31"/>
  <c r="F670" s="1"/>
  <c r="O34" i="24" s="1"/>
  <c r="O21"/>
  <c r="D21" s="1"/>
  <c r="D20"/>
  <c r="F195" i="31"/>
  <c r="D2169"/>
  <c r="F2169" s="1"/>
  <c r="O66" i="24" s="1"/>
  <c r="D66" s="1"/>
  <c r="BK36" i="29"/>
  <c r="E68" i="27"/>
  <c r="C68" s="1"/>
  <c r="D22" i="32" s="1"/>
  <c r="I166" i="48"/>
  <c r="F166"/>
  <c r="F165" s="1"/>
  <c r="H165" s="1"/>
  <c r="O18" i="24"/>
  <c r="D18" s="1"/>
  <c r="D17"/>
  <c r="D50" i="31"/>
  <c r="F50" s="1"/>
  <c r="O15" i="24" s="1"/>
  <c r="F1910" i="31"/>
  <c r="I195" i="48"/>
  <c r="E210"/>
  <c r="F195"/>
  <c r="F194" s="1"/>
  <c r="F190"/>
  <c r="F189" s="1"/>
  <c r="H189" s="1"/>
  <c r="I190"/>
  <c r="K43" i="24"/>
  <c r="BM21" i="29"/>
  <c r="BN20"/>
  <c r="H160" i="48"/>
  <c r="D386" i="31"/>
  <c r="F386" s="1"/>
  <c r="O23" i="24" s="1"/>
  <c r="D948" i="31"/>
  <c r="F948" s="1"/>
  <c r="O45" i="24" s="1"/>
  <c r="F1994" i="31"/>
  <c r="D810"/>
  <c r="F810" s="1"/>
  <c r="O40" i="24" s="1"/>
  <c r="D1083" i="31"/>
  <c r="F1083" s="1"/>
  <c r="O49" i="24" s="1"/>
  <c r="BM24" i="29"/>
  <c r="BN23"/>
  <c r="BM27"/>
  <c r="BN26"/>
  <c r="I178" i="48"/>
  <c r="F178"/>
  <c r="O39" i="24"/>
  <c r="D39" s="1"/>
  <c r="D38"/>
  <c r="F2076" i="31"/>
  <c r="F624"/>
  <c r="F992"/>
  <c r="D2034"/>
  <c r="F2034" s="1"/>
  <c r="O55" i="24" s="1"/>
  <c r="F121" i="48"/>
  <c r="F118" s="1"/>
  <c r="I121"/>
  <c r="E100"/>
  <c r="E137"/>
  <c r="BL33" i="29"/>
  <c r="BL34" s="1"/>
  <c r="BM32"/>
  <c r="O33" i="24"/>
  <c r="D33" s="1"/>
  <c r="D32"/>
  <c r="E177" i="48" s="1"/>
  <c r="O26" i="24"/>
  <c r="D26" s="1"/>
  <c r="D25"/>
  <c r="F902" i="31"/>
  <c r="F291"/>
  <c r="F764"/>
  <c r="F145" i="32" l="1"/>
  <c r="D146" s="1"/>
  <c r="F146" s="1"/>
  <c r="O76" i="24" s="1"/>
  <c r="D76" s="1"/>
  <c r="F949" i="31"/>
  <c r="F1084"/>
  <c r="F811"/>
  <c r="F387"/>
  <c r="F2170"/>
  <c r="F530"/>
  <c r="BL36" i="29"/>
  <c r="E69" i="27"/>
  <c r="C69" s="1"/>
  <c r="D24" i="32" s="1"/>
  <c r="BN24" i="29"/>
  <c r="BO23"/>
  <c r="BN21"/>
  <c r="BO20"/>
  <c r="O16" i="24"/>
  <c r="D16" s="1"/>
  <c r="D15"/>
  <c r="F2035" i="31"/>
  <c r="F1037"/>
  <c r="O46" i="24"/>
  <c r="D46" s="1"/>
  <c r="D45"/>
  <c r="D59" i="32"/>
  <c r="F59" s="1"/>
  <c r="F22"/>
  <c r="O35" i="24"/>
  <c r="D35" s="1"/>
  <c r="D34"/>
  <c r="F51" i="31"/>
  <c r="BN27" i="29"/>
  <c r="BO26"/>
  <c r="I177" i="48"/>
  <c r="F177"/>
  <c r="D1911" i="31"/>
  <c r="F1911" s="1"/>
  <c r="O63" i="24" s="1"/>
  <c r="D63" s="1"/>
  <c r="F857" i="31"/>
  <c r="F671"/>
  <c r="BN32" i="29"/>
  <c r="BM33"/>
  <c r="BM34" s="1"/>
  <c r="H194" i="48"/>
  <c r="O30" i="24"/>
  <c r="D30" s="1"/>
  <c r="D29"/>
  <c r="H118" i="48"/>
  <c r="O41" i="24"/>
  <c r="D41" s="1"/>
  <c r="D40"/>
  <c r="D903" i="31"/>
  <c r="F903" s="1"/>
  <c r="O44" i="24" s="1"/>
  <c r="D44" s="1"/>
  <c r="O50"/>
  <c r="D50" s="1"/>
  <c r="D49"/>
  <c r="I210" i="48"/>
  <c r="F210"/>
  <c r="F209" s="1"/>
  <c r="D993" i="31"/>
  <c r="F993" s="1"/>
  <c r="O47" i="24" s="1"/>
  <c r="D47" s="1"/>
  <c r="O56"/>
  <c r="D56" s="1"/>
  <c r="D55"/>
  <c r="E126" i="48"/>
  <c r="F100"/>
  <c r="F97" s="1"/>
  <c r="F137"/>
  <c r="F134" s="1"/>
  <c r="I137"/>
  <c r="E152"/>
  <c r="D2077" i="31"/>
  <c r="F2077" s="1"/>
  <c r="O58" i="24" s="1"/>
  <c r="D58" s="1"/>
  <c r="O24"/>
  <c r="D24" s="1"/>
  <c r="D23"/>
  <c r="F147" i="32" l="1"/>
  <c r="F994" i="31"/>
  <c r="F904"/>
  <c r="F859"/>
  <c r="D858"/>
  <c r="F858" s="1"/>
  <c r="O42" i="24" s="1"/>
  <c r="BN33" i="29"/>
  <c r="BN34" s="1"/>
  <c r="BO32"/>
  <c r="D1038" i="31"/>
  <c r="F1038" s="1"/>
  <c r="O48" i="24" s="1"/>
  <c r="D48" s="1"/>
  <c r="H134" i="48"/>
  <c r="BO27" i="29"/>
  <c r="BP26"/>
  <c r="BO24"/>
  <c r="BP23"/>
  <c r="BM36"/>
  <c r="E70" i="27"/>
  <c r="C70" s="1"/>
  <c r="D19" i="32" s="1"/>
  <c r="H209" i="48"/>
  <c r="F152"/>
  <c r="F149" s="1"/>
  <c r="E172"/>
  <c r="I152"/>
  <c r="E186"/>
  <c r="BP20" i="29"/>
  <c r="BO21"/>
  <c r="F24" i="32"/>
  <c r="D61"/>
  <c r="F61" s="1"/>
  <c r="F126" i="48"/>
  <c r="F123" s="1"/>
  <c r="F102" s="1"/>
  <c r="E142"/>
  <c r="F2078" i="31"/>
  <c r="H97" i="48"/>
  <c r="F84"/>
  <c r="F1912" i="31"/>
  <c r="F1039" l="1"/>
  <c r="BN36" i="29"/>
  <c r="E71" i="27"/>
  <c r="C71" s="1"/>
  <c r="D21" i="32" s="1"/>
  <c r="H149" i="48"/>
  <c r="E206"/>
  <c r="F206" s="1"/>
  <c r="F203" s="1"/>
  <c r="F186"/>
  <c r="F183" s="1"/>
  <c r="H183" s="1"/>
  <c r="BQ26" i="29"/>
  <c r="BP27"/>
  <c r="F172" i="48"/>
  <c r="F169" s="1"/>
  <c r="I172"/>
  <c r="E201"/>
  <c r="BQ23" i="29"/>
  <c r="BP24"/>
  <c r="BP21"/>
  <c r="BQ20"/>
  <c r="O43" i="24"/>
  <c r="D43" s="1"/>
  <c r="D42"/>
  <c r="E157" i="48"/>
  <c r="F157" s="1"/>
  <c r="F154" s="1"/>
  <c r="H154" s="1"/>
  <c r="F142"/>
  <c r="F139" s="1"/>
  <c r="BP32" i="29"/>
  <c r="BO33"/>
  <c r="BO34" s="1"/>
  <c r="F19" i="32"/>
  <c r="D56"/>
  <c r="F56" s="1"/>
  <c r="H169" i="48" l="1"/>
  <c r="E72" i="27"/>
  <c r="C72" s="1"/>
  <c r="BO36" i="29"/>
  <c r="BQ32"/>
  <c r="BP33"/>
  <c r="BR23"/>
  <c r="BQ24"/>
  <c r="H139" i="48"/>
  <c r="F128"/>
  <c r="BR20" i="29"/>
  <c r="BQ21"/>
  <c r="BR26"/>
  <c r="BQ27"/>
  <c r="D58" i="32"/>
  <c r="F58" s="1"/>
  <c r="D64" s="1"/>
  <c r="F64" s="1"/>
  <c r="F21"/>
  <c r="E217" i="48"/>
  <c r="F201"/>
  <c r="F198" s="1"/>
  <c r="I201"/>
  <c r="F144"/>
  <c r="BP34" i="29"/>
  <c r="F18" i="32" l="1"/>
  <c r="BP36" i="29"/>
  <c r="E73" i="27"/>
  <c r="C73" s="1"/>
  <c r="I217" i="48"/>
  <c r="F217"/>
  <c r="F214" s="1"/>
  <c r="H198"/>
  <c r="F188"/>
  <c r="BS20" i="29"/>
  <c r="BR21"/>
  <c r="BR27"/>
  <c r="BS26"/>
  <c r="D27" i="32"/>
  <c r="F27" s="1"/>
  <c r="F55"/>
  <c r="BR24" i="29"/>
  <c r="BS23"/>
  <c r="BR32"/>
  <c r="BQ33"/>
  <c r="BQ34" s="1"/>
  <c r="BQ36" l="1"/>
  <c r="E74" i="27"/>
  <c r="C74" s="1"/>
  <c r="D2283" i="31" s="1"/>
  <c r="F2283" s="1"/>
  <c r="G73" i="24"/>
  <c r="F9" i="32"/>
  <c r="BS21" i="29"/>
  <c r="BT20"/>
  <c r="BR33"/>
  <c r="BR34" s="1"/>
  <c r="BS32"/>
  <c r="BT26"/>
  <c r="BS27"/>
  <c r="G74" i="24"/>
  <c r="F46" i="32"/>
  <c r="H214" i="48"/>
  <c r="F208"/>
  <c r="BT23" i="29"/>
  <c r="BS24"/>
  <c r="E75" i="27" l="1"/>
  <c r="C75" s="1"/>
  <c r="BR36" i="29"/>
  <c r="F8" i="32"/>
  <c r="D29"/>
  <c r="F29" s="1"/>
  <c r="I73" i="24" s="1"/>
  <c r="D30" i="32"/>
  <c r="F30" s="1"/>
  <c r="J73" i="24" s="1"/>
  <c r="D67" i="32"/>
  <c r="F67" s="1"/>
  <c r="J74" i="24" s="1"/>
  <c r="D66" i="32"/>
  <c r="F66" s="1"/>
  <c r="I74" i="24" s="1"/>
  <c r="BT27" i="29"/>
  <c r="BU26"/>
  <c r="BU20"/>
  <c r="BT21"/>
  <c r="BU23"/>
  <c r="BT24"/>
  <c r="BT32"/>
  <c r="BS33"/>
  <c r="BS34" s="1"/>
  <c r="BS36" l="1"/>
  <c r="E76" i="27"/>
  <c r="C76" s="1"/>
  <c r="BU21" i="29"/>
  <c r="BV20"/>
  <c r="D31" i="32"/>
  <c r="F31" s="1"/>
  <c r="K73" i="24" s="1"/>
  <c r="BU24" i="29"/>
  <c r="BV23"/>
  <c r="F45" i="32"/>
  <c r="BU27" i="29"/>
  <c r="BV26"/>
  <c r="BT33"/>
  <c r="BT34" s="1"/>
  <c r="BU32"/>
  <c r="BT36" l="1"/>
  <c r="E77" i="27"/>
  <c r="C77" s="1"/>
  <c r="BV24" i="29"/>
  <c r="BX23"/>
  <c r="D68" i="32"/>
  <c r="F68" s="1"/>
  <c r="K74" i="24" s="1"/>
  <c r="BV21" i="29"/>
  <c r="BX20"/>
  <c r="BV27"/>
  <c r="BW26"/>
  <c r="BW27" s="1"/>
  <c r="BW34" s="1"/>
  <c r="BW36" s="1"/>
  <c r="D21" i="51" s="1"/>
  <c r="BX26" i="29"/>
  <c r="D32" i="32"/>
  <c r="F32" s="1"/>
  <c r="D36" s="1"/>
  <c r="F36" s="1"/>
  <c r="N73" i="24" s="1"/>
  <c r="BV32" i="29"/>
  <c r="BU33"/>
  <c r="BU34" s="1"/>
  <c r="D69" i="32" l="1"/>
  <c r="F69" s="1"/>
  <c r="L74" i="24" s="1"/>
  <c r="BU36" i="29"/>
  <c r="E78" i="27"/>
  <c r="C78" s="1"/>
  <c r="BV34" i="29"/>
  <c r="BY20"/>
  <c r="BX21"/>
  <c r="BX24"/>
  <c r="BY23"/>
  <c r="BY26"/>
  <c r="BX27"/>
  <c r="D58" i="51"/>
  <c r="F58" s="1"/>
  <c r="F21"/>
  <c r="L73" i="24"/>
  <c r="F37" i="32"/>
  <c r="BV33" i="29"/>
  <c r="BX32"/>
  <c r="D74" i="32"/>
  <c r="F74" s="1"/>
  <c r="N74" i="24" s="1"/>
  <c r="F75" i="32" l="1"/>
  <c r="BV36" i="29"/>
  <c r="E79" i="27"/>
  <c r="C79" s="1"/>
  <c r="D61" i="51"/>
  <c r="F61" s="1"/>
  <c r="F56" s="1"/>
  <c r="F46" s="1"/>
  <c r="BZ23" i="29"/>
  <c r="BY24"/>
  <c r="F19" i="51"/>
  <c r="F7" s="1"/>
  <c r="D24"/>
  <c r="F24" s="1"/>
  <c r="BY21" i="29"/>
  <c r="BZ20"/>
  <c r="D38" i="32"/>
  <c r="F38" s="1"/>
  <c r="O73" i="24" s="1"/>
  <c r="D73" s="1"/>
  <c r="E180" i="48" s="1"/>
  <c r="BY32" i="29"/>
  <c r="BX33"/>
  <c r="BX34" s="1"/>
  <c r="BZ26"/>
  <c r="BY27"/>
  <c r="D76" i="32" l="1"/>
  <c r="F76" s="1"/>
  <c r="O74" i="24" s="1"/>
  <c r="D74" s="1"/>
  <c r="D63" i="51"/>
  <c r="F63" s="1"/>
  <c r="F45" s="1"/>
  <c r="E80" i="27"/>
  <c r="C80" s="1"/>
  <c r="BX36" i="29"/>
  <c r="D26" i="51"/>
  <c r="F26" s="1"/>
  <c r="F6" s="1"/>
  <c r="BZ21" i="29"/>
  <c r="CA20"/>
  <c r="CA23"/>
  <c r="BZ24"/>
  <c r="F39" i="32"/>
  <c r="BZ27" i="29"/>
  <c r="CA26"/>
  <c r="I180" i="48"/>
  <c r="F180"/>
  <c r="BZ32" i="29"/>
  <c r="BY33"/>
  <c r="BY34" s="1"/>
  <c r="F77" i="32" l="1"/>
  <c r="D66" i="51"/>
  <c r="F66" s="1"/>
  <c r="D70" s="1"/>
  <c r="D29"/>
  <c r="F29" s="1"/>
  <c r="D34" s="1"/>
  <c r="BY36" i="29"/>
  <c r="E81" i="27"/>
  <c r="C81" s="1"/>
  <c r="CA32" i="29"/>
  <c r="BZ33"/>
  <c r="CB23"/>
  <c r="CA24"/>
  <c r="CB26"/>
  <c r="CA27"/>
  <c r="BZ34"/>
  <c r="CA21"/>
  <c r="CB20"/>
  <c r="F35" i="51" l="1"/>
  <c r="F34"/>
  <c r="F70"/>
  <c r="F71" s="1"/>
  <c r="CC23" i="29"/>
  <c r="CB24"/>
  <c r="CB27"/>
  <c r="CC26"/>
  <c r="BZ36"/>
  <c r="E82" i="27"/>
  <c r="C82" s="1"/>
  <c r="D964" i="34"/>
  <c r="F964" s="1"/>
  <c r="D992"/>
  <c r="F992" s="1"/>
  <c r="D710"/>
  <c r="F710" s="1"/>
  <c r="D852"/>
  <c r="F852" s="1"/>
  <c r="D908"/>
  <c r="F908" s="1"/>
  <c r="D936"/>
  <c r="F936" s="1"/>
  <c r="D880"/>
  <c r="F880" s="1"/>
  <c r="D1020"/>
  <c r="F1020" s="1"/>
  <c r="CB21" i="29"/>
  <c r="CC20"/>
  <c r="CA33"/>
  <c r="CA34" s="1"/>
  <c r="CB32"/>
  <c r="D72" i="51" l="1"/>
  <c r="F72" s="1"/>
  <c r="F73" s="1"/>
  <c r="CA36" i="29"/>
  <c r="E30" i="27"/>
  <c r="C30" s="1"/>
  <c r="CC21" i="29"/>
  <c r="CD20"/>
  <c r="F879" i="34"/>
  <c r="D881"/>
  <c r="F881" s="1"/>
  <c r="D36" i="51"/>
  <c r="F36" s="1"/>
  <c r="F37" s="1"/>
  <c r="D965" i="34"/>
  <c r="F965" s="1"/>
  <c r="F963" s="1"/>
  <c r="F709"/>
  <c r="F697" s="1"/>
  <c r="D711"/>
  <c r="F711" s="1"/>
  <c r="F851"/>
  <c r="D853"/>
  <c r="F853" s="1"/>
  <c r="D909"/>
  <c r="F909" s="1"/>
  <c r="F907" s="1"/>
  <c r="D993"/>
  <c r="F993" s="1"/>
  <c r="F991" s="1"/>
  <c r="CD23" i="29"/>
  <c r="CC24"/>
  <c r="CC32"/>
  <c r="CB33"/>
  <c r="CB34" s="1"/>
  <c r="CB36" s="1"/>
  <c r="D937" i="34"/>
  <c r="F937" s="1"/>
  <c r="F935" s="1"/>
  <c r="CC27" i="29"/>
  <c r="CD26"/>
  <c r="G134" i="24" l="1"/>
  <c r="F925" i="34"/>
  <c r="G133" i="24"/>
  <c r="F897" i="34"/>
  <c r="CC33" i="29"/>
  <c r="CD32"/>
  <c r="G135" i="24"/>
  <c r="F953" i="34"/>
  <c r="G131" i="24"/>
  <c r="F841" i="34"/>
  <c r="G132" i="24"/>
  <c r="F869" i="34"/>
  <c r="G136" i="24"/>
  <c r="F981" i="34"/>
  <c r="CD27" i="29"/>
  <c r="CE26"/>
  <c r="CD24"/>
  <c r="CE23"/>
  <c r="CC34"/>
  <c r="CC36" s="1"/>
  <c r="D714" i="34"/>
  <c r="F714" s="1"/>
  <c r="F696" s="1"/>
  <c r="D713"/>
  <c r="F713" s="1"/>
  <c r="CD21" i="29"/>
  <c r="CE20"/>
  <c r="D715" i="34" l="1"/>
  <c r="F715" s="1"/>
  <c r="D716" s="1"/>
  <c r="F716" s="1"/>
  <c r="D717" s="1"/>
  <c r="F717" s="1"/>
  <c r="D883"/>
  <c r="F883" s="1"/>
  <c r="I132" i="24" s="1"/>
  <c r="D884" i="34"/>
  <c r="F884" s="1"/>
  <c r="J132" i="24" s="1"/>
  <c r="D855" i="34"/>
  <c r="F855" s="1"/>
  <c r="I131" i="24" s="1"/>
  <c r="D856" i="34"/>
  <c r="F856" s="1"/>
  <c r="J131" i="24" s="1"/>
  <c r="F896" i="34"/>
  <c r="D911"/>
  <c r="F911" s="1"/>
  <c r="I133" i="24" s="1"/>
  <c r="D912" i="34"/>
  <c r="F912" s="1"/>
  <c r="J133" i="24" s="1"/>
  <c r="CE24" i="29"/>
  <c r="CF23"/>
  <c r="D939" i="34"/>
  <c r="F939" s="1"/>
  <c r="I134" i="24" s="1"/>
  <c r="D940" i="34"/>
  <c r="F940" s="1"/>
  <c r="J134" i="24" s="1"/>
  <c r="D996" i="34"/>
  <c r="F996" s="1"/>
  <c r="J136" i="24" s="1"/>
  <c r="D995" i="34"/>
  <c r="F995" s="1"/>
  <c r="I136" i="24" s="1"/>
  <c r="CE32" i="29"/>
  <c r="CD33"/>
  <c r="CD34" s="1"/>
  <c r="CE21"/>
  <c r="CF20"/>
  <c r="CE27"/>
  <c r="CF26"/>
  <c r="D967" i="34"/>
  <c r="F967" s="1"/>
  <c r="I135" i="24" s="1"/>
  <c r="D968" i="34"/>
  <c r="F968" s="1"/>
  <c r="J135" i="24" s="1"/>
  <c r="F718" i="34" l="1"/>
  <c r="CD36" i="29"/>
  <c r="E94" i="27"/>
  <c r="C94" s="1"/>
  <c r="F952" i="34"/>
  <c r="F840"/>
  <c r="CE33" i="29"/>
  <c r="CE34" s="1"/>
  <c r="CF32"/>
  <c r="CF24"/>
  <c r="CG23"/>
  <c r="D913" i="34"/>
  <c r="F913" s="1"/>
  <c r="K133" i="24" s="1"/>
  <c r="CG20" i="29"/>
  <c r="CF21"/>
  <c r="F980" i="34"/>
  <c r="CG26" i="29"/>
  <c r="CF27"/>
  <c r="F924" i="34"/>
  <c r="F868"/>
  <c r="CH26" i="29" l="1"/>
  <c r="CG27"/>
  <c r="F720" i="34"/>
  <c r="D719"/>
  <c r="F719" s="1"/>
  <c r="E93" i="27"/>
  <c r="C93" s="1"/>
  <c r="CE36" i="29"/>
  <c r="D941" i="34"/>
  <c r="F941" s="1"/>
  <c r="K134" i="24" s="1"/>
  <c r="D914" i="34"/>
  <c r="F914" s="1"/>
  <c r="L133" i="24" s="1"/>
  <c r="D997" i="34"/>
  <c r="F997" s="1"/>
  <c r="K136" i="24" s="1"/>
  <c r="CH23" i="29"/>
  <c r="CG24"/>
  <c r="D969" i="34"/>
  <c r="F969" s="1"/>
  <c r="K135" i="24" s="1"/>
  <c r="D885" i="34"/>
  <c r="F885" s="1"/>
  <c r="K132" i="24" s="1"/>
  <c r="D858" i="34"/>
  <c r="F858" s="1"/>
  <c r="L131" i="24" s="1"/>
  <c r="D857" i="34"/>
  <c r="F857" s="1"/>
  <c r="K131" i="24" s="1"/>
  <c r="CG21" i="29"/>
  <c r="CH20"/>
  <c r="CG32"/>
  <c r="CF33"/>
  <c r="CF34" s="1"/>
  <c r="D886" i="34" l="1"/>
  <c r="F886" s="1"/>
  <c r="L132" i="24" s="1"/>
  <c r="E88" i="27"/>
  <c r="C88" s="1"/>
  <c r="D1021" i="34" s="1"/>
  <c r="F1021" s="1"/>
  <c r="D1022" s="1"/>
  <c r="F1022" s="1"/>
  <c r="F1019" s="1"/>
  <c r="F1009" s="1"/>
  <c r="CF36" i="29"/>
  <c r="CI23"/>
  <c r="CH24"/>
  <c r="CH32"/>
  <c r="CG33"/>
  <c r="CH27"/>
  <c r="CI26"/>
  <c r="D669" i="34"/>
  <c r="F669" s="1"/>
  <c r="D2279" i="31"/>
  <c r="F2279" s="1"/>
  <c r="D859" i="34"/>
  <c r="F859" s="1"/>
  <c r="N131" i="24" s="1"/>
  <c r="CG34" i="29"/>
  <c r="CH21"/>
  <c r="CI20"/>
  <c r="D915" i="34"/>
  <c r="F915" s="1"/>
  <c r="D970"/>
  <c r="F970" s="1"/>
  <c r="D998"/>
  <c r="F998" s="1"/>
  <c r="D942"/>
  <c r="F942" s="1"/>
  <c r="D887" l="1"/>
  <c r="F887" s="1"/>
  <c r="N132" i="24" s="1"/>
  <c r="N133"/>
  <c r="F916" i="34"/>
  <c r="D1024"/>
  <c r="F1024" s="1"/>
  <c r="F1008" s="1"/>
  <c r="D1025"/>
  <c r="F1025" s="1"/>
  <c r="CJ20" i="29"/>
  <c r="CI21"/>
  <c r="CJ26"/>
  <c r="CI27"/>
  <c r="CJ23"/>
  <c r="CI24"/>
  <c r="L136" i="24"/>
  <c r="D999" i="34"/>
  <c r="F999" s="1"/>
  <c r="N136" i="24" s="1"/>
  <c r="L135"/>
  <c r="D971" i="34"/>
  <c r="F971" s="1"/>
  <c r="N135" i="24" s="1"/>
  <c r="CG36" i="29"/>
  <c r="E89" i="27"/>
  <c r="C89" s="1"/>
  <c r="CI32" i="29"/>
  <c r="CH33"/>
  <c r="CH34" s="1"/>
  <c r="L134" i="24"/>
  <c r="D943" i="34"/>
  <c r="F943" s="1"/>
  <c r="N134" i="24" s="1"/>
  <c r="F860" i="34"/>
  <c r="F888" l="1"/>
  <c r="D889" s="1"/>
  <c r="F889" s="1"/>
  <c r="O132" i="24" s="1"/>
  <c r="D132" s="1"/>
  <c r="F1000" i="34"/>
  <c r="D1001" s="1"/>
  <c r="F1001" s="1"/>
  <c r="O136" i="24" s="1"/>
  <c r="D136" s="1"/>
  <c r="E86" i="27"/>
  <c r="C86" s="1"/>
  <c r="CH36" i="29"/>
  <c r="D1026" i="34"/>
  <c r="F1026" s="1"/>
  <c r="D1027" s="1"/>
  <c r="F1027" s="1"/>
  <c r="F918"/>
  <c r="D917"/>
  <c r="F917" s="1"/>
  <c r="O133" i="24" s="1"/>
  <c r="D133" s="1"/>
  <c r="CK20" i="29"/>
  <c r="CJ21"/>
  <c r="F944" i="34"/>
  <c r="D861"/>
  <c r="F861" s="1"/>
  <c r="O131" i="24" s="1"/>
  <c r="D131" s="1"/>
  <c r="F972" i="34"/>
  <c r="CK23" i="29"/>
  <c r="CJ24"/>
  <c r="CI33"/>
  <c r="CI34" s="1"/>
  <c r="CJ32"/>
  <c r="CJ27"/>
  <c r="CK26"/>
  <c r="F1002" i="34" l="1"/>
  <c r="CI36" i="29"/>
  <c r="E87" i="27"/>
  <c r="C87" s="1"/>
  <c r="F1029" i="34"/>
  <c r="CK21" i="29"/>
  <c r="CL20"/>
  <c r="D1028" i="34"/>
  <c r="F1028" s="1"/>
  <c r="CK27" i="29"/>
  <c r="CL26"/>
  <c r="D634" i="34"/>
  <c r="F634" s="1"/>
  <c r="D672"/>
  <c r="F672" s="1"/>
  <c r="D2280" i="31"/>
  <c r="F2280" s="1"/>
  <c r="D945" i="34"/>
  <c r="F945" s="1"/>
  <c r="O134" i="24" s="1"/>
  <c r="D134" s="1"/>
  <c r="CJ33" i="29"/>
  <c r="CK32"/>
  <c r="D973" i="34"/>
  <c r="F973" s="1"/>
  <c r="O135" i="24" s="1"/>
  <c r="D135" s="1"/>
  <c r="F862" i="34"/>
  <c r="CL23" i="29"/>
  <c r="CK24"/>
  <c r="CJ34"/>
  <c r="F890" i="34"/>
  <c r="F974" l="1"/>
  <c r="D1613" i="31"/>
  <c r="F1613" s="1"/>
  <c r="D1578"/>
  <c r="F1578" s="1"/>
  <c r="D1030" i="34"/>
  <c r="F1030" s="1"/>
  <c r="F1031" s="1"/>
  <c r="CJ36" i="29"/>
  <c r="E84" i="27"/>
  <c r="C84" s="1"/>
  <c r="CL24" i="29"/>
  <c r="CM23"/>
  <c r="CL21"/>
  <c r="CM20"/>
  <c r="CK33"/>
  <c r="CK34" s="1"/>
  <c r="CL32"/>
  <c r="CL27"/>
  <c r="CM26"/>
  <c r="F946" i="34"/>
  <c r="D671" l="1"/>
  <c r="F671" s="1"/>
  <c r="D633"/>
  <c r="F633" s="1"/>
  <c r="D2281" i="31"/>
  <c r="F2281" s="1"/>
  <c r="D1612"/>
  <c r="F1612" s="1"/>
  <c r="CM24" i="29"/>
  <c r="CN23"/>
  <c r="CK36"/>
  <c r="E85" i="27"/>
  <c r="C85" s="1"/>
  <c r="D1577" i="31" s="1"/>
  <c r="F1577" s="1"/>
  <c r="CL34" i="29"/>
  <c r="CM27"/>
  <c r="CN26"/>
  <c r="CM21"/>
  <c r="CN20"/>
  <c r="CM32"/>
  <c r="CL33"/>
  <c r="CL36" l="1"/>
  <c r="E37" i="27"/>
  <c r="C37" s="1"/>
  <c r="D704" i="33" s="1"/>
  <c r="F704" s="1"/>
  <c r="F2278" i="31"/>
  <c r="F2266" s="1"/>
  <c r="D2287"/>
  <c r="F2287" s="1"/>
  <c r="CO26" i="29"/>
  <c r="CN27"/>
  <c r="D1615" i="31"/>
  <c r="F1615" s="1"/>
  <c r="F1611" s="1"/>
  <c r="F1603" s="1"/>
  <c r="CO20" i="29"/>
  <c r="CN21"/>
  <c r="CM33"/>
  <c r="CM34" s="1"/>
  <c r="CN32"/>
  <c r="D676" i="34"/>
  <c r="F676" s="1"/>
  <c r="F668" s="1"/>
  <c r="F654" s="1"/>
  <c r="CN24" i="29"/>
  <c r="CO23"/>
  <c r="D1580" i="31"/>
  <c r="F1580" s="1"/>
  <c r="F1575" s="1"/>
  <c r="F1565" s="1"/>
  <c r="D1618" l="1"/>
  <c r="F1618" s="1"/>
  <c r="D1617"/>
  <c r="F1617" s="1"/>
  <c r="CO21" i="29"/>
  <c r="CP20"/>
  <c r="CM36"/>
  <c r="E83" i="27"/>
  <c r="C83" s="1"/>
  <c r="CO32" i="29"/>
  <c r="CN33"/>
  <c r="CN34" s="1"/>
  <c r="D2290" i="31"/>
  <c r="F2290" s="1"/>
  <c r="D2289"/>
  <c r="F2289" s="1"/>
  <c r="D1584"/>
  <c r="F1584" s="1"/>
  <c r="D1585"/>
  <c r="F1585" s="1"/>
  <c r="D678" i="34"/>
  <c r="F678" s="1"/>
  <c r="F653" s="1"/>
  <c r="D679"/>
  <c r="F679" s="1"/>
  <c r="CP26" i="29"/>
  <c r="CO27"/>
  <c r="CP23"/>
  <c r="CO24"/>
  <c r="F1564" i="31" l="1"/>
  <c r="D1586" s="1"/>
  <c r="F1586" s="1"/>
  <c r="D1587" s="1"/>
  <c r="F1587" s="1"/>
  <c r="D1593" s="1"/>
  <c r="F2265"/>
  <c r="D2291" s="1"/>
  <c r="F2291" s="1"/>
  <c r="D2292" s="1"/>
  <c r="F2292" s="1"/>
  <c r="F1602"/>
  <c r="D1619" s="1"/>
  <c r="F1619" s="1"/>
  <c r="D1620" s="1"/>
  <c r="F1620" s="1"/>
  <c r="E95" i="27"/>
  <c r="C95" s="1"/>
  <c r="CN36" i="29"/>
  <c r="D632" i="34"/>
  <c r="F632" s="1"/>
  <c r="D606"/>
  <c r="F606" s="1"/>
  <c r="CP27" i="29"/>
  <c r="CQ26"/>
  <c r="CP32"/>
  <c r="CO33"/>
  <c r="CO34" s="1"/>
  <c r="CP21"/>
  <c r="CQ20"/>
  <c r="D680" i="34"/>
  <c r="F680" s="1"/>
  <c r="CQ23" i="29"/>
  <c r="CP24"/>
  <c r="D1624" i="31" l="1"/>
  <c r="F1624" s="1"/>
  <c r="F1625" s="1"/>
  <c r="D2298"/>
  <c r="F2298" s="1"/>
  <c r="F2299" s="1"/>
  <c r="D687" i="34"/>
  <c r="F687" s="1"/>
  <c r="D681"/>
  <c r="F681" s="1"/>
  <c r="F1593" i="31"/>
  <c r="F1594" s="1"/>
  <c r="CO36" i="29"/>
  <c r="E90" i="27"/>
  <c r="C90" s="1"/>
  <c r="CR26" i="29"/>
  <c r="CQ27"/>
  <c r="CR23"/>
  <c r="CQ24"/>
  <c r="CQ32"/>
  <c r="CP33"/>
  <c r="CP34" s="1"/>
  <c r="D636" i="34"/>
  <c r="F636" s="1"/>
  <c r="F631" s="1"/>
  <c r="F623" s="1"/>
  <c r="D756"/>
  <c r="F756" s="1"/>
  <c r="D730"/>
  <c r="F730" s="1"/>
  <c r="CQ21" i="29"/>
  <c r="CR20"/>
  <c r="F605" i="34"/>
  <c r="F593" s="1"/>
  <c r="D607"/>
  <c r="F607" s="1"/>
  <c r="F688" l="1"/>
  <c r="D689" s="1"/>
  <c r="F689" s="1"/>
  <c r="F690" s="1"/>
  <c r="F1596" i="31"/>
  <c r="D1595"/>
  <c r="F1595" s="1"/>
  <c r="D2300"/>
  <c r="F2300" s="1"/>
  <c r="F2301" s="1"/>
  <c r="D1626"/>
  <c r="F1626" s="1"/>
  <c r="F1627" s="1"/>
  <c r="E91" i="27"/>
  <c r="C91" s="1"/>
  <c r="CP36" i="29"/>
  <c r="D638" i="34"/>
  <c r="F638" s="1"/>
  <c r="D639"/>
  <c r="F639" s="1"/>
  <c r="F729"/>
  <c r="D734"/>
  <c r="F734" s="1"/>
  <c r="CS20" i="29"/>
  <c r="CR21"/>
  <c r="CR27"/>
  <c r="CS26"/>
  <c r="D760" i="34"/>
  <c r="F760" s="1"/>
  <c r="F755" s="1"/>
  <c r="D609"/>
  <c r="F609" s="1"/>
  <c r="F592" s="1"/>
  <c r="D610"/>
  <c r="F610" s="1"/>
  <c r="CQ33" i="29"/>
  <c r="CQ34" s="1"/>
  <c r="CQ36" s="1"/>
  <c r="CR32"/>
  <c r="CS23"/>
  <c r="CR24"/>
  <c r="F622" i="34" l="1"/>
  <c r="D640" s="1"/>
  <c r="F640" s="1"/>
  <c r="D612"/>
  <c r="F612" s="1"/>
  <c r="D613" s="1"/>
  <c r="F613" s="1"/>
  <c r="D611"/>
  <c r="F611" s="1"/>
  <c r="CS24" i="29"/>
  <c r="CT23"/>
  <c r="CT24" s="1"/>
  <c r="CS27"/>
  <c r="CT26"/>
  <c r="CT27" s="1"/>
  <c r="D735" i="34"/>
  <c r="F735" s="1"/>
  <c r="F727" s="1"/>
  <c r="CT20" i="29"/>
  <c r="CT21" s="1"/>
  <c r="CS21"/>
  <c r="CR34"/>
  <c r="D761" i="34"/>
  <c r="F761" s="1"/>
  <c r="F753" s="1"/>
  <c r="CS32" i="29"/>
  <c r="CR33"/>
  <c r="D763" i="34" l="1"/>
  <c r="F763" s="1"/>
  <c r="F752" s="1"/>
  <c r="D764"/>
  <c r="F764" s="1"/>
  <c r="D737"/>
  <c r="F737" s="1"/>
  <c r="F726" s="1"/>
  <c r="D738"/>
  <c r="F738" s="1"/>
  <c r="F614"/>
  <c r="CR36" i="29"/>
  <c r="E92" i="27"/>
  <c r="C92" s="1"/>
  <c r="D705" i="33" s="1"/>
  <c r="F705" s="1"/>
  <c r="CS33" i="29"/>
  <c r="CS34" s="1"/>
  <c r="CT32"/>
  <c r="CT33" s="1"/>
  <c r="CT34" s="1"/>
  <c r="D641" i="34"/>
  <c r="F641" s="1"/>
  <c r="D644" s="1"/>
  <c r="F644" s="1"/>
  <c r="F645" s="1"/>
  <c r="D646" l="1"/>
  <c r="F646" s="1"/>
  <c r="F647" s="1"/>
  <c r="CT36" i="29"/>
  <c r="E97" i="27"/>
  <c r="C97" s="1"/>
  <c r="D456" i="34" s="1"/>
  <c r="F456" s="1"/>
  <c r="F455" s="1"/>
  <c r="D765"/>
  <c r="F765" s="1"/>
  <c r="D766" s="1"/>
  <c r="F766" s="1"/>
  <c r="D739"/>
  <c r="F739" s="1"/>
  <c r="D740" s="1"/>
  <c r="F740" s="1"/>
  <c r="CS36" i="29"/>
  <c r="E96" i="27"/>
  <c r="C96" s="1"/>
  <c r="D707" i="33"/>
  <c r="F707" s="1"/>
  <c r="F701" s="1"/>
  <c r="F688" s="1"/>
  <c r="D615" i="34"/>
  <c r="F615" s="1"/>
  <c r="F616" s="1"/>
  <c r="F770" l="1"/>
  <c r="D769"/>
  <c r="F769" s="1"/>
  <c r="F744"/>
  <c r="D743"/>
  <c r="F743" s="1"/>
  <c r="D709" i="33"/>
  <c r="F709" s="1"/>
  <c r="F687" s="1"/>
  <c r="D710"/>
  <c r="F710" s="1"/>
  <c r="D807"/>
  <c r="F807" s="1"/>
  <c r="D2439" i="31"/>
  <c r="F2439" s="1"/>
  <c r="D2400"/>
  <c r="F2400" s="1"/>
  <c r="D2362"/>
  <c r="F2362" s="1"/>
  <c r="K2400"/>
  <c r="M2400" s="1"/>
  <c r="D2478"/>
  <c r="F2478" s="1"/>
  <c r="F451" i="34"/>
  <c r="D458"/>
  <c r="F458" s="1"/>
  <c r="D712" i="33" l="1"/>
  <c r="F712" s="1"/>
  <c r="D711"/>
  <c r="F711" s="1"/>
  <c r="F772" i="34"/>
  <c r="D771"/>
  <c r="F771" s="1"/>
  <c r="F746"/>
  <c r="D745"/>
  <c r="F745" s="1"/>
  <c r="D2440" i="31"/>
  <c r="F2440" s="1"/>
  <c r="F2436" s="1"/>
  <c r="D2401"/>
  <c r="F2401" s="1"/>
  <c r="F2397" s="1"/>
  <c r="D2363"/>
  <c r="F2363" s="1"/>
  <c r="F2359" s="1"/>
  <c r="K2401"/>
  <c r="M2401" s="1"/>
  <c r="M2397" s="1"/>
  <c r="M2386" s="1"/>
  <c r="D2479"/>
  <c r="F2479" s="1"/>
  <c r="F2475" s="1"/>
  <c r="D460" i="34"/>
  <c r="F460" s="1"/>
  <c r="D461"/>
  <c r="F461" s="1"/>
  <c r="D808" i="33"/>
  <c r="F808" s="1"/>
  <c r="F806" s="1"/>
  <c r="D718" l="1"/>
  <c r="F718" s="1"/>
  <c r="F719" s="1"/>
  <c r="D720" s="1"/>
  <c r="F720" s="1"/>
  <c r="F721" s="1"/>
  <c r="F450" i="34"/>
  <c r="D462" s="1"/>
  <c r="F462" s="1"/>
  <c r="G144" i="24"/>
  <c r="F2347" i="31"/>
  <c r="K2404"/>
  <c r="M2404" s="1"/>
  <c r="M2385" s="1"/>
  <c r="K2403"/>
  <c r="M2403" s="1"/>
  <c r="G146" i="24"/>
  <c r="F2424" i="31"/>
  <c r="G147" i="24"/>
  <c r="F2463" i="31"/>
  <c r="G145" i="24"/>
  <c r="F2386" i="31"/>
  <c r="D463" i="34" l="1"/>
  <c r="F463" s="1"/>
  <c r="K2405" i="31"/>
  <c r="M2405" s="1"/>
  <c r="K2406" s="1"/>
  <c r="M2406" s="1"/>
  <c r="D2443"/>
  <c r="F2443" s="1"/>
  <c r="J146" i="24" s="1"/>
  <c r="D2442" i="31"/>
  <c r="F2442" s="1"/>
  <c r="I146" i="24" s="1"/>
  <c r="D2481" i="31"/>
  <c r="F2481" s="1"/>
  <c r="I147" i="24" s="1"/>
  <c r="D2482" i="31"/>
  <c r="F2482" s="1"/>
  <c r="J147" i="24" s="1"/>
  <c r="D2403" i="31"/>
  <c r="F2403" s="1"/>
  <c r="I145" i="24" s="1"/>
  <c r="D2404" i="31"/>
  <c r="F2404" s="1"/>
  <c r="J145" i="24" s="1"/>
  <c r="D2366" i="31"/>
  <c r="F2366" s="1"/>
  <c r="J144" i="24" s="1"/>
  <c r="D2365" i="31"/>
  <c r="F2365" s="1"/>
  <c r="I144" i="24" s="1"/>
  <c r="F467" i="34" l="1"/>
  <c r="D468" s="1"/>
  <c r="F468" s="1"/>
  <c r="F469" s="1"/>
  <c r="D466"/>
  <c r="F466" s="1"/>
  <c r="F2346" i="31"/>
  <c r="D2367" s="1"/>
  <c r="F2367" s="1"/>
  <c r="F2462"/>
  <c r="F2423"/>
  <c r="K2414"/>
  <c r="F2385"/>
  <c r="D2483" l="1"/>
  <c r="F2483" s="1"/>
  <c r="D2368"/>
  <c r="F2368" s="1"/>
  <c r="K144" i="24"/>
  <c r="D2444" i="31"/>
  <c r="F2444" s="1"/>
  <c r="M2414"/>
  <c r="M2415" s="1"/>
  <c r="D2405"/>
  <c r="F2405" s="1"/>
  <c r="K2416" l="1"/>
  <c r="M2416" s="1"/>
  <c r="M2417" s="1"/>
  <c r="E182" i="48" s="1"/>
  <c r="D2484" i="31"/>
  <c r="F2484" s="1"/>
  <c r="L147" i="24" s="1"/>
  <c r="K147"/>
  <c r="D2406" i="31"/>
  <c r="F2406" s="1"/>
  <c r="L145" i="24" s="1"/>
  <c r="K145"/>
  <c r="L144"/>
  <c r="D2376" i="31"/>
  <c r="D2445"/>
  <c r="F2445" s="1"/>
  <c r="K146" i="24"/>
  <c r="D2414" i="31"/>
  <c r="I182" i="48" l="1"/>
  <c r="I3" s="1"/>
  <c r="F182"/>
  <c r="F174" s="1"/>
  <c r="F159" s="1"/>
  <c r="F83" s="1"/>
  <c r="F2376" i="31"/>
  <c r="N144" i="24" s="1"/>
  <c r="F2414" i="31"/>
  <c r="N145" i="24" s="1"/>
  <c r="D2492" i="31"/>
  <c r="L146" i="24"/>
  <c r="D2453" i="31"/>
  <c r="F2453" l="1"/>
  <c r="N146" i="24" s="1"/>
  <c r="F3" i="48"/>
  <c r="K3" s="1"/>
  <c r="C7" i="47"/>
  <c r="F2377" i="31"/>
  <c r="F2492"/>
  <c r="N147" i="24" s="1"/>
  <c r="F2415" i="31"/>
  <c r="D2378" l="1"/>
  <c r="F2378" s="1"/>
  <c r="O144" i="24" s="1"/>
  <c r="D144" s="1"/>
  <c r="F7" i="47"/>
  <c r="C5"/>
  <c r="F2417" i="31"/>
  <c r="D2416"/>
  <c r="F2416" s="1"/>
  <c r="O145" i="24" s="1"/>
  <c r="D145" s="1"/>
  <c r="F2454" i="31"/>
  <c r="F2493"/>
  <c r="F2379" l="1"/>
  <c r="F5" i="47"/>
  <c r="C11"/>
  <c r="D2455" i="31"/>
  <c r="F2455" s="1"/>
  <c r="O146" i="24" s="1"/>
  <c r="D146" s="1"/>
  <c r="D2494" i="31"/>
  <c r="F2494" s="1"/>
  <c r="O147" i="24" s="1"/>
  <c r="D147" s="1"/>
  <c r="F2456" i="31" l="1"/>
  <c r="C12" i="47"/>
  <c r="F12" s="1"/>
  <c r="F11"/>
  <c r="F2495" i="31"/>
  <c r="C13" i="47" l="1"/>
  <c r="F13" l="1"/>
  <c r="E19"/>
  <c r="E20"/>
  <c r="F20" s="1"/>
  <c r="E17" l="1"/>
  <c r="F17" s="1"/>
  <c r="E16"/>
  <c r="F16" s="1"/>
  <c r="E15"/>
  <c r="F19"/>
  <c r="E18"/>
  <c r="F18" s="1"/>
  <c r="F15" l="1"/>
  <c r="E14"/>
  <c r="F14" s="1"/>
  <c r="F21" s="1"/>
  <c r="F22" l="1"/>
  <c r="F23" s="1"/>
</calcChain>
</file>

<file path=xl/comments1.xml><?xml version="1.0" encoding="utf-8"?>
<comments xmlns="http://schemas.openxmlformats.org/spreadsheetml/2006/main">
  <authors>
    <author>作者</author>
    <author>User</author>
  </authors>
  <commentList>
    <comment ref="B10" authorId="0">
      <text>
        <r>
          <rPr>
            <b/>
            <sz val="9"/>
            <rFont val="宋体"/>
            <family val="3"/>
            <charset val="134"/>
          </rPr>
          <t>2002设计文件P39表10.2-2</t>
        </r>
      </text>
    </comment>
    <comment ref="B14" authorId="0">
      <text>
        <r>
          <rPr>
            <b/>
            <sz val="9"/>
            <rFont val="宋体"/>
            <family val="3"/>
            <charset val="134"/>
          </rPr>
          <t>2002设计文件P39表10.2-1</t>
        </r>
      </text>
    </comment>
    <comment ref="K17" authorId="0">
      <text>
        <r>
          <rPr>
            <sz val="9"/>
            <rFont val="宋体"/>
            <family val="3"/>
            <charset val="134"/>
          </rPr>
          <t xml:space="preserve">H&lt;30m
</t>
        </r>
      </text>
    </comment>
    <comment ref="O17" authorId="0">
      <text>
        <r>
          <rPr>
            <b/>
            <sz val="9"/>
            <rFont val="宋体"/>
            <family val="3"/>
            <charset val="134"/>
          </rPr>
          <t xml:space="preserve">简单
</t>
        </r>
      </text>
    </comment>
    <comment ref="B18" authorId="0">
      <text>
        <r>
          <rPr>
            <b/>
            <sz val="9"/>
            <rFont val="宋体"/>
            <family val="3"/>
            <charset val="134"/>
          </rPr>
          <t>2002设计文件P39表10.1.6（15%-20%）</t>
        </r>
      </text>
    </comment>
    <comment ref="K18" authorId="0">
      <text>
        <r>
          <rPr>
            <sz val="9"/>
            <rFont val="宋体"/>
            <family val="3"/>
            <charset val="134"/>
          </rPr>
          <t xml:space="preserve">30≤H&lt;50
</t>
        </r>
      </text>
    </comment>
    <comment ref="O18" authorId="0">
      <text>
        <r>
          <rPr>
            <b/>
            <sz val="9"/>
            <rFont val="宋体"/>
            <family val="3"/>
            <charset val="134"/>
          </rPr>
          <t>中等</t>
        </r>
      </text>
    </comment>
    <comment ref="K19" authorId="0">
      <text>
        <r>
          <rPr>
            <b/>
            <sz val="9"/>
            <rFont val="宋体"/>
            <family val="3"/>
            <charset val="134"/>
          </rPr>
          <t>50≤H&lt;70</t>
        </r>
        <r>
          <rPr>
            <sz val="9"/>
            <rFont val="宋体"/>
            <family val="3"/>
            <charset val="134"/>
          </rPr>
          <t xml:space="preserve">
</t>
        </r>
      </text>
    </comment>
    <comment ref="O19" authorId="0">
      <text>
        <r>
          <rPr>
            <b/>
            <sz val="9"/>
            <rFont val="宋体"/>
            <family val="3"/>
            <charset val="134"/>
          </rPr>
          <t>较复杂</t>
        </r>
      </text>
    </comment>
    <comment ref="K20" authorId="0">
      <text>
        <r>
          <rPr>
            <b/>
            <sz val="9"/>
            <rFont val="宋体"/>
            <family val="3"/>
            <charset val="134"/>
          </rPr>
          <t>70≤H&lt;150</t>
        </r>
        <r>
          <rPr>
            <sz val="9"/>
            <rFont val="宋体"/>
            <family val="3"/>
            <charset val="134"/>
          </rPr>
          <t xml:space="preserve">
</t>
        </r>
      </text>
    </comment>
    <comment ref="O20" authorId="0">
      <text>
        <r>
          <rPr>
            <b/>
            <sz val="9"/>
            <rFont val="宋体"/>
            <family val="3"/>
            <charset val="134"/>
          </rPr>
          <t>复杂</t>
        </r>
      </text>
    </comment>
    <comment ref="K21" authorId="0">
      <text>
        <r>
          <rPr>
            <b/>
            <sz val="9"/>
            <rFont val="宋体"/>
            <family val="3"/>
            <charset val="134"/>
          </rPr>
          <t>150≤H&lt;250</t>
        </r>
      </text>
    </comment>
    <comment ref="O21" authorId="0">
      <text>
        <r>
          <rPr>
            <b/>
            <sz val="9"/>
            <rFont val="宋体"/>
            <family val="3"/>
            <charset val="134"/>
          </rPr>
          <t>&lt;10m</t>
        </r>
      </text>
    </comment>
    <comment ref="K22" authorId="0">
      <text>
        <r>
          <rPr>
            <b/>
            <sz val="9"/>
            <rFont val="宋体"/>
            <family val="3"/>
            <charset val="134"/>
          </rPr>
          <t>一般土石坝</t>
        </r>
      </text>
    </comment>
    <comment ref="O22" authorId="0">
      <text>
        <r>
          <rPr>
            <b/>
            <sz val="9"/>
            <rFont val="宋体"/>
            <family val="3"/>
            <charset val="134"/>
          </rPr>
          <t>10-20m</t>
        </r>
      </text>
    </comment>
    <comment ref="K23" authorId="0">
      <text>
        <r>
          <rPr>
            <b/>
            <sz val="9"/>
            <rFont val="宋体"/>
            <family val="3"/>
            <charset val="134"/>
          </rPr>
          <t>常规重力坝</t>
        </r>
        <r>
          <rPr>
            <sz val="9"/>
            <rFont val="宋体"/>
            <family val="3"/>
            <charset val="134"/>
          </rPr>
          <t xml:space="preserve">
</t>
        </r>
      </text>
    </comment>
    <comment ref="O23" authorId="0">
      <text>
        <r>
          <rPr>
            <b/>
            <sz val="9"/>
            <rFont val="宋体"/>
            <family val="3"/>
            <charset val="134"/>
          </rPr>
          <t>20-40m</t>
        </r>
      </text>
    </comment>
    <comment ref="K24" authorId="0">
      <text>
        <r>
          <rPr>
            <b/>
            <sz val="9"/>
            <rFont val="宋体"/>
            <family val="3"/>
            <charset val="134"/>
          </rPr>
          <t>两种坝型或引水线路大于3km或抽水蓄能电站</t>
        </r>
        <r>
          <rPr>
            <sz val="9"/>
            <rFont val="宋体"/>
            <family val="3"/>
            <charset val="134"/>
          </rPr>
          <t xml:space="preserve">
</t>
        </r>
      </text>
    </comment>
    <comment ref="O24" authorId="0">
      <text>
        <r>
          <rPr>
            <b/>
            <sz val="9"/>
            <rFont val="宋体"/>
            <family val="3"/>
            <charset val="134"/>
          </rPr>
          <t>40-60m</t>
        </r>
      </text>
    </comment>
    <comment ref="K25" authorId="0">
      <text>
        <r>
          <rPr>
            <b/>
            <sz val="9"/>
            <rFont val="宋体"/>
            <family val="3"/>
            <charset val="134"/>
          </rPr>
          <t>拱坝、碾压混凝土坝、混凝土面板堆石坝、新坝型</t>
        </r>
      </text>
    </comment>
    <comment ref="O25" authorId="0">
      <text>
        <r>
          <rPr>
            <b/>
            <sz val="9"/>
            <rFont val="宋体"/>
            <family val="3"/>
            <charset val="134"/>
          </rPr>
          <t xml:space="preserve">简单
</t>
        </r>
      </text>
    </comment>
    <comment ref="B26" authorId="0">
      <text>
        <r>
          <rPr>
            <b/>
            <sz val="9"/>
            <rFont val="宋体"/>
            <family val="3"/>
            <charset val="134"/>
          </rPr>
          <t>《项目前期勘察收费》【2006】1352号 P2 表3</t>
        </r>
        <r>
          <rPr>
            <sz val="9"/>
            <rFont val="宋体"/>
            <family val="3"/>
            <charset val="134"/>
          </rPr>
          <t xml:space="preserve">
</t>
        </r>
      </text>
    </comment>
    <comment ref="K26" authorId="0">
      <text>
        <r>
          <rPr>
            <b/>
            <sz val="9"/>
            <rFont val="宋体"/>
            <family val="3"/>
            <charset val="134"/>
          </rPr>
          <t>大型地下洞室群</t>
        </r>
      </text>
    </comment>
    <comment ref="O26" authorId="0">
      <text>
        <r>
          <rPr>
            <b/>
            <sz val="9"/>
            <rFont val="宋体"/>
            <family val="3"/>
            <charset val="134"/>
          </rPr>
          <t>中等</t>
        </r>
      </text>
    </comment>
    <comment ref="B27" authorId="0">
      <text>
        <r>
          <rPr>
            <b/>
            <sz val="9"/>
            <rFont val="宋体"/>
            <family val="3"/>
            <charset val="134"/>
          </rPr>
          <t>《项目前期勘察收费》【2006】1352号 P2 表4</t>
        </r>
      </text>
    </comment>
    <comment ref="K27" authorId="0">
      <text>
        <r>
          <rPr>
            <b/>
            <sz val="9"/>
            <rFont val="宋体"/>
            <family val="3"/>
            <charset val="134"/>
          </rPr>
          <t>Ⅴ级以下</t>
        </r>
      </text>
    </comment>
    <comment ref="O27" authorId="0">
      <text>
        <r>
          <rPr>
            <b/>
            <sz val="9"/>
            <rFont val="宋体"/>
            <family val="3"/>
            <charset val="134"/>
          </rPr>
          <t>较复杂</t>
        </r>
      </text>
    </comment>
    <comment ref="B28" authorId="0">
      <text>
        <r>
          <rPr>
            <b/>
            <sz val="9"/>
            <rFont val="宋体"/>
            <family val="3"/>
            <charset val="134"/>
          </rPr>
          <t>《项目前期勘察收费》【2006】1352号 P2 表5</t>
        </r>
        <r>
          <rPr>
            <sz val="9"/>
            <rFont val="宋体"/>
            <family val="3"/>
            <charset val="134"/>
          </rPr>
          <t xml:space="preserve">
</t>
        </r>
      </text>
    </comment>
    <comment ref="K28" authorId="0">
      <text>
        <r>
          <rPr>
            <b/>
            <sz val="9"/>
            <rFont val="宋体"/>
            <family val="3"/>
            <charset val="134"/>
          </rPr>
          <t>Ⅵ级岩石</t>
        </r>
      </text>
    </comment>
    <comment ref="O28" authorId="0">
      <text>
        <r>
          <rPr>
            <b/>
            <sz val="9"/>
            <rFont val="宋体"/>
            <family val="3"/>
            <charset val="134"/>
          </rPr>
          <t>复杂</t>
        </r>
      </text>
    </comment>
    <comment ref="B29" authorId="0">
      <text>
        <r>
          <rPr>
            <b/>
            <sz val="9"/>
            <rFont val="宋体"/>
            <family val="3"/>
            <charset val="134"/>
          </rPr>
          <t>2002设计文件P3表1.0.10 2000米以下不调</t>
        </r>
      </text>
    </comment>
    <comment ref="K29" authorId="0">
      <text>
        <r>
          <rPr>
            <b/>
            <sz val="9"/>
            <rFont val="宋体"/>
            <family val="3"/>
            <charset val="134"/>
          </rPr>
          <t>Ⅶ级岩石</t>
        </r>
      </text>
    </comment>
    <comment ref="O29" authorId="0">
      <text>
        <r>
          <rPr>
            <b/>
            <sz val="9"/>
            <rFont val="宋体"/>
            <family val="3"/>
            <charset val="134"/>
          </rPr>
          <t>可能不稳定&lt;10万m3</t>
        </r>
      </text>
    </comment>
    <comment ref="B30" authorId="0">
      <text>
        <r>
          <rPr>
            <b/>
            <sz val="9"/>
            <rFont val="宋体"/>
            <family val="3"/>
            <charset val="134"/>
          </rPr>
          <t>2002设计文件P39表10.1.6（15%-20%）</t>
        </r>
      </text>
    </comment>
    <comment ref="K30" authorId="0">
      <text>
        <r>
          <rPr>
            <b/>
            <sz val="9"/>
            <rFont val="宋体"/>
            <family val="3"/>
            <charset val="134"/>
          </rPr>
          <t>Ⅷ、Ⅸ级岩石</t>
        </r>
      </text>
    </comment>
    <comment ref="O30" authorId="0">
      <text>
        <r>
          <rPr>
            <b/>
            <sz val="9"/>
            <rFont val="宋体"/>
            <family val="3"/>
            <charset val="134"/>
          </rPr>
          <t>可能不稳定10-100万m3</t>
        </r>
      </text>
    </comment>
    <comment ref="K31" authorId="0">
      <text>
        <r>
          <rPr>
            <b/>
            <sz val="9"/>
            <rFont val="宋体"/>
            <family val="3"/>
            <charset val="134"/>
          </rPr>
          <t>Ⅹ级以上岩石</t>
        </r>
      </text>
    </comment>
    <comment ref="O31" authorId="0">
      <text>
        <r>
          <rPr>
            <b/>
            <sz val="9"/>
            <rFont val="宋体"/>
            <family val="3"/>
            <charset val="134"/>
          </rPr>
          <t>可能不稳定100-500万m3</t>
        </r>
      </text>
    </comment>
    <comment ref="K32" authorId="0">
      <text>
        <r>
          <rPr>
            <b/>
            <sz val="9"/>
            <rFont val="宋体"/>
            <family val="3"/>
            <charset val="134"/>
          </rPr>
          <t xml:space="preserve">简单
</t>
        </r>
      </text>
    </comment>
    <comment ref="O32" authorId="0">
      <text>
        <r>
          <rPr>
            <b/>
            <sz val="9"/>
            <rFont val="宋体"/>
            <family val="3"/>
            <charset val="134"/>
          </rPr>
          <t>可能不稳定 500万m3以上</t>
        </r>
      </text>
    </comment>
    <comment ref="B33" authorId="0">
      <text>
        <r>
          <rPr>
            <b/>
            <sz val="9"/>
            <rFont val="宋体"/>
            <family val="3"/>
            <charset val="134"/>
          </rPr>
          <t>阶段系数按国家发改委、建设部关于发布《水利、水电、电力建设项目前期工作工程勘察收费暂行规定》的通知发改价格【2006】1352号 P1</t>
        </r>
      </text>
    </comment>
    <comment ref="K33" authorId="0">
      <text>
        <r>
          <rPr>
            <b/>
            <sz val="9"/>
            <rFont val="宋体"/>
            <family val="3"/>
            <charset val="134"/>
          </rPr>
          <t>中等</t>
        </r>
      </text>
    </comment>
    <comment ref="O33" authorId="0">
      <text>
        <r>
          <rPr>
            <b/>
            <sz val="9"/>
            <rFont val="宋体"/>
            <family val="3"/>
            <charset val="134"/>
          </rPr>
          <t>无永久性渗漏</t>
        </r>
      </text>
    </comment>
    <comment ref="K34" authorId="0">
      <text>
        <r>
          <rPr>
            <b/>
            <sz val="9"/>
            <rFont val="宋体"/>
            <family val="3"/>
            <charset val="134"/>
          </rPr>
          <t>较复杂</t>
        </r>
      </text>
    </comment>
    <comment ref="O34" authorId="0">
      <text>
        <r>
          <rPr>
            <b/>
            <sz val="9"/>
            <rFont val="宋体"/>
            <family val="3"/>
            <charset val="134"/>
          </rPr>
          <t>断层或古河道渗漏</t>
        </r>
      </text>
    </comment>
    <comment ref="B35" authorId="0">
      <text>
        <r>
          <rPr>
            <b/>
            <sz val="9"/>
            <rFont val="宋体"/>
            <family val="3"/>
            <charset val="134"/>
          </rPr>
          <t>2002设计文件P39表10.1.6（15%-20%）</t>
        </r>
      </text>
    </comment>
    <comment ref="K35" authorId="0">
      <text>
        <r>
          <rPr>
            <b/>
            <sz val="9"/>
            <rFont val="宋体"/>
            <family val="3"/>
            <charset val="134"/>
          </rPr>
          <t>复杂</t>
        </r>
      </text>
    </comment>
    <comment ref="O35" authorId="0">
      <text>
        <r>
          <rPr>
            <b/>
            <sz val="9"/>
            <rFont val="宋体"/>
            <family val="3"/>
            <charset val="134"/>
          </rPr>
          <t>单薄分水岭渗漏</t>
        </r>
      </text>
    </comment>
    <comment ref="K36" authorId="0">
      <text>
        <r>
          <rPr>
            <b/>
            <sz val="9"/>
            <rFont val="宋体"/>
            <family val="3"/>
            <charset val="134"/>
          </rPr>
          <t>U均一</t>
        </r>
      </text>
    </comment>
    <comment ref="O36" authorId="0">
      <text>
        <r>
          <rPr>
            <b/>
            <sz val="9"/>
            <rFont val="宋体"/>
            <family val="3"/>
            <charset val="134"/>
          </rPr>
          <t xml:space="preserve">简单
</t>
        </r>
      </text>
    </comment>
    <comment ref="K37" authorId="0">
      <text>
        <r>
          <rPr>
            <b/>
            <sz val="9"/>
            <rFont val="宋体"/>
            <family val="3"/>
            <charset val="134"/>
          </rPr>
          <t>较均一</t>
        </r>
      </text>
    </comment>
    <comment ref="O37" authorId="0">
      <text>
        <r>
          <rPr>
            <b/>
            <sz val="9"/>
            <rFont val="宋体"/>
            <family val="3"/>
            <charset val="134"/>
          </rPr>
          <t>中等</t>
        </r>
      </text>
    </comment>
    <comment ref="K38" authorId="0">
      <text>
        <r>
          <rPr>
            <b/>
            <sz val="9"/>
            <rFont val="宋体"/>
            <family val="3"/>
            <charset val="134"/>
          </rPr>
          <t>较复杂</t>
        </r>
      </text>
    </comment>
    <comment ref="O38" authorId="0">
      <text>
        <r>
          <rPr>
            <b/>
            <sz val="9"/>
            <rFont val="宋体"/>
            <family val="3"/>
            <charset val="134"/>
          </rPr>
          <t>复杂</t>
        </r>
      </text>
    </comment>
    <comment ref="K39" authorId="0">
      <text>
        <r>
          <rPr>
            <b/>
            <sz val="9"/>
            <rFont val="宋体"/>
            <family val="3"/>
            <charset val="134"/>
          </rPr>
          <t>复杂</t>
        </r>
      </text>
    </comment>
    <comment ref="K45" authorId="1">
      <text>
        <r>
          <rPr>
            <b/>
            <sz val="10"/>
            <rFont val="宋体"/>
            <family val="3"/>
            <charset val="134"/>
          </rPr>
          <t>一个坝址或一条坝线方案</t>
        </r>
        <r>
          <rPr>
            <sz val="10"/>
            <rFont val="宋体"/>
            <family val="3"/>
            <charset val="134"/>
          </rPr>
          <t xml:space="preserve">
</t>
        </r>
      </text>
    </comment>
    <comment ref="K46" authorId="1">
      <text>
        <r>
          <rPr>
            <b/>
            <sz val="10"/>
            <rFont val="宋体"/>
            <family val="3"/>
            <charset val="134"/>
          </rPr>
          <t>两个坝址或两条坝线方案</t>
        </r>
        <r>
          <rPr>
            <sz val="10"/>
            <rFont val="宋体"/>
            <family val="3"/>
            <charset val="134"/>
          </rPr>
          <t xml:space="preserve">
</t>
        </r>
      </text>
    </comment>
    <comment ref="K47" authorId="1">
      <text>
        <r>
          <rPr>
            <b/>
            <sz val="10"/>
            <rFont val="宋体"/>
            <family val="3"/>
            <charset val="134"/>
          </rPr>
          <t>三个坝址或三条坝线方案</t>
        </r>
        <r>
          <rPr>
            <sz val="10"/>
            <rFont val="宋体"/>
            <family val="3"/>
            <charset val="134"/>
          </rPr>
          <t xml:space="preserve">
</t>
        </r>
      </text>
    </comment>
    <comment ref="K48" authorId="1">
      <text>
        <r>
          <rPr>
            <b/>
            <sz val="10"/>
            <rFont val="宋体"/>
            <family val="3"/>
            <charset val="134"/>
          </rPr>
          <t>有副坝</t>
        </r>
        <r>
          <rPr>
            <sz val="10"/>
            <rFont val="宋体"/>
            <family val="3"/>
            <charset val="134"/>
          </rPr>
          <t xml:space="preserve">
</t>
        </r>
      </text>
    </comment>
    <comment ref="K49" authorId="1">
      <text>
        <r>
          <rPr>
            <b/>
            <sz val="10"/>
            <rFont val="宋体"/>
            <family val="3"/>
            <charset val="134"/>
          </rPr>
          <t>土石坝、常规重力坝</t>
        </r>
        <r>
          <rPr>
            <sz val="10"/>
            <rFont val="宋体"/>
            <family val="3"/>
            <charset val="134"/>
          </rPr>
          <t xml:space="preserve">
</t>
        </r>
      </text>
    </comment>
    <comment ref="K50" authorId="1">
      <text>
        <r>
          <rPr>
            <b/>
            <sz val="10"/>
            <rFont val="宋体"/>
            <family val="3"/>
            <charset val="134"/>
          </rPr>
          <t>有地下洞室</t>
        </r>
        <r>
          <rPr>
            <sz val="10"/>
            <rFont val="宋体"/>
            <family val="3"/>
            <charset val="134"/>
          </rPr>
          <t xml:space="preserve">
</t>
        </r>
      </text>
    </comment>
    <comment ref="K51" authorId="1">
      <text>
        <r>
          <rPr>
            <b/>
            <sz val="10"/>
            <rFont val="宋体"/>
            <family val="3"/>
            <charset val="134"/>
          </rPr>
          <t>两种坝型或两种厂型</t>
        </r>
        <r>
          <rPr>
            <sz val="10"/>
            <rFont val="宋体"/>
            <family val="3"/>
            <charset val="134"/>
          </rPr>
          <t xml:space="preserve">
</t>
        </r>
      </text>
    </comment>
    <comment ref="B52" authorId="0">
      <text>
        <r>
          <rPr>
            <b/>
            <sz val="9"/>
            <rFont val="宋体"/>
            <family val="3"/>
            <charset val="134"/>
          </rPr>
          <t>2002设计文件P89表附表二</t>
        </r>
      </text>
    </comment>
    <comment ref="K52" authorId="1">
      <text>
        <r>
          <rPr>
            <b/>
            <sz val="10"/>
            <rFont val="宋体"/>
            <family val="3"/>
            <charset val="134"/>
          </rPr>
          <t>新坝型，拱坝、混凝土面板堆石坝、碾压混凝土坝</t>
        </r>
        <r>
          <rPr>
            <sz val="10"/>
            <rFont val="宋体"/>
            <family val="3"/>
            <charset val="134"/>
          </rPr>
          <t xml:space="preserve">
</t>
        </r>
      </text>
    </comment>
    <comment ref="K53" authorId="1">
      <text>
        <r>
          <rPr>
            <b/>
            <sz val="10"/>
            <rFont val="宋体"/>
            <family val="3"/>
            <charset val="134"/>
          </rPr>
          <t>防洪、发电、灌溉、供水、航运、减淤、养殖具备一项</t>
        </r>
        <r>
          <rPr>
            <sz val="10"/>
            <rFont val="宋体"/>
            <family val="3"/>
            <charset val="134"/>
          </rPr>
          <t xml:space="preserve">
</t>
        </r>
      </text>
    </comment>
    <comment ref="B54" authorId="0">
      <text>
        <r>
          <rPr>
            <b/>
            <sz val="9"/>
            <rFont val="宋体"/>
            <family val="3"/>
            <charset val="134"/>
          </rPr>
          <t>2002设计文件P76注：（内容）</t>
        </r>
      </text>
    </comment>
    <comment ref="K54" authorId="1">
      <text>
        <r>
          <rPr>
            <b/>
            <sz val="10"/>
            <rFont val="宋体"/>
            <family val="3"/>
            <charset val="134"/>
          </rPr>
          <t>防洪、发电、灌溉、供水、航运、减淤、养殖具备两项</t>
        </r>
        <r>
          <rPr>
            <sz val="10"/>
            <rFont val="宋体"/>
            <family val="3"/>
            <charset val="134"/>
          </rPr>
          <t xml:space="preserve">
</t>
        </r>
      </text>
    </comment>
    <comment ref="K55" authorId="1">
      <text>
        <r>
          <rPr>
            <b/>
            <sz val="10"/>
            <rFont val="宋体"/>
            <family val="3"/>
            <charset val="134"/>
          </rPr>
          <t>防洪、发电、灌溉、供水、航运、减淤、养殖具备三项</t>
        </r>
        <r>
          <rPr>
            <sz val="10"/>
            <rFont val="宋体"/>
            <family val="3"/>
            <charset val="134"/>
          </rPr>
          <t xml:space="preserve">
</t>
        </r>
      </text>
    </comment>
    <comment ref="B56" authorId="0">
      <text>
        <r>
          <rPr>
            <b/>
            <sz val="9"/>
            <rFont val="宋体"/>
            <family val="3"/>
            <charset val="134"/>
          </rPr>
          <t>2002设计文件P39表10.2-1</t>
        </r>
      </text>
    </comment>
    <comment ref="K56" authorId="1">
      <text>
        <r>
          <rPr>
            <b/>
            <sz val="10"/>
            <rFont val="宋体"/>
            <family val="3"/>
            <charset val="134"/>
          </rPr>
          <t>防洪、发电、灌溉、供水、航运
减淤、养殖具备四项</t>
        </r>
        <r>
          <rPr>
            <sz val="10"/>
            <rFont val="宋体"/>
            <family val="3"/>
            <charset val="134"/>
          </rPr>
          <t xml:space="preserve">
</t>
        </r>
      </text>
    </comment>
    <comment ref="K57" authorId="1">
      <text>
        <r>
          <rPr>
            <b/>
            <sz val="10"/>
            <rFont val="宋体"/>
            <family val="3"/>
            <charset val="134"/>
          </rPr>
          <t>防洪、发电、灌溉、供水、航运、减淤、养殖具备五项及以上</t>
        </r>
        <r>
          <rPr>
            <sz val="10"/>
            <rFont val="宋体"/>
            <family val="3"/>
            <charset val="134"/>
          </rPr>
          <t xml:space="preserve">
</t>
        </r>
      </text>
    </comment>
    <comment ref="K58" authorId="1">
      <text>
        <r>
          <rPr>
            <b/>
            <sz val="10"/>
            <rFont val="宋体"/>
            <family val="3"/>
            <charset val="134"/>
          </rPr>
          <t>环保要求简单</t>
        </r>
        <r>
          <rPr>
            <sz val="10"/>
            <rFont val="宋体"/>
            <family val="3"/>
            <charset val="134"/>
          </rPr>
          <t xml:space="preserve">
</t>
        </r>
      </text>
    </comment>
    <comment ref="K59" authorId="1">
      <text>
        <r>
          <rPr>
            <b/>
            <sz val="10"/>
            <rFont val="宋体"/>
            <family val="3"/>
            <charset val="134"/>
          </rPr>
          <t>环保要求一般</t>
        </r>
        <r>
          <rPr>
            <sz val="10"/>
            <rFont val="宋体"/>
            <family val="3"/>
            <charset val="134"/>
          </rPr>
          <t xml:space="preserve">
</t>
        </r>
      </text>
    </comment>
    <comment ref="B60" authorId="0">
      <text>
        <r>
          <rPr>
            <b/>
            <sz val="9"/>
            <rFont val="宋体"/>
            <family val="3"/>
            <charset val="134"/>
          </rPr>
          <t>2002设计文件P39表10.1.6（15%-20%）</t>
        </r>
      </text>
    </comment>
    <comment ref="K60" authorId="1">
      <text>
        <r>
          <rPr>
            <b/>
            <sz val="10"/>
            <rFont val="宋体"/>
            <family val="3"/>
            <charset val="134"/>
          </rPr>
          <t>环保有特殊要求</t>
        </r>
        <r>
          <rPr>
            <sz val="10"/>
            <rFont val="宋体"/>
            <family val="3"/>
            <charset val="134"/>
          </rPr>
          <t xml:space="preserve">
</t>
        </r>
      </text>
    </comment>
    <comment ref="K61" authorId="1">
      <text>
        <r>
          <rPr>
            <b/>
            <sz val="10"/>
            <rFont val="宋体"/>
            <family val="3"/>
            <charset val="134"/>
          </rPr>
          <t>少泥沙河流</t>
        </r>
        <r>
          <rPr>
            <sz val="10"/>
            <rFont val="宋体"/>
            <family val="3"/>
            <charset val="134"/>
          </rPr>
          <t xml:space="preserve">
</t>
        </r>
      </text>
    </comment>
    <comment ref="K62" authorId="1">
      <text>
        <r>
          <rPr>
            <b/>
            <sz val="10"/>
            <rFont val="宋体"/>
            <family val="3"/>
            <charset val="134"/>
          </rPr>
          <t>多泥沙河流</t>
        </r>
        <r>
          <rPr>
            <sz val="10"/>
            <rFont val="宋体"/>
            <family val="3"/>
            <charset val="134"/>
          </rPr>
          <t xml:space="preserve">
</t>
        </r>
      </text>
    </comment>
    <comment ref="K63" authorId="1">
      <text>
        <r>
          <rPr>
            <b/>
            <sz val="10"/>
            <rFont val="宋体"/>
            <family val="3"/>
            <charset val="134"/>
          </rPr>
          <t>有冰凌问题</t>
        </r>
        <r>
          <rPr>
            <sz val="10"/>
            <rFont val="宋体"/>
            <family val="3"/>
            <charset val="134"/>
          </rPr>
          <t xml:space="preserve">
</t>
        </r>
      </text>
    </comment>
    <comment ref="B64" authorId="0">
      <text>
        <r>
          <rPr>
            <b/>
            <sz val="9"/>
            <rFont val="宋体"/>
            <family val="3"/>
            <charset val="134"/>
          </rPr>
          <t>阶段系数按国家发改委、建设部关于发布《水利、水电、电力建设项目前期工作工程勘察收费暂行规定》的通知发改价格【2006】1352号 P1</t>
        </r>
      </text>
    </comment>
    <comment ref="K64" authorId="1">
      <text>
        <r>
          <rPr>
            <b/>
            <sz val="10"/>
            <rFont val="宋体"/>
            <family val="3"/>
            <charset val="134"/>
          </rPr>
          <t>坝高﹤30m</t>
        </r>
        <r>
          <rPr>
            <sz val="10"/>
            <rFont val="宋体"/>
            <family val="3"/>
            <charset val="134"/>
          </rPr>
          <t xml:space="preserve">
</t>
        </r>
      </text>
    </comment>
    <comment ref="K65" authorId="1">
      <text>
        <r>
          <rPr>
            <b/>
            <sz val="10"/>
            <rFont val="宋体"/>
            <family val="3"/>
            <charset val="134"/>
          </rPr>
          <t>坝高30~50m</t>
        </r>
        <r>
          <rPr>
            <sz val="10"/>
            <rFont val="宋体"/>
            <family val="3"/>
            <charset val="134"/>
          </rPr>
          <t xml:space="preserve">
</t>
        </r>
      </text>
    </comment>
    <comment ref="B66" authorId="0">
      <text>
        <r>
          <rPr>
            <b/>
            <sz val="9"/>
            <rFont val="宋体"/>
            <family val="3"/>
            <charset val="134"/>
          </rPr>
          <t>2002设计文件P39表10.1.6（15%-20%）</t>
        </r>
      </text>
    </comment>
    <comment ref="K66" authorId="1">
      <text>
        <r>
          <rPr>
            <b/>
            <sz val="10"/>
            <rFont val="宋体"/>
            <family val="3"/>
            <charset val="134"/>
          </rPr>
          <t>坝高51~70m</t>
        </r>
        <r>
          <rPr>
            <sz val="10"/>
            <rFont val="宋体"/>
            <family val="3"/>
            <charset val="134"/>
          </rPr>
          <t xml:space="preserve">
</t>
        </r>
      </text>
    </comment>
    <comment ref="B67" authorId="0">
      <text>
        <r>
          <rPr>
            <b/>
            <sz val="9"/>
            <rFont val="宋体"/>
            <family val="3"/>
            <charset val="134"/>
          </rPr>
          <t>《项目前期勘察收费》【2006】1352号 P4 第七条 占前期勘测费用的30-40%</t>
        </r>
      </text>
    </comment>
    <comment ref="K67" authorId="1">
      <text>
        <r>
          <rPr>
            <b/>
            <sz val="10"/>
            <rFont val="宋体"/>
            <family val="3"/>
            <charset val="134"/>
          </rPr>
          <t xml:space="preserve">坝高71~150m
</t>
        </r>
        <r>
          <rPr>
            <sz val="10"/>
            <rFont val="宋体"/>
            <family val="3"/>
            <charset val="134"/>
          </rPr>
          <t xml:space="preserve">
</t>
        </r>
      </text>
    </comment>
    <comment ref="K68" authorId="1">
      <text>
        <r>
          <rPr>
            <sz val="10"/>
            <rFont val="宋体"/>
            <family val="3"/>
            <charset val="134"/>
          </rPr>
          <t xml:space="preserve">坝高﹥150m
</t>
        </r>
      </text>
    </comment>
    <comment ref="K69" authorId="1">
      <text>
        <r>
          <rPr>
            <b/>
            <sz val="10"/>
            <rFont val="宋体"/>
            <family val="3"/>
            <charset val="134"/>
          </rPr>
          <t>地震设防烈度≥7度</t>
        </r>
        <r>
          <rPr>
            <sz val="10"/>
            <rFont val="宋体"/>
            <family val="3"/>
            <charset val="134"/>
          </rPr>
          <t xml:space="preserve">
</t>
        </r>
      </text>
    </comment>
    <comment ref="K70" authorId="1">
      <text>
        <r>
          <rPr>
            <b/>
            <sz val="10"/>
            <rFont val="宋体"/>
            <family val="3"/>
            <charset val="134"/>
          </rPr>
          <t>简单：地质条件好或不需进行地基处理</t>
        </r>
        <r>
          <rPr>
            <sz val="10"/>
            <rFont val="宋体"/>
            <family val="3"/>
            <charset val="134"/>
          </rPr>
          <t xml:space="preserve">
</t>
        </r>
      </text>
    </comment>
    <comment ref="K71" authorId="1">
      <text>
        <r>
          <rPr>
            <b/>
            <sz val="10"/>
            <rFont val="宋体"/>
            <family val="3"/>
            <charset val="134"/>
          </rPr>
          <t>中等：按常规进行地基处理</t>
        </r>
        <r>
          <rPr>
            <sz val="10"/>
            <rFont val="宋体"/>
            <family val="3"/>
            <charset val="134"/>
          </rPr>
          <t xml:space="preserve">
</t>
        </r>
      </text>
    </comment>
    <comment ref="K72" authorId="1">
      <text>
        <r>
          <rPr>
            <b/>
            <sz val="10"/>
            <rFont val="宋体"/>
            <family val="3"/>
            <charset val="134"/>
          </rPr>
          <t>复杂：地质条件复杂，需进行特殊地基处理</t>
        </r>
        <r>
          <rPr>
            <sz val="10"/>
            <rFont val="宋体"/>
            <family val="3"/>
            <charset val="134"/>
          </rPr>
          <t xml:space="preserve">
</t>
        </r>
      </text>
    </comment>
    <comment ref="K73" authorId="1">
      <text>
        <r>
          <rPr>
            <b/>
            <sz val="10"/>
            <rFont val="宋体"/>
            <family val="3"/>
            <charset val="134"/>
          </rPr>
          <t>窄河谷坝高在70m以上、下泄流量25000m</t>
        </r>
        <r>
          <rPr>
            <b/>
            <vertAlign val="superscript"/>
            <sz val="10"/>
            <rFont val="宋体"/>
            <family val="3"/>
            <charset val="134"/>
          </rPr>
          <t>3</t>
        </r>
        <r>
          <rPr>
            <b/>
            <sz val="10"/>
            <rFont val="宋体"/>
            <family val="3"/>
            <charset val="134"/>
          </rPr>
          <t>/s以上</t>
        </r>
        <r>
          <rPr>
            <sz val="10"/>
            <rFont val="宋体"/>
            <family val="3"/>
            <charset val="134"/>
          </rPr>
          <t xml:space="preserve">
</t>
        </r>
      </text>
    </comment>
    <comment ref="K74" authorId="1">
      <text>
        <r>
          <rPr>
            <sz val="10"/>
            <rFont val="宋体"/>
            <family val="3"/>
            <charset val="134"/>
          </rPr>
          <t xml:space="preserve">地处深山峡谷，交通困难、远离居民点、生活物资供应困难
</t>
        </r>
      </text>
    </comment>
  </commentList>
</comments>
</file>

<file path=xl/sharedStrings.xml><?xml version="1.0" encoding="utf-8"?>
<sst xmlns="http://schemas.openxmlformats.org/spreadsheetml/2006/main" count="11021" uniqueCount="1317">
  <si>
    <r>
      <rPr>
        <sz val="9"/>
        <rFont val="宋体"/>
        <family val="3"/>
        <charset val="134"/>
      </rPr>
      <t>单位：万元</t>
    </r>
  </si>
  <si>
    <t>编号</t>
  </si>
  <si>
    <t>工程或费用名称</t>
  </si>
  <si>
    <t>估算价值</t>
  </si>
  <si>
    <r>
      <rPr>
        <b/>
        <sz val="10"/>
        <rFont val="宋体"/>
        <family val="3"/>
        <charset val="134"/>
      </rPr>
      <t>建</t>
    </r>
    <r>
      <rPr>
        <b/>
        <sz val="10"/>
        <rFont val="Times New Roman"/>
        <family val="1"/>
      </rPr>
      <t xml:space="preserve">    </t>
    </r>
    <r>
      <rPr>
        <b/>
        <sz val="10"/>
        <rFont val="宋体"/>
        <family val="3"/>
        <charset val="134"/>
      </rPr>
      <t>安
工程费</t>
    </r>
  </si>
  <si>
    <r>
      <rPr>
        <b/>
        <sz val="10"/>
        <rFont val="宋体"/>
        <family val="3"/>
        <charset val="134"/>
      </rPr>
      <t>设</t>
    </r>
    <r>
      <rPr>
        <b/>
        <sz val="10"/>
        <rFont val="Times New Roman"/>
        <family val="1"/>
      </rPr>
      <t xml:space="preserve">    </t>
    </r>
    <r>
      <rPr>
        <b/>
        <sz val="10"/>
        <rFont val="宋体"/>
        <family val="3"/>
        <charset val="134"/>
      </rPr>
      <t>备
购置费</t>
    </r>
  </si>
  <si>
    <r>
      <rPr>
        <b/>
        <sz val="10"/>
        <rFont val="宋体"/>
        <family val="3"/>
        <charset val="134"/>
      </rPr>
      <t>其</t>
    </r>
    <r>
      <rPr>
        <b/>
        <sz val="10"/>
        <rFont val="Times New Roman"/>
        <family val="1"/>
      </rPr>
      <t xml:space="preserve">  </t>
    </r>
    <r>
      <rPr>
        <b/>
        <sz val="10"/>
        <rFont val="宋体"/>
        <family val="3"/>
        <charset val="134"/>
      </rPr>
      <t>它
费</t>
    </r>
    <r>
      <rPr>
        <b/>
        <sz val="10"/>
        <rFont val="Times New Roman"/>
        <family val="1"/>
      </rPr>
      <t xml:space="preserve">  </t>
    </r>
    <r>
      <rPr>
        <b/>
        <sz val="10"/>
        <rFont val="宋体"/>
        <family val="3"/>
        <charset val="134"/>
      </rPr>
      <t>用</t>
    </r>
  </si>
  <si>
    <t>合计</t>
  </si>
  <si>
    <r>
      <rPr>
        <b/>
        <sz val="10"/>
        <rFont val="宋体"/>
        <family val="3"/>
        <charset val="134"/>
      </rPr>
      <t>第一部分</t>
    </r>
    <r>
      <rPr>
        <b/>
        <sz val="10"/>
        <rFont val="Times New Roman"/>
        <family val="1"/>
      </rPr>
      <t xml:space="preserve">  </t>
    </r>
    <r>
      <rPr>
        <b/>
        <sz val="10"/>
        <rFont val="宋体"/>
        <family val="3"/>
        <charset val="134"/>
      </rPr>
      <t>建筑工程</t>
    </r>
  </si>
  <si>
    <t>大河村</t>
  </si>
  <si>
    <t>石炭沟</t>
  </si>
  <si>
    <t>乌沙塘</t>
  </si>
  <si>
    <t>河西村</t>
  </si>
  <si>
    <r>
      <rPr>
        <b/>
        <sz val="10"/>
        <rFont val="宋体"/>
        <family val="3"/>
        <charset val="134"/>
      </rPr>
      <t>第二部分</t>
    </r>
    <r>
      <rPr>
        <b/>
        <sz val="10"/>
        <rFont val="Times New Roman"/>
        <family val="1"/>
      </rPr>
      <t xml:space="preserve">  </t>
    </r>
    <r>
      <rPr>
        <b/>
        <sz val="10"/>
        <rFont val="宋体"/>
        <family val="3"/>
        <charset val="134"/>
      </rPr>
      <t>金结部分</t>
    </r>
  </si>
  <si>
    <t>第一至二部分合计</t>
  </si>
  <si>
    <r>
      <rPr>
        <b/>
        <sz val="10"/>
        <rFont val="宋体"/>
        <family val="3"/>
        <charset val="134"/>
      </rPr>
      <t>第三部分</t>
    </r>
    <r>
      <rPr>
        <b/>
        <sz val="10"/>
        <rFont val="Times New Roman"/>
        <family val="1"/>
      </rPr>
      <t xml:space="preserve">  </t>
    </r>
    <r>
      <rPr>
        <b/>
        <sz val="10"/>
        <rFont val="宋体"/>
        <family val="3"/>
        <charset val="134"/>
      </rPr>
      <t>临时工程</t>
    </r>
  </si>
  <si>
    <t>第一至三部分合计</t>
  </si>
  <si>
    <t>第四部分   独立费用</t>
  </si>
  <si>
    <t>一</t>
  </si>
  <si>
    <t>建设管理费</t>
  </si>
  <si>
    <t>二</t>
  </si>
  <si>
    <t>监理费</t>
  </si>
  <si>
    <t>三</t>
  </si>
  <si>
    <t>勘测设计费</t>
  </si>
  <si>
    <t>四</t>
  </si>
  <si>
    <t>其他费用</t>
  </si>
  <si>
    <t>安全文明施工费</t>
  </si>
  <si>
    <t>质量检测费</t>
  </si>
  <si>
    <t>第一至四部分合计</t>
  </si>
  <si>
    <t>基本预备费</t>
  </si>
  <si>
    <t>渠道工程估算表                                                                                  单位：元</t>
  </si>
  <si>
    <t>土方回填</t>
  </si>
  <si>
    <t>土方开挖</t>
  </si>
  <si>
    <t>钢筋</t>
  </si>
  <si>
    <t>C20砼</t>
  </si>
  <si>
    <t>C20预制板</t>
  </si>
  <si>
    <t>C25</t>
  </si>
  <si>
    <r>
      <rPr>
        <b/>
        <sz val="10"/>
        <rFont val="宋体"/>
        <family val="3"/>
        <charset val="134"/>
      </rPr>
      <t>序号</t>
    </r>
  </si>
  <si>
    <r>
      <rPr>
        <b/>
        <sz val="10"/>
        <rFont val="宋体"/>
        <family val="3"/>
        <charset val="134"/>
      </rPr>
      <t>工程或费用名称</t>
    </r>
  </si>
  <si>
    <r>
      <rPr>
        <b/>
        <sz val="10"/>
        <rFont val="宋体"/>
        <family val="3"/>
        <charset val="134"/>
      </rPr>
      <t>单位</t>
    </r>
  </si>
  <si>
    <r>
      <rPr>
        <b/>
        <sz val="10"/>
        <rFont val="宋体"/>
        <family val="3"/>
        <charset val="134"/>
      </rPr>
      <t>数量</t>
    </r>
  </si>
  <si>
    <r>
      <rPr>
        <b/>
        <sz val="10"/>
        <rFont val="宋体"/>
        <family val="3"/>
        <charset val="134"/>
      </rPr>
      <t>单价</t>
    </r>
  </si>
  <si>
    <r>
      <rPr>
        <b/>
        <sz val="10"/>
        <rFont val="宋体"/>
        <family val="3"/>
        <charset val="134"/>
      </rPr>
      <t>合计</t>
    </r>
  </si>
  <si>
    <r>
      <rPr>
        <b/>
        <sz val="10"/>
        <rFont val="宋体"/>
        <family val="3"/>
        <charset val="134"/>
      </rPr>
      <t>备注</t>
    </r>
  </si>
  <si>
    <t>总计</t>
  </si>
  <si>
    <t>红三干10支渠</t>
  </si>
  <si>
    <t>试点三村段10-12斗</t>
  </si>
  <si>
    <t>1.1.1</t>
  </si>
  <si>
    <t>翻建U80渠道</t>
  </si>
  <si>
    <t>m</t>
  </si>
  <si>
    <t>m³</t>
  </si>
  <si>
    <t>比降，渠道升高</t>
  </si>
  <si>
    <t>C20混凝土预制板（内含运输及安装）</t>
  </si>
  <si>
    <t>油膏伸缩缝</t>
  </si>
  <si>
    <t>砼板拆除及外运</t>
  </si>
  <si>
    <t>防渗土工膜</t>
  </si>
  <si>
    <r>
      <rPr>
        <sz val="10"/>
        <rFont val="Times New Roman"/>
        <family val="1"/>
      </rPr>
      <t>m</t>
    </r>
    <r>
      <rPr>
        <vertAlign val="superscript"/>
        <sz val="10"/>
        <rFont val="Times New Roman"/>
        <family val="1"/>
      </rPr>
      <t>2</t>
    </r>
  </si>
  <si>
    <t>1.1.2</t>
  </si>
  <si>
    <t>翻建农口（0.6*0.6m）</t>
  </si>
  <si>
    <t>座</t>
  </si>
  <si>
    <t>M7.5浆砌石基础</t>
  </si>
  <si>
    <t>C25砼现浇</t>
  </si>
  <si>
    <t>1.2</t>
  </si>
  <si>
    <t>15斗</t>
  </si>
  <si>
    <t>1.2.1</t>
  </si>
  <si>
    <t>翻建U60渠道</t>
  </si>
  <si>
    <t>1.2.2</t>
  </si>
  <si>
    <t>涵洞拆除</t>
  </si>
  <si>
    <t>红三干11支渠</t>
  </si>
  <si>
    <t>1-3斗</t>
  </si>
  <si>
    <t>2.1.1</t>
  </si>
  <si>
    <t>2.1.2</t>
  </si>
  <si>
    <t>翻建节制闸（0.8*0.8m）</t>
  </si>
  <si>
    <t>砼拆除及外运</t>
  </si>
  <si>
    <t>4-7斗</t>
  </si>
  <si>
    <t>2.2.1</t>
  </si>
  <si>
    <t>翻建U60斗渠</t>
  </si>
  <si>
    <t>2.2.2</t>
  </si>
  <si>
    <t>翻建U40农渠</t>
  </si>
  <si>
    <t>2.2.3</t>
  </si>
  <si>
    <t>新建U40农渠</t>
  </si>
  <si>
    <t>2.2.4</t>
  </si>
  <si>
    <t>翻建农口（0.4*0.4m）</t>
  </si>
  <si>
    <t>2.2.5</t>
  </si>
  <si>
    <t>新建桥</t>
  </si>
  <si>
    <t>C20砼现浇支墩</t>
  </si>
  <si>
    <t>C20桥板预制</t>
  </si>
  <si>
    <t>钢筋制安</t>
  </si>
  <si>
    <t>t</t>
  </si>
  <si>
    <t>8斗</t>
  </si>
  <si>
    <t>2.3.1</t>
  </si>
  <si>
    <t>新建U60斗渠</t>
  </si>
  <si>
    <t>石炭沟村（长三支干渠）</t>
  </si>
  <si>
    <t>15支口</t>
  </si>
  <si>
    <t>新建节制闸（0.6m*0.6m）</t>
  </si>
  <si>
    <t>14支口</t>
  </si>
  <si>
    <t>翻建U60农渠</t>
  </si>
  <si>
    <t>翻建U50农渠</t>
  </si>
  <si>
    <t>新建农口（0.4m*0.4m）</t>
  </si>
  <si>
    <t>13支口</t>
  </si>
  <si>
    <t>11支口</t>
  </si>
  <si>
    <t>翻建建U40农渠</t>
  </si>
  <si>
    <t>新建农口</t>
  </si>
  <si>
    <t>10支口</t>
  </si>
  <si>
    <t>新建穿3.5m硬化路涵洞</t>
  </si>
  <si>
    <t>现浇C20砼支墩</t>
  </si>
  <si>
    <t>C20预制桥板</t>
  </si>
  <si>
    <t>砼路面拆除及恢复</t>
  </si>
  <si>
    <t>砼路面恢复</t>
  </si>
  <si>
    <t>㎡</t>
  </si>
  <si>
    <t>9支口</t>
  </si>
  <si>
    <t>U60</t>
  </si>
  <si>
    <t>U80</t>
  </si>
  <si>
    <t>8支口</t>
  </si>
  <si>
    <t>乌沙塘村</t>
  </si>
  <si>
    <t>翻建U30农渠</t>
  </si>
  <si>
    <t>新建U30农渠</t>
  </si>
  <si>
    <t>U30农渠清淤</t>
  </si>
  <si>
    <t>渠道清淤（运距2KM）</t>
  </si>
  <si>
    <t>新建5m生产桥</t>
  </si>
  <si>
    <t>砼路面拆除</t>
  </si>
  <si>
    <t>新建3.5m生产桥</t>
  </si>
  <si>
    <t>翻建节制闸（1.0*1.0m）</t>
  </si>
  <si>
    <t>C20砼现浇基础</t>
  </si>
  <si>
    <t>翻建节制闸（1.2*1.2m）</t>
  </si>
  <si>
    <t>翻建穿路涵管</t>
  </si>
  <si>
    <t>现浇C20砼现浇</t>
  </si>
  <si>
    <t>400*3000*60 II钢筋混凝土管购置与安装</t>
  </si>
  <si>
    <t xml:space="preserve">                金属结构设备及安装工程概算表</t>
  </si>
  <si>
    <r>
      <rPr>
        <sz val="10"/>
        <rFont val="Times New Roman"/>
        <family val="1"/>
      </rPr>
      <t xml:space="preserve">       </t>
    </r>
    <r>
      <rPr>
        <sz val="10"/>
        <rFont val="宋体"/>
        <family val="3"/>
        <charset val="134"/>
      </rPr>
      <t>单位：元</t>
    </r>
  </si>
  <si>
    <r>
      <rPr>
        <sz val="10"/>
        <rFont val="宋体"/>
        <family val="3"/>
        <charset val="134"/>
      </rPr>
      <t>编号</t>
    </r>
  </si>
  <si>
    <r>
      <rPr>
        <sz val="10"/>
        <rFont val="宋体"/>
        <family val="3"/>
        <charset val="134"/>
      </rPr>
      <t>名称及规格</t>
    </r>
  </si>
  <si>
    <r>
      <rPr>
        <sz val="10"/>
        <rFont val="宋体"/>
        <family val="3"/>
        <charset val="134"/>
      </rPr>
      <t>单位</t>
    </r>
  </si>
  <si>
    <r>
      <rPr>
        <sz val="10"/>
        <rFont val="宋体"/>
        <family val="3"/>
        <charset val="134"/>
      </rPr>
      <t>数量</t>
    </r>
  </si>
  <si>
    <r>
      <rPr>
        <sz val="10"/>
        <rFont val="宋体"/>
        <family val="3"/>
        <charset val="134"/>
      </rPr>
      <t>单价</t>
    </r>
  </si>
  <si>
    <r>
      <rPr>
        <sz val="10"/>
        <rFont val="宋体"/>
        <family val="3"/>
        <charset val="134"/>
      </rPr>
      <t>合价</t>
    </r>
  </si>
  <si>
    <r>
      <rPr>
        <sz val="10"/>
        <rFont val="宋体"/>
        <family val="3"/>
        <charset val="134"/>
      </rPr>
      <t>安装费</t>
    </r>
  </si>
  <si>
    <t>设备费</t>
  </si>
  <si>
    <r>
      <rPr>
        <sz val="10"/>
        <rFont val="宋体"/>
        <family val="3"/>
        <charset val="134"/>
      </rPr>
      <t>设备费</t>
    </r>
  </si>
  <si>
    <r>
      <rPr>
        <b/>
        <sz val="10"/>
        <color indexed="8"/>
        <rFont val="宋体"/>
        <family val="3"/>
        <charset val="134"/>
      </rPr>
      <t>合计</t>
    </r>
  </si>
  <si>
    <r>
      <rPr>
        <sz val="10"/>
        <rFont val="Times New Roman"/>
        <family val="1"/>
      </rPr>
      <t>0.4*0.4m</t>
    </r>
    <r>
      <rPr>
        <sz val="10"/>
        <rFont val="宋体"/>
        <family val="3"/>
        <charset val="134"/>
      </rPr>
      <t>一体式拱形铸铁闸门</t>
    </r>
  </si>
  <si>
    <t>个</t>
  </si>
  <si>
    <r>
      <rPr>
        <sz val="10"/>
        <rFont val="Times New Roman"/>
        <family val="1"/>
      </rPr>
      <t>0.6*0.6m</t>
    </r>
    <r>
      <rPr>
        <sz val="10"/>
        <rFont val="宋体"/>
        <family val="3"/>
        <charset val="134"/>
      </rPr>
      <t>一体式拱形铸铁闸门</t>
    </r>
  </si>
  <si>
    <r>
      <rPr>
        <sz val="10"/>
        <rFont val="Times New Roman"/>
        <family val="1"/>
      </rPr>
      <t>0.8*0.8m</t>
    </r>
    <r>
      <rPr>
        <sz val="10"/>
        <rFont val="宋体"/>
        <family val="3"/>
        <charset val="134"/>
      </rPr>
      <t>一体式拱形铸铁闸门</t>
    </r>
  </si>
  <si>
    <r>
      <rPr>
        <sz val="10"/>
        <rFont val="Times New Roman"/>
        <family val="1"/>
      </rPr>
      <t>1.0*1.0m</t>
    </r>
    <r>
      <rPr>
        <sz val="10"/>
        <rFont val="宋体"/>
        <family val="3"/>
        <charset val="134"/>
      </rPr>
      <t>拱形铸铁闸门及启闭机</t>
    </r>
  </si>
  <si>
    <r>
      <rPr>
        <sz val="10"/>
        <rFont val="Times New Roman"/>
        <family val="1"/>
      </rPr>
      <t>1.2*1.2m</t>
    </r>
    <r>
      <rPr>
        <sz val="10"/>
        <rFont val="宋体"/>
        <family val="3"/>
        <charset val="134"/>
      </rPr>
      <t>拱形铸铁闸门及启闭机</t>
    </r>
  </si>
  <si>
    <t>征地补偿投资概算表</t>
  </si>
  <si>
    <r>
      <rPr>
        <b/>
        <sz val="10"/>
        <rFont val="宋体"/>
        <family val="3"/>
        <charset val="134"/>
      </rPr>
      <t>项目</t>
    </r>
  </si>
  <si>
    <t>合价（万元）</t>
  </si>
  <si>
    <r>
      <rPr>
        <b/>
        <sz val="10"/>
        <rFont val="宋体"/>
        <family val="3"/>
        <charset val="134"/>
      </rPr>
      <t>第一部分</t>
    </r>
    <r>
      <rPr>
        <b/>
        <sz val="10"/>
        <rFont val="Times New Roman"/>
        <family val="1"/>
      </rPr>
      <t xml:space="preserve"> </t>
    </r>
    <r>
      <rPr>
        <b/>
        <sz val="10"/>
        <rFont val="宋体"/>
        <family val="3"/>
        <charset val="134"/>
      </rPr>
      <t>工程占地补偿费</t>
    </r>
  </si>
  <si>
    <r>
      <rPr>
        <b/>
        <sz val="10"/>
        <rFont val="宋体"/>
        <family val="3"/>
        <charset val="134"/>
      </rPr>
      <t>工程征用土地补偿费</t>
    </r>
  </si>
  <si>
    <t>占地（亩）</t>
  </si>
  <si>
    <r>
      <rPr>
        <b/>
        <sz val="10"/>
        <rFont val="宋体"/>
        <family val="3"/>
        <charset val="134"/>
      </rPr>
      <t>永久征地补偿费</t>
    </r>
  </si>
  <si>
    <t>雨强片区首部蓄水池</t>
  </si>
  <si>
    <t>农田</t>
  </si>
  <si>
    <t>亩</t>
  </si>
  <si>
    <t>杜窑沟片区首部蓄水池</t>
  </si>
  <si>
    <t>临时工程占地补偿费</t>
  </si>
  <si>
    <t>张记圈首部</t>
  </si>
  <si>
    <r>
      <rPr>
        <sz val="10"/>
        <rFont val="宋体"/>
        <family val="3"/>
        <charset val="134"/>
      </rPr>
      <t>亩</t>
    </r>
  </si>
  <si>
    <r>
      <rPr>
        <b/>
        <sz val="10"/>
        <rFont val="宋体"/>
        <family val="3"/>
        <charset val="134"/>
      </rPr>
      <t>第二部分</t>
    </r>
    <r>
      <rPr>
        <b/>
        <sz val="10"/>
        <rFont val="Times New Roman"/>
        <family val="1"/>
      </rPr>
      <t xml:space="preserve">  </t>
    </r>
    <r>
      <rPr>
        <b/>
        <sz val="10"/>
        <rFont val="宋体"/>
        <family val="3"/>
        <charset val="134"/>
      </rPr>
      <t>其他费用</t>
    </r>
  </si>
  <si>
    <r>
      <rPr>
        <sz val="10"/>
        <rFont val="宋体"/>
        <family val="3"/>
        <charset val="134"/>
      </rPr>
      <t>前期工作费</t>
    </r>
  </si>
  <si>
    <r>
      <rPr>
        <sz val="10"/>
        <rFont val="宋体"/>
        <family val="3"/>
        <charset val="134"/>
      </rPr>
      <t>勘测设计科研费</t>
    </r>
  </si>
  <si>
    <r>
      <rPr>
        <sz val="10"/>
        <rFont val="宋体"/>
        <family val="3"/>
        <charset val="134"/>
      </rPr>
      <t>实施管理费</t>
    </r>
  </si>
  <si>
    <r>
      <rPr>
        <sz val="10"/>
        <rFont val="宋体"/>
        <family val="3"/>
        <charset val="134"/>
      </rPr>
      <t>技术培训费</t>
    </r>
  </si>
  <si>
    <r>
      <rPr>
        <sz val="10"/>
        <rFont val="宋体"/>
        <family val="3"/>
        <charset val="134"/>
      </rPr>
      <t>监督评估费</t>
    </r>
  </si>
  <si>
    <r>
      <rPr>
        <b/>
        <sz val="10"/>
        <rFont val="宋体"/>
        <family val="3"/>
        <charset val="134"/>
      </rPr>
      <t>第三部分</t>
    </r>
    <r>
      <rPr>
        <b/>
        <sz val="10"/>
        <rFont val="Times New Roman"/>
        <family val="1"/>
      </rPr>
      <t xml:space="preserve">  </t>
    </r>
    <r>
      <rPr>
        <b/>
        <sz val="10"/>
        <rFont val="宋体"/>
        <family val="3"/>
        <charset val="134"/>
      </rPr>
      <t>基本预备费</t>
    </r>
  </si>
  <si>
    <r>
      <rPr>
        <b/>
        <sz val="10"/>
        <rFont val="宋体"/>
        <family val="3"/>
        <charset val="134"/>
      </rPr>
      <t>总投资</t>
    </r>
  </si>
  <si>
    <t>建筑工程单价汇总表</t>
  </si>
  <si>
    <t>单位：</t>
  </si>
  <si>
    <t>元</t>
  </si>
  <si>
    <r>
      <rPr>
        <sz val="10.5"/>
        <rFont val="宋体"/>
        <family val="3"/>
        <charset val="134"/>
      </rPr>
      <t>定</t>
    </r>
    <r>
      <rPr>
        <sz val="10.5"/>
        <rFont val="Times New Roman"/>
        <family val="1"/>
      </rPr>
      <t xml:space="preserve"> </t>
    </r>
    <r>
      <rPr>
        <sz val="10.5"/>
        <rFont val="宋体"/>
        <family val="3"/>
        <charset val="134"/>
      </rPr>
      <t>额编</t>
    </r>
    <r>
      <rPr>
        <sz val="10.5"/>
        <rFont val="Times New Roman"/>
        <family val="1"/>
      </rPr>
      <t xml:space="preserve"> </t>
    </r>
    <r>
      <rPr>
        <sz val="10.5"/>
        <rFont val="宋体"/>
        <family val="3"/>
        <charset val="134"/>
      </rPr>
      <t>号</t>
    </r>
  </si>
  <si>
    <t>项目名称</t>
  </si>
  <si>
    <r>
      <rPr>
        <sz val="10.5"/>
        <rFont val="宋体"/>
        <family val="3"/>
        <charset val="134"/>
      </rPr>
      <t>单</t>
    </r>
    <r>
      <rPr>
        <sz val="10.5"/>
        <rFont val="Times New Roman"/>
        <family val="1"/>
      </rPr>
      <t xml:space="preserve">  </t>
    </r>
    <r>
      <rPr>
        <sz val="10.5"/>
        <rFont val="宋体"/>
        <family val="3"/>
        <charset val="134"/>
      </rPr>
      <t>位</t>
    </r>
  </si>
  <si>
    <r>
      <rPr>
        <sz val="10.5"/>
        <rFont val="宋体"/>
        <family val="3"/>
        <charset val="134"/>
      </rPr>
      <t>单</t>
    </r>
    <r>
      <rPr>
        <sz val="10.5"/>
        <rFont val="Times New Roman"/>
        <family val="1"/>
      </rPr>
      <t xml:space="preserve">  </t>
    </r>
    <r>
      <rPr>
        <sz val="10.5"/>
        <rFont val="宋体"/>
        <family val="3"/>
        <charset val="134"/>
      </rPr>
      <t>价</t>
    </r>
  </si>
  <si>
    <r>
      <rPr>
        <sz val="10.5"/>
        <rFont val="宋体"/>
        <family val="3"/>
        <charset val="134"/>
      </rPr>
      <t>其</t>
    </r>
    <r>
      <rPr>
        <sz val="10.5"/>
        <rFont val="Times New Roman"/>
        <family val="1"/>
      </rPr>
      <t xml:space="preserve">                                       </t>
    </r>
    <r>
      <rPr>
        <sz val="10.5"/>
        <rFont val="宋体"/>
        <family val="3"/>
        <charset val="134"/>
      </rPr>
      <t>中</t>
    </r>
  </si>
  <si>
    <t>人工费</t>
  </si>
  <si>
    <t>材料费</t>
  </si>
  <si>
    <r>
      <rPr>
        <sz val="10.5"/>
        <rFont val="宋体"/>
        <family val="3"/>
        <charset val="134"/>
      </rPr>
      <t>机</t>
    </r>
    <r>
      <rPr>
        <sz val="10.5"/>
        <rFont val="Times New Roman"/>
        <family val="1"/>
      </rPr>
      <t xml:space="preserve">    </t>
    </r>
    <r>
      <rPr>
        <sz val="10.5"/>
        <rFont val="宋体"/>
        <family val="3"/>
        <charset val="134"/>
      </rPr>
      <t>械</t>
    </r>
    <r>
      <rPr>
        <sz val="10.5"/>
        <rFont val="Times New Roman"/>
        <family val="1"/>
      </rPr>
      <t xml:space="preserve">      </t>
    </r>
    <r>
      <rPr>
        <sz val="10.5"/>
        <rFont val="宋体"/>
        <family val="3"/>
        <charset val="134"/>
      </rPr>
      <t>使用费</t>
    </r>
  </si>
  <si>
    <r>
      <rPr>
        <sz val="10.5"/>
        <rFont val="宋体"/>
        <family val="3"/>
        <charset val="134"/>
      </rPr>
      <t>零</t>
    </r>
    <r>
      <rPr>
        <sz val="10.5"/>
        <rFont val="Times New Roman"/>
        <family val="1"/>
      </rPr>
      <t xml:space="preserve">    </t>
    </r>
    <r>
      <rPr>
        <sz val="10.5"/>
        <rFont val="宋体"/>
        <family val="3"/>
        <charset val="134"/>
      </rPr>
      <t>星</t>
    </r>
    <r>
      <rPr>
        <sz val="10.5"/>
        <rFont val="Times New Roman"/>
        <family val="1"/>
      </rPr>
      <t xml:space="preserve">       </t>
    </r>
    <r>
      <rPr>
        <sz val="10.5"/>
        <rFont val="宋体"/>
        <family val="3"/>
        <charset val="134"/>
      </rPr>
      <t>材料费</t>
    </r>
  </si>
  <si>
    <r>
      <rPr>
        <sz val="10.5"/>
        <rFont val="宋体"/>
        <family val="3"/>
        <charset val="134"/>
      </rPr>
      <t>其</t>
    </r>
    <r>
      <rPr>
        <sz val="10.5"/>
        <rFont val="Times New Roman"/>
        <family val="1"/>
      </rPr>
      <t xml:space="preserve">    </t>
    </r>
    <r>
      <rPr>
        <sz val="10.5"/>
        <rFont val="宋体"/>
        <family val="3"/>
        <charset val="134"/>
      </rPr>
      <t>他</t>
    </r>
    <r>
      <rPr>
        <sz val="10.5"/>
        <rFont val="Times New Roman"/>
        <family val="1"/>
      </rPr>
      <t xml:space="preserve">      </t>
    </r>
    <r>
      <rPr>
        <sz val="10.5"/>
        <rFont val="宋体"/>
        <family val="3"/>
        <charset val="134"/>
      </rPr>
      <t>直接费</t>
    </r>
  </si>
  <si>
    <r>
      <rPr>
        <sz val="10.5"/>
        <rFont val="宋体"/>
        <family val="3"/>
        <charset val="134"/>
      </rPr>
      <t>现场</t>
    </r>
    <r>
      <rPr>
        <sz val="10.5"/>
        <rFont val="Times New Roman"/>
        <family val="1"/>
      </rPr>
      <t xml:space="preserve">          </t>
    </r>
    <r>
      <rPr>
        <sz val="10.5"/>
        <rFont val="宋体"/>
        <family val="3"/>
        <charset val="134"/>
      </rPr>
      <t>经费</t>
    </r>
  </si>
  <si>
    <t>间接费</t>
  </si>
  <si>
    <r>
      <rPr>
        <sz val="10.5"/>
        <rFont val="宋体"/>
        <family val="3"/>
        <charset val="134"/>
      </rPr>
      <t>企</t>
    </r>
    <r>
      <rPr>
        <sz val="10.5"/>
        <rFont val="Times New Roman"/>
        <family val="1"/>
      </rPr>
      <t xml:space="preserve">   </t>
    </r>
    <r>
      <rPr>
        <sz val="10.5"/>
        <rFont val="宋体"/>
        <family val="3"/>
        <charset val="134"/>
      </rPr>
      <t>业</t>
    </r>
    <r>
      <rPr>
        <sz val="10.5"/>
        <rFont val="Times New Roman"/>
        <family val="1"/>
      </rPr>
      <t xml:space="preserve">   </t>
    </r>
    <r>
      <rPr>
        <sz val="10.5"/>
        <rFont val="宋体"/>
        <family val="3"/>
        <charset val="134"/>
      </rPr>
      <t>利</t>
    </r>
    <r>
      <rPr>
        <sz val="10.5"/>
        <rFont val="Times New Roman"/>
        <family val="1"/>
      </rPr>
      <t xml:space="preserve">   </t>
    </r>
    <r>
      <rPr>
        <sz val="10.5"/>
        <rFont val="宋体"/>
        <family val="3"/>
        <charset val="134"/>
      </rPr>
      <t>润</t>
    </r>
    <r>
      <rPr>
        <sz val="10.5"/>
        <rFont val="Times New Roman"/>
        <family val="1"/>
      </rPr>
      <t xml:space="preserve"> </t>
    </r>
  </si>
  <si>
    <t>材差</t>
  </si>
  <si>
    <r>
      <rPr>
        <sz val="10.5"/>
        <rFont val="宋体"/>
        <family val="3"/>
        <charset val="134"/>
      </rPr>
      <t>税</t>
    </r>
    <r>
      <rPr>
        <sz val="10.5"/>
        <rFont val="Times New Roman"/>
        <family val="1"/>
      </rPr>
      <t xml:space="preserve">  </t>
    </r>
    <r>
      <rPr>
        <sz val="10.5"/>
        <rFont val="宋体"/>
        <family val="3"/>
        <charset val="134"/>
      </rPr>
      <t>金</t>
    </r>
  </si>
  <si>
    <t>定额     扩大</t>
  </si>
  <si>
    <r>
      <rPr>
        <sz val="10.5"/>
        <rFont val="宋体"/>
        <family val="3"/>
        <charset val="134"/>
      </rPr>
      <t>混凝土（</t>
    </r>
    <r>
      <rPr>
        <sz val="10.5"/>
        <rFont val="Times New Roman"/>
        <family val="1"/>
      </rPr>
      <t>C24</t>
    </r>
    <r>
      <rPr>
        <sz val="10.5"/>
        <rFont val="宋体"/>
        <family val="3"/>
        <charset val="134"/>
      </rPr>
      <t>）</t>
    </r>
  </si>
  <si>
    <r>
      <rPr>
        <sz val="10.5"/>
        <rFont val="宋体"/>
        <family val="3"/>
        <charset val="134"/>
      </rPr>
      <t>m</t>
    </r>
    <r>
      <rPr>
        <vertAlign val="superscript"/>
        <sz val="10.5"/>
        <rFont val="宋体"/>
        <family val="3"/>
        <charset val="134"/>
      </rPr>
      <t>3</t>
    </r>
  </si>
  <si>
    <r>
      <rPr>
        <sz val="10.5"/>
        <rFont val="宋体"/>
        <family val="3"/>
        <charset val="134"/>
      </rPr>
      <t>混凝土（</t>
    </r>
    <r>
      <rPr>
        <sz val="10.5"/>
        <rFont val="Times New Roman"/>
        <family val="1"/>
      </rPr>
      <t>C19</t>
    </r>
    <r>
      <rPr>
        <sz val="10.5"/>
        <rFont val="宋体"/>
        <family val="3"/>
        <charset val="134"/>
      </rPr>
      <t>）</t>
    </r>
  </si>
  <si>
    <r>
      <rPr>
        <sz val="10.5"/>
        <rFont val="宋体"/>
        <family val="3"/>
        <charset val="134"/>
      </rPr>
      <t>混凝土（</t>
    </r>
    <r>
      <rPr>
        <sz val="10.5"/>
        <rFont val="Times New Roman"/>
        <family val="1"/>
      </rPr>
      <t>C14</t>
    </r>
    <r>
      <rPr>
        <sz val="10.5"/>
        <rFont val="宋体"/>
        <family val="3"/>
        <charset val="134"/>
      </rPr>
      <t>）</t>
    </r>
  </si>
  <si>
    <r>
      <rPr>
        <sz val="10.5"/>
        <rFont val="宋体"/>
        <family val="3"/>
        <charset val="134"/>
      </rPr>
      <t>水泥砂浆（</t>
    </r>
    <r>
      <rPr>
        <sz val="10.5"/>
        <rFont val="Times New Roman"/>
        <family val="1"/>
      </rPr>
      <t>M10</t>
    </r>
    <r>
      <rPr>
        <sz val="10.5"/>
        <rFont val="宋体"/>
        <family val="3"/>
        <charset val="134"/>
      </rPr>
      <t>）</t>
    </r>
  </si>
  <si>
    <r>
      <rPr>
        <sz val="10.5"/>
        <rFont val="宋体"/>
        <family val="3"/>
        <charset val="134"/>
      </rPr>
      <t>水泥砂浆（</t>
    </r>
    <r>
      <rPr>
        <sz val="10.5"/>
        <rFont val="Times New Roman"/>
        <family val="1"/>
      </rPr>
      <t>M7.5</t>
    </r>
    <r>
      <rPr>
        <sz val="10.5"/>
        <rFont val="宋体"/>
        <family val="3"/>
        <charset val="134"/>
      </rPr>
      <t>）</t>
    </r>
  </si>
  <si>
    <t>胶轮车运混凝土</t>
  </si>
  <si>
    <r>
      <rPr>
        <sz val="10.5"/>
        <rFont val="宋体"/>
        <family val="3"/>
        <charset val="134"/>
      </rPr>
      <t>100m</t>
    </r>
    <r>
      <rPr>
        <vertAlign val="superscript"/>
        <sz val="10.5"/>
        <rFont val="宋体"/>
        <family val="3"/>
        <charset val="134"/>
      </rPr>
      <t>3</t>
    </r>
  </si>
  <si>
    <t>卷扬机吊运混凝土</t>
  </si>
  <si>
    <t>溢流面</t>
  </si>
  <si>
    <t>溢流面（抗硫水泥，高抗）</t>
  </si>
  <si>
    <t>直墙</t>
  </si>
  <si>
    <t>直墙（抗硫水泥，高抗）</t>
  </si>
  <si>
    <t>斜墙</t>
  </si>
  <si>
    <t>导水墙</t>
  </si>
  <si>
    <t>导水墙（抗硫水泥，高抗）</t>
  </si>
  <si>
    <t>闸墩喇叭口</t>
  </si>
  <si>
    <t>闸井</t>
  </si>
  <si>
    <t>闸井（抗硫水泥，高抗）</t>
  </si>
  <si>
    <t>水闸及溢洪道闸墩</t>
  </si>
  <si>
    <t>水闸及溢洪道闸墩（抗硫水泥，高抗）</t>
  </si>
  <si>
    <t>胸墙</t>
  </si>
  <si>
    <t>胸墙（抗硫水泥，高抗）</t>
  </si>
  <si>
    <t>截水墙、齿墙</t>
  </si>
  <si>
    <t>截水墙、齿墙（抗硫水泥，高抗）</t>
  </si>
  <si>
    <t xml:space="preserve"> 镇墩</t>
  </si>
  <si>
    <t>支墩</t>
  </si>
  <si>
    <t>支墩（抗硫水泥，高抗）</t>
  </si>
  <si>
    <t>垫层</t>
  </si>
  <si>
    <t>垫层（抗硫水泥，高抗）</t>
  </si>
  <si>
    <t>底板</t>
  </si>
  <si>
    <t>底板（抗硫水泥，高抗）</t>
  </si>
  <si>
    <t>明渠底板</t>
  </si>
  <si>
    <t>明渠底板（抗硫水泥，高抗）</t>
  </si>
  <si>
    <t>明渠边坡</t>
  </si>
  <si>
    <t>明渠边坡（抗硫水泥，高抗）</t>
  </si>
  <si>
    <t>箱式涵洞</t>
  </si>
  <si>
    <t>箱式涵洞（抗硫水泥，高抗）</t>
  </si>
  <si>
    <t>桥板</t>
  </si>
  <si>
    <t>排架</t>
  </si>
  <si>
    <t>排架(抗硫水泥，高抗)</t>
  </si>
  <si>
    <t>排架基础</t>
  </si>
  <si>
    <t>重力墩</t>
  </si>
  <si>
    <t>矩形柱</t>
  </si>
  <si>
    <t>矩形柱(抗硫水泥，高抗)</t>
  </si>
  <si>
    <t>预制混凝土U型衬砌板</t>
  </si>
  <si>
    <t>预制混凝土U型板安装</t>
  </si>
  <si>
    <t>预制混凝土U型板安装(抗硫水泥，高抗)</t>
  </si>
  <si>
    <t>预制混凝土衬砌板</t>
  </si>
  <si>
    <t>预制混凝土衬砌板安装</t>
  </si>
  <si>
    <t>预制混凝土衬砌板安装(抗硫水泥，高抗)</t>
  </si>
  <si>
    <t>预制混凝土小型构件</t>
  </si>
  <si>
    <t>小型预制构件安装</t>
  </si>
  <si>
    <t>预制混凝土T型梁</t>
  </si>
  <si>
    <t>预制混凝土矩形梁</t>
  </si>
  <si>
    <t>预制混凝土板</t>
  </si>
  <si>
    <t>预制混凝土板(抗硫水泥，高抗)</t>
  </si>
  <si>
    <t>预制混凝土梁安装</t>
  </si>
  <si>
    <t>预制混凝土板安装</t>
  </si>
  <si>
    <t>预制混凝土板运输</t>
  </si>
  <si>
    <t>预制混凝土梁运输</t>
  </si>
  <si>
    <t>涂沥青防水层</t>
  </si>
  <si>
    <r>
      <rPr>
        <sz val="10.5"/>
        <rFont val="宋体"/>
        <family val="3"/>
        <charset val="134"/>
      </rPr>
      <t>100m</t>
    </r>
    <r>
      <rPr>
        <vertAlign val="superscript"/>
        <sz val="10.5"/>
        <rFont val="宋体"/>
        <family val="3"/>
        <charset val="134"/>
      </rPr>
      <t>2</t>
    </r>
  </si>
  <si>
    <t>水泥砂浆防水层</t>
  </si>
  <si>
    <t>橡胶止水带止水</t>
  </si>
  <si>
    <r>
      <rPr>
        <sz val="10.5"/>
        <rFont val="宋体"/>
        <family val="3"/>
        <charset val="134"/>
      </rPr>
      <t>100延长m</t>
    </r>
  </si>
  <si>
    <t>沥青油膏</t>
  </si>
  <si>
    <t>沥青油毡伸缩缝（二毡三油）</t>
  </si>
  <si>
    <t>建筑物细部结构</t>
  </si>
  <si>
    <t>钢筋制作安装</t>
  </si>
  <si>
    <t>井柱钢筋制作安装</t>
  </si>
  <si>
    <t>小型金属结构制作安装</t>
  </si>
  <si>
    <t>钢管安装</t>
  </si>
  <si>
    <t>钢管脚手架</t>
  </si>
  <si>
    <t>浆砌块石（挡土墙）</t>
  </si>
  <si>
    <t>浆砌块石（挡土墙，抗硫水泥，高抗）</t>
  </si>
  <si>
    <t>浆砌块石（闸桥墩）</t>
  </si>
  <si>
    <t>浆砌块石（闸桥墩，抗硫水泥，高抗）</t>
  </si>
  <si>
    <t>浆砌块石（护坡、平面）</t>
  </si>
  <si>
    <t>浆砌块石（护坡、平面，抗硫水泥，高抗）</t>
  </si>
  <si>
    <t>浆砌块石（护坡、曲面）</t>
  </si>
  <si>
    <t>浆砌块石（护底）</t>
  </si>
  <si>
    <t>浆砌块石（护底，抗硫水泥，高抗）</t>
  </si>
  <si>
    <t>浆砌块石（基础）</t>
  </si>
  <si>
    <t>浆砌块石（基础，抗硫水泥，高抗）</t>
  </si>
  <si>
    <t>浆砌块石（填腹石）</t>
  </si>
  <si>
    <t>浆砌块石（填腹石，抗硫水泥，高抗）</t>
  </si>
  <si>
    <t>干砌块石（护坡）</t>
  </si>
  <si>
    <t>干砌块石（护底）</t>
  </si>
  <si>
    <r>
      <rPr>
        <sz val="9"/>
        <rFont val="宋体"/>
        <family val="3"/>
        <charset val="134"/>
      </rPr>
      <t>100m</t>
    </r>
    <r>
      <rPr>
        <vertAlign val="superscript"/>
        <sz val="9"/>
        <rFont val="宋体"/>
        <family val="3"/>
        <charset val="134"/>
      </rPr>
      <t>3</t>
    </r>
  </si>
  <si>
    <t>干砌块石护坡（面石）</t>
  </si>
  <si>
    <t>干砌块石护坡（填腹）</t>
  </si>
  <si>
    <t>铅丝笼块石护坡</t>
  </si>
  <si>
    <t>铅丝笼块石护脚</t>
  </si>
  <si>
    <t>补充</t>
  </si>
  <si>
    <t>格宾块石护坡（合金结构钢丝）</t>
  </si>
  <si>
    <t>格槟块石护坡（低碳镀锌钢丝）</t>
  </si>
  <si>
    <t>格槟块石护坡（重镀高尔凡，5%铝锌合金）</t>
  </si>
  <si>
    <t>格槟块石护脚（低碳镀锌钢丝）</t>
  </si>
  <si>
    <t>格槟块石护脚（重镀高尔凡，5%铝锌合金）</t>
  </si>
  <si>
    <t>格栅块石护脚（石笼专用，BG3030）</t>
  </si>
  <si>
    <t>砌砖</t>
  </si>
  <si>
    <t>砌体砂浆抹面</t>
  </si>
  <si>
    <r>
      <rPr>
        <sz val="9"/>
        <rFont val="宋体"/>
        <family val="3"/>
        <charset val="134"/>
      </rPr>
      <t>100m</t>
    </r>
    <r>
      <rPr>
        <vertAlign val="superscript"/>
        <sz val="9"/>
        <rFont val="宋体"/>
        <family val="3"/>
        <charset val="134"/>
      </rPr>
      <t>2</t>
    </r>
  </si>
  <si>
    <t>人工铺筑碎石垫层</t>
  </si>
  <si>
    <t>人工铺筑反滤层</t>
  </si>
  <si>
    <t>人工铺筑砂砾石垫层</t>
  </si>
  <si>
    <t>拖拉机压实土料（坝体）</t>
  </si>
  <si>
    <t>挖掘机挖土自卸汽车运输                 （运距≤0.25KM、Ⅱ类土）</t>
  </si>
  <si>
    <t>挖掘机挖土自卸汽车运输                 （运距≤0.25KM、Ⅲ类土）</t>
  </si>
  <si>
    <t>挖掘机挖土自卸汽车运输                 （运距0.25～0.5KM、Ⅱ类土）</t>
  </si>
  <si>
    <t>挖掘机挖土自卸汽车运输                 （运距0.25～0.5KM、Ⅲ类土）</t>
  </si>
  <si>
    <t>挖掘机挖土自卸汽车运输                 （运距0.5～1.0KM、Ⅱ类土）</t>
  </si>
  <si>
    <t>挖掘机挖土自卸汽车运输                  （运距0.5～1.0KM、Ⅲ类土）</t>
  </si>
  <si>
    <t>挖掘机挖土自卸汽车运输                 （运距1.0～1.5KM、Ⅱ类土）</t>
  </si>
  <si>
    <t>挖掘机挖土自卸汽车运输                  （运距1.0～1.5KM、Ⅲ类土）</t>
  </si>
  <si>
    <t>挖掘机挖土</t>
  </si>
  <si>
    <t>推土机推土</t>
  </si>
  <si>
    <t>人工挖装卸土方胶轮车运输</t>
  </si>
  <si>
    <t>人工挖倒沟槽土方（Ⅰ、Ⅱ类土）</t>
  </si>
  <si>
    <t>人工挖倒沟槽土方（Ⅲ类土）</t>
  </si>
  <si>
    <t>人工挖倒沟槽土方（Ⅳ类土）</t>
  </si>
  <si>
    <t>人工挖翻土、机械夯实</t>
  </si>
  <si>
    <t>人工修整边坡</t>
  </si>
  <si>
    <t>建筑物土方回填</t>
  </si>
  <si>
    <t>管道土方回填</t>
  </si>
  <si>
    <t>2：8水泥土回填</t>
  </si>
  <si>
    <t>3：7灰土回填</t>
  </si>
  <si>
    <t>平整场地</t>
  </si>
  <si>
    <t>人工铺草皮</t>
  </si>
  <si>
    <t>坡面一般石方开挖</t>
  </si>
  <si>
    <t>沟槽石方开挖（底宽1-2m）</t>
  </si>
  <si>
    <t>沟槽石方开挖（底宽2-4m）</t>
  </si>
  <si>
    <t>沟槽石方开挖（底宽4-7m）</t>
  </si>
  <si>
    <r>
      <rPr>
        <sz val="9"/>
        <rFont val="宋体"/>
        <family val="3"/>
        <charset val="134"/>
      </rPr>
      <t>坑石方开挖（坑口面积9-20m</t>
    </r>
    <r>
      <rPr>
        <vertAlign val="superscript"/>
        <sz val="9"/>
        <rFont val="宋体"/>
        <family val="3"/>
        <charset val="134"/>
      </rPr>
      <t>2</t>
    </r>
    <r>
      <rPr>
        <sz val="9"/>
        <rFont val="宋体"/>
        <family val="3"/>
        <charset val="134"/>
      </rPr>
      <t>）</t>
    </r>
  </si>
  <si>
    <r>
      <rPr>
        <sz val="9"/>
        <rFont val="宋体"/>
        <family val="3"/>
        <charset val="134"/>
      </rPr>
      <t>坑石方开挖（坑口面积20-50m</t>
    </r>
    <r>
      <rPr>
        <vertAlign val="superscript"/>
        <sz val="9"/>
        <rFont val="宋体"/>
        <family val="3"/>
        <charset val="134"/>
      </rPr>
      <t>3</t>
    </r>
    <r>
      <rPr>
        <sz val="9"/>
        <rFont val="宋体"/>
        <family val="3"/>
        <charset val="134"/>
      </rPr>
      <t>）</t>
    </r>
  </si>
  <si>
    <t>挖掘机装石渣自卸汽车运输                 （运距≤2KM）</t>
  </si>
  <si>
    <t>人工装石渣手扶式拖拉机运输</t>
  </si>
  <si>
    <t>钢筋混凝土管安装（φ1600）</t>
  </si>
  <si>
    <t>100延长m</t>
  </si>
  <si>
    <t>钢筋混凝土管安装（φ1000）</t>
  </si>
  <si>
    <t>钢筋混凝土管安装（φ800）</t>
  </si>
  <si>
    <t>复合土工膜铺设（两布一膜）</t>
  </si>
  <si>
    <t>土工布铺设</t>
  </si>
  <si>
    <t>沥青混凝土路面</t>
  </si>
  <si>
    <r>
      <rPr>
        <sz val="9"/>
        <rFont val="宋体"/>
        <family val="3"/>
        <charset val="134"/>
      </rPr>
      <t>1000m</t>
    </r>
    <r>
      <rPr>
        <vertAlign val="superscript"/>
        <sz val="9"/>
        <rFont val="宋体"/>
        <family val="3"/>
        <charset val="134"/>
      </rPr>
      <t>2</t>
    </r>
  </si>
  <si>
    <t>水泥混凝土路面</t>
  </si>
  <si>
    <t>碎石路面</t>
  </si>
  <si>
    <t>泥结石路面</t>
  </si>
  <si>
    <t>植苗造林（灌木）</t>
  </si>
  <si>
    <t>100株</t>
  </si>
  <si>
    <t>植苗造林（乔木）</t>
  </si>
  <si>
    <t>08048</t>
  </si>
  <si>
    <t>红豆草种植措施</t>
  </si>
  <si>
    <t>hm2</t>
  </si>
  <si>
    <t>主要材料预算价格汇总表</t>
  </si>
  <si>
    <r>
      <rPr>
        <sz val="10.5"/>
        <rFont val="Times New Roman"/>
        <family val="1"/>
      </rPr>
      <t xml:space="preserve">                                </t>
    </r>
    <r>
      <rPr>
        <sz val="10.5"/>
        <rFont val="宋体"/>
        <family val="3"/>
        <charset val="134"/>
      </rPr>
      <t>单位：元</t>
    </r>
  </si>
  <si>
    <t>名称及规格</t>
  </si>
  <si>
    <r>
      <rPr>
        <sz val="10.5"/>
        <rFont val="宋体"/>
        <family val="3"/>
        <charset val="134"/>
      </rPr>
      <t>单</t>
    </r>
    <r>
      <rPr>
        <sz val="10.5"/>
        <rFont val="Times New Roman"/>
        <family val="1"/>
      </rPr>
      <t xml:space="preserve">   </t>
    </r>
    <r>
      <rPr>
        <sz val="10.5"/>
        <rFont val="宋体"/>
        <family val="3"/>
        <charset val="134"/>
      </rPr>
      <t>位</t>
    </r>
  </si>
  <si>
    <t>预算价格</t>
  </si>
  <si>
    <t>其        中</t>
  </si>
  <si>
    <r>
      <rPr>
        <sz val="10.5"/>
        <rFont val="宋体"/>
        <family val="3"/>
        <charset val="134"/>
      </rPr>
      <t>原</t>
    </r>
    <r>
      <rPr>
        <sz val="10.5"/>
        <rFont val="Times New Roman"/>
        <family val="1"/>
      </rPr>
      <t xml:space="preserve">    </t>
    </r>
    <r>
      <rPr>
        <sz val="10.5"/>
        <rFont val="宋体"/>
        <family val="3"/>
        <charset val="134"/>
      </rPr>
      <t>价</t>
    </r>
  </si>
  <si>
    <r>
      <rPr>
        <sz val="10.5"/>
        <rFont val="宋体"/>
        <family val="3"/>
        <charset val="134"/>
      </rPr>
      <t>运</t>
    </r>
    <r>
      <rPr>
        <sz val="10.5"/>
        <rFont val="Times New Roman"/>
        <family val="1"/>
      </rPr>
      <t xml:space="preserve"> </t>
    </r>
    <r>
      <rPr>
        <sz val="10.5"/>
        <rFont val="宋体"/>
        <family val="3"/>
        <charset val="134"/>
      </rPr>
      <t>杂</t>
    </r>
    <r>
      <rPr>
        <sz val="10.5"/>
        <rFont val="Times New Roman"/>
        <family val="1"/>
      </rPr>
      <t xml:space="preserve"> </t>
    </r>
    <r>
      <rPr>
        <sz val="10.5"/>
        <rFont val="宋体"/>
        <family val="3"/>
        <charset val="134"/>
      </rPr>
      <t>费</t>
    </r>
  </si>
  <si>
    <r>
      <rPr>
        <sz val="10.5"/>
        <rFont val="宋体"/>
        <family val="3"/>
        <charset val="134"/>
      </rPr>
      <t>运</t>
    </r>
    <r>
      <rPr>
        <sz val="10.5"/>
        <rFont val="Times New Roman"/>
        <family val="1"/>
      </rPr>
      <t xml:space="preserve">    </t>
    </r>
    <r>
      <rPr>
        <sz val="10.5"/>
        <rFont val="宋体"/>
        <family val="3"/>
        <charset val="134"/>
      </rPr>
      <t>输</t>
    </r>
    <r>
      <rPr>
        <sz val="10.5"/>
        <rFont val="Times New Roman"/>
        <family val="1"/>
      </rPr>
      <t xml:space="preserve">        </t>
    </r>
    <r>
      <rPr>
        <sz val="10.5"/>
        <rFont val="宋体"/>
        <family val="3"/>
        <charset val="134"/>
      </rPr>
      <t>保险费</t>
    </r>
  </si>
  <si>
    <r>
      <rPr>
        <sz val="10.5"/>
        <rFont val="宋体"/>
        <family val="3"/>
        <charset val="134"/>
      </rPr>
      <t>采购及</t>
    </r>
    <r>
      <rPr>
        <sz val="10.5"/>
        <rFont val="Times New Roman"/>
        <family val="1"/>
      </rPr>
      <t xml:space="preserve">        </t>
    </r>
    <r>
      <rPr>
        <sz val="10.5"/>
        <rFont val="宋体"/>
        <family val="3"/>
        <charset val="134"/>
      </rPr>
      <t>保管费</t>
    </r>
  </si>
  <si>
    <t>高抗水泥</t>
  </si>
  <si>
    <t>吨</t>
  </si>
  <si>
    <t>水泥</t>
  </si>
  <si>
    <r>
      <rPr>
        <sz val="10.5"/>
        <rFont val="宋体"/>
        <family val="3"/>
        <charset val="134"/>
      </rPr>
      <t>钢</t>
    </r>
    <r>
      <rPr>
        <sz val="10.5"/>
        <rFont val="Times New Roman"/>
        <family val="1"/>
      </rPr>
      <t xml:space="preserve">      </t>
    </r>
    <r>
      <rPr>
        <sz val="10.5"/>
        <rFont val="宋体"/>
        <family val="3"/>
        <charset val="134"/>
      </rPr>
      <t>筋</t>
    </r>
  </si>
  <si>
    <r>
      <rPr>
        <sz val="10.5"/>
        <rFont val="宋体"/>
        <family val="3"/>
        <charset val="134"/>
      </rPr>
      <t>板</t>
    </r>
    <r>
      <rPr>
        <sz val="10.5"/>
        <rFont val="Times New Roman"/>
        <family val="1"/>
      </rPr>
      <t xml:space="preserve"> </t>
    </r>
    <r>
      <rPr>
        <sz val="10.5"/>
        <rFont val="宋体"/>
        <family val="3"/>
        <charset val="134"/>
      </rPr>
      <t>枋</t>
    </r>
    <r>
      <rPr>
        <sz val="10.5"/>
        <rFont val="Times New Roman"/>
        <family val="1"/>
      </rPr>
      <t xml:space="preserve"> </t>
    </r>
    <r>
      <rPr>
        <sz val="10.5"/>
        <rFont val="宋体"/>
        <family val="3"/>
        <charset val="134"/>
      </rPr>
      <t>材</t>
    </r>
  </si>
  <si>
    <t>立方米</t>
  </si>
  <si>
    <r>
      <rPr>
        <sz val="10.5"/>
        <rFont val="宋体"/>
        <family val="3"/>
        <charset val="134"/>
      </rPr>
      <t>砂</t>
    </r>
    <r>
      <rPr>
        <sz val="10.5"/>
        <rFont val="Times New Roman"/>
        <family val="1"/>
      </rPr>
      <t xml:space="preserve">      </t>
    </r>
    <r>
      <rPr>
        <sz val="10.5"/>
        <rFont val="宋体"/>
        <family val="3"/>
        <charset val="134"/>
      </rPr>
      <t>子</t>
    </r>
  </si>
  <si>
    <r>
      <rPr>
        <sz val="10.5"/>
        <rFont val="宋体"/>
        <family val="3"/>
        <charset val="134"/>
      </rPr>
      <t>碎</t>
    </r>
    <r>
      <rPr>
        <sz val="10.5"/>
        <rFont val="Times New Roman"/>
        <family val="1"/>
      </rPr>
      <t xml:space="preserve">      </t>
    </r>
    <r>
      <rPr>
        <sz val="10.5"/>
        <rFont val="宋体"/>
        <family val="3"/>
        <charset val="134"/>
      </rPr>
      <t>石</t>
    </r>
  </si>
  <si>
    <r>
      <rPr>
        <sz val="10.5"/>
        <rFont val="宋体"/>
        <family val="3"/>
        <charset val="134"/>
      </rPr>
      <t>块</t>
    </r>
    <r>
      <rPr>
        <sz val="10.5"/>
        <rFont val="Times New Roman"/>
        <family val="1"/>
      </rPr>
      <t xml:space="preserve">      </t>
    </r>
    <r>
      <rPr>
        <sz val="10.5"/>
        <rFont val="宋体"/>
        <family val="3"/>
        <charset val="134"/>
      </rPr>
      <t>石</t>
    </r>
  </si>
  <si>
    <r>
      <rPr>
        <sz val="10.5"/>
        <rFont val="宋体"/>
        <family val="3"/>
        <charset val="134"/>
      </rPr>
      <t>汽</t>
    </r>
    <r>
      <rPr>
        <sz val="10.5"/>
        <rFont val="Times New Roman"/>
        <family val="1"/>
      </rPr>
      <t xml:space="preserve">      </t>
    </r>
    <r>
      <rPr>
        <sz val="10.5"/>
        <rFont val="宋体"/>
        <family val="3"/>
        <charset val="134"/>
      </rPr>
      <t>油</t>
    </r>
  </si>
  <si>
    <r>
      <rPr>
        <sz val="10.5"/>
        <rFont val="宋体"/>
        <family val="3"/>
        <charset val="134"/>
      </rPr>
      <t>柴</t>
    </r>
    <r>
      <rPr>
        <sz val="10.5"/>
        <rFont val="Times New Roman"/>
        <family val="1"/>
      </rPr>
      <t xml:space="preserve">      </t>
    </r>
    <r>
      <rPr>
        <sz val="10.5"/>
        <rFont val="宋体"/>
        <family val="3"/>
        <charset val="134"/>
      </rPr>
      <t>油</t>
    </r>
  </si>
  <si>
    <t>次要材料预算价格汇总表</t>
  </si>
  <si>
    <r>
      <rPr>
        <sz val="12"/>
        <rFont val="宋体"/>
        <family val="3"/>
        <charset val="134"/>
      </rPr>
      <t>单位</t>
    </r>
    <r>
      <rPr>
        <sz val="12"/>
        <rFont val="Times New Roman"/>
        <family val="1"/>
      </rPr>
      <t>:</t>
    </r>
  </si>
  <si>
    <r>
      <rPr>
        <sz val="10.5"/>
        <rFont val="宋体"/>
        <family val="3"/>
        <charset val="134"/>
      </rPr>
      <t>编</t>
    </r>
    <r>
      <rPr>
        <sz val="10.5"/>
        <rFont val="Times New Roman"/>
        <family val="1"/>
      </rPr>
      <t xml:space="preserve">  </t>
    </r>
    <r>
      <rPr>
        <sz val="10.5"/>
        <rFont val="宋体"/>
        <family val="3"/>
        <charset val="134"/>
      </rPr>
      <t>号</t>
    </r>
  </si>
  <si>
    <r>
      <rPr>
        <sz val="10.5"/>
        <rFont val="宋体"/>
        <family val="3"/>
        <charset val="134"/>
      </rPr>
      <t>名</t>
    </r>
    <r>
      <rPr>
        <sz val="10.5"/>
        <rFont val="Times New Roman"/>
        <family val="1"/>
      </rPr>
      <t xml:space="preserve"> </t>
    </r>
    <r>
      <rPr>
        <sz val="10.5"/>
        <rFont val="宋体"/>
        <family val="3"/>
        <charset val="134"/>
      </rPr>
      <t>称及规格</t>
    </r>
  </si>
  <si>
    <t>原价</t>
  </si>
  <si>
    <t>运杂费</t>
  </si>
  <si>
    <r>
      <rPr>
        <sz val="10.5"/>
        <rFont val="宋体"/>
        <family val="3"/>
        <charset val="134"/>
      </rPr>
      <t>备</t>
    </r>
    <r>
      <rPr>
        <sz val="10.5"/>
        <rFont val="Times New Roman"/>
        <family val="1"/>
      </rPr>
      <t xml:space="preserve">      </t>
    </r>
    <r>
      <rPr>
        <sz val="10.5"/>
        <rFont val="宋体"/>
        <family val="3"/>
        <charset val="134"/>
      </rPr>
      <t>注</t>
    </r>
  </si>
  <si>
    <r>
      <rPr>
        <sz val="10.5"/>
        <rFont val="宋体"/>
        <family val="3"/>
        <charset val="134"/>
      </rPr>
      <t>铁</t>
    </r>
    <r>
      <rPr>
        <sz val="10.5"/>
        <rFont val="Times New Roman"/>
        <family val="1"/>
      </rPr>
      <t xml:space="preserve">         </t>
    </r>
    <r>
      <rPr>
        <sz val="10.5"/>
        <rFont val="宋体"/>
        <family val="3"/>
        <charset val="134"/>
      </rPr>
      <t>件</t>
    </r>
  </si>
  <si>
    <t>千克</t>
  </si>
  <si>
    <t>预埋铁件</t>
  </si>
  <si>
    <r>
      <rPr>
        <sz val="10.5"/>
        <rFont val="宋体"/>
        <family val="3"/>
        <charset val="134"/>
      </rPr>
      <t>铁</t>
    </r>
    <r>
      <rPr>
        <sz val="10.5"/>
        <rFont val="Times New Roman"/>
        <family val="1"/>
      </rPr>
      <t xml:space="preserve">        </t>
    </r>
    <r>
      <rPr>
        <sz val="10.5"/>
        <rFont val="宋体"/>
        <family val="3"/>
        <charset val="134"/>
      </rPr>
      <t>钉</t>
    </r>
  </si>
  <si>
    <r>
      <rPr>
        <sz val="10.5"/>
        <rFont val="宋体"/>
        <family val="3"/>
        <charset val="134"/>
      </rPr>
      <t>铁</t>
    </r>
    <r>
      <rPr>
        <sz val="10.5"/>
        <rFont val="Times New Roman"/>
        <family val="1"/>
      </rPr>
      <t xml:space="preserve">        </t>
    </r>
    <r>
      <rPr>
        <sz val="10.5"/>
        <rFont val="宋体"/>
        <family val="3"/>
        <charset val="134"/>
      </rPr>
      <t>丝</t>
    </r>
  </si>
  <si>
    <t>组合钢模板</t>
  </si>
  <si>
    <r>
      <rPr>
        <sz val="10.5"/>
        <rFont val="宋体"/>
        <family val="3"/>
        <charset val="134"/>
      </rPr>
      <t>型</t>
    </r>
    <r>
      <rPr>
        <sz val="10.5"/>
        <rFont val="Times New Roman"/>
        <family val="1"/>
      </rPr>
      <t xml:space="preserve">         </t>
    </r>
    <r>
      <rPr>
        <sz val="10.5"/>
        <rFont val="宋体"/>
        <family val="3"/>
        <charset val="134"/>
      </rPr>
      <t>钢</t>
    </r>
  </si>
  <si>
    <r>
      <rPr>
        <sz val="10.5"/>
        <rFont val="宋体"/>
        <family val="3"/>
        <charset val="134"/>
      </rPr>
      <t>卡</t>
    </r>
    <r>
      <rPr>
        <sz val="10.5"/>
        <rFont val="Times New Roman"/>
        <family val="1"/>
      </rPr>
      <t xml:space="preserve">  </t>
    </r>
    <r>
      <rPr>
        <sz val="10.5"/>
        <rFont val="宋体"/>
        <family val="3"/>
        <charset val="134"/>
      </rPr>
      <t>扣</t>
    </r>
    <r>
      <rPr>
        <sz val="10.5"/>
        <rFont val="Times New Roman"/>
        <family val="1"/>
      </rPr>
      <t xml:space="preserve">  </t>
    </r>
    <r>
      <rPr>
        <sz val="10.5"/>
        <rFont val="宋体"/>
        <family val="3"/>
        <charset val="134"/>
      </rPr>
      <t>件</t>
    </r>
  </si>
  <si>
    <r>
      <rPr>
        <sz val="10.5"/>
        <rFont val="宋体"/>
        <family val="3"/>
        <charset val="134"/>
      </rPr>
      <t>电</t>
    </r>
    <r>
      <rPr>
        <sz val="10.5"/>
        <rFont val="Times New Roman"/>
        <family val="1"/>
      </rPr>
      <t xml:space="preserve">  </t>
    </r>
    <r>
      <rPr>
        <sz val="10.5"/>
        <rFont val="宋体"/>
        <family val="3"/>
        <charset val="134"/>
      </rPr>
      <t>焊</t>
    </r>
    <r>
      <rPr>
        <sz val="10.5"/>
        <rFont val="Times New Roman"/>
        <family val="1"/>
      </rPr>
      <t xml:space="preserve">  </t>
    </r>
    <r>
      <rPr>
        <sz val="10.5"/>
        <rFont val="宋体"/>
        <family val="3"/>
        <charset val="134"/>
      </rPr>
      <t>条</t>
    </r>
  </si>
  <si>
    <t>合金钻头</t>
  </si>
  <si>
    <r>
      <rPr>
        <sz val="10.5"/>
        <rFont val="宋体"/>
        <family val="3"/>
        <charset val="134"/>
      </rPr>
      <t>空</t>
    </r>
    <r>
      <rPr>
        <sz val="10.5"/>
        <rFont val="Times New Roman"/>
        <family val="1"/>
      </rPr>
      <t xml:space="preserve">  </t>
    </r>
    <r>
      <rPr>
        <sz val="10.5"/>
        <rFont val="宋体"/>
        <family val="3"/>
        <charset val="134"/>
      </rPr>
      <t>心</t>
    </r>
    <r>
      <rPr>
        <sz val="10.5"/>
        <rFont val="Times New Roman"/>
        <family val="1"/>
      </rPr>
      <t xml:space="preserve">  </t>
    </r>
    <r>
      <rPr>
        <sz val="10.5"/>
        <rFont val="宋体"/>
        <family val="3"/>
        <charset val="134"/>
      </rPr>
      <t>钢</t>
    </r>
  </si>
  <si>
    <t>铁砂钻头</t>
  </si>
  <si>
    <r>
      <rPr>
        <sz val="10.5"/>
        <rFont val="宋体"/>
        <family val="3"/>
        <charset val="134"/>
      </rPr>
      <t>钢</t>
    </r>
    <r>
      <rPr>
        <sz val="10.5"/>
        <rFont val="Times New Roman"/>
        <family val="1"/>
      </rPr>
      <t xml:space="preserve">        </t>
    </r>
    <r>
      <rPr>
        <sz val="10.5"/>
        <rFont val="宋体"/>
        <family val="3"/>
        <charset val="134"/>
      </rPr>
      <t>钎</t>
    </r>
  </si>
  <si>
    <r>
      <rPr>
        <sz val="10.5"/>
        <rFont val="宋体"/>
        <family val="3"/>
        <charset val="134"/>
      </rPr>
      <t>炸</t>
    </r>
    <r>
      <rPr>
        <sz val="10.5"/>
        <rFont val="Times New Roman"/>
        <family val="1"/>
      </rPr>
      <t xml:space="preserve">        </t>
    </r>
    <r>
      <rPr>
        <sz val="10.5"/>
        <rFont val="宋体"/>
        <family val="3"/>
        <charset val="134"/>
      </rPr>
      <t>药</t>
    </r>
  </si>
  <si>
    <r>
      <rPr>
        <sz val="10.5"/>
        <rFont val="宋体"/>
        <family val="3"/>
        <charset val="134"/>
      </rPr>
      <t>雷</t>
    </r>
    <r>
      <rPr>
        <sz val="10.5"/>
        <rFont val="Times New Roman"/>
        <family val="1"/>
      </rPr>
      <t xml:space="preserve">        </t>
    </r>
    <r>
      <rPr>
        <sz val="10.5"/>
        <rFont val="宋体"/>
        <family val="3"/>
        <charset val="134"/>
      </rPr>
      <t>管</t>
    </r>
  </si>
  <si>
    <r>
      <rPr>
        <sz val="10.5"/>
        <rFont val="宋体"/>
        <family val="3"/>
        <charset val="134"/>
      </rPr>
      <t>导</t>
    </r>
    <r>
      <rPr>
        <sz val="10.5"/>
        <rFont val="Times New Roman"/>
        <family val="1"/>
      </rPr>
      <t xml:space="preserve">  </t>
    </r>
    <r>
      <rPr>
        <sz val="10.5"/>
        <rFont val="宋体"/>
        <family val="3"/>
        <charset val="134"/>
      </rPr>
      <t>电</t>
    </r>
    <r>
      <rPr>
        <sz val="10.5"/>
        <rFont val="Times New Roman"/>
        <family val="1"/>
      </rPr>
      <t xml:space="preserve">  </t>
    </r>
    <r>
      <rPr>
        <sz val="10.5"/>
        <rFont val="宋体"/>
        <family val="3"/>
        <charset val="134"/>
      </rPr>
      <t>线</t>
    </r>
  </si>
  <si>
    <t>米</t>
  </si>
  <si>
    <r>
      <rPr>
        <sz val="10.5"/>
        <rFont val="宋体"/>
        <family val="3"/>
        <charset val="134"/>
      </rPr>
      <t>脱</t>
    </r>
    <r>
      <rPr>
        <sz val="10.5"/>
        <rFont val="Times New Roman"/>
        <family val="1"/>
      </rPr>
      <t xml:space="preserve">  </t>
    </r>
    <r>
      <rPr>
        <sz val="10.5"/>
        <rFont val="宋体"/>
        <family val="3"/>
        <charset val="134"/>
      </rPr>
      <t>模</t>
    </r>
    <r>
      <rPr>
        <sz val="10.5"/>
        <rFont val="Times New Roman"/>
        <family val="1"/>
      </rPr>
      <t xml:space="preserve">  </t>
    </r>
    <r>
      <rPr>
        <sz val="10.5"/>
        <rFont val="宋体"/>
        <family val="3"/>
        <charset val="134"/>
      </rPr>
      <t>剂</t>
    </r>
  </si>
  <si>
    <t>施工机械台时费汇总表</t>
  </si>
  <si>
    <r>
      <rPr>
        <sz val="12"/>
        <rFont val="宋体"/>
        <family val="3"/>
        <charset val="134"/>
      </rPr>
      <t>台时：元</t>
    </r>
    <r>
      <rPr>
        <sz val="12"/>
        <rFont val="Times New Roman"/>
        <family val="1"/>
      </rPr>
      <t>/</t>
    </r>
    <r>
      <rPr>
        <sz val="12"/>
        <rFont val="宋体"/>
        <family val="3"/>
        <charset val="134"/>
      </rPr>
      <t>台时</t>
    </r>
  </si>
  <si>
    <t>台时费</t>
  </si>
  <si>
    <r>
      <rPr>
        <sz val="10.5"/>
        <rFont val="宋体"/>
        <family val="3"/>
        <charset val="134"/>
      </rPr>
      <t>其</t>
    </r>
    <r>
      <rPr>
        <sz val="10.5"/>
        <rFont val="Times New Roman"/>
        <family val="1"/>
      </rPr>
      <t xml:space="preserve">      </t>
    </r>
    <r>
      <rPr>
        <sz val="10.5"/>
        <rFont val="宋体"/>
        <family val="3"/>
        <charset val="134"/>
      </rPr>
      <t>中</t>
    </r>
  </si>
  <si>
    <t>一类费用</t>
  </si>
  <si>
    <t>二类费用</t>
  </si>
  <si>
    <r>
      <rPr>
        <sz val="10.5"/>
        <rFont val="宋体"/>
        <family val="3"/>
        <charset val="134"/>
      </rPr>
      <t>挖掘机液压</t>
    </r>
    <r>
      <rPr>
        <sz val="10.5"/>
        <rFont val="Times New Roman"/>
        <family val="1"/>
      </rPr>
      <t xml:space="preserve">    1.0m</t>
    </r>
    <r>
      <rPr>
        <vertAlign val="superscript"/>
        <sz val="10.5"/>
        <rFont val="Times New Roman"/>
        <family val="1"/>
      </rPr>
      <t>3</t>
    </r>
  </si>
  <si>
    <r>
      <rPr>
        <sz val="10.5"/>
        <rFont val="宋体"/>
        <family val="3"/>
        <charset val="134"/>
      </rPr>
      <t>装载机</t>
    </r>
    <r>
      <rPr>
        <sz val="10.5"/>
        <rFont val="Times New Roman"/>
        <family val="1"/>
      </rPr>
      <t xml:space="preserve">    1.5m</t>
    </r>
    <r>
      <rPr>
        <vertAlign val="superscript"/>
        <sz val="10.5"/>
        <rFont val="Times New Roman"/>
        <family val="1"/>
      </rPr>
      <t>3</t>
    </r>
  </si>
  <si>
    <r>
      <rPr>
        <sz val="10.5"/>
        <rFont val="宋体"/>
        <family val="3"/>
        <charset val="134"/>
      </rPr>
      <t>推土机</t>
    </r>
    <r>
      <rPr>
        <sz val="10.5"/>
        <rFont val="Times New Roman"/>
        <family val="1"/>
      </rPr>
      <t xml:space="preserve">    59kw</t>
    </r>
  </si>
  <si>
    <r>
      <rPr>
        <sz val="10.5"/>
        <rFont val="宋体"/>
        <family val="3"/>
        <charset val="134"/>
      </rPr>
      <t>推土机</t>
    </r>
    <r>
      <rPr>
        <sz val="10.5"/>
        <rFont val="Times New Roman"/>
        <family val="1"/>
      </rPr>
      <t xml:space="preserve">    74kw</t>
    </r>
  </si>
  <si>
    <r>
      <rPr>
        <sz val="10.5"/>
        <rFont val="宋体"/>
        <family val="3"/>
        <charset val="134"/>
      </rPr>
      <t>推土机</t>
    </r>
    <r>
      <rPr>
        <sz val="10.5"/>
        <rFont val="Times New Roman"/>
        <family val="1"/>
      </rPr>
      <t xml:space="preserve">    88kw</t>
    </r>
  </si>
  <si>
    <r>
      <rPr>
        <sz val="10.5"/>
        <rFont val="宋体"/>
        <family val="3"/>
        <charset val="134"/>
      </rPr>
      <t>拖拉机</t>
    </r>
    <r>
      <rPr>
        <sz val="10.5"/>
        <rFont val="Times New Roman"/>
        <family val="1"/>
      </rPr>
      <t xml:space="preserve">    59kw</t>
    </r>
  </si>
  <si>
    <r>
      <rPr>
        <sz val="10.5"/>
        <rFont val="宋体"/>
        <family val="3"/>
        <charset val="134"/>
      </rPr>
      <t>拖拉机</t>
    </r>
    <r>
      <rPr>
        <sz val="10.5"/>
        <rFont val="Times New Roman"/>
        <family val="1"/>
      </rPr>
      <t xml:space="preserve">    74kw</t>
    </r>
  </si>
  <si>
    <r>
      <rPr>
        <sz val="10.5"/>
        <rFont val="宋体"/>
        <family val="3"/>
        <charset val="134"/>
      </rPr>
      <t>手扶式拖拉机</t>
    </r>
    <r>
      <rPr>
        <sz val="10.5"/>
        <rFont val="Times New Roman"/>
        <family val="1"/>
      </rPr>
      <t xml:space="preserve">    11kw</t>
    </r>
  </si>
  <si>
    <r>
      <rPr>
        <sz val="10.5"/>
        <rFont val="宋体"/>
        <family val="3"/>
        <charset val="134"/>
      </rPr>
      <t>羊脚碾</t>
    </r>
    <r>
      <rPr>
        <sz val="10.5"/>
        <rFont val="Times New Roman"/>
        <family val="1"/>
      </rPr>
      <t xml:space="preserve">    5</t>
    </r>
    <r>
      <rPr>
        <sz val="10.5"/>
        <rFont val="宋体"/>
        <family val="3"/>
        <charset val="134"/>
      </rPr>
      <t>～</t>
    </r>
    <r>
      <rPr>
        <sz val="10.5"/>
        <rFont val="Times New Roman"/>
        <family val="1"/>
      </rPr>
      <t>7t</t>
    </r>
  </si>
  <si>
    <r>
      <rPr>
        <sz val="10.5"/>
        <rFont val="宋体"/>
        <family val="3"/>
        <charset val="134"/>
      </rPr>
      <t>蛙式打夯机</t>
    </r>
    <r>
      <rPr>
        <sz val="10.5"/>
        <rFont val="Times New Roman"/>
        <family val="1"/>
      </rPr>
      <t xml:space="preserve">    2.8kw</t>
    </r>
  </si>
  <si>
    <t>刨毛机（部颁）</t>
  </si>
  <si>
    <t>缺口耙</t>
  </si>
  <si>
    <t>三铧犂</t>
  </si>
  <si>
    <t>胶轮架子车</t>
  </si>
  <si>
    <t>斗车</t>
  </si>
  <si>
    <r>
      <rPr>
        <sz val="10.5"/>
        <rFont val="宋体"/>
        <family val="3"/>
        <charset val="134"/>
      </rPr>
      <t>混凝土搅拌机</t>
    </r>
    <r>
      <rPr>
        <sz val="10.5"/>
        <rFont val="Times New Roman"/>
        <family val="1"/>
      </rPr>
      <t xml:space="preserve">    0.4m</t>
    </r>
    <r>
      <rPr>
        <vertAlign val="superscript"/>
        <sz val="10.5"/>
        <rFont val="Times New Roman"/>
        <family val="1"/>
      </rPr>
      <t>3</t>
    </r>
  </si>
  <si>
    <r>
      <rPr>
        <sz val="10.5"/>
        <rFont val="宋体"/>
        <family val="3"/>
        <charset val="134"/>
      </rPr>
      <t>混凝土搅拌机</t>
    </r>
    <r>
      <rPr>
        <sz val="10.5"/>
        <rFont val="Times New Roman"/>
        <family val="1"/>
      </rPr>
      <t xml:space="preserve">    0.8m</t>
    </r>
    <r>
      <rPr>
        <vertAlign val="superscript"/>
        <sz val="10.5"/>
        <rFont val="Times New Roman"/>
        <family val="1"/>
      </rPr>
      <t>3</t>
    </r>
  </si>
  <si>
    <r>
      <rPr>
        <sz val="10.5"/>
        <rFont val="宋体"/>
        <family val="3"/>
        <charset val="134"/>
      </rPr>
      <t>振捣器</t>
    </r>
    <r>
      <rPr>
        <sz val="10.5"/>
        <rFont val="Times New Roman"/>
        <family val="1"/>
      </rPr>
      <t xml:space="preserve">    </t>
    </r>
    <r>
      <rPr>
        <sz val="10.5"/>
        <rFont val="宋体"/>
        <family val="3"/>
        <charset val="134"/>
      </rPr>
      <t>插入式</t>
    </r>
    <r>
      <rPr>
        <sz val="10.5"/>
        <rFont val="Times New Roman"/>
        <family val="1"/>
      </rPr>
      <t>1.5kw</t>
    </r>
  </si>
  <si>
    <r>
      <rPr>
        <sz val="10.5"/>
        <rFont val="宋体"/>
        <family val="3"/>
        <charset val="134"/>
      </rPr>
      <t>振捣器</t>
    </r>
    <r>
      <rPr>
        <sz val="10.5"/>
        <rFont val="Times New Roman"/>
        <family val="1"/>
      </rPr>
      <t xml:space="preserve">    </t>
    </r>
    <r>
      <rPr>
        <sz val="10.5"/>
        <rFont val="宋体"/>
        <family val="3"/>
        <charset val="134"/>
      </rPr>
      <t>插入式</t>
    </r>
    <r>
      <rPr>
        <sz val="10.5"/>
        <rFont val="Times New Roman"/>
        <family val="1"/>
      </rPr>
      <t>1.1kw</t>
    </r>
  </si>
  <si>
    <r>
      <rPr>
        <sz val="10.5"/>
        <rFont val="宋体"/>
        <family val="3"/>
        <charset val="134"/>
      </rPr>
      <t>振动器</t>
    </r>
    <r>
      <rPr>
        <sz val="10.5"/>
        <rFont val="Times New Roman"/>
        <family val="1"/>
      </rPr>
      <t xml:space="preserve">    </t>
    </r>
    <r>
      <rPr>
        <sz val="10.5"/>
        <rFont val="宋体"/>
        <family val="3"/>
        <charset val="134"/>
      </rPr>
      <t>平板式</t>
    </r>
    <r>
      <rPr>
        <sz val="10.5"/>
        <rFont val="Times New Roman"/>
        <family val="1"/>
      </rPr>
      <t>2.2kw</t>
    </r>
  </si>
  <si>
    <r>
      <rPr>
        <sz val="10.5"/>
        <rFont val="宋体"/>
        <family val="3"/>
        <charset val="134"/>
      </rPr>
      <t>振动器</t>
    </r>
    <r>
      <rPr>
        <sz val="10.5"/>
        <rFont val="Times New Roman"/>
        <family val="1"/>
      </rPr>
      <t xml:space="preserve">    </t>
    </r>
    <r>
      <rPr>
        <sz val="10.5"/>
        <rFont val="宋体"/>
        <family val="3"/>
        <charset val="134"/>
      </rPr>
      <t>变频式</t>
    </r>
    <r>
      <rPr>
        <sz val="10.5"/>
        <rFont val="Times New Roman"/>
        <family val="1"/>
      </rPr>
      <t>4.5kw</t>
    </r>
  </si>
  <si>
    <r>
      <rPr>
        <sz val="10.5"/>
        <rFont val="宋体"/>
        <family val="3"/>
        <charset val="134"/>
      </rPr>
      <t>混凝土吊罐</t>
    </r>
    <r>
      <rPr>
        <sz val="10.5"/>
        <rFont val="Times New Roman"/>
        <family val="1"/>
      </rPr>
      <t xml:space="preserve">    3m</t>
    </r>
    <r>
      <rPr>
        <vertAlign val="superscript"/>
        <sz val="10.5"/>
        <rFont val="Times New Roman"/>
        <family val="1"/>
      </rPr>
      <t>3</t>
    </r>
  </si>
  <si>
    <r>
      <rPr>
        <sz val="10.5"/>
        <rFont val="宋体"/>
        <family val="3"/>
        <charset val="134"/>
      </rPr>
      <t>混凝土输送泵</t>
    </r>
    <r>
      <rPr>
        <sz val="10.5"/>
        <rFont val="Times New Roman"/>
        <family val="1"/>
      </rPr>
      <t xml:space="preserve">    30m</t>
    </r>
    <r>
      <rPr>
        <vertAlign val="superscript"/>
        <sz val="10.5"/>
        <rFont val="Times New Roman"/>
        <family val="1"/>
      </rPr>
      <t>3</t>
    </r>
    <r>
      <rPr>
        <sz val="10.5"/>
        <rFont val="Times New Roman"/>
        <family val="1"/>
      </rPr>
      <t>/h</t>
    </r>
  </si>
  <si>
    <r>
      <rPr>
        <sz val="10.5"/>
        <rFont val="宋体"/>
        <family val="3"/>
        <charset val="134"/>
      </rPr>
      <t>吊斗</t>
    </r>
    <r>
      <rPr>
        <sz val="10.5"/>
        <rFont val="Times New Roman"/>
        <family val="1"/>
      </rPr>
      <t xml:space="preserve">    0.6m</t>
    </r>
    <r>
      <rPr>
        <vertAlign val="superscript"/>
        <sz val="10.5"/>
        <rFont val="Times New Roman"/>
        <family val="1"/>
      </rPr>
      <t>3</t>
    </r>
  </si>
  <si>
    <t>水枪  20型</t>
  </si>
  <si>
    <t>风水枪</t>
  </si>
  <si>
    <r>
      <rPr>
        <sz val="10.5"/>
        <rFont val="宋体"/>
        <family val="3"/>
        <charset val="134"/>
      </rPr>
      <t>离心水泵</t>
    </r>
    <r>
      <rPr>
        <sz val="10.5"/>
        <rFont val="Times New Roman"/>
        <family val="1"/>
      </rPr>
      <t xml:space="preserve">    </t>
    </r>
    <r>
      <rPr>
        <sz val="10.5"/>
        <rFont val="宋体"/>
        <family val="3"/>
        <charset val="134"/>
      </rPr>
      <t>单级单吸</t>
    </r>
    <r>
      <rPr>
        <sz val="10.5"/>
        <rFont val="Times New Roman"/>
        <family val="1"/>
      </rPr>
      <t>11~17kw</t>
    </r>
  </si>
  <si>
    <r>
      <rPr>
        <sz val="10.5"/>
        <rFont val="宋体"/>
        <family val="3"/>
        <charset val="134"/>
      </rPr>
      <t>离心水泵</t>
    </r>
    <r>
      <rPr>
        <sz val="10.5"/>
        <rFont val="Times New Roman"/>
        <family val="1"/>
      </rPr>
      <t xml:space="preserve">    </t>
    </r>
    <r>
      <rPr>
        <sz val="10.5"/>
        <rFont val="宋体"/>
        <family val="3"/>
        <charset val="134"/>
      </rPr>
      <t>单级双吸</t>
    </r>
    <r>
      <rPr>
        <sz val="10.5"/>
        <rFont val="Times New Roman"/>
        <family val="1"/>
      </rPr>
      <t>20~55kw</t>
    </r>
  </si>
  <si>
    <r>
      <rPr>
        <sz val="10.5"/>
        <rFont val="宋体"/>
        <family val="3"/>
        <charset val="134"/>
      </rPr>
      <t>离心水泵</t>
    </r>
    <r>
      <rPr>
        <sz val="10.5"/>
        <rFont val="Times New Roman"/>
        <family val="1"/>
      </rPr>
      <t xml:space="preserve">    </t>
    </r>
    <r>
      <rPr>
        <sz val="10.5"/>
        <rFont val="宋体"/>
        <family val="3"/>
        <charset val="134"/>
      </rPr>
      <t>多级</t>
    </r>
    <r>
      <rPr>
        <sz val="10.5"/>
        <rFont val="Times New Roman"/>
        <family val="1"/>
      </rPr>
      <t>14kw</t>
    </r>
  </si>
  <si>
    <t>污水泵  4kw</t>
  </si>
  <si>
    <t>灰浆泵  40kw</t>
  </si>
  <si>
    <t>灰渣泵115kw</t>
  </si>
  <si>
    <r>
      <rPr>
        <sz val="10.5"/>
        <rFont val="宋体"/>
        <family val="3"/>
        <charset val="134"/>
      </rPr>
      <t>电焊机</t>
    </r>
    <r>
      <rPr>
        <sz val="10.5"/>
        <rFont val="Times New Roman"/>
        <family val="1"/>
      </rPr>
      <t xml:space="preserve">    </t>
    </r>
    <r>
      <rPr>
        <sz val="10.5"/>
        <rFont val="宋体"/>
        <family val="3"/>
        <charset val="134"/>
      </rPr>
      <t>直流</t>
    </r>
    <r>
      <rPr>
        <sz val="10.5"/>
        <rFont val="Times New Roman"/>
        <family val="1"/>
      </rPr>
      <t>20KVA</t>
    </r>
  </si>
  <si>
    <r>
      <rPr>
        <sz val="10.5"/>
        <rFont val="宋体"/>
        <family val="3"/>
        <charset val="134"/>
      </rPr>
      <t>电焊机</t>
    </r>
    <r>
      <rPr>
        <sz val="10.5"/>
        <rFont val="Times New Roman"/>
        <family val="1"/>
      </rPr>
      <t xml:space="preserve">    </t>
    </r>
    <r>
      <rPr>
        <sz val="10.5"/>
        <rFont val="宋体"/>
        <family val="3"/>
        <charset val="134"/>
      </rPr>
      <t>直流</t>
    </r>
    <r>
      <rPr>
        <sz val="10.5"/>
        <rFont val="Times New Roman"/>
        <family val="1"/>
      </rPr>
      <t>30KVA</t>
    </r>
  </si>
  <si>
    <r>
      <rPr>
        <sz val="10.5"/>
        <rFont val="宋体"/>
        <family val="3"/>
        <charset val="134"/>
      </rPr>
      <t>电焊机</t>
    </r>
    <r>
      <rPr>
        <sz val="10.5"/>
        <rFont val="Times New Roman"/>
        <family val="1"/>
      </rPr>
      <t xml:space="preserve">    </t>
    </r>
    <r>
      <rPr>
        <sz val="10.5"/>
        <rFont val="宋体"/>
        <family val="3"/>
        <charset val="134"/>
      </rPr>
      <t>交流</t>
    </r>
    <r>
      <rPr>
        <sz val="10.5"/>
        <rFont val="Times New Roman"/>
        <family val="1"/>
      </rPr>
      <t>25KVA</t>
    </r>
  </si>
  <si>
    <r>
      <rPr>
        <sz val="10.5"/>
        <rFont val="宋体"/>
        <family val="3"/>
        <charset val="134"/>
      </rPr>
      <t>变频机组</t>
    </r>
    <r>
      <rPr>
        <sz val="10.5"/>
        <rFont val="Times New Roman"/>
        <family val="1"/>
      </rPr>
      <t xml:space="preserve">    8.5KVA</t>
    </r>
  </si>
  <si>
    <r>
      <rPr>
        <sz val="10.5"/>
        <rFont val="宋体"/>
        <family val="3"/>
        <charset val="134"/>
      </rPr>
      <t>载重汽车</t>
    </r>
    <r>
      <rPr>
        <sz val="10.5"/>
        <rFont val="Times New Roman"/>
        <family val="1"/>
      </rPr>
      <t xml:space="preserve">    5t</t>
    </r>
  </si>
  <si>
    <r>
      <rPr>
        <sz val="10.5"/>
        <rFont val="宋体"/>
        <family val="3"/>
        <charset val="134"/>
      </rPr>
      <t>载重汽车</t>
    </r>
    <r>
      <rPr>
        <sz val="10.5"/>
        <rFont val="Times New Roman"/>
        <family val="1"/>
      </rPr>
      <t xml:space="preserve">    10t</t>
    </r>
  </si>
  <si>
    <r>
      <rPr>
        <sz val="10.5"/>
        <rFont val="宋体"/>
        <family val="3"/>
        <charset val="134"/>
      </rPr>
      <t>自卸汽车</t>
    </r>
    <r>
      <rPr>
        <sz val="10.5"/>
        <rFont val="Times New Roman"/>
        <family val="1"/>
      </rPr>
      <t xml:space="preserve">    3.5t</t>
    </r>
  </si>
  <si>
    <r>
      <rPr>
        <sz val="10.5"/>
        <rFont val="宋体"/>
        <family val="3"/>
        <charset val="134"/>
      </rPr>
      <t>自卸汽车</t>
    </r>
    <r>
      <rPr>
        <sz val="10.5"/>
        <rFont val="Times New Roman"/>
        <family val="1"/>
      </rPr>
      <t xml:space="preserve">    5t</t>
    </r>
  </si>
  <si>
    <r>
      <rPr>
        <sz val="10.5"/>
        <rFont val="宋体"/>
        <family val="3"/>
        <charset val="134"/>
      </rPr>
      <t>自卸汽车</t>
    </r>
    <r>
      <rPr>
        <sz val="10.5"/>
        <rFont val="Times New Roman"/>
        <family val="1"/>
      </rPr>
      <t xml:space="preserve">    8t</t>
    </r>
  </si>
  <si>
    <r>
      <rPr>
        <sz val="10.5"/>
        <rFont val="宋体"/>
        <family val="3"/>
        <charset val="134"/>
      </rPr>
      <t>自卸汽车</t>
    </r>
    <r>
      <rPr>
        <sz val="10.5"/>
        <rFont val="Times New Roman"/>
        <family val="1"/>
      </rPr>
      <t xml:space="preserve">    10t</t>
    </r>
  </si>
  <si>
    <t>油压滑升设备</t>
  </si>
  <si>
    <t>卷扬机双筒慢速  5t</t>
  </si>
  <si>
    <r>
      <rPr>
        <sz val="10.5"/>
        <rFont val="宋体"/>
        <family val="3"/>
        <charset val="134"/>
      </rPr>
      <t>卷扬机</t>
    </r>
    <r>
      <rPr>
        <sz val="10.5"/>
        <rFont val="Times New Roman"/>
        <family val="1"/>
      </rPr>
      <t xml:space="preserve">    3t</t>
    </r>
  </si>
  <si>
    <r>
      <rPr>
        <sz val="10.5"/>
        <rFont val="宋体"/>
        <family val="3"/>
        <charset val="134"/>
      </rPr>
      <t>卷扬机</t>
    </r>
    <r>
      <rPr>
        <sz val="10.5"/>
        <rFont val="Times New Roman"/>
        <family val="1"/>
      </rPr>
      <t xml:space="preserve">    5t</t>
    </r>
  </si>
  <si>
    <r>
      <rPr>
        <sz val="10.5"/>
        <rFont val="宋体"/>
        <family val="3"/>
        <charset val="134"/>
      </rPr>
      <t>电动葫芦</t>
    </r>
    <r>
      <rPr>
        <sz val="10.5"/>
        <rFont val="Times New Roman"/>
        <family val="1"/>
      </rPr>
      <t xml:space="preserve">    3t</t>
    </r>
  </si>
  <si>
    <r>
      <rPr>
        <sz val="10.5"/>
        <rFont val="宋体"/>
        <family val="3"/>
        <charset val="134"/>
      </rPr>
      <t>门座式起重机</t>
    </r>
    <r>
      <rPr>
        <sz val="10.5"/>
        <rFont val="Times New Roman"/>
        <family val="1"/>
      </rPr>
      <t xml:space="preserve">    10</t>
    </r>
    <r>
      <rPr>
        <sz val="10.5"/>
        <rFont val="宋体"/>
        <family val="3"/>
        <charset val="134"/>
      </rPr>
      <t>／</t>
    </r>
    <r>
      <rPr>
        <sz val="10.5"/>
        <rFont val="Times New Roman"/>
        <family val="1"/>
      </rPr>
      <t>30t</t>
    </r>
  </si>
  <si>
    <r>
      <rPr>
        <sz val="10.5"/>
        <rFont val="宋体"/>
        <family val="3"/>
        <charset val="134"/>
      </rPr>
      <t>塔式起重机</t>
    </r>
    <r>
      <rPr>
        <sz val="10.5"/>
        <rFont val="Times New Roman"/>
        <family val="1"/>
      </rPr>
      <t xml:space="preserve">    6t</t>
    </r>
  </si>
  <si>
    <r>
      <rPr>
        <sz val="10.5"/>
        <rFont val="宋体"/>
        <family val="3"/>
        <charset val="134"/>
      </rPr>
      <t>塔式起重机</t>
    </r>
    <r>
      <rPr>
        <sz val="10.5"/>
        <rFont val="Times New Roman"/>
        <family val="1"/>
      </rPr>
      <t xml:space="preserve">    10t</t>
    </r>
  </si>
  <si>
    <r>
      <rPr>
        <sz val="10.5"/>
        <rFont val="宋体"/>
        <family val="3"/>
        <charset val="134"/>
      </rPr>
      <t>塔式起重机</t>
    </r>
    <r>
      <rPr>
        <sz val="10.5"/>
        <rFont val="Times New Roman"/>
        <family val="1"/>
      </rPr>
      <t xml:space="preserve">    25t</t>
    </r>
  </si>
  <si>
    <r>
      <rPr>
        <sz val="10.5"/>
        <rFont val="宋体"/>
        <family val="3"/>
        <charset val="134"/>
      </rPr>
      <t>汽车起重机</t>
    </r>
    <r>
      <rPr>
        <sz val="10.5"/>
        <rFont val="Times New Roman"/>
        <family val="1"/>
      </rPr>
      <t xml:space="preserve">    5t..</t>
    </r>
  </si>
  <si>
    <r>
      <rPr>
        <sz val="10.5"/>
        <rFont val="宋体"/>
        <family val="3"/>
        <charset val="134"/>
      </rPr>
      <t>汽车起重机</t>
    </r>
    <r>
      <rPr>
        <sz val="10.5"/>
        <rFont val="Times New Roman"/>
        <family val="1"/>
      </rPr>
      <t xml:space="preserve">    16t</t>
    </r>
  </si>
  <si>
    <r>
      <rPr>
        <sz val="10.5"/>
        <rFont val="宋体"/>
        <family val="3"/>
        <charset val="134"/>
      </rPr>
      <t>汽车起重机</t>
    </r>
    <r>
      <rPr>
        <sz val="10.5"/>
        <rFont val="Times New Roman"/>
        <family val="1"/>
      </rPr>
      <t xml:space="preserve">    20t</t>
    </r>
  </si>
  <si>
    <r>
      <rPr>
        <sz val="10.5"/>
        <rFont val="宋体"/>
        <family val="3"/>
        <charset val="134"/>
      </rPr>
      <t>汽车起重机</t>
    </r>
    <r>
      <rPr>
        <sz val="10.5"/>
        <rFont val="Times New Roman"/>
        <family val="1"/>
      </rPr>
      <t xml:space="preserve">    25t</t>
    </r>
  </si>
  <si>
    <r>
      <rPr>
        <sz val="10.5"/>
        <rFont val="宋体"/>
        <family val="3"/>
        <charset val="134"/>
      </rPr>
      <t>履带起重机</t>
    </r>
    <r>
      <rPr>
        <sz val="10.5"/>
        <rFont val="Times New Roman"/>
        <family val="1"/>
      </rPr>
      <t xml:space="preserve">    10t</t>
    </r>
  </si>
  <si>
    <r>
      <rPr>
        <sz val="10.5"/>
        <rFont val="宋体"/>
        <family val="3"/>
        <charset val="134"/>
      </rPr>
      <t>履带起重机</t>
    </r>
    <r>
      <rPr>
        <sz val="10.5"/>
        <rFont val="Times New Roman"/>
        <family val="1"/>
      </rPr>
      <t xml:space="preserve">    15t</t>
    </r>
  </si>
  <si>
    <t>链式起重机  5t</t>
  </si>
  <si>
    <t>简易龙门式起重机  50t</t>
  </si>
  <si>
    <r>
      <rPr>
        <sz val="10.5"/>
        <rFont val="宋体"/>
        <family val="3"/>
        <charset val="134"/>
      </rPr>
      <t>桅杆式起重机</t>
    </r>
    <r>
      <rPr>
        <sz val="10.5"/>
        <rFont val="Times New Roman"/>
        <family val="1"/>
      </rPr>
      <t xml:space="preserve">    40t</t>
    </r>
  </si>
  <si>
    <t>简易缆索式起重机   40t</t>
  </si>
  <si>
    <t>桥式起重机  20/5t</t>
  </si>
  <si>
    <r>
      <rPr>
        <sz val="10.5"/>
        <rFont val="宋体"/>
        <family val="3"/>
        <charset val="134"/>
      </rPr>
      <t>钢筋弯曲机</t>
    </r>
    <r>
      <rPr>
        <sz val="10.5"/>
        <rFont val="Times New Roman"/>
        <family val="1"/>
      </rPr>
      <t xml:space="preserve">    </t>
    </r>
    <r>
      <rPr>
        <sz val="10.5"/>
        <rFont val="宋体"/>
        <family val="3"/>
        <charset val="134"/>
      </rPr>
      <t>φ</t>
    </r>
    <r>
      <rPr>
        <sz val="10.5"/>
        <rFont val="Times New Roman"/>
        <family val="1"/>
      </rPr>
      <t>6~40</t>
    </r>
  </si>
  <si>
    <r>
      <rPr>
        <sz val="10.5"/>
        <rFont val="宋体"/>
        <family val="3"/>
        <charset val="134"/>
      </rPr>
      <t>对焊机</t>
    </r>
    <r>
      <rPr>
        <sz val="10.5"/>
        <rFont val="Times New Roman"/>
        <family val="1"/>
      </rPr>
      <t xml:space="preserve">    </t>
    </r>
    <r>
      <rPr>
        <sz val="10.5"/>
        <rFont val="宋体"/>
        <family val="3"/>
        <charset val="134"/>
      </rPr>
      <t>电弧</t>
    </r>
    <r>
      <rPr>
        <sz val="10.5"/>
        <rFont val="Times New Roman"/>
        <family val="1"/>
      </rPr>
      <t>150</t>
    </r>
    <r>
      <rPr>
        <sz val="10.5"/>
        <rFont val="宋体"/>
        <family val="3"/>
        <charset val="134"/>
      </rPr>
      <t>型</t>
    </r>
  </si>
  <si>
    <r>
      <rPr>
        <sz val="10.5"/>
        <rFont val="宋体"/>
        <family val="3"/>
        <charset val="134"/>
      </rPr>
      <t>钢筋调直机</t>
    </r>
    <r>
      <rPr>
        <sz val="10.5"/>
        <rFont val="Times New Roman"/>
        <family val="1"/>
      </rPr>
      <t xml:space="preserve">    14kw</t>
    </r>
  </si>
  <si>
    <r>
      <rPr>
        <sz val="10.5"/>
        <rFont val="宋体"/>
        <family val="3"/>
        <charset val="134"/>
      </rPr>
      <t>钢筋切断机</t>
    </r>
    <r>
      <rPr>
        <sz val="10.5"/>
        <rFont val="Times New Roman"/>
        <family val="1"/>
      </rPr>
      <t xml:space="preserve">    20kw</t>
    </r>
  </si>
  <si>
    <r>
      <rPr>
        <sz val="10.5"/>
        <rFont val="宋体"/>
        <family val="3"/>
        <charset val="134"/>
      </rPr>
      <t>型钢剪断机</t>
    </r>
    <r>
      <rPr>
        <sz val="10.5"/>
        <rFont val="Times New Roman"/>
        <family val="1"/>
      </rPr>
      <t xml:space="preserve">    13kw</t>
    </r>
  </si>
  <si>
    <t>型材弯曲机</t>
  </si>
  <si>
    <t>空压机</t>
  </si>
  <si>
    <t>圆盘踞</t>
  </si>
  <si>
    <t>双面刨床</t>
  </si>
  <si>
    <t>探伤机</t>
  </si>
  <si>
    <t>车床</t>
  </si>
  <si>
    <t>摇臂钻床</t>
  </si>
  <si>
    <t>刨床</t>
  </si>
  <si>
    <r>
      <rPr>
        <sz val="10.5"/>
        <rFont val="宋体"/>
        <family val="3"/>
        <charset val="134"/>
      </rPr>
      <t>风钻手持式</t>
    </r>
    <r>
      <rPr>
        <sz val="10.5"/>
        <rFont val="Times New Roman"/>
        <family val="1"/>
      </rPr>
      <t xml:space="preserve"> </t>
    </r>
  </si>
  <si>
    <r>
      <rPr>
        <sz val="10.5"/>
        <rFont val="宋体"/>
        <family val="3"/>
        <charset val="134"/>
      </rPr>
      <t>风钻气腿式</t>
    </r>
    <r>
      <rPr>
        <sz val="10.5"/>
        <rFont val="Times New Roman"/>
        <family val="1"/>
      </rPr>
      <t xml:space="preserve"> </t>
    </r>
  </si>
  <si>
    <r>
      <rPr>
        <sz val="10.5"/>
        <rFont val="宋体"/>
        <family val="3"/>
        <charset val="134"/>
      </rPr>
      <t>地质钻机</t>
    </r>
    <r>
      <rPr>
        <sz val="10.5"/>
        <rFont val="Times New Roman"/>
        <family val="1"/>
      </rPr>
      <t xml:space="preserve">    150</t>
    </r>
    <r>
      <rPr>
        <sz val="10.5"/>
        <rFont val="宋体"/>
        <family val="3"/>
        <charset val="134"/>
      </rPr>
      <t>型</t>
    </r>
  </si>
  <si>
    <t>灌浆泵中压泥浆</t>
  </si>
  <si>
    <t>灌浆泵中压砂浆</t>
  </si>
  <si>
    <t>泥浆搅拌机</t>
  </si>
  <si>
    <t>砂浆搅拌机</t>
  </si>
  <si>
    <t>轴流通风机  14kw</t>
  </si>
  <si>
    <t>轴流通风机  37kw</t>
  </si>
  <si>
    <t>风动装岩机</t>
  </si>
  <si>
    <t>电瓶机车</t>
  </si>
  <si>
    <t>锯槽铺塑机  yk-09型</t>
  </si>
  <si>
    <t>冲击钻机  CZ-22</t>
  </si>
  <si>
    <t>振冲器  ZCQ-30</t>
  </si>
  <si>
    <t>振动碾  13～14t</t>
  </si>
  <si>
    <t>内燃压路机  12-15t</t>
  </si>
  <si>
    <t>强夯机  200tm</t>
  </si>
  <si>
    <t>材料预算单价分析表</t>
  </si>
  <si>
    <t>材料名称</t>
  </si>
  <si>
    <t>产地或提
货地点</t>
  </si>
  <si>
    <t>计量单位</t>
  </si>
  <si>
    <t xml:space="preserve"> 产地或出
 库价(元)</t>
  </si>
  <si>
    <t>运输工具</t>
  </si>
  <si>
    <t xml:space="preserve"> 运    距
(公里)</t>
  </si>
  <si>
    <t>运输单价
(元/公里)</t>
  </si>
  <si>
    <t>运    费
（元）</t>
  </si>
  <si>
    <t>装卸费
（元）</t>
  </si>
  <si>
    <t>采管费
（元）</t>
  </si>
  <si>
    <t>预算价格（元）</t>
  </si>
  <si>
    <t>进单价材价（元）</t>
  </si>
  <si>
    <t>高抗水泥（高抗）</t>
  </si>
  <si>
    <t>青铜峡</t>
  </si>
  <si>
    <t>汽车</t>
  </si>
  <si>
    <t>水泥（42.5）</t>
  </si>
  <si>
    <t>宁新工业园区</t>
  </si>
  <si>
    <t>红寺堡区</t>
  </si>
  <si>
    <t>萌城</t>
  </si>
  <si>
    <t>木材</t>
  </si>
  <si>
    <t>砂子</t>
  </si>
  <si>
    <t>吴家河湾</t>
  </si>
  <si>
    <t>碎石</t>
  </si>
  <si>
    <t>姚家井</t>
  </si>
  <si>
    <t>块石</t>
  </si>
  <si>
    <t>太阳山</t>
  </si>
  <si>
    <t>砂砾石</t>
  </si>
  <si>
    <t>当地</t>
  </si>
  <si>
    <t>汽油</t>
  </si>
  <si>
    <t>柴油</t>
  </si>
  <si>
    <t>施工用水</t>
  </si>
  <si>
    <t>施工用电</t>
  </si>
  <si>
    <t>千瓦时</t>
  </si>
  <si>
    <t>工程勘察收费计算表</t>
  </si>
  <si>
    <t>工程附加调整系数</t>
  </si>
  <si>
    <t>勘察专业调整系数</t>
  </si>
  <si>
    <t>序号</t>
  </si>
  <si>
    <t>名  称</t>
  </si>
  <si>
    <t>调整系数/基价（渠管道）</t>
  </si>
  <si>
    <t>调整系数/基价（建筑物）</t>
  </si>
  <si>
    <t>项目</t>
  </si>
  <si>
    <t>工作内容</t>
  </si>
  <si>
    <t>标准</t>
  </si>
  <si>
    <t>取值</t>
  </si>
  <si>
    <t>工程类别</t>
  </si>
  <si>
    <t>专业调整系数</t>
  </si>
  <si>
    <t>工程勘察费</t>
  </si>
  <si>
    <t>坝址比较</t>
  </si>
  <si>
    <t>一个或一条</t>
  </si>
  <si>
    <t>0.7-1</t>
  </si>
  <si>
    <t>水电</t>
  </si>
  <si>
    <t>工程勘察收费基准价</t>
  </si>
  <si>
    <t>三个或三条</t>
  </si>
  <si>
    <t>1-1.3</t>
  </si>
  <si>
    <t>水库</t>
  </si>
  <si>
    <t>工程勘察收费基价(内插法)</t>
  </si>
  <si>
    <t>引水线路比较</t>
  </si>
  <si>
    <t>两条以上（含两条）</t>
  </si>
  <si>
    <t>1-1.2</t>
  </si>
  <si>
    <t>潮汐发电</t>
  </si>
  <si>
    <t>计费额(万元)</t>
  </si>
  <si>
    <t>岩溶地区</t>
  </si>
  <si>
    <t>岩溶地区勘察</t>
  </si>
  <si>
    <t>水土保持</t>
  </si>
  <si>
    <t>0.5～0.55</t>
  </si>
  <si>
    <t>计费额标准(万元)</t>
  </si>
  <si>
    <t>河床覆盖层厚度</t>
  </si>
  <si>
    <t>&gt;60m</t>
  </si>
  <si>
    <t>1-1.1</t>
  </si>
  <si>
    <t>引调水和河道治理</t>
  </si>
  <si>
    <t>收费基价标准(万元)</t>
  </si>
  <si>
    <t>地震设防烈度</t>
  </si>
  <si>
    <t>≥8度</t>
  </si>
  <si>
    <t>1.1-1.2</t>
  </si>
  <si>
    <t>灌区田间</t>
  </si>
  <si>
    <t>0.3～0.4</t>
  </si>
  <si>
    <t>高坝勘察</t>
  </si>
  <si>
    <t>&gt;250m</t>
  </si>
  <si>
    <t>城市防护、河口整治</t>
  </si>
  <si>
    <t>0.84～0.92</t>
  </si>
  <si>
    <t>工程复杂程度调整系数</t>
  </si>
  <si>
    <t>深埋长隧洞</t>
  </si>
  <si>
    <t>埋深&gt;1000m，长度&gt;8km</t>
  </si>
  <si>
    <t>围垦</t>
  </si>
  <si>
    <t>0.76～0.88</t>
  </si>
  <si>
    <t>附加调整系数</t>
  </si>
  <si>
    <t>线路勘察</t>
  </si>
  <si>
    <t>两条以上</t>
  </si>
  <si>
    <t>1.05-1.5</t>
  </si>
  <si>
    <t>浮动幅度值(±20%)</t>
  </si>
  <si>
    <t>各阶段工程勘察费</t>
  </si>
  <si>
    <t>系数</t>
  </si>
  <si>
    <t>金额</t>
  </si>
  <si>
    <t>初步设计</t>
  </si>
  <si>
    <t>工程复杂程度赋分值表</t>
  </si>
  <si>
    <t>招标设计</t>
  </si>
  <si>
    <t>分值</t>
  </si>
  <si>
    <t>施工图设计</t>
  </si>
  <si>
    <t>坝高</t>
  </si>
  <si>
    <t>地质构造</t>
  </si>
  <si>
    <t>作业准备费</t>
  </si>
  <si>
    <t>工程勘察前期费</t>
  </si>
  <si>
    <t>坝基或厂基覆盖层厚度</t>
  </si>
  <si>
    <t>建筑物</t>
  </si>
  <si>
    <t>水文地质</t>
  </si>
  <si>
    <t>工程类型调整系数</t>
  </si>
  <si>
    <t>岩石级别</t>
  </si>
  <si>
    <t>高程附加调整系数</t>
  </si>
  <si>
    <t>库岸稳定</t>
  </si>
  <si>
    <t>浮动幅度值</t>
  </si>
  <si>
    <t>地形地貌</t>
  </si>
  <si>
    <t>项目建议书</t>
  </si>
  <si>
    <t>库区渗漏</t>
  </si>
  <si>
    <t>可行性研究</t>
  </si>
  <si>
    <t>地层岩性</t>
  </si>
  <si>
    <t>水文勘测</t>
  </si>
  <si>
    <t>工程勘察收费</t>
  </si>
  <si>
    <t>工程勘察收费合计</t>
  </si>
  <si>
    <r>
      <rPr>
        <sz val="9"/>
        <color indexed="8"/>
        <rFont val="仿宋_GB2312"/>
        <family val="3"/>
        <charset val="134"/>
      </rPr>
      <t>工程勘察收费=工程勘察收费基准价×（1±浮动幅度值）
工程勘察收费基准价=基本勘察收费+其他勘察收费
基本勘察收费=工程勘察</t>
    </r>
    <r>
      <rPr>
        <sz val="9"/>
        <rFont val="仿宋_GB2312"/>
        <family val="3"/>
        <charset val="134"/>
      </rPr>
      <t>收费基价</t>
    </r>
    <r>
      <rPr>
        <sz val="9"/>
        <color indexed="8"/>
        <rFont val="仿宋_GB2312"/>
        <family val="3"/>
        <charset val="134"/>
      </rPr>
      <t>×专业调整系数×工程复杂程度调整系数×附加调整系数</t>
    </r>
  </si>
  <si>
    <t>赋分值&lt;-3 取0.85，-3~10 取1.0 ，&gt;10取1.15</t>
  </si>
  <si>
    <t>工程设计收费计算表</t>
  </si>
  <si>
    <t>水库工程设计取费复杂程度赋分值表</t>
  </si>
  <si>
    <t>赋分值</t>
  </si>
  <si>
    <t>枢纽布置          方案比较</t>
  </si>
  <si>
    <t>工程设计费</t>
  </si>
  <si>
    <t>工程设计收费基准价</t>
  </si>
  <si>
    <t>工程设计收费基价</t>
  </si>
  <si>
    <t>其他水利工程设计取费复杂程度表</t>
  </si>
  <si>
    <t>Ⅰ级</t>
  </si>
  <si>
    <t>丘陵、山区、沙漠地区的建筑物投资之和与建设项目中所有建筑物投资之和的比例&lt;30%的引调水建筑物工程</t>
  </si>
  <si>
    <t>综合利用</t>
  </si>
  <si>
    <t>丘陵、山区、沙漠地区渠道管线长度之和与建设项目中所有渠道管线长度之和的比例&lt;30%的引调水渠道管线工程</t>
  </si>
  <si>
    <t>提防等级Ⅴ级的河道治理建（构）筑物及河道堤防工程</t>
  </si>
  <si>
    <t>灌区田间工程</t>
  </si>
  <si>
    <t>水土保持工程</t>
  </si>
  <si>
    <t>Ⅱ级</t>
  </si>
  <si>
    <t>丘陵、山区、沙漠地区的建筑物投资之和与建设项目中所有建筑物投资之和的比例在30%-60%的引调水建筑物工程</t>
  </si>
  <si>
    <t>环保</t>
  </si>
  <si>
    <t>丘陵、山区、沙漠地区渠道管线长度之和与建设项目中所有渠道管线长度之和的比例在30%-60%的引调水渠道管线工程</t>
  </si>
  <si>
    <t>提防等级Ⅲ、Ⅳ级的河道治理建（构）筑物及河道堤防工程</t>
  </si>
  <si>
    <t>Ⅲ级</t>
  </si>
  <si>
    <t>丘陵、山区、沙漠地区的建筑物投资之和与建设项目中所有建筑物投资之和的比例&gt;60%的引调水建筑物工程</t>
  </si>
  <si>
    <t>泥沙</t>
  </si>
  <si>
    <t>丘陵、山区、沙漠地区渠道管线长度之和与建设项目中所有渠道管线长度之和的比例&gt;60%的引调水渠道管线工程</t>
  </si>
  <si>
    <t>工程设计前期费</t>
  </si>
  <si>
    <t>提防等级Ⅰ、Ⅱ级的河道治理建（构）筑物及河道堤防工程</t>
  </si>
  <si>
    <t>冰凌</t>
  </si>
  <si>
    <t>护岸、防洪堤、围堰、人工岛、围垦工程，城镇防洪、河口整治工程</t>
  </si>
  <si>
    <t>主坝坝高</t>
  </si>
  <si>
    <t>工程附加调整系数表</t>
  </si>
  <si>
    <t xml:space="preserve">               引调水渠道或管线、河道堤防工程附加调整系数为0.85；灌区田间工程附加调整系数为0.25；水土保持工程附加调整系数为0.7；河道治理及引调水工程建筑物、构筑物工程附加调整系数为1.3.</t>
  </si>
  <si>
    <t>地震设防</t>
  </si>
  <si>
    <t>工程设计收费</t>
  </si>
  <si>
    <t>基础处理</t>
  </si>
  <si>
    <t>工程设计收费合计</t>
  </si>
  <si>
    <t>工程设计收费=工程设计收费基准价×（1±浮动幅度值）
工程设计收费基准价=基本设计收费+其他设计收费
基本设计收费=工程设计收费基价×专业调整系数×工程复杂程度调整系数×附加调整系数</t>
  </si>
  <si>
    <t>下泄流量</t>
  </si>
  <si>
    <t>计费额</t>
  </si>
  <si>
    <t>收费基价</t>
  </si>
  <si>
    <t>地理位置</t>
  </si>
  <si>
    <t>一般（一级）0.85 较复杂（二级）1.0 复杂（三级）1.15</t>
  </si>
  <si>
    <t>设计专业调整系数</t>
  </si>
  <si>
    <t>水电、水库</t>
  </si>
  <si>
    <t>其他水利工程</t>
  </si>
  <si>
    <t>序        号</t>
  </si>
  <si>
    <t>机械名称</t>
  </si>
  <si>
    <t>单斗挖掘机液压</t>
  </si>
  <si>
    <t>装载机</t>
  </si>
  <si>
    <t>推土机</t>
  </si>
  <si>
    <t>拖拉机</t>
  </si>
  <si>
    <r>
      <rPr>
        <sz val="10"/>
        <rFont val="宋体"/>
        <family val="3"/>
        <charset val="134"/>
      </rPr>
      <t>拖拉机</t>
    </r>
    <r>
      <rPr>
        <sz val="10"/>
        <rFont val="Times New Roman"/>
        <family val="1"/>
      </rPr>
      <t xml:space="preserve">        (</t>
    </r>
    <r>
      <rPr>
        <sz val="10"/>
        <rFont val="宋体"/>
        <family val="3"/>
        <charset val="134"/>
      </rPr>
      <t>手扶式</t>
    </r>
    <r>
      <rPr>
        <sz val="10"/>
        <rFont val="Times New Roman"/>
        <family val="1"/>
      </rPr>
      <t>)</t>
    </r>
  </si>
  <si>
    <t>羊脚碾</t>
  </si>
  <si>
    <r>
      <rPr>
        <sz val="10"/>
        <rFont val="宋体"/>
        <family val="3"/>
        <charset val="134"/>
      </rPr>
      <t>蛙</t>
    </r>
    <r>
      <rPr>
        <sz val="10"/>
        <rFont val="宋体"/>
        <family val="3"/>
        <charset val="134"/>
      </rPr>
      <t>式</t>
    </r>
    <r>
      <rPr>
        <sz val="10"/>
        <rFont val="宋体"/>
        <family val="3"/>
        <charset val="134"/>
      </rPr>
      <t>夯实机</t>
    </r>
  </si>
  <si>
    <r>
      <rPr>
        <sz val="10"/>
        <rFont val="宋体"/>
        <family val="3"/>
        <charset val="134"/>
      </rPr>
      <t>胶</t>
    </r>
    <r>
      <rPr>
        <sz val="10"/>
        <rFont val="宋体"/>
        <family val="3"/>
        <charset val="134"/>
      </rPr>
      <t>轮</t>
    </r>
    <r>
      <rPr>
        <sz val="10"/>
        <rFont val="宋体"/>
        <family val="3"/>
        <charset val="134"/>
      </rPr>
      <t>架子车</t>
    </r>
  </si>
  <si>
    <t>刨毛机</t>
  </si>
  <si>
    <r>
      <rPr>
        <sz val="10"/>
        <rFont val="宋体"/>
        <family val="3"/>
        <charset val="134"/>
      </rPr>
      <t>混凝土</t>
    </r>
    <r>
      <rPr>
        <sz val="10"/>
        <rFont val="Times New Roman"/>
        <family val="1"/>
      </rPr>
      <t xml:space="preserve">       </t>
    </r>
    <r>
      <rPr>
        <sz val="10"/>
        <rFont val="宋体"/>
        <family val="3"/>
        <charset val="134"/>
      </rPr>
      <t>搅拌机</t>
    </r>
  </si>
  <si>
    <r>
      <rPr>
        <sz val="10"/>
        <rFont val="宋体"/>
        <family val="3"/>
        <charset val="134"/>
      </rPr>
      <t>振捣器</t>
    </r>
    <r>
      <rPr>
        <sz val="10"/>
        <rFont val="Times New Roman"/>
        <family val="1"/>
      </rPr>
      <t xml:space="preserve">         </t>
    </r>
    <r>
      <rPr>
        <sz val="10"/>
        <rFont val="宋体"/>
        <family val="3"/>
        <charset val="134"/>
      </rPr>
      <t>插入式</t>
    </r>
  </si>
  <si>
    <r>
      <rPr>
        <sz val="10"/>
        <rFont val="宋体"/>
        <family val="3"/>
        <charset val="134"/>
      </rPr>
      <t>振捣器</t>
    </r>
    <r>
      <rPr>
        <sz val="10"/>
        <rFont val="Times New Roman"/>
        <family val="1"/>
      </rPr>
      <t xml:space="preserve">         </t>
    </r>
    <r>
      <rPr>
        <sz val="10"/>
        <rFont val="宋体"/>
        <family val="3"/>
        <charset val="134"/>
      </rPr>
      <t>平板式</t>
    </r>
  </si>
  <si>
    <r>
      <rPr>
        <sz val="10"/>
        <rFont val="宋体"/>
        <family val="3"/>
        <charset val="134"/>
      </rPr>
      <t>振捣器</t>
    </r>
    <r>
      <rPr>
        <sz val="10"/>
        <rFont val="Times New Roman"/>
        <family val="1"/>
      </rPr>
      <t xml:space="preserve">           </t>
    </r>
    <r>
      <rPr>
        <sz val="10"/>
        <rFont val="宋体"/>
        <family val="3"/>
        <charset val="134"/>
      </rPr>
      <t>变频式</t>
    </r>
  </si>
  <si>
    <r>
      <rPr>
        <sz val="10"/>
        <rFont val="宋体"/>
        <family val="3"/>
        <charset val="134"/>
      </rPr>
      <t>混凝土</t>
    </r>
    <r>
      <rPr>
        <sz val="10"/>
        <rFont val="宋体"/>
        <family val="3"/>
        <charset val="134"/>
      </rPr>
      <t>吊</t>
    </r>
    <r>
      <rPr>
        <sz val="10"/>
        <rFont val="宋体"/>
        <family val="3"/>
        <charset val="134"/>
      </rPr>
      <t>罐</t>
    </r>
  </si>
  <si>
    <r>
      <rPr>
        <sz val="10"/>
        <rFont val="宋体"/>
        <family val="3"/>
        <charset val="134"/>
      </rPr>
      <t>混凝土</t>
    </r>
    <r>
      <rPr>
        <sz val="10"/>
        <rFont val="Times New Roman"/>
        <family val="1"/>
      </rPr>
      <t xml:space="preserve">       </t>
    </r>
    <r>
      <rPr>
        <sz val="10"/>
        <rFont val="宋体"/>
        <family val="3"/>
        <charset val="134"/>
      </rPr>
      <t>输送泵</t>
    </r>
  </si>
  <si>
    <t>吊斗</t>
  </si>
  <si>
    <t>离心水泵单级单吸</t>
  </si>
  <si>
    <t>离心水泵单级双吸</t>
  </si>
  <si>
    <t>离心水泵多级</t>
  </si>
  <si>
    <t>污水泵</t>
  </si>
  <si>
    <t>灰浆泵</t>
  </si>
  <si>
    <r>
      <rPr>
        <sz val="10"/>
        <rFont val="宋体"/>
        <family val="3"/>
        <charset val="134"/>
      </rPr>
      <t>电焊机</t>
    </r>
    <r>
      <rPr>
        <sz val="10"/>
        <rFont val="宋体"/>
        <family val="3"/>
        <charset val="134"/>
      </rPr>
      <t>直</t>
    </r>
    <r>
      <rPr>
        <sz val="10"/>
        <rFont val="宋体"/>
        <family val="3"/>
        <charset val="134"/>
      </rPr>
      <t>流</t>
    </r>
  </si>
  <si>
    <r>
      <rPr>
        <sz val="10"/>
        <rFont val="宋体"/>
        <family val="3"/>
        <charset val="134"/>
      </rPr>
      <t>电焊机</t>
    </r>
    <r>
      <rPr>
        <sz val="10"/>
        <rFont val="宋体"/>
        <family val="3"/>
        <charset val="134"/>
      </rPr>
      <t>交</t>
    </r>
    <r>
      <rPr>
        <sz val="10"/>
        <rFont val="宋体"/>
        <family val="3"/>
        <charset val="134"/>
      </rPr>
      <t>流</t>
    </r>
  </si>
  <si>
    <t>变频机组</t>
  </si>
  <si>
    <t>载重汽车</t>
  </si>
  <si>
    <t>自卸汽车</t>
  </si>
  <si>
    <t>卷扬机双筒慢速</t>
  </si>
  <si>
    <t>卷扬机</t>
  </si>
  <si>
    <t>电动葫芦</t>
  </si>
  <si>
    <r>
      <rPr>
        <sz val="10"/>
        <rFont val="宋体"/>
        <family val="3"/>
        <charset val="134"/>
      </rPr>
      <t>门座式</t>
    </r>
    <r>
      <rPr>
        <sz val="10"/>
        <rFont val="Times New Roman"/>
        <family val="1"/>
      </rPr>
      <t xml:space="preserve">          </t>
    </r>
    <r>
      <rPr>
        <sz val="10"/>
        <rFont val="宋体"/>
        <family val="3"/>
        <charset val="134"/>
      </rPr>
      <t>起重机</t>
    </r>
  </si>
  <si>
    <r>
      <rPr>
        <sz val="10"/>
        <rFont val="宋体"/>
        <family val="3"/>
        <charset val="134"/>
      </rPr>
      <t>塔</t>
    </r>
    <r>
      <rPr>
        <sz val="10"/>
        <rFont val="宋体"/>
        <family val="3"/>
        <charset val="134"/>
      </rPr>
      <t>式</t>
    </r>
    <r>
      <rPr>
        <sz val="10"/>
        <rFont val="宋体"/>
        <family val="3"/>
        <charset val="134"/>
      </rPr>
      <t>起重机</t>
    </r>
  </si>
  <si>
    <r>
      <rPr>
        <sz val="10"/>
        <rFont val="宋体"/>
        <family val="3"/>
        <charset val="134"/>
      </rPr>
      <t>汽</t>
    </r>
    <r>
      <rPr>
        <sz val="10"/>
        <rFont val="宋体"/>
        <family val="3"/>
        <charset val="134"/>
      </rPr>
      <t>车</t>
    </r>
    <r>
      <rPr>
        <sz val="10"/>
        <rFont val="宋体"/>
        <family val="3"/>
        <charset val="134"/>
      </rPr>
      <t>起重机</t>
    </r>
  </si>
  <si>
    <r>
      <rPr>
        <sz val="10"/>
        <rFont val="宋体"/>
        <family val="3"/>
        <charset val="134"/>
      </rPr>
      <t>履</t>
    </r>
    <r>
      <rPr>
        <sz val="10"/>
        <rFont val="宋体"/>
        <family val="3"/>
        <charset val="134"/>
      </rPr>
      <t>带</t>
    </r>
    <r>
      <rPr>
        <sz val="10"/>
        <rFont val="宋体"/>
        <family val="3"/>
        <charset val="134"/>
      </rPr>
      <t>起重机</t>
    </r>
  </si>
  <si>
    <t>简易龙门式起重机</t>
  </si>
  <si>
    <t>桅杆式起重机</t>
  </si>
  <si>
    <t>简易缆索机</t>
  </si>
  <si>
    <r>
      <rPr>
        <sz val="10"/>
        <rFont val="宋体"/>
        <family val="3"/>
        <charset val="134"/>
      </rPr>
      <t>桥</t>
    </r>
    <r>
      <rPr>
        <sz val="10"/>
        <rFont val="宋体"/>
        <family val="3"/>
        <charset val="134"/>
      </rPr>
      <t>式</t>
    </r>
    <r>
      <rPr>
        <sz val="10"/>
        <rFont val="宋体"/>
        <family val="3"/>
        <charset val="134"/>
      </rPr>
      <t>起重机</t>
    </r>
  </si>
  <si>
    <t>链式起重机</t>
  </si>
  <si>
    <r>
      <rPr>
        <sz val="10"/>
        <rFont val="宋体"/>
        <family val="3"/>
        <charset val="134"/>
      </rPr>
      <t>钢</t>
    </r>
    <r>
      <rPr>
        <sz val="10"/>
        <rFont val="宋体"/>
        <family val="3"/>
        <charset val="134"/>
      </rPr>
      <t>筋</t>
    </r>
    <r>
      <rPr>
        <sz val="10"/>
        <rFont val="宋体"/>
        <family val="3"/>
        <charset val="134"/>
      </rPr>
      <t>弯曲机</t>
    </r>
  </si>
  <si>
    <r>
      <rPr>
        <sz val="10"/>
        <rFont val="宋体"/>
        <family val="3"/>
        <charset val="134"/>
      </rPr>
      <t>对焊机</t>
    </r>
    <r>
      <rPr>
        <sz val="10"/>
        <rFont val="宋体"/>
        <family val="3"/>
        <charset val="134"/>
      </rPr>
      <t>电弧</t>
    </r>
  </si>
  <si>
    <r>
      <rPr>
        <sz val="10"/>
        <rFont val="宋体"/>
        <family val="3"/>
        <charset val="134"/>
      </rPr>
      <t>钢</t>
    </r>
    <r>
      <rPr>
        <sz val="10"/>
        <rFont val="宋体"/>
        <family val="3"/>
        <charset val="134"/>
      </rPr>
      <t>筋</t>
    </r>
    <r>
      <rPr>
        <sz val="10"/>
        <rFont val="宋体"/>
        <family val="3"/>
        <charset val="134"/>
      </rPr>
      <t>调直机</t>
    </r>
  </si>
  <si>
    <r>
      <rPr>
        <sz val="10"/>
        <rFont val="宋体"/>
        <family val="3"/>
        <charset val="134"/>
      </rPr>
      <t>钢</t>
    </r>
    <r>
      <rPr>
        <sz val="10"/>
        <rFont val="宋体"/>
        <family val="3"/>
        <charset val="134"/>
      </rPr>
      <t>筋</t>
    </r>
    <r>
      <rPr>
        <sz val="10"/>
        <rFont val="宋体"/>
        <family val="3"/>
        <charset val="134"/>
      </rPr>
      <t>切断机</t>
    </r>
  </si>
  <si>
    <t>型钢剪断机</t>
  </si>
  <si>
    <r>
      <rPr>
        <sz val="10"/>
        <rFont val="宋体"/>
        <family val="3"/>
        <charset val="134"/>
      </rPr>
      <t>摇</t>
    </r>
    <r>
      <rPr>
        <sz val="10"/>
        <rFont val="宋体"/>
        <family val="3"/>
        <charset val="134"/>
      </rPr>
      <t>臂</t>
    </r>
    <r>
      <rPr>
        <sz val="10"/>
        <rFont val="宋体"/>
        <family val="3"/>
        <charset val="134"/>
      </rPr>
      <t>钻</t>
    </r>
    <r>
      <rPr>
        <sz val="10"/>
        <rFont val="宋体"/>
        <family val="3"/>
        <charset val="134"/>
      </rPr>
      <t>床</t>
    </r>
  </si>
  <si>
    <t>立式钻床</t>
  </si>
  <si>
    <r>
      <rPr>
        <sz val="10"/>
        <rFont val="宋体"/>
        <family val="3"/>
        <charset val="134"/>
      </rPr>
      <t>风</t>
    </r>
    <r>
      <rPr>
        <sz val="10"/>
        <rFont val="Times New Roman"/>
        <family val="1"/>
      </rPr>
      <t xml:space="preserve">    </t>
    </r>
    <r>
      <rPr>
        <sz val="10"/>
        <rFont val="宋体"/>
        <family val="3"/>
        <charset val="134"/>
      </rPr>
      <t>钻</t>
    </r>
  </si>
  <si>
    <t>风钻</t>
  </si>
  <si>
    <r>
      <rPr>
        <sz val="10"/>
        <rFont val="宋体"/>
        <family val="3"/>
        <charset val="134"/>
      </rPr>
      <t>水</t>
    </r>
    <r>
      <rPr>
        <sz val="10"/>
        <rFont val="Times New Roman"/>
        <family val="1"/>
      </rPr>
      <t xml:space="preserve">    </t>
    </r>
    <r>
      <rPr>
        <sz val="10"/>
        <rFont val="宋体"/>
        <family val="3"/>
        <charset val="134"/>
      </rPr>
      <t>枪</t>
    </r>
  </si>
  <si>
    <t>犁</t>
  </si>
  <si>
    <t>振冲器</t>
  </si>
  <si>
    <r>
      <rPr>
        <sz val="10"/>
        <rFont val="宋体"/>
        <family val="3"/>
        <charset val="134"/>
      </rPr>
      <t>冲</t>
    </r>
    <r>
      <rPr>
        <sz val="10"/>
        <rFont val="宋体"/>
        <family val="3"/>
        <charset val="134"/>
      </rPr>
      <t>击</t>
    </r>
    <r>
      <rPr>
        <sz val="10"/>
        <rFont val="宋体"/>
        <family val="3"/>
        <charset val="134"/>
      </rPr>
      <t>钻</t>
    </r>
    <r>
      <rPr>
        <sz val="10"/>
        <rFont val="宋体"/>
        <family val="3"/>
        <charset val="134"/>
      </rPr>
      <t>机</t>
    </r>
  </si>
  <si>
    <t>轴流通风机</t>
  </si>
  <si>
    <r>
      <rPr>
        <sz val="10"/>
        <rFont val="宋体"/>
        <family val="3"/>
        <charset val="134"/>
      </rPr>
      <t>泥</t>
    </r>
    <r>
      <rPr>
        <sz val="10"/>
        <rFont val="宋体"/>
        <family val="3"/>
        <charset val="134"/>
      </rPr>
      <t>浆</t>
    </r>
    <r>
      <rPr>
        <sz val="10"/>
        <rFont val="宋体"/>
        <family val="3"/>
        <charset val="134"/>
      </rPr>
      <t>搅拌机</t>
    </r>
  </si>
  <si>
    <r>
      <rPr>
        <sz val="10"/>
        <rFont val="宋体"/>
        <family val="3"/>
        <charset val="134"/>
      </rPr>
      <t>灰</t>
    </r>
    <r>
      <rPr>
        <sz val="10"/>
        <rFont val="宋体"/>
        <family val="3"/>
        <charset val="134"/>
      </rPr>
      <t>浆</t>
    </r>
    <r>
      <rPr>
        <sz val="10"/>
        <rFont val="宋体"/>
        <family val="3"/>
        <charset val="134"/>
      </rPr>
      <t>搅拌机</t>
    </r>
  </si>
  <si>
    <r>
      <rPr>
        <sz val="10"/>
        <rFont val="宋体"/>
        <family val="3"/>
        <charset val="134"/>
      </rPr>
      <t>灌浆泵</t>
    </r>
  </si>
  <si>
    <t>灰渣泵</t>
  </si>
  <si>
    <t>地质钻机</t>
  </si>
  <si>
    <t>振动碾</t>
  </si>
  <si>
    <t>锯槽铺塑机</t>
  </si>
  <si>
    <t>内燃压路机</t>
  </si>
  <si>
    <t>强夯机</t>
  </si>
  <si>
    <t>规        格</t>
  </si>
  <si>
    <t>1.0m3</t>
  </si>
  <si>
    <t>1.5m3</t>
  </si>
  <si>
    <t>59KW</t>
  </si>
  <si>
    <t>74KW</t>
  </si>
  <si>
    <t>88KW</t>
  </si>
  <si>
    <t>11KW</t>
  </si>
  <si>
    <t>5~7 T</t>
  </si>
  <si>
    <t>2.8KW</t>
  </si>
  <si>
    <t>0.4m3</t>
  </si>
  <si>
    <t>0.8m3</t>
  </si>
  <si>
    <t>1.5KW</t>
  </si>
  <si>
    <t>1.1KW</t>
  </si>
  <si>
    <t>2.2KW</t>
  </si>
  <si>
    <t>4.5KW</t>
  </si>
  <si>
    <t>1m3</t>
  </si>
  <si>
    <t>30 m3/h</t>
  </si>
  <si>
    <t>0.2~0.6m3</t>
  </si>
  <si>
    <t xml:space="preserve"> 6m3/min</t>
  </si>
  <si>
    <t>11~17KW</t>
  </si>
  <si>
    <t>20KW</t>
  </si>
  <si>
    <t>14KW</t>
  </si>
  <si>
    <t>4KW</t>
  </si>
  <si>
    <t>4.0KW</t>
  </si>
  <si>
    <t>20KVA</t>
  </si>
  <si>
    <t>30KVA</t>
  </si>
  <si>
    <t>25KVA</t>
  </si>
  <si>
    <t>4.5KVA</t>
  </si>
  <si>
    <t>5.0T</t>
  </si>
  <si>
    <t>10.0T</t>
  </si>
  <si>
    <t>3.5T</t>
  </si>
  <si>
    <t>8.0T</t>
  </si>
  <si>
    <t>5t</t>
  </si>
  <si>
    <t>3.0T</t>
  </si>
  <si>
    <t>3T</t>
  </si>
  <si>
    <t>10/30T</t>
  </si>
  <si>
    <t>6.0T</t>
  </si>
  <si>
    <t>25T</t>
  </si>
  <si>
    <t>16T</t>
  </si>
  <si>
    <t>20T</t>
  </si>
  <si>
    <t>15.0T</t>
  </si>
  <si>
    <r>
      <rPr>
        <sz val="10"/>
        <rFont val="Times New Roman"/>
        <family val="1"/>
      </rPr>
      <t>40</t>
    </r>
    <r>
      <rPr>
        <sz val="10"/>
        <rFont val="宋体"/>
        <family val="3"/>
        <charset val="134"/>
      </rPr>
      <t>吨</t>
    </r>
  </si>
  <si>
    <t>40T</t>
  </si>
  <si>
    <t>20/5T</t>
  </si>
  <si>
    <t>6~40</t>
  </si>
  <si>
    <r>
      <rPr>
        <sz val="10"/>
        <rFont val="Times New Roman"/>
        <family val="1"/>
      </rPr>
      <t>150</t>
    </r>
    <r>
      <rPr>
        <sz val="10"/>
        <rFont val="宋体"/>
        <family val="3"/>
        <charset val="134"/>
      </rPr>
      <t>型</t>
    </r>
  </si>
  <si>
    <t>13KW</t>
  </si>
  <si>
    <t>3.0m3/min</t>
  </si>
  <si>
    <t>手持式</t>
  </si>
  <si>
    <t>气腿式</t>
  </si>
  <si>
    <r>
      <rPr>
        <sz val="10"/>
        <rFont val="Times New Roman"/>
        <family val="1"/>
      </rPr>
      <t>20</t>
    </r>
    <r>
      <rPr>
        <sz val="10"/>
        <rFont val="宋体"/>
        <family val="3"/>
        <charset val="134"/>
      </rPr>
      <t>型</t>
    </r>
  </si>
  <si>
    <t>三铧</t>
  </si>
  <si>
    <t>ZCQ—30</t>
  </si>
  <si>
    <t>CZ—22</t>
  </si>
  <si>
    <t>37kw</t>
  </si>
  <si>
    <t>中压泥浆</t>
  </si>
  <si>
    <t>中压砂浆</t>
  </si>
  <si>
    <t>115kw</t>
  </si>
  <si>
    <t>13～14t</t>
  </si>
  <si>
    <t>yk-09型</t>
  </si>
  <si>
    <t>12-15t</t>
  </si>
  <si>
    <t>200tm</t>
  </si>
  <si>
    <t>施</t>
  </si>
  <si>
    <t>定额编号</t>
  </si>
  <si>
    <t>㈠</t>
  </si>
  <si>
    <t>折旧费</t>
  </si>
  <si>
    <t>费用</t>
  </si>
  <si>
    <t>调整系数</t>
  </si>
  <si>
    <t>合价：元</t>
  </si>
  <si>
    <t>修理及替换设备费</t>
  </si>
  <si>
    <t>安装拆卸费</t>
  </si>
  <si>
    <t>小         计</t>
  </si>
  <si>
    <t>机</t>
  </si>
  <si>
    <t>㈡</t>
  </si>
  <si>
    <t>人工</t>
  </si>
  <si>
    <t>数量：工时</t>
  </si>
  <si>
    <t>单价：元/工时</t>
  </si>
  <si>
    <t>械</t>
  </si>
  <si>
    <t>数量：kg</t>
  </si>
  <si>
    <t>台</t>
  </si>
  <si>
    <t>单价：元/kg</t>
  </si>
  <si>
    <t>时</t>
  </si>
  <si>
    <t>费</t>
  </si>
  <si>
    <t>电</t>
  </si>
  <si>
    <t>数量：kwh</t>
  </si>
  <si>
    <t>计</t>
  </si>
  <si>
    <t>单价：元/kwh</t>
  </si>
  <si>
    <t>算</t>
  </si>
  <si>
    <t>风</t>
  </si>
  <si>
    <t>数量：m3</t>
  </si>
  <si>
    <t>单价：元/m3</t>
  </si>
  <si>
    <t>表</t>
  </si>
  <si>
    <t>水</t>
  </si>
  <si>
    <t>数量：t</t>
  </si>
  <si>
    <t>单价：元/t</t>
  </si>
  <si>
    <t>小计</t>
  </si>
  <si>
    <t>㈢</t>
  </si>
  <si>
    <t>其它</t>
  </si>
  <si>
    <t>台时费（元/台时）</t>
  </si>
  <si>
    <r>
      <rPr>
        <b/>
        <sz val="14"/>
        <rFont val="宋体"/>
        <family val="3"/>
        <charset val="134"/>
      </rPr>
      <t>单</t>
    </r>
    <r>
      <rPr>
        <b/>
        <sz val="14"/>
        <rFont val="Times New Roman"/>
        <family val="1"/>
      </rPr>
      <t xml:space="preserve">        </t>
    </r>
    <r>
      <rPr>
        <b/>
        <sz val="14"/>
        <rFont val="黑体"/>
        <family val="3"/>
        <charset val="134"/>
      </rPr>
      <t>价</t>
    </r>
    <r>
      <rPr>
        <b/>
        <sz val="14"/>
        <rFont val="Times New Roman"/>
        <family val="1"/>
      </rPr>
      <t xml:space="preserve">        </t>
    </r>
    <r>
      <rPr>
        <b/>
        <sz val="14"/>
        <rFont val="黑体"/>
        <family val="3"/>
        <charset val="134"/>
      </rPr>
      <t>表</t>
    </r>
  </si>
  <si>
    <t>项目 铸铁管安装</t>
  </si>
  <si>
    <r>
      <rPr>
        <sz val="10"/>
        <rFont val="宋体"/>
        <family val="3"/>
        <charset val="134"/>
      </rPr>
      <t>定额编号：</t>
    </r>
    <r>
      <rPr>
        <u/>
        <sz val="10"/>
        <rFont val="宋体"/>
        <family val="3"/>
        <charset val="134"/>
      </rPr>
      <t xml:space="preserve">        </t>
    </r>
    <r>
      <rPr>
        <sz val="10"/>
        <rFont val="宋体"/>
        <family val="3"/>
        <charset val="134"/>
      </rPr>
      <t xml:space="preserve">   </t>
    </r>
    <r>
      <rPr>
        <u/>
        <sz val="10"/>
        <rFont val="宋体"/>
        <family val="3"/>
        <charset val="134"/>
      </rPr>
      <t xml:space="preserve">                       </t>
    </r>
  </si>
  <si>
    <t>10m</t>
  </si>
  <si>
    <t>工作内容：</t>
  </si>
  <si>
    <t>单位</t>
  </si>
  <si>
    <t>单价（元）</t>
  </si>
  <si>
    <t>数量</t>
  </si>
  <si>
    <t>合价（元）</t>
  </si>
  <si>
    <t>直接工程费</t>
  </si>
  <si>
    <t>直接费</t>
  </si>
  <si>
    <t>技工</t>
  </si>
  <si>
    <t>工时</t>
  </si>
  <si>
    <t>普工</t>
  </si>
  <si>
    <t>铸铁管</t>
  </si>
  <si>
    <t>石棉</t>
  </si>
  <si>
    <t>kg</t>
  </si>
  <si>
    <t>油麻</t>
  </si>
  <si>
    <t>氧气</t>
  </si>
  <si>
    <t>乙炔气</t>
  </si>
  <si>
    <t>其他材料费</t>
  </si>
  <si>
    <t>%</t>
  </si>
  <si>
    <t>1.1.3</t>
  </si>
  <si>
    <t>机械费</t>
  </si>
  <si>
    <t>履带式起重机15t</t>
  </si>
  <si>
    <t>拖拉机55kw</t>
  </si>
  <si>
    <t>载重汽车5t</t>
  </si>
  <si>
    <t>其他机械费</t>
  </si>
  <si>
    <t>其他直接费</t>
  </si>
  <si>
    <t>现场经费</t>
  </si>
  <si>
    <t>企业利润</t>
  </si>
  <si>
    <t>㎏</t>
  </si>
  <si>
    <t>税金</t>
  </si>
  <si>
    <t>定额扩大</t>
  </si>
  <si>
    <t>青铅</t>
  </si>
  <si>
    <t>焦炭</t>
  </si>
  <si>
    <r>
      <rPr>
        <u/>
        <sz val="16"/>
        <rFont val="黑体"/>
        <family val="3"/>
        <charset val="134"/>
      </rPr>
      <t>单</t>
    </r>
    <r>
      <rPr>
        <u/>
        <sz val="16"/>
        <rFont val="Times New Roman"/>
        <family val="1"/>
      </rPr>
      <t xml:space="preserve">     </t>
    </r>
    <r>
      <rPr>
        <u/>
        <sz val="16"/>
        <rFont val="黑体"/>
        <family val="3"/>
        <charset val="134"/>
      </rPr>
      <t>价</t>
    </r>
    <r>
      <rPr>
        <u/>
        <sz val="16"/>
        <rFont val="Times New Roman"/>
        <family val="1"/>
      </rPr>
      <t xml:space="preserve">     </t>
    </r>
    <r>
      <rPr>
        <u/>
        <sz val="16"/>
        <rFont val="黑体"/>
        <family val="3"/>
        <charset val="134"/>
      </rPr>
      <t>表</t>
    </r>
  </si>
  <si>
    <r>
      <rPr>
        <sz val="12"/>
        <rFont val="宋体"/>
        <family val="3"/>
        <charset val="134"/>
      </rPr>
      <t>定额编号：</t>
    </r>
    <r>
      <rPr>
        <u/>
        <sz val="12"/>
        <rFont val="宋体"/>
        <family val="3"/>
        <charset val="134"/>
      </rPr>
      <t xml:space="preserve">        </t>
    </r>
    <r>
      <rPr>
        <sz val="12"/>
        <rFont val="宋体"/>
        <family val="3"/>
        <charset val="134"/>
      </rPr>
      <t xml:space="preserve"> </t>
    </r>
    <r>
      <rPr>
        <sz val="12"/>
        <rFont val="宋体"/>
        <family val="3"/>
        <charset val="134"/>
      </rPr>
      <t xml:space="preserve">  </t>
    </r>
    <r>
      <rPr>
        <u/>
        <sz val="12"/>
        <rFont val="宋体"/>
        <family val="3"/>
        <charset val="134"/>
      </rPr>
      <t xml:space="preserve">                       </t>
    </r>
  </si>
  <si>
    <t>混凝土配合比</t>
  </si>
  <si>
    <t>工程</t>
  </si>
  <si>
    <r>
      <rPr>
        <sz val="12"/>
        <rFont val="宋体"/>
        <family val="3"/>
        <charset val="134"/>
      </rPr>
      <t>混凝土（</t>
    </r>
    <r>
      <rPr>
        <sz val="12"/>
        <rFont val="Times New Roman"/>
        <family val="1"/>
      </rPr>
      <t>C25</t>
    </r>
    <r>
      <rPr>
        <sz val="12"/>
        <rFont val="宋体"/>
        <family val="3"/>
        <charset val="134"/>
      </rPr>
      <t>）</t>
    </r>
  </si>
  <si>
    <r>
      <rPr>
        <sz val="12"/>
        <rFont val="宋体"/>
        <family val="3"/>
        <charset val="134"/>
      </rPr>
      <t>混凝土（</t>
    </r>
    <r>
      <rPr>
        <sz val="12"/>
        <rFont val="Times New Roman"/>
        <family val="1"/>
      </rPr>
      <t>C20</t>
    </r>
    <r>
      <rPr>
        <sz val="12"/>
        <rFont val="宋体"/>
        <family val="3"/>
        <charset val="134"/>
      </rPr>
      <t>）</t>
    </r>
  </si>
  <si>
    <r>
      <rPr>
        <sz val="12"/>
        <rFont val="宋体"/>
        <family val="3"/>
        <charset val="134"/>
      </rPr>
      <t>混凝土（</t>
    </r>
    <r>
      <rPr>
        <sz val="12"/>
        <rFont val="Times New Roman"/>
        <family val="1"/>
      </rPr>
      <t>C15</t>
    </r>
    <r>
      <rPr>
        <sz val="12"/>
        <rFont val="宋体"/>
        <family val="3"/>
        <charset val="134"/>
      </rPr>
      <t>）</t>
    </r>
  </si>
  <si>
    <r>
      <rPr>
        <sz val="12"/>
        <rFont val="宋体"/>
        <family val="3"/>
        <charset val="134"/>
      </rPr>
      <t>混凝土（</t>
    </r>
    <r>
      <rPr>
        <sz val="12"/>
        <rFont val="Times New Roman"/>
        <family val="1"/>
      </rPr>
      <t>C10</t>
    </r>
    <r>
      <rPr>
        <sz val="12"/>
        <rFont val="宋体"/>
        <family val="3"/>
        <charset val="134"/>
      </rPr>
      <t>）</t>
    </r>
  </si>
  <si>
    <r>
      <rPr>
        <sz val="12"/>
        <rFont val="宋体"/>
        <family val="3"/>
        <charset val="134"/>
      </rPr>
      <t>水泥沙浆（</t>
    </r>
    <r>
      <rPr>
        <sz val="12"/>
        <rFont val="Times New Roman"/>
        <family val="1"/>
      </rPr>
      <t>M10</t>
    </r>
    <r>
      <rPr>
        <sz val="12"/>
        <rFont val="宋体"/>
        <family val="3"/>
        <charset val="134"/>
      </rPr>
      <t>）</t>
    </r>
  </si>
  <si>
    <r>
      <rPr>
        <sz val="12"/>
        <rFont val="宋体"/>
        <family val="3"/>
        <charset val="134"/>
      </rPr>
      <t>水泥沙浆（</t>
    </r>
    <r>
      <rPr>
        <sz val="12"/>
        <rFont val="Times New Roman"/>
        <family val="1"/>
      </rPr>
      <t>M7.5</t>
    </r>
    <r>
      <rPr>
        <sz val="12"/>
        <rFont val="宋体"/>
        <family val="3"/>
        <charset val="134"/>
      </rPr>
      <t>）</t>
    </r>
  </si>
  <si>
    <r>
      <rPr>
        <u/>
        <sz val="18"/>
        <rFont val="黑体"/>
        <family val="3"/>
        <charset val="134"/>
      </rPr>
      <t>单</t>
    </r>
    <r>
      <rPr>
        <u/>
        <sz val="18"/>
        <rFont val="Times New Roman"/>
        <family val="1"/>
      </rPr>
      <t xml:space="preserve">     </t>
    </r>
    <r>
      <rPr>
        <u/>
        <sz val="18"/>
        <rFont val="黑体"/>
        <family val="3"/>
        <charset val="134"/>
      </rPr>
      <t>价</t>
    </r>
    <r>
      <rPr>
        <u/>
        <sz val="18"/>
        <rFont val="Times New Roman"/>
        <family val="1"/>
      </rPr>
      <t xml:space="preserve">     </t>
    </r>
    <r>
      <rPr>
        <u/>
        <sz val="18"/>
        <rFont val="黑体"/>
        <family val="3"/>
        <charset val="134"/>
      </rPr>
      <t>表</t>
    </r>
  </si>
  <si>
    <t>百立方米</t>
  </si>
  <si>
    <r>
      <rPr>
        <sz val="12"/>
        <rFont val="宋体"/>
        <family val="3"/>
        <charset val="134"/>
      </rPr>
      <t>人工费</t>
    </r>
    <r>
      <rPr>
        <sz val="12"/>
        <rFont val="Times New Roman"/>
        <family val="1"/>
      </rPr>
      <t>(</t>
    </r>
    <r>
      <rPr>
        <sz val="12"/>
        <rFont val="宋体"/>
        <family val="3"/>
        <charset val="134"/>
      </rPr>
      <t>普工</t>
    </r>
    <r>
      <rPr>
        <sz val="12"/>
        <rFont val="Times New Roman"/>
        <family val="1"/>
      </rPr>
      <t>)</t>
    </r>
  </si>
  <si>
    <t>胶轮车</t>
  </si>
  <si>
    <t>台时</t>
  </si>
  <si>
    <t>零星材料费</t>
  </si>
  <si>
    <r>
      <rPr>
        <sz val="12"/>
        <rFont val="宋体"/>
        <family val="3"/>
        <charset val="134"/>
      </rPr>
      <t>小计</t>
    </r>
    <r>
      <rPr>
        <sz val="12"/>
        <rFont val="Times New Roman"/>
        <family val="1"/>
      </rPr>
      <t xml:space="preserve"> </t>
    </r>
  </si>
  <si>
    <t>塔式起重机吊运混凝土</t>
  </si>
  <si>
    <t xml:space="preserve">自卸汽车5T </t>
  </si>
  <si>
    <t xml:space="preserve">项目   溢流面   </t>
  </si>
  <si>
    <r>
      <rPr>
        <sz val="10"/>
        <rFont val="宋体"/>
        <family val="3"/>
        <charset val="134"/>
      </rPr>
      <t>100m</t>
    </r>
    <r>
      <rPr>
        <vertAlign val="superscript"/>
        <sz val="10"/>
        <rFont val="宋体"/>
        <family val="3"/>
        <charset val="134"/>
      </rPr>
      <t>3</t>
    </r>
  </si>
  <si>
    <t>锯材</t>
  </si>
  <si>
    <r>
      <rPr>
        <sz val="10"/>
        <rFont val="宋体"/>
        <family val="3"/>
        <charset val="134"/>
      </rPr>
      <t>m</t>
    </r>
    <r>
      <rPr>
        <vertAlign val="superscript"/>
        <sz val="10"/>
        <rFont val="宋体"/>
        <family val="3"/>
        <charset val="134"/>
      </rPr>
      <t>3</t>
    </r>
  </si>
  <si>
    <t>滑模</t>
  </si>
  <si>
    <t>型钢</t>
  </si>
  <si>
    <t>卡扣件</t>
  </si>
  <si>
    <t>铁件</t>
  </si>
  <si>
    <t>电焊条</t>
  </si>
  <si>
    <t>混凝土</t>
  </si>
  <si>
    <r>
      <rPr>
        <sz val="10"/>
        <rFont val="宋体"/>
        <family val="3"/>
        <charset val="134"/>
      </rPr>
      <t>载重汽车（</t>
    </r>
    <r>
      <rPr>
        <sz val="10"/>
        <rFont val="Times New Roman"/>
        <family val="1"/>
      </rPr>
      <t>5</t>
    </r>
    <r>
      <rPr>
        <sz val="10"/>
        <rFont val="宋体"/>
        <family val="3"/>
        <charset val="134"/>
      </rPr>
      <t>吨）</t>
    </r>
  </si>
  <si>
    <r>
      <rPr>
        <sz val="10"/>
        <rFont val="宋体"/>
        <family val="3"/>
        <charset val="134"/>
      </rPr>
      <t>汽车起重机（</t>
    </r>
    <r>
      <rPr>
        <sz val="10"/>
        <rFont val="Times New Roman"/>
        <family val="1"/>
      </rPr>
      <t>5</t>
    </r>
    <r>
      <rPr>
        <sz val="10"/>
        <rFont val="宋体"/>
        <family val="3"/>
        <charset val="134"/>
      </rPr>
      <t>吨）</t>
    </r>
  </si>
  <si>
    <t>组时</t>
  </si>
  <si>
    <r>
      <rPr>
        <sz val="10"/>
        <rFont val="宋体"/>
        <family val="3"/>
        <charset val="134"/>
      </rPr>
      <t>电焊机（</t>
    </r>
    <r>
      <rPr>
        <sz val="10"/>
        <rFont val="Times New Roman"/>
        <family val="1"/>
      </rPr>
      <t>25KVA)</t>
    </r>
  </si>
  <si>
    <r>
      <rPr>
        <sz val="10"/>
        <rFont val="宋体"/>
        <family val="3"/>
        <charset val="134"/>
      </rPr>
      <t>混凝土搅拌机</t>
    </r>
    <r>
      <rPr>
        <sz val="10"/>
        <rFont val="Times New Roman"/>
        <family val="1"/>
      </rPr>
      <t>0.4</t>
    </r>
    <r>
      <rPr>
        <sz val="10"/>
        <rFont val="宋体"/>
        <family val="3"/>
        <charset val="134"/>
      </rPr>
      <t>立方米</t>
    </r>
  </si>
  <si>
    <r>
      <rPr>
        <sz val="10"/>
        <rFont val="宋体"/>
        <family val="3"/>
        <charset val="134"/>
      </rPr>
      <t>振捣器（插入式</t>
    </r>
    <r>
      <rPr>
        <sz val="10"/>
        <rFont val="Times New Roman"/>
        <family val="1"/>
      </rPr>
      <t>1.1KW)</t>
    </r>
  </si>
  <si>
    <t>1.1.4</t>
  </si>
  <si>
    <t>混凝土水平运输</t>
  </si>
  <si>
    <t>1.1.5</t>
  </si>
  <si>
    <t>混凝土垂直运输</t>
  </si>
  <si>
    <t>项目   操作室平台塔架</t>
  </si>
  <si>
    <r>
      <rPr>
        <sz val="10"/>
        <rFont val="宋体"/>
        <family val="3"/>
        <charset val="134"/>
      </rPr>
      <t>塔式起重机（</t>
    </r>
    <r>
      <rPr>
        <sz val="10"/>
        <rFont val="Times New Roman"/>
        <family val="1"/>
      </rPr>
      <t>10</t>
    </r>
    <r>
      <rPr>
        <sz val="10"/>
        <rFont val="宋体"/>
        <family val="3"/>
        <charset val="134"/>
      </rPr>
      <t>吨）</t>
    </r>
  </si>
  <si>
    <r>
      <rPr>
        <b/>
        <sz val="14"/>
        <rFont val="宋体"/>
        <family val="3"/>
        <charset val="134"/>
      </rPr>
      <t>单</t>
    </r>
    <r>
      <rPr>
        <b/>
        <sz val="14"/>
        <rFont val="Times New Roman"/>
        <family val="1"/>
      </rPr>
      <t xml:space="preserve">     </t>
    </r>
    <r>
      <rPr>
        <b/>
        <sz val="14"/>
        <rFont val="黑体"/>
        <family val="3"/>
        <charset val="134"/>
      </rPr>
      <t>价</t>
    </r>
    <r>
      <rPr>
        <b/>
        <sz val="14"/>
        <rFont val="Times New Roman"/>
        <family val="1"/>
      </rPr>
      <t xml:space="preserve">     </t>
    </r>
    <r>
      <rPr>
        <b/>
        <sz val="14"/>
        <rFont val="黑体"/>
        <family val="3"/>
        <charset val="134"/>
      </rPr>
      <t>表</t>
    </r>
  </si>
  <si>
    <t>项目   泵站</t>
  </si>
  <si>
    <t>项目   闸墩喇叭口</t>
  </si>
  <si>
    <t>项目   直墙</t>
  </si>
  <si>
    <t>定额编号：</t>
  </si>
  <si>
    <t>项目   斜墙</t>
  </si>
  <si>
    <t>项目   导水墙</t>
  </si>
  <si>
    <t>项目   闸井</t>
  </si>
  <si>
    <t>项目   水闸及溢洪道闸墩</t>
  </si>
  <si>
    <r>
      <rPr>
        <sz val="10"/>
        <rFont val="宋体"/>
        <family val="3"/>
        <charset val="134"/>
      </rPr>
      <t>振捣器（插入式</t>
    </r>
    <r>
      <rPr>
        <sz val="10"/>
        <rFont val="Times New Roman"/>
        <family val="1"/>
      </rPr>
      <t>1.5KW)</t>
    </r>
  </si>
  <si>
    <t>项目   胸墙</t>
  </si>
  <si>
    <t>项目   截水墙、齿墙</t>
  </si>
  <si>
    <t xml:space="preserve">定额编号：                                  </t>
  </si>
  <si>
    <t>项目   镇墩</t>
  </si>
  <si>
    <t>项目   支墩</t>
  </si>
  <si>
    <t>项目   垫层</t>
  </si>
  <si>
    <t>项目   底板</t>
  </si>
  <si>
    <t>项目   明渠底板</t>
  </si>
  <si>
    <r>
      <rPr>
        <sz val="14"/>
        <rFont val="宋体"/>
        <family val="3"/>
        <charset val="134"/>
      </rPr>
      <t>单</t>
    </r>
    <r>
      <rPr>
        <sz val="14"/>
        <rFont val="Times New Roman"/>
        <family val="1"/>
      </rPr>
      <t xml:space="preserve">     </t>
    </r>
    <r>
      <rPr>
        <sz val="14"/>
        <rFont val="黑体"/>
        <family val="3"/>
        <charset val="134"/>
      </rPr>
      <t>价</t>
    </r>
    <r>
      <rPr>
        <sz val="14"/>
        <rFont val="Times New Roman"/>
        <family val="1"/>
      </rPr>
      <t xml:space="preserve">     </t>
    </r>
    <r>
      <rPr>
        <sz val="14"/>
        <rFont val="黑体"/>
        <family val="3"/>
        <charset val="134"/>
      </rPr>
      <t>表</t>
    </r>
  </si>
  <si>
    <t>项目   明渠边坡</t>
  </si>
  <si>
    <t>项目   箱式涵洞</t>
  </si>
  <si>
    <r>
      <rPr>
        <sz val="10"/>
        <rFont val="宋体"/>
        <family val="3"/>
        <charset val="134"/>
      </rPr>
      <t>履带起重机（10吨）</t>
    </r>
  </si>
  <si>
    <t>项目   桥板</t>
  </si>
  <si>
    <t>铁件及预埋件</t>
  </si>
  <si>
    <r>
      <rPr>
        <sz val="10"/>
        <rFont val="宋体"/>
        <family val="3"/>
        <charset val="134"/>
      </rPr>
      <t>振捣器（平板式2.2</t>
    </r>
    <r>
      <rPr>
        <sz val="10"/>
        <rFont val="Times New Roman"/>
        <family val="1"/>
      </rPr>
      <t>KW)</t>
    </r>
  </si>
  <si>
    <t>项目   排架</t>
  </si>
  <si>
    <t>卷扬机（5吨)</t>
  </si>
  <si>
    <t>项目   排架基础</t>
  </si>
  <si>
    <t>电焊机（25KVA)</t>
  </si>
  <si>
    <t>项目   重力墩</t>
  </si>
  <si>
    <t>项目   矩形柱</t>
  </si>
  <si>
    <t>项目   水池池壁(圆形)</t>
  </si>
  <si>
    <t>项目   台帽</t>
  </si>
  <si>
    <r>
      <rPr>
        <sz val="10"/>
        <rFont val="宋体"/>
        <family val="3"/>
        <charset val="134"/>
      </rPr>
      <t>载重汽车5</t>
    </r>
    <r>
      <rPr>
        <sz val="10"/>
        <rFont val="宋体"/>
        <family val="3"/>
        <charset val="134"/>
      </rPr>
      <t>t</t>
    </r>
  </si>
  <si>
    <r>
      <rPr>
        <sz val="10"/>
        <rFont val="宋体"/>
        <family val="3"/>
        <charset val="134"/>
      </rPr>
      <t xml:space="preserve">电焊机 </t>
    </r>
    <r>
      <rPr>
        <sz val="10"/>
        <rFont val="宋体"/>
        <family val="3"/>
        <charset val="134"/>
      </rPr>
      <t>25kvA</t>
    </r>
  </si>
  <si>
    <t>项目   水池池底</t>
  </si>
  <si>
    <t>项目   水池顶板</t>
  </si>
  <si>
    <t>项目   水池池壁(矩形)</t>
  </si>
  <si>
    <t>单    价    表</t>
  </si>
  <si>
    <t>项目   灌注混凝土柱</t>
  </si>
  <si>
    <t>单价
（元）</t>
  </si>
  <si>
    <t>合价
（元）</t>
  </si>
  <si>
    <t>机械使用费</t>
  </si>
  <si>
    <r>
      <rPr>
        <sz val="10"/>
        <rFont val="宋体"/>
        <family val="3"/>
        <charset val="134"/>
      </rPr>
      <t>卷扬机</t>
    </r>
    <r>
      <rPr>
        <sz val="10"/>
        <rFont val="Times New Roman"/>
        <family val="1"/>
      </rPr>
      <t>5</t>
    </r>
    <r>
      <rPr>
        <sz val="10"/>
        <rFont val="宋体"/>
        <family val="3"/>
        <charset val="134"/>
      </rPr>
      <t>吨</t>
    </r>
  </si>
  <si>
    <r>
      <rPr>
        <sz val="10"/>
        <rFont val="宋体"/>
        <family val="3"/>
        <charset val="134"/>
      </rPr>
      <t>载重汽车</t>
    </r>
    <r>
      <rPr>
        <sz val="10"/>
        <rFont val="Times New Roman"/>
        <family val="1"/>
      </rPr>
      <t>5</t>
    </r>
    <r>
      <rPr>
        <sz val="10"/>
        <rFont val="宋体"/>
        <family val="3"/>
        <charset val="134"/>
      </rPr>
      <t>吨</t>
    </r>
  </si>
  <si>
    <r>
      <rPr>
        <sz val="10"/>
        <rFont val="宋体"/>
        <family val="3"/>
        <charset val="134"/>
      </rPr>
      <t>砼搅拌机</t>
    </r>
    <r>
      <rPr>
        <sz val="10"/>
        <rFont val="Times New Roman"/>
        <family val="1"/>
      </rPr>
      <t>0.4</t>
    </r>
    <r>
      <rPr>
        <sz val="10"/>
        <rFont val="宋体"/>
        <family val="3"/>
        <charset val="134"/>
      </rPr>
      <t>立方米</t>
    </r>
  </si>
  <si>
    <t>混凝土运输</t>
  </si>
  <si>
    <t>项目   填腹混凝土</t>
  </si>
  <si>
    <t>项目   隧洞边墙衬砌</t>
  </si>
  <si>
    <t>载重汽车（5吨）</t>
  </si>
  <si>
    <t>汽车起重机（5吨）</t>
  </si>
  <si>
    <t>塔式起重机（10吨）</t>
  </si>
  <si>
    <t>风水抢</t>
  </si>
  <si>
    <t>混凝土搅拌机0.4立方米</t>
  </si>
  <si>
    <t>振捣器（插入式1.1KW)</t>
  </si>
  <si>
    <t>项目   隧洞顶拱衬砌</t>
  </si>
  <si>
    <t>电焊机25KVA</t>
  </si>
  <si>
    <t>项目   隧洞底板衬砌</t>
  </si>
  <si>
    <t>项目   隧洞超挖回填</t>
  </si>
  <si>
    <t>载重汽车5吨</t>
  </si>
  <si>
    <t>项目   隧洞回填灌浆</t>
  </si>
  <si>
    <r>
      <rPr>
        <sz val="10"/>
        <rFont val="宋体"/>
        <family val="3"/>
        <charset val="134"/>
      </rPr>
      <t>100m</t>
    </r>
    <r>
      <rPr>
        <vertAlign val="superscript"/>
        <sz val="10"/>
        <rFont val="宋体"/>
        <family val="3"/>
        <charset val="134"/>
      </rPr>
      <t>2</t>
    </r>
  </si>
  <si>
    <t>灌浆管</t>
  </si>
  <si>
    <r>
      <rPr>
        <sz val="10"/>
        <rFont val="宋体"/>
        <family val="3"/>
        <charset val="134"/>
      </rPr>
      <t>m</t>
    </r>
  </si>
  <si>
    <t>灌浆泵  中压泥浆</t>
  </si>
  <si>
    <t>灰浆搅拌机</t>
  </si>
  <si>
    <t>项目   隧洞固结灌浆</t>
  </si>
  <si>
    <t>100m</t>
  </si>
  <si>
    <t>项目   预制混凝土U型衬砌板</t>
  </si>
  <si>
    <t>专用钢模板</t>
  </si>
  <si>
    <t>项目   预制混凝土衬砌板</t>
  </si>
  <si>
    <t>项目   预制混凝土小型构件</t>
  </si>
  <si>
    <t>地膜砂浆</t>
  </si>
  <si>
    <t>塔式起重机(10吨)</t>
  </si>
  <si>
    <t>项目   预制混凝土T型梁</t>
  </si>
  <si>
    <t>脱模剂</t>
  </si>
  <si>
    <t>铁钉</t>
  </si>
  <si>
    <t>塔式起重机(5吨)</t>
  </si>
  <si>
    <t>项目   预制混凝土矩形梁</t>
  </si>
  <si>
    <t>项目   预制混凝土板</t>
  </si>
  <si>
    <t>项目   预制混凝土梁安装</t>
  </si>
  <si>
    <t>铁垫块</t>
  </si>
  <si>
    <t>铁丝</t>
  </si>
  <si>
    <t>汽车起重机(16吨)</t>
  </si>
  <si>
    <t>项目   预制混凝土板安装</t>
  </si>
  <si>
    <t>砂浆</t>
  </si>
  <si>
    <t>汽车起重机(5吨)</t>
  </si>
  <si>
    <t>单        价        表</t>
  </si>
  <si>
    <t>项目   预制混凝土U型板安装</t>
  </si>
  <si>
    <r>
      <rPr>
        <sz val="10"/>
        <rFont val="宋体"/>
        <family val="3"/>
        <charset val="134"/>
      </rPr>
      <t>项目   预制混凝土U型板安装（缝板比0.10</t>
    </r>
    <r>
      <rPr>
        <sz val="10"/>
        <rFont val="宋体"/>
        <family val="3"/>
        <charset val="134"/>
      </rPr>
      <t>）</t>
    </r>
  </si>
  <si>
    <r>
      <rPr>
        <sz val="10"/>
        <rFont val="宋体"/>
        <family val="3"/>
        <charset val="134"/>
      </rPr>
      <t>项目   预制混凝土U型板安装（缝板比0.11</t>
    </r>
    <r>
      <rPr>
        <sz val="10"/>
        <rFont val="宋体"/>
        <family val="3"/>
        <charset val="134"/>
      </rPr>
      <t>）</t>
    </r>
  </si>
  <si>
    <t>项目   预制混凝土U型板安装（缝板比0.17）</t>
  </si>
  <si>
    <r>
      <rPr>
        <sz val="10"/>
        <rFont val="宋体"/>
        <family val="3"/>
        <charset val="134"/>
      </rPr>
      <t>3053</t>
    </r>
    <r>
      <rPr>
        <sz val="10"/>
        <rFont val="宋体"/>
        <family val="3"/>
        <charset val="134"/>
      </rPr>
      <t>+3052</t>
    </r>
  </si>
  <si>
    <t>3053+3054</t>
  </si>
  <si>
    <t>100m3</t>
  </si>
  <si>
    <t>混凝土预制构件</t>
  </si>
  <si>
    <t>m3</t>
  </si>
  <si>
    <t>细石混凝土</t>
  </si>
  <si>
    <t>预制混凝土U型板运输</t>
  </si>
  <si>
    <t>项目   预制混凝土衬砌板安装</t>
  </si>
  <si>
    <t>项目   小型预制构件安装安装</t>
  </si>
  <si>
    <t>混凝土构件</t>
  </si>
  <si>
    <t>预制混凝土构件运输</t>
  </si>
  <si>
    <t>项目   预制混凝土板运输</t>
  </si>
  <si>
    <t xml:space="preserve">拖拉机11KW </t>
  </si>
  <si>
    <t>项目   预制混凝土板运输（洞内）</t>
  </si>
  <si>
    <t>洞内运输人工、机械乘1.45系数</t>
  </si>
  <si>
    <t>项目   预制混凝土梁运输</t>
  </si>
  <si>
    <t>载重汽车（10吨）</t>
  </si>
  <si>
    <t>项目   桥、隧洞拱片预制</t>
  </si>
  <si>
    <t>项目   隧洞拱片安装</t>
  </si>
  <si>
    <t>链式起重机5吨</t>
  </si>
  <si>
    <t>1.1.6</t>
  </si>
  <si>
    <t>预制构件运输</t>
  </si>
  <si>
    <t>项目   地下连续墙成槽</t>
  </si>
  <si>
    <t>100折算米</t>
  </si>
  <si>
    <t>钢材</t>
  </si>
  <si>
    <t>粘土</t>
  </si>
  <si>
    <t>碱粉</t>
  </si>
  <si>
    <t>冲击钻机CZ-22</t>
  </si>
  <si>
    <t>泥浆泵3PN</t>
  </si>
  <si>
    <t>电焊机25kVA</t>
  </si>
  <si>
    <t>自卸汽车5t</t>
  </si>
  <si>
    <t>汽车起重机16t</t>
  </si>
  <si>
    <t>项目   混凝土防渗墙浇筑</t>
  </si>
  <si>
    <t>钢导管</t>
  </si>
  <si>
    <t>橡皮板</t>
  </si>
  <si>
    <t>水下混凝土</t>
  </si>
  <si>
    <t>汽车起重机8t</t>
  </si>
  <si>
    <t>项目   沥青混凝土路面</t>
  </si>
  <si>
    <r>
      <rPr>
        <sz val="10"/>
        <rFont val="宋体"/>
        <family val="3"/>
        <charset val="134"/>
      </rPr>
      <t>1000m</t>
    </r>
    <r>
      <rPr>
        <vertAlign val="superscript"/>
        <sz val="10"/>
        <rFont val="宋体"/>
        <family val="3"/>
        <charset val="134"/>
      </rPr>
      <t>2</t>
    </r>
  </si>
  <si>
    <t>厚度5cm</t>
  </si>
  <si>
    <t>矿粉</t>
  </si>
  <si>
    <t>沥青</t>
  </si>
  <si>
    <t>石屑</t>
  </si>
  <si>
    <t>自卸汽车（8吨）</t>
  </si>
  <si>
    <t>内燃压路机 (12-15吨)</t>
  </si>
  <si>
    <t>项目   水泥混凝土路面</t>
  </si>
  <si>
    <r>
      <rPr>
        <sz val="10"/>
        <rFont val="宋体"/>
        <family val="3"/>
        <charset val="134"/>
      </rPr>
      <t>厚度1</t>
    </r>
    <r>
      <rPr>
        <sz val="10"/>
        <rFont val="宋体"/>
        <family val="3"/>
        <charset val="134"/>
      </rPr>
      <t>8</t>
    </r>
    <r>
      <rPr>
        <sz val="10"/>
        <rFont val="宋体"/>
        <family val="3"/>
        <charset val="134"/>
      </rPr>
      <t>cm</t>
    </r>
  </si>
  <si>
    <t>厚度20cm</t>
  </si>
  <si>
    <t>项目   碎石路面</t>
  </si>
  <si>
    <t>厚度15cm</t>
  </si>
  <si>
    <t>项目   泥结石路面</t>
  </si>
  <si>
    <t>项目   钢筋混凝土管安装（φ1600）</t>
  </si>
  <si>
    <t>100延m</t>
  </si>
  <si>
    <t>水泥砂浆</t>
  </si>
  <si>
    <t>橡胶止水圈</t>
  </si>
  <si>
    <t>卷扬机3t</t>
  </si>
  <si>
    <t>电动葫芦3t</t>
  </si>
  <si>
    <t>项目   钢筋混凝土管安装（φ1000）</t>
  </si>
  <si>
    <t>项目   钢筋混凝土管安装（φ800）</t>
  </si>
  <si>
    <t>项目   橡胶止水带止水</t>
  </si>
  <si>
    <t>橡胶止水带</t>
  </si>
  <si>
    <t>项目   沥青油膏</t>
  </si>
  <si>
    <t>项目   涂沥青防水层</t>
  </si>
  <si>
    <t>项目   沥青油毡伸缩缝</t>
  </si>
  <si>
    <t>油毛毡</t>
  </si>
  <si>
    <r>
      <rPr>
        <sz val="10"/>
        <rFont val="宋体"/>
        <family val="3"/>
        <charset val="134"/>
      </rPr>
      <t>m</t>
    </r>
    <r>
      <rPr>
        <vertAlign val="superscript"/>
        <sz val="10"/>
        <rFont val="宋体"/>
        <family val="3"/>
        <charset val="134"/>
      </rPr>
      <t>2</t>
    </r>
  </si>
  <si>
    <t>项目   水泥砂浆防水层</t>
  </si>
  <si>
    <t xml:space="preserve">t </t>
  </si>
  <si>
    <t>项目   建筑物细部结构</t>
  </si>
  <si>
    <t>项目  渠道衬砌旧混凝土拆除</t>
  </si>
  <si>
    <t>打夯机 1.0m³</t>
  </si>
  <si>
    <t>推土机 74kw</t>
  </si>
  <si>
    <t>项目   钢筋制作安装</t>
  </si>
  <si>
    <t>1t</t>
  </si>
  <si>
    <t>钢筋调直机  14KW</t>
  </si>
  <si>
    <t>风砂枪</t>
  </si>
  <si>
    <t>钢筋切断机  20KW</t>
  </si>
  <si>
    <t>钢筋弯曲机φ6~40</t>
  </si>
  <si>
    <t>电焊机  25KVA</t>
  </si>
  <si>
    <t>对焊机  电弧150型</t>
  </si>
  <si>
    <t xml:space="preserve">载重汽车  5吨 </t>
  </si>
  <si>
    <t>塔式起重机  10吨</t>
  </si>
  <si>
    <t>项目   井柱钢筋制作安装</t>
  </si>
  <si>
    <r>
      <rPr>
        <sz val="10"/>
        <rFont val="宋体"/>
        <family val="3"/>
        <charset val="134"/>
      </rPr>
      <t>钢筋调直机</t>
    </r>
    <r>
      <rPr>
        <sz val="10"/>
        <rFont val="Times New Roman"/>
        <family val="1"/>
      </rPr>
      <t xml:space="preserve">  14KW</t>
    </r>
  </si>
  <si>
    <r>
      <rPr>
        <sz val="10"/>
        <rFont val="宋体"/>
        <family val="3"/>
        <charset val="134"/>
      </rPr>
      <t>钢筋切断机</t>
    </r>
    <r>
      <rPr>
        <sz val="10"/>
        <rFont val="Times New Roman"/>
        <family val="1"/>
      </rPr>
      <t xml:space="preserve">  20KW</t>
    </r>
  </si>
  <si>
    <r>
      <rPr>
        <sz val="10"/>
        <rFont val="宋体"/>
        <family val="3"/>
        <charset val="134"/>
      </rPr>
      <t>钢筋弯曲机φ</t>
    </r>
    <r>
      <rPr>
        <sz val="10"/>
        <rFont val="Times New Roman"/>
        <family val="1"/>
      </rPr>
      <t>6~40</t>
    </r>
  </si>
  <si>
    <r>
      <rPr>
        <sz val="10"/>
        <rFont val="宋体"/>
        <family val="3"/>
        <charset val="134"/>
      </rPr>
      <t>电焊机</t>
    </r>
    <r>
      <rPr>
        <sz val="10"/>
        <rFont val="Times New Roman"/>
        <family val="1"/>
      </rPr>
      <t xml:space="preserve">  25KVA</t>
    </r>
  </si>
  <si>
    <r>
      <rPr>
        <sz val="10"/>
        <rFont val="宋体"/>
        <family val="3"/>
        <charset val="134"/>
      </rPr>
      <t>对焊机</t>
    </r>
    <r>
      <rPr>
        <sz val="10"/>
        <rFont val="Times New Roman"/>
        <family val="1"/>
      </rPr>
      <t xml:space="preserve">  </t>
    </r>
    <r>
      <rPr>
        <sz val="10"/>
        <rFont val="宋体"/>
        <family val="3"/>
        <charset val="134"/>
      </rPr>
      <t>电弧</t>
    </r>
    <r>
      <rPr>
        <sz val="10"/>
        <rFont val="Times New Roman"/>
        <family val="1"/>
      </rPr>
      <t>150</t>
    </r>
    <r>
      <rPr>
        <sz val="10"/>
        <rFont val="宋体"/>
        <family val="3"/>
        <charset val="134"/>
      </rPr>
      <t>型</t>
    </r>
  </si>
  <si>
    <r>
      <rPr>
        <sz val="10"/>
        <rFont val="宋体"/>
        <family val="3"/>
        <charset val="134"/>
      </rPr>
      <t>载重汽车</t>
    </r>
    <r>
      <rPr>
        <sz val="10"/>
        <rFont val="Times New Roman"/>
        <family val="1"/>
      </rPr>
      <t xml:space="preserve">  5</t>
    </r>
    <r>
      <rPr>
        <sz val="10"/>
        <rFont val="宋体"/>
        <family val="3"/>
        <charset val="134"/>
      </rPr>
      <t>吨</t>
    </r>
    <r>
      <rPr>
        <sz val="10"/>
        <rFont val="Times New Roman"/>
        <family val="1"/>
      </rPr>
      <t xml:space="preserve"> </t>
    </r>
  </si>
  <si>
    <r>
      <rPr>
        <sz val="10"/>
        <rFont val="宋体"/>
        <family val="3"/>
        <charset val="134"/>
      </rPr>
      <t>汽车式起重机</t>
    </r>
    <r>
      <rPr>
        <sz val="10"/>
        <rFont val="Times New Roman"/>
        <family val="1"/>
      </rPr>
      <t xml:space="preserve">  20</t>
    </r>
    <r>
      <rPr>
        <sz val="10"/>
        <rFont val="宋体"/>
        <family val="3"/>
        <charset val="134"/>
      </rPr>
      <t>吨</t>
    </r>
  </si>
  <si>
    <t>项目   小型金属结构制作安装</t>
  </si>
  <si>
    <t>1吨</t>
  </si>
  <si>
    <t>油漆</t>
  </si>
  <si>
    <r>
      <rPr>
        <sz val="10"/>
        <rFont val="宋体"/>
        <family val="3"/>
        <charset val="134"/>
      </rPr>
      <t>汽车式起重机</t>
    </r>
    <r>
      <rPr>
        <sz val="10"/>
        <rFont val="Times New Roman"/>
        <family val="1"/>
      </rPr>
      <t xml:space="preserve">  5</t>
    </r>
    <r>
      <rPr>
        <sz val="10"/>
        <rFont val="宋体"/>
        <family val="3"/>
        <charset val="134"/>
      </rPr>
      <t>吨</t>
    </r>
  </si>
  <si>
    <t>项目   钢管安装</t>
  </si>
  <si>
    <t>钢管</t>
  </si>
  <si>
    <t>管件</t>
  </si>
  <si>
    <t>履带起重机 15吨</t>
  </si>
  <si>
    <r>
      <rPr>
        <sz val="10"/>
        <rFont val="宋体"/>
        <family val="3"/>
        <charset val="134"/>
      </rPr>
      <t>载重汽车</t>
    </r>
    <r>
      <rPr>
        <sz val="10"/>
        <rFont val="Times New Roman"/>
        <family val="1"/>
      </rPr>
      <t xml:space="preserve">  5</t>
    </r>
    <r>
      <rPr>
        <sz val="10"/>
        <rFont val="宋体"/>
        <family val="3"/>
        <charset val="134"/>
      </rPr>
      <t>吨</t>
    </r>
  </si>
  <si>
    <t>项目   钢管脚手架</t>
  </si>
  <si>
    <t>底座</t>
  </si>
  <si>
    <t>项目   浆砌块石（挡土墙）</t>
  </si>
  <si>
    <t>砼搅拌机0.4立方米</t>
  </si>
  <si>
    <t>项目   浆砌块石（闸桥墩）</t>
  </si>
  <si>
    <t>项目   浆砌块石（平面护坡）</t>
  </si>
  <si>
    <t>项目   浆砌块石（曲面护坡）</t>
  </si>
  <si>
    <t>项目   浆砌块石（护底）</t>
  </si>
  <si>
    <t>项目   浆砌块石（基础）</t>
  </si>
  <si>
    <t>项目   浆砌块石（填腹石）</t>
  </si>
  <si>
    <t>项目   干砌块石（护坡）</t>
  </si>
  <si>
    <t>项目   干砌块石（护底）</t>
  </si>
  <si>
    <t>项目   干砌块石护坡（面石）</t>
  </si>
  <si>
    <t>项目   干砌块石护坡（填腹）</t>
  </si>
  <si>
    <t>项目   铅丝笼块石护脚</t>
  </si>
  <si>
    <r>
      <rPr>
        <sz val="10"/>
        <rFont val="宋体"/>
        <family val="3"/>
        <charset val="134"/>
      </rPr>
      <t>铅丝8</t>
    </r>
    <r>
      <rPr>
        <vertAlign val="superscript"/>
        <sz val="10"/>
        <rFont val="宋体"/>
        <family val="3"/>
        <charset val="134"/>
      </rPr>
      <t>#</t>
    </r>
  </si>
  <si>
    <t>项目   铅丝笼块石护坡</t>
  </si>
  <si>
    <t>项目   格槟块石护坡（合金结构钢丝）</t>
  </si>
  <si>
    <t>合金结构钢丝</t>
  </si>
  <si>
    <t>项目   格槟块石护坡（低碳镀锌钢丝）</t>
  </si>
  <si>
    <t>低碳镀锌钢丝</t>
  </si>
  <si>
    <t>项目   格槟块石护坡（重镀高尔凡，5%铝锌合金）</t>
  </si>
  <si>
    <t>重镀高尔凡（5%铝锌合金）</t>
  </si>
  <si>
    <t>项目   格槟块石护脚（低碳镀锌钢丝）</t>
  </si>
  <si>
    <t>项目   格槟块石护脚（重镀高尔凡，5%铝锌合金）</t>
  </si>
  <si>
    <t>项目   格栅块石护脚（石笼专用，BG3030）</t>
  </si>
  <si>
    <t>格栅（石笼专用，BG3030）</t>
  </si>
  <si>
    <t>项目   人工铺筑碎石垫层</t>
  </si>
  <si>
    <t>砂</t>
  </si>
  <si>
    <t>项目   人工铺筑砂砾石垫层</t>
  </si>
  <si>
    <t>项目   人工铺筑反滤层</t>
  </si>
  <si>
    <t>项目   砌砖</t>
  </si>
  <si>
    <t>机砖</t>
  </si>
  <si>
    <t>千块</t>
  </si>
  <si>
    <t>项目   砌体砂浆抹面</t>
  </si>
  <si>
    <t>厚度2cm</t>
  </si>
  <si>
    <t>项目   锯槽垂直铺塑料薄膜</t>
  </si>
  <si>
    <t>枕木</t>
  </si>
  <si>
    <t>胶管</t>
  </si>
  <si>
    <t>黄土</t>
  </si>
  <si>
    <t>塑料薄膜</t>
  </si>
  <si>
    <t>水泵17kw</t>
  </si>
  <si>
    <t>电焊机20~25kv</t>
  </si>
  <si>
    <t>锯槽铺塑机yk-09型</t>
  </si>
  <si>
    <t>项目   复合土工膜铺设（两布一膜）</t>
  </si>
  <si>
    <t>工程胶</t>
  </si>
  <si>
    <t>土工膜</t>
  </si>
  <si>
    <t>项目   土工膜铺设</t>
  </si>
  <si>
    <t>项目   土工布铺设</t>
  </si>
  <si>
    <t>土工布</t>
  </si>
  <si>
    <t>项目   砂砾石基础</t>
  </si>
  <si>
    <r>
      <rPr>
        <sz val="10"/>
        <rFont val="宋体"/>
        <family val="3"/>
        <charset val="134"/>
      </rPr>
      <t>1.1.</t>
    </r>
    <r>
      <rPr>
        <sz val="10"/>
        <rFont val="宋体"/>
        <family val="3"/>
        <charset val="134"/>
      </rPr>
      <t>3</t>
    </r>
  </si>
  <si>
    <t>内燃压路机 12~15t</t>
  </si>
  <si>
    <r>
      <rPr>
        <sz val="10"/>
        <rFont val="宋体"/>
        <family val="3"/>
        <charset val="134"/>
      </rPr>
      <t>k</t>
    </r>
    <r>
      <rPr>
        <sz val="10"/>
        <rFont val="宋体"/>
        <family val="3"/>
        <charset val="134"/>
      </rPr>
      <t>g</t>
    </r>
  </si>
  <si>
    <t>项目   拖拉机压实土料（坝体）</t>
  </si>
  <si>
    <t>人工费(普工)</t>
  </si>
  <si>
    <t>拖拉机74KW</t>
  </si>
  <si>
    <t>推土机74KW</t>
  </si>
  <si>
    <t>蛙式打夯机2.8KW</t>
  </si>
  <si>
    <t>项目   拖拉机压实土料（心墙）</t>
  </si>
  <si>
    <r>
      <rPr>
        <sz val="10"/>
        <rFont val="宋体"/>
        <family val="3"/>
        <charset val="134"/>
      </rPr>
      <t>项目   1m</t>
    </r>
    <r>
      <rPr>
        <vertAlign val="superscript"/>
        <sz val="10"/>
        <rFont val="宋体"/>
        <family val="3"/>
        <charset val="134"/>
      </rPr>
      <t>3</t>
    </r>
    <r>
      <rPr>
        <sz val="10"/>
        <rFont val="宋体"/>
        <family val="3"/>
        <charset val="134"/>
      </rPr>
      <t>挖掘机挖土自卸汽车运输（运距≤0.25KM、Ⅱ类土）</t>
    </r>
  </si>
  <si>
    <t>Ⅰ～Ⅱ类土</t>
  </si>
  <si>
    <r>
      <rPr>
        <sz val="10"/>
        <rFont val="宋体"/>
        <family val="3"/>
        <charset val="134"/>
      </rPr>
      <t>人工费</t>
    </r>
    <r>
      <rPr>
        <sz val="10"/>
        <rFont val="Times New Roman"/>
        <family val="1"/>
      </rPr>
      <t>(</t>
    </r>
    <r>
      <rPr>
        <sz val="10"/>
        <rFont val="宋体"/>
        <family val="3"/>
        <charset val="134"/>
      </rPr>
      <t>普工</t>
    </r>
    <r>
      <rPr>
        <sz val="10"/>
        <rFont val="Times New Roman"/>
        <family val="1"/>
      </rPr>
      <t>)</t>
    </r>
  </si>
  <si>
    <r>
      <rPr>
        <sz val="10"/>
        <rFont val="宋体"/>
        <family val="3"/>
        <charset val="134"/>
      </rPr>
      <t>挖掘机液压</t>
    </r>
    <r>
      <rPr>
        <sz val="10"/>
        <rFont val="Times New Roman"/>
        <family val="1"/>
      </rPr>
      <t>1m3</t>
    </r>
  </si>
  <si>
    <r>
      <rPr>
        <sz val="10"/>
        <rFont val="宋体"/>
        <family val="3"/>
        <charset val="134"/>
      </rPr>
      <t>推土机</t>
    </r>
    <r>
      <rPr>
        <sz val="10"/>
        <rFont val="Times New Roman"/>
        <family val="1"/>
      </rPr>
      <t>59KW</t>
    </r>
  </si>
  <si>
    <r>
      <rPr>
        <sz val="10"/>
        <rFont val="宋体"/>
        <family val="3"/>
        <charset val="134"/>
      </rPr>
      <t>自卸汽车10</t>
    </r>
    <r>
      <rPr>
        <sz val="10"/>
        <rFont val="Times New Roman"/>
        <family val="1"/>
      </rPr>
      <t>t</t>
    </r>
  </si>
  <si>
    <r>
      <rPr>
        <sz val="10"/>
        <rFont val="宋体"/>
        <family val="3"/>
        <charset val="134"/>
      </rPr>
      <t>项目   1m</t>
    </r>
    <r>
      <rPr>
        <vertAlign val="superscript"/>
        <sz val="10"/>
        <rFont val="宋体"/>
        <family val="3"/>
        <charset val="134"/>
      </rPr>
      <t>3</t>
    </r>
    <r>
      <rPr>
        <sz val="10"/>
        <rFont val="宋体"/>
        <family val="3"/>
        <charset val="134"/>
      </rPr>
      <t>挖掘机挖土自卸汽车运输（运距≤0.25KM、Ⅲ类土）</t>
    </r>
  </si>
  <si>
    <t>Ⅲ类土</t>
  </si>
  <si>
    <r>
      <rPr>
        <sz val="10"/>
        <rFont val="宋体"/>
        <family val="3"/>
        <charset val="134"/>
      </rPr>
      <t>项目   1m</t>
    </r>
    <r>
      <rPr>
        <vertAlign val="superscript"/>
        <sz val="10"/>
        <rFont val="宋体"/>
        <family val="3"/>
        <charset val="134"/>
      </rPr>
      <t>3</t>
    </r>
    <r>
      <rPr>
        <sz val="10"/>
        <rFont val="宋体"/>
        <family val="3"/>
        <charset val="134"/>
      </rPr>
      <t>挖掘机挖土自卸汽车运输（运距0.25～0.5KM、Ⅱ类土）</t>
    </r>
  </si>
  <si>
    <r>
      <rPr>
        <sz val="10"/>
        <rFont val="宋体"/>
        <family val="3"/>
        <charset val="134"/>
      </rPr>
      <t>项目   1m</t>
    </r>
    <r>
      <rPr>
        <vertAlign val="superscript"/>
        <sz val="10"/>
        <rFont val="宋体"/>
        <family val="3"/>
        <charset val="134"/>
      </rPr>
      <t>3</t>
    </r>
    <r>
      <rPr>
        <sz val="10"/>
        <rFont val="宋体"/>
        <family val="3"/>
        <charset val="134"/>
      </rPr>
      <t>挖掘机挖土自卸汽车运输（运距0.25～0.5KM、Ⅲ类土）</t>
    </r>
  </si>
  <si>
    <r>
      <rPr>
        <sz val="10"/>
        <rFont val="宋体"/>
        <family val="3"/>
        <charset val="134"/>
      </rPr>
      <t>项目   1m</t>
    </r>
    <r>
      <rPr>
        <vertAlign val="superscript"/>
        <sz val="10"/>
        <rFont val="宋体"/>
        <family val="3"/>
        <charset val="134"/>
      </rPr>
      <t>3</t>
    </r>
    <r>
      <rPr>
        <sz val="10"/>
        <rFont val="宋体"/>
        <family val="3"/>
        <charset val="134"/>
      </rPr>
      <t>挖掘机挖土自卸汽车运输（运距0.5～1.0KM、Ⅱ类土）</t>
    </r>
  </si>
  <si>
    <r>
      <rPr>
        <sz val="10"/>
        <rFont val="宋体"/>
        <family val="3"/>
        <charset val="134"/>
      </rPr>
      <t>项目   1m</t>
    </r>
    <r>
      <rPr>
        <vertAlign val="superscript"/>
        <sz val="10"/>
        <rFont val="宋体"/>
        <family val="3"/>
        <charset val="134"/>
      </rPr>
      <t>3</t>
    </r>
    <r>
      <rPr>
        <sz val="10"/>
        <rFont val="宋体"/>
        <family val="3"/>
        <charset val="134"/>
      </rPr>
      <t>挖掘机挖土自卸汽车运输（运距0.5～1.0KM、Ⅲ类土）</t>
    </r>
  </si>
  <si>
    <r>
      <rPr>
        <sz val="10"/>
        <rFont val="宋体"/>
        <family val="3"/>
        <charset val="134"/>
      </rPr>
      <t>项目   1m</t>
    </r>
    <r>
      <rPr>
        <vertAlign val="superscript"/>
        <sz val="10"/>
        <rFont val="宋体"/>
        <family val="3"/>
        <charset val="134"/>
      </rPr>
      <t>3</t>
    </r>
    <r>
      <rPr>
        <sz val="10"/>
        <rFont val="宋体"/>
        <family val="3"/>
        <charset val="134"/>
      </rPr>
      <t>挖掘机挖土自卸汽车运输（运距1.0～1.5KM、Ⅱ类土）</t>
    </r>
  </si>
  <si>
    <t>Ⅱ类土</t>
  </si>
  <si>
    <r>
      <rPr>
        <sz val="10"/>
        <rFont val="宋体"/>
        <family val="3"/>
        <charset val="134"/>
      </rPr>
      <t>项目   1m</t>
    </r>
    <r>
      <rPr>
        <vertAlign val="superscript"/>
        <sz val="10"/>
        <rFont val="宋体"/>
        <family val="3"/>
        <charset val="134"/>
      </rPr>
      <t>3</t>
    </r>
    <r>
      <rPr>
        <sz val="10"/>
        <rFont val="宋体"/>
        <family val="3"/>
        <charset val="134"/>
      </rPr>
      <t>挖掘机挖土自卸汽车运输（运距1.0～1.5KM、Ⅲ类土）</t>
    </r>
  </si>
  <si>
    <t>项目   挖掘机挖土</t>
  </si>
  <si>
    <t>项目   推土机推土</t>
  </si>
  <si>
    <r>
      <rPr>
        <sz val="10"/>
        <rFont val="宋体"/>
        <family val="3"/>
        <charset val="134"/>
      </rPr>
      <t>推土机74</t>
    </r>
    <r>
      <rPr>
        <sz val="10"/>
        <rFont val="Times New Roman"/>
        <family val="1"/>
      </rPr>
      <t>KW</t>
    </r>
  </si>
  <si>
    <t>项目   人工挖装卸土方胶轮车运输</t>
  </si>
  <si>
    <t>项目   人工挖倒沟槽土方（Ⅱ类土）</t>
  </si>
  <si>
    <t>项目   人工挖倒沟槽土方（Ⅲ类土）</t>
  </si>
  <si>
    <t>项目   人工挖倒沟槽土方（Ⅳ类土）</t>
  </si>
  <si>
    <t>项目   管道土方回填</t>
  </si>
  <si>
    <r>
      <rPr>
        <sz val="10"/>
        <rFont val="宋体"/>
        <family val="3"/>
        <charset val="134"/>
      </rPr>
      <t>蛙式打夯机</t>
    </r>
    <r>
      <rPr>
        <sz val="10"/>
        <rFont val="Times New Roman"/>
        <family val="1"/>
      </rPr>
      <t>2.8KW</t>
    </r>
  </si>
  <si>
    <t>项目   人工修整边坡</t>
  </si>
  <si>
    <t>项目   人工挖翻土、机械夯实</t>
  </si>
  <si>
    <t>项目   基础强夯处理</t>
  </si>
  <si>
    <t>强夯机200tm</t>
  </si>
  <si>
    <t>项目   建筑物土方回填</t>
  </si>
  <si>
    <r>
      <rPr>
        <sz val="10"/>
        <rFont val="宋体"/>
        <family val="3"/>
        <charset val="134"/>
      </rPr>
      <t>项目</t>
    </r>
    <r>
      <rPr>
        <sz val="10"/>
        <rFont val="Times New Roman"/>
        <family val="1"/>
      </rPr>
      <t xml:space="preserve">      </t>
    </r>
    <r>
      <rPr>
        <sz val="10"/>
        <rFont val="宋体"/>
        <family val="3"/>
        <charset val="134"/>
      </rPr>
      <t>2︰</t>
    </r>
    <r>
      <rPr>
        <sz val="10"/>
        <rFont val="Times New Roman"/>
        <family val="1"/>
      </rPr>
      <t>8</t>
    </r>
    <r>
      <rPr>
        <sz val="10"/>
        <rFont val="宋体"/>
        <family val="3"/>
        <charset val="134"/>
      </rPr>
      <t>水泥土回填</t>
    </r>
  </si>
  <si>
    <t>素土</t>
  </si>
  <si>
    <t>蛙式打夯机</t>
  </si>
  <si>
    <r>
      <rPr>
        <sz val="10"/>
        <rFont val="宋体"/>
        <family val="3"/>
        <charset val="134"/>
      </rPr>
      <t>项目</t>
    </r>
    <r>
      <rPr>
        <sz val="10"/>
        <rFont val="Times New Roman"/>
        <family val="1"/>
      </rPr>
      <t xml:space="preserve">      </t>
    </r>
    <r>
      <rPr>
        <sz val="10"/>
        <rFont val="宋体"/>
        <family val="3"/>
        <charset val="134"/>
      </rPr>
      <t>3︰</t>
    </r>
    <r>
      <rPr>
        <sz val="10"/>
        <rFont val="Times New Roman"/>
        <family val="1"/>
      </rPr>
      <t>7</t>
    </r>
    <r>
      <rPr>
        <sz val="10"/>
        <rFont val="宋体"/>
        <family val="3"/>
        <charset val="134"/>
      </rPr>
      <t>灰土回填</t>
    </r>
  </si>
  <si>
    <t>生石灰</t>
  </si>
  <si>
    <t>项目   平整场地</t>
  </si>
  <si>
    <t>项目   人工铺草皮</t>
  </si>
  <si>
    <r>
      <rPr>
        <sz val="10"/>
        <rFont val="宋体"/>
        <family val="3"/>
        <charset val="134"/>
      </rPr>
      <t>人工费</t>
    </r>
  </si>
  <si>
    <t>草皮</t>
  </si>
  <si>
    <t>项目   钻机钻岩石层灌浆孔</t>
  </si>
  <si>
    <t>合金片</t>
  </si>
  <si>
    <t>岩芯管</t>
  </si>
  <si>
    <t>钻杆</t>
  </si>
  <si>
    <t>钻杆接头</t>
  </si>
  <si>
    <t>项目   坝基岩石帷幕灌浆</t>
  </si>
  <si>
    <t>灌浆泵</t>
  </si>
  <si>
    <t>项目   冲击钻造灌注桩孔</t>
  </si>
  <si>
    <t>钢板</t>
  </si>
  <si>
    <t>冲击钻CZ-22型</t>
  </si>
  <si>
    <t>电焊机30KVA</t>
  </si>
  <si>
    <t>汽车起重机25t</t>
  </si>
  <si>
    <t>项目   风钻钻隧洞固结灌浆孔</t>
  </si>
  <si>
    <t>空心钢</t>
  </si>
  <si>
    <t>项目   振动碾压实（堆石料、砂砾料）</t>
  </si>
  <si>
    <t>振动碾13～14t</t>
  </si>
  <si>
    <t>项目   振动碾压实（反滤料、过渡料）</t>
  </si>
  <si>
    <t>项目   挖掘机装石渣自卸汽车运输（运距≤2KM）</t>
  </si>
  <si>
    <r>
      <rPr>
        <sz val="10"/>
        <rFont val="宋体"/>
        <family val="3"/>
        <charset val="134"/>
      </rPr>
      <t>挖掘机</t>
    </r>
    <r>
      <rPr>
        <sz val="10"/>
        <rFont val="Times New Roman"/>
        <family val="1"/>
      </rPr>
      <t>1m3</t>
    </r>
  </si>
  <si>
    <r>
      <rPr>
        <sz val="10"/>
        <rFont val="宋体"/>
        <family val="3"/>
        <charset val="134"/>
      </rPr>
      <t>自卸汽车</t>
    </r>
    <r>
      <rPr>
        <sz val="10"/>
        <rFont val="Times New Roman"/>
        <family val="1"/>
      </rPr>
      <t>8t</t>
    </r>
  </si>
  <si>
    <t>项目   竖井石方开挖及出渣</t>
  </si>
  <si>
    <r>
      <rPr>
        <sz val="10"/>
        <rFont val="宋体"/>
        <family val="3"/>
        <charset val="134"/>
      </rPr>
      <t>工作内容：</t>
    </r>
    <r>
      <rPr>
        <u/>
        <sz val="10"/>
        <rFont val="宋体"/>
        <family val="3"/>
        <charset val="134"/>
      </rPr>
      <t xml:space="preserve">        </t>
    </r>
    <r>
      <rPr>
        <sz val="10"/>
        <rFont val="宋体"/>
        <family val="3"/>
        <charset val="134"/>
      </rPr>
      <t xml:space="preserve">   </t>
    </r>
    <r>
      <rPr>
        <u/>
        <sz val="10"/>
        <rFont val="宋体"/>
        <family val="3"/>
        <charset val="134"/>
      </rPr>
      <t xml:space="preserve">                       </t>
    </r>
  </si>
  <si>
    <t>卷扬机3吨</t>
  </si>
  <si>
    <r>
      <rPr>
        <sz val="10"/>
        <rFont val="宋体"/>
        <family val="3"/>
        <charset val="134"/>
      </rPr>
      <t>吊桶</t>
    </r>
    <r>
      <rPr>
        <sz val="10"/>
        <rFont val="Times New Roman"/>
        <family val="1"/>
      </rPr>
      <t>0.6</t>
    </r>
    <r>
      <rPr>
        <sz val="10"/>
        <rFont val="宋体"/>
        <family val="3"/>
        <charset val="134"/>
      </rPr>
      <t>立方米</t>
    </r>
  </si>
  <si>
    <t>石方出渣</t>
  </si>
  <si>
    <t>项目   竖井石方出渣</t>
  </si>
  <si>
    <t>项目   坡面一般石方开挖</t>
  </si>
  <si>
    <t>炸药</t>
  </si>
  <si>
    <t>火雷管</t>
  </si>
  <si>
    <r>
      <rPr>
        <sz val="10"/>
        <rFont val="宋体"/>
        <family val="3"/>
        <charset val="134"/>
      </rPr>
      <t>导火线</t>
    </r>
  </si>
  <si>
    <t>风钻(手持式)</t>
  </si>
  <si>
    <t>项目   沟槽石方开挖（底宽1-2m）</t>
  </si>
  <si>
    <t>项目   沟槽石方开挖（底宽2-4m）</t>
  </si>
  <si>
    <t>项目   沟槽石方开挖（底宽4-7m）</t>
  </si>
  <si>
    <r>
      <rPr>
        <sz val="10"/>
        <rFont val="宋体"/>
        <family val="3"/>
        <charset val="134"/>
      </rPr>
      <t>项目   坑石方开挖（坑口面积9-20m</t>
    </r>
    <r>
      <rPr>
        <vertAlign val="superscript"/>
        <sz val="10"/>
        <rFont val="宋体"/>
        <family val="3"/>
        <charset val="134"/>
      </rPr>
      <t>2</t>
    </r>
    <r>
      <rPr>
        <sz val="10"/>
        <rFont val="宋体"/>
        <family val="3"/>
        <charset val="134"/>
      </rPr>
      <t>）</t>
    </r>
  </si>
  <si>
    <r>
      <rPr>
        <sz val="10"/>
        <rFont val="宋体"/>
        <family val="3"/>
        <charset val="134"/>
      </rPr>
      <t>项目   坑石方开挖（坑口面积20-50m</t>
    </r>
    <r>
      <rPr>
        <vertAlign val="superscript"/>
        <sz val="10"/>
        <rFont val="宋体"/>
        <family val="3"/>
        <charset val="134"/>
      </rPr>
      <t>2</t>
    </r>
    <r>
      <rPr>
        <sz val="10"/>
        <rFont val="宋体"/>
        <family val="3"/>
        <charset val="134"/>
      </rPr>
      <t>）</t>
    </r>
  </si>
  <si>
    <t>项目   平洞石方开挖</t>
  </si>
  <si>
    <t>轴流通风机14KW</t>
  </si>
  <si>
    <t>项目   人工装石渣手扶式拖拉机运输</t>
  </si>
  <si>
    <t>2390+2395*2</t>
  </si>
  <si>
    <t>洞内运输人工、机械乘以1.45的系数</t>
  </si>
  <si>
    <r>
      <rPr>
        <sz val="10"/>
        <rFont val="宋体"/>
        <family val="3"/>
        <charset val="134"/>
      </rPr>
      <t>手扶式拖拉机</t>
    </r>
    <r>
      <rPr>
        <sz val="10"/>
        <rFont val="Times New Roman"/>
        <family val="1"/>
      </rPr>
      <t>11KW</t>
    </r>
  </si>
  <si>
    <t>项目   植苗造林（灌木）</t>
  </si>
  <si>
    <t>08096</t>
  </si>
  <si>
    <t>灌木</t>
  </si>
  <si>
    <t>株</t>
  </si>
  <si>
    <t>项目   植苗造林（乔木）</t>
  </si>
  <si>
    <t>08090</t>
  </si>
  <si>
    <t>单  价  表</t>
  </si>
  <si>
    <t>红豆草种植措施  工程</t>
  </si>
  <si>
    <r>
      <rPr>
        <sz val="10"/>
        <rFont val="宋体"/>
        <family val="3"/>
        <charset val="134"/>
      </rPr>
      <t>定额编号：</t>
    </r>
    <r>
      <rPr>
        <sz val="10"/>
        <rFont val="Times New Roman"/>
        <family val="1"/>
      </rPr>
      <t>08052</t>
    </r>
  </si>
  <si>
    <r>
      <rPr>
        <sz val="10"/>
        <rFont val="宋体"/>
        <family val="3"/>
        <charset val="134"/>
      </rPr>
      <t>定额单位:hm</t>
    </r>
    <r>
      <rPr>
        <vertAlign val="superscript"/>
        <sz val="10"/>
        <rFont val="宋体"/>
        <family val="3"/>
        <charset val="134"/>
      </rPr>
      <t>2</t>
    </r>
  </si>
  <si>
    <t>工作内容:</t>
  </si>
  <si>
    <t>单价</t>
  </si>
  <si>
    <t>合价</t>
  </si>
  <si>
    <t>（一）</t>
  </si>
  <si>
    <t>草籽</t>
  </si>
  <si>
    <t>机械</t>
  </si>
  <si>
    <t>（二）</t>
  </si>
  <si>
    <t>（三）</t>
  </si>
  <si>
    <t>扩大</t>
  </si>
  <si>
    <t xml:space="preserve">               PVC-U管材价格表</t>
  </si>
  <si>
    <t xml:space="preserve">                                              PVC-U管材重量表   </t>
  </si>
  <si>
    <t>单位：kg/m</t>
  </si>
  <si>
    <t>单价:</t>
  </si>
  <si>
    <t>元/t</t>
  </si>
  <si>
    <t>单位:元/km</t>
  </si>
  <si>
    <t>单位:元/m</t>
  </si>
  <si>
    <r>
      <rPr>
        <b/>
        <sz val="11"/>
        <rFont val="宋体"/>
        <family val="3"/>
        <charset val="134"/>
      </rPr>
      <t>公称外径</t>
    </r>
    <r>
      <rPr>
        <b/>
        <sz val="11"/>
        <rFont val="Times New Roman"/>
        <family val="1"/>
      </rPr>
      <t>(dn)</t>
    </r>
  </si>
  <si>
    <r>
      <rPr>
        <b/>
        <sz val="11"/>
        <rFont val="宋体"/>
        <family val="3"/>
        <charset val="134"/>
      </rPr>
      <t>公</t>
    </r>
    <r>
      <rPr>
        <b/>
        <sz val="11"/>
        <rFont val="Times New Roman"/>
        <family val="1"/>
      </rPr>
      <t xml:space="preserve">        </t>
    </r>
    <r>
      <rPr>
        <b/>
        <sz val="11"/>
        <rFont val="宋体"/>
        <family val="3"/>
        <charset val="134"/>
      </rPr>
      <t>称</t>
    </r>
    <r>
      <rPr>
        <b/>
        <sz val="11"/>
        <rFont val="Times New Roman"/>
        <family val="1"/>
      </rPr>
      <t xml:space="preserve">    </t>
    </r>
    <r>
      <rPr>
        <b/>
        <sz val="11"/>
        <rFont val="宋体"/>
        <family val="3"/>
        <charset val="134"/>
      </rPr>
      <t>压</t>
    </r>
    <r>
      <rPr>
        <b/>
        <sz val="11"/>
        <rFont val="Times New Roman"/>
        <family val="1"/>
      </rPr>
      <t xml:space="preserve">       </t>
    </r>
    <r>
      <rPr>
        <b/>
        <sz val="11"/>
        <rFont val="宋体"/>
        <family val="3"/>
        <charset val="134"/>
      </rPr>
      <t>力</t>
    </r>
  </si>
  <si>
    <t>公 称外径(dn)</t>
  </si>
  <si>
    <t>公        称    压       力</t>
  </si>
  <si>
    <t>0.32Mpa</t>
  </si>
  <si>
    <t>0.63Mpa</t>
  </si>
  <si>
    <t>0.8 Mpa</t>
  </si>
  <si>
    <t>1.0 Mpa</t>
  </si>
  <si>
    <t>1.25Mpa</t>
  </si>
  <si>
    <t>1.6 Mpa</t>
  </si>
  <si>
    <t>2.0 Mpa</t>
  </si>
  <si>
    <t>2.5 Mpa</t>
  </si>
  <si>
    <t>￠20</t>
  </si>
  <si>
    <t>￠25</t>
  </si>
  <si>
    <t>￠32</t>
  </si>
  <si>
    <t>￠40</t>
  </si>
  <si>
    <t>￠50</t>
  </si>
  <si>
    <t>￠63</t>
  </si>
  <si>
    <t>￠75</t>
  </si>
  <si>
    <t>￠90</t>
  </si>
  <si>
    <t>￠110</t>
  </si>
  <si>
    <t>￠125</t>
  </si>
  <si>
    <t>￠140</t>
  </si>
  <si>
    <t>￠160</t>
  </si>
  <si>
    <t>￠180</t>
  </si>
  <si>
    <t>￠200</t>
  </si>
  <si>
    <t>￠225</t>
  </si>
  <si>
    <t>￠250</t>
  </si>
  <si>
    <t>￠280</t>
  </si>
  <si>
    <t>￠315</t>
  </si>
  <si>
    <t>￠355</t>
  </si>
  <si>
    <t>￠400</t>
  </si>
  <si>
    <t>￠450</t>
  </si>
  <si>
    <t>￠500</t>
  </si>
  <si>
    <t xml:space="preserve">                      PVC-U管材价格表</t>
  </si>
  <si>
    <r>
      <rPr>
        <sz val="10.5"/>
        <rFont val="Times New Roman"/>
        <family val="1"/>
      </rPr>
      <t xml:space="preserve"> </t>
    </r>
    <r>
      <rPr>
        <b/>
        <sz val="12"/>
        <rFont val="宋体"/>
        <family val="3"/>
        <charset val="134"/>
      </rPr>
      <t>单位</t>
    </r>
    <r>
      <rPr>
        <sz val="12"/>
        <rFont val="宋体"/>
        <family val="3"/>
        <charset val="134"/>
      </rPr>
      <t>：元</t>
    </r>
    <r>
      <rPr>
        <sz val="12"/>
        <rFont val="Times New Roman"/>
        <family val="1"/>
      </rPr>
      <t>/</t>
    </r>
    <r>
      <rPr>
        <sz val="12"/>
        <rFont val="宋体"/>
        <family val="3"/>
        <charset val="134"/>
      </rPr>
      <t>米</t>
    </r>
  </si>
  <si>
    <t xml:space="preserve"> 附表：            工程取费表</t>
  </si>
  <si>
    <t xml:space="preserve">     按照《宁夏水利工程设计概估算编制规定（试行）》编制估算，取费分中型及小型取费两档标准，本次工程取费执行小型工程取费标准。具体取费标准如下表：</t>
  </si>
  <si>
    <t xml:space="preserve">                  小 型 取 费 表（低值）</t>
  </si>
  <si>
    <r>
      <rPr>
        <sz val="10"/>
        <rFont val="宋体"/>
        <family val="3"/>
        <charset val="134"/>
      </rPr>
      <t>名</t>
    </r>
    <r>
      <rPr>
        <sz val="10"/>
        <rFont val="Times New Roman"/>
        <family val="1"/>
      </rPr>
      <t xml:space="preserve">   </t>
    </r>
    <r>
      <rPr>
        <sz val="10"/>
        <rFont val="宋体"/>
        <family val="3"/>
        <charset val="134"/>
      </rPr>
      <t>称</t>
    </r>
  </si>
  <si>
    <t>利润</t>
  </si>
  <si>
    <r>
      <rPr>
        <sz val="10"/>
        <rFont val="宋体"/>
        <family val="3"/>
        <charset val="134"/>
      </rPr>
      <t>税</t>
    </r>
    <r>
      <rPr>
        <sz val="10"/>
        <rFont val="Times New Roman"/>
        <family val="1"/>
      </rPr>
      <t xml:space="preserve">   </t>
    </r>
    <r>
      <rPr>
        <sz val="10"/>
        <rFont val="宋体"/>
        <family val="3"/>
        <charset val="134"/>
      </rPr>
      <t>金</t>
    </r>
  </si>
  <si>
    <t>备注</t>
  </si>
  <si>
    <t>土方工程</t>
  </si>
  <si>
    <t>石方工程</t>
  </si>
  <si>
    <t>砌石工程</t>
  </si>
  <si>
    <t>混凝土工程</t>
  </si>
  <si>
    <t>钢筋工程</t>
  </si>
  <si>
    <t>钻孔灌浆及锚固工程</t>
  </si>
  <si>
    <t>疏浚工程</t>
  </si>
  <si>
    <t>机电金结设备安装工程</t>
  </si>
  <si>
    <t>其他工程</t>
  </si>
  <si>
    <t>型号</t>
  </si>
  <si>
    <r>
      <rPr>
        <sz val="9"/>
        <color rgb="FF000000"/>
        <rFont val="宋体"/>
        <family val="3"/>
        <charset val="134"/>
      </rPr>
      <t>流量(m</t>
    </r>
    <r>
      <rPr>
        <vertAlign val="superscript"/>
        <sz val="9"/>
        <color rgb="FF000000"/>
        <rFont val="宋体"/>
        <family val="3"/>
        <charset val="134"/>
      </rPr>
      <t>3</t>
    </r>
    <r>
      <rPr>
        <sz val="9"/>
        <color rgb="FF000000"/>
        <rFont val="宋体"/>
        <family val="3"/>
        <charset val="134"/>
      </rPr>
      <t>/h)</t>
    </r>
  </si>
  <si>
    <t>扬程(m)</t>
  </si>
  <si>
    <t>单机功率(KW)</t>
  </si>
  <si>
    <t>效率(%)</t>
  </si>
  <si>
    <t>水泵数量(台)</t>
  </si>
  <si>
    <t>绿地宝加压泵站</t>
  </si>
  <si>
    <t>DFG65-250/2/11</t>
  </si>
  <si>
    <t>合力达奶牛养殖场及华奥集团供水加压泵站（更换水泵）</t>
  </si>
  <si>
    <t>DFG100-250/2/37</t>
  </si>
  <si>
    <t>华奥集团供水加压泵站及供水泵站</t>
  </si>
  <si>
    <t>DFG80-250/2/22</t>
  </si>
  <si>
    <t>DFG100-125A/2/7.5</t>
  </si>
  <si>
    <t>DFG40-125A/2/0.75</t>
  </si>
  <si>
    <t>乐汇奶牛养殖场供水加压泵站及供水泵站</t>
  </si>
  <si>
    <t>项目名称：大河乡渠道维修项目概算表</t>
    <phoneticPr fontId="79" type="noConversion"/>
  </si>
  <si>
    <t>总概算表</t>
    <phoneticPr fontId="79" type="noConversion"/>
  </si>
  <si>
    <t>概算总投资</t>
    <phoneticPr fontId="79" type="noConversion"/>
  </si>
</sst>
</file>

<file path=xl/styles.xml><?xml version="1.0" encoding="utf-8"?>
<styleSheet xmlns="http://schemas.openxmlformats.org/spreadsheetml/2006/main">
  <numFmts count="14">
    <numFmt numFmtId="43" formatCode="_ * #,##0.00_ ;_ * \-#,##0.00_ ;_ * &quot;-&quot;??_ ;_ @_ "/>
    <numFmt numFmtId="176" formatCode="0.00;_耀"/>
    <numFmt numFmtId="177" formatCode="0.000_ "/>
    <numFmt numFmtId="178" formatCode="0_ "/>
    <numFmt numFmtId="179" formatCode="0.0_ "/>
    <numFmt numFmtId="180" formatCode="0.00_);[Red]\(0.00\)"/>
    <numFmt numFmtId="181" formatCode="0_);[Red]\(0\)"/>
    <numFmt numFmtId="182" formatCode="0.00_ "/>
    <numFmt numFmtId="183" formatCode="0;_㰀"/>
    <numFmt numFmtId="184" formatCode="0.00;_吀"/>
    <numFmt numFmtId="185" formatCode="0;_렀"/>
    <numFmt numFmtId="186" formatCode="0.000_);[Red]\(0.000\)"/>
    <numFmt numFmtId="187" formatCode="0.0_);[Red]\(0.0\)"/>
    <numFmt numFmtId="188" formatCode="0.0"/>
  </numFmts>
  <fonts count="83">
    <font>
      <sz val="12"/>
      <name val="宋体"/>
      <charset val="134"/>
    </font>
    <font>
      <sz val="9"/>
      <color rgb="FF000000"/>
      <name val="宋体"/>
      <family val="3"/>
      <charset val="134"/>
    </font>
    <font>
      <sz val="10.5"/>
      <name val="Calibri"/>
      <family val="2"/>
    </font>
    <font>
      <sz val="11"/>
      <name val="宋体"/>
      <family val="3"/>
      <charset val="134"/>
    </font>
    <font>
      <b/>
      <sz val="14"/>
      <name val="宋体"/>
      <family val="3"/>
      <charset val="134"/>
    </font>
    <font>
      <sz val="10"/>
      <name val="宋体"/>
      <family val="3"/>
      <charset val="134"/>
    </font>
    <font>
      <sz val="12"/>
      <name val="Times New Roman"/>
      <family val="1"/>
    </font>
    <font>
      <b/>
      <sz val="11"/>
      <name val="宋体"/>
      <family val="3"/>
      <charset val="134"/>
    </font>
    <font>
      <b/>
      <sz val="11"/>
      <name val="Times New Roman"/>
      <family val="1"/>
    </font>
    <font>
      <sz val="11"/>
      <name val="Times New Roman"/>
      <family val="1"/>
    </font>
    <font>
      <sz val="10.5"/>
      <name val="宋体"/>
      <family val="3"/>
      <charset val="134"/>
    </font>
    <font>
      <b/>
      <sz val="18"/>
      <name val="Times New Roman"/>
      <family val="1"/>
    </font>
    <font>
      <sz val="10.5"/>
      <name val="Times New Roman"/>
      <family val="1"/>
    </font>
    <font>
      <sz val="9"/>
      <color indexed="8"/>
      <name val="宋体"/>
      <family val="3"/>
      <charset val="134"/>
    </font>
    <font>
      <sz val="10"/>
      <name val="Times New Roman"/>
      <family val="1"/>
    </font>
    <font>
      <sz val="14"/>
      <name val="宋体"/>
      <family val="3"/>
      <charset val="134"/>
    </font>
    <font>
      <u/>
      <sz val="16"/>
      <name val="黑体"/>
      <family val="3"/>
      <charset val="134"/>
    </font>
    <font>
      <u/>
      <sz val="20"/>
      <name val="黑体"/>
      <family val="3"/>
      <charset val="134"/>
    </font>
    <font>
      <u/>
      <sz val="12"/>
      <name val="Times New Roman"/>
      <family val="1"/>
    </font>
    <font>
      <u/>
      <sz val="18"/>
      <name val="黑体"/>
      <family val="3"/>
      <charset val="134"/>
    </font>
    <font>
      <b/>
      <sz val="10"/>
      <name val="宋体"/>
      <family val="3"/>
      <charset val="134"/>
    </font>
    <font>
      <sz val="10"/>
      <name val="黑体"/>
      <family val="3"/>
      <charset val="134"/>
    </font>
    <font>
      <b/>
      <sz val="16"/>
      <color indexed="8"/>
      <name val="宋体"/>
      <family val="3"/>
      <charset val="134"/>
    </font>
    <font>
      <sz val="9"/>
      <color indexed="8"/>
      <name val="仿宋_GB2312"/>
      <family val="3"/>
      <charset val="134"/>
    </font>
    <font>
      <sz val="10"/>
      <color indexed="10"/>
      <name val="宋体"/>
      <family val="3"/>
      <charset val="134"/>
    </font>
    <font>
      <sz val="8"/>
      <name val="宋体"/>
      <family val="3"/>
      <charset val="134"/>
    </font>
    <font>
      <sz val="12"/>
      <color indexed="10"/>
      <name val="宋体"/>
      <family val="3"/>
      <charset val="134"/>
    </font>
    <font>
      <u/>
      <sz val="10"/>
      <name val="宋体"/>
      <family val="3"/>
      <charset val="134"/>
    </font>
    <font>
      <sz val="16"/>
      <name val="黑体"/>
      <family val="3"/>
      <charset val="134"/>
    </font>
    <font>
      <u/>
      <sz val="10.5"/>
      <name val="Times New Roman"/>
      <family val="1"/>
    </font>
    <font>
      <sz val="9"/>
      <name val="宋体"/>
      <family val="3"/>
      <charset val="134"/>
    </font>
    <font>
      <sz val="9"/>
      <name val="Times New Roman"/>
      <family val="1"/>
    </font>
    <font>
      <b/>
      <sz val="10"/>
      <name val="Times New Roman"/>
      <family val="1"/>
    </font>
    <font>
      <sz val="14"/>
      <name val="黑体"/>
      <family val="3"/>
      <charset val="134"/>
    </font>
    <font>
      <b/>
      <sz val="10"/>
      <color theme="1"/>
      <name val="Times New Roman"/>
      <family val="1"/>
    </font>
    <font>
      <sz val="10"/>
      <color theme="1"/>
      <name val="Times New Roman"/>
      <family val="1"/>
    </font>
    <font>
      <sz val="10"/>
      <color theme="1"/>
      <name val="宋体"/>
      <family val="3"/>
      <charset val="134"/>
    </font>
    <font>
      <sz val="11"/>
      <color theme="1"/>
      <name val="宋体"/>
      <family val="3"/>
      <charset val="134"/>
      <scheme val="minor"/>
    </font>
    <font>
      <b/>
      <sz val="11"/>
      <color theme="1"/>
      <name val="Tahoma"/>
      <family val="2"/>
    </font>
    <font>
      <sz val="11"/>
      <color indexed="8"/>
      <name val="宋体"/>
      <family val="3"/>
      <charset val="134"/>
    </font>
    <font>
      <sz val="11"/>
      <color indexed="60"/>
      <name val="宋体"/>
      <family val="3"/>
      <charset val="134"/>
    </font>
    <font>
      <sz val="11"/>
      <color indexed="20"/>
      <name val="宋体"/>
      <family val="3"/>
      <charset val="134"/>
    </font>
    <font>
      <b/>
      <sz val="15"/>
      <color indexed="56"/>
      <name val="宋体"/>
      <family val="3"/>
      <charset val="134"/>
    </font>
    <font>
      <b/>
      <sz val="13"/>
      <color indexed="56"/>
      <name val="宋体"/>
      <family val="3"/>
      <charset val="134"/>
    </font>
    <font>
      <sz val="11"/>
      <color indexed="9"/>
      <name val="宋体"/>
      <family val="3"/>
      <charset val="134"/>
    </font>
    <font>
      <sz val="11"/>
      <color rgb="FF9C0006"/>
      <name val="宋体"/>
      <family val="3"/>
      <charset val="134"/>
      <scheme val="minor"/>
    </font>
    <font>
      <i/>
      <sz val="11"/>
      <color indexed="23"/>
      <name val="宋体"/>
      <family val="3"/>
      <charset val="134"/>
    </font>
    <font>
      <sz val="12"/>
      <name val="宋体"/>
      <family val="3"/>
      <charset val="134"/>
      <scheme val="minor"/>
    </font>
    <font>
      <b/>
      <sz val="11"/>
      <color indexed="56"/>
      <name val="宋体"/>
      <family val="3"/>
      <charset val="134"/>
    </font>
    <font>
      <sz val="11"/>
      <color indexed="62"/>
      <name val="宋体"/>
      <family val="3"/>
      <charset val="134"/>
    </font>
    <font>
      <b/>
      <sz val="11"/>
      <color indexed="52"/>
      <name val="宋体"/>
      <family val="3"/>
      <charset val="134"/>
    </font>
    <font>
      <b/>
      <sz val="11"/>
      <color indexed="9"/>
      <name val="宋体"/>
      <family val="3"/>
      <charset val="134"/>
    </font>
    <font>
      <b/>
      <sz val="11"/>
      <color indexed="8"/>
      <name val="宋体"/>
      <family val="3"/>
      <charset val="134"/>
    </font>
    <font>
      <sz val="11"/>
      <color indexed="52"/>
      <name val="宋体"/>
      <family val="3"/>
      <charset val="134"/>
    </font>
    <font>
      <sz val="11"/>
      <color rgb="FF9C6500"/>
      <name val="宋体"/>
      <family val="3"/>
      <charset val="134"/>
      <scheme val="minor"/>
    </font>
    <font>
      <sz val="11"/>
      <color indexed="17"/>
      <name val="宋体"/>
      <family val="3"/>
      <charset val="134"/>
    </font>
    <font>
      <sz val="11"/>
      <color indexed="10"/>
      <name val="宋体"/>
      <family val="3"/>
      <charset val="134"/>
    </font>
    <font>
      <sz val="11"/>
      <color theme="1"/>
      <name val="Tahoma"/>
      <family val="2"/>
    </font>
    <font>
      <b/>
      <sz val="18"/>
      <color indexed="56"/>
      <name val="黑体"/>
      <family val="3"/>
      <charset val="134"/>
    </font>
    <font>
      <b/>
      <sz val="18"/>
      <color indexed="56"/>
      <name val="宋体"/>
      <family val="3"/>
      <charset val="134"/>
    </font>
    <font>
      <b/>
      <sz val="11"/>
      <color indexed="63"/>
      <name val="宋体"/>
      <family val="3"/>
      <charset val="134"/>
    </font>
    <font>
      <sz val="10"/>
      <name val="Geneva"/>
      <family val="1"/>
    </font>
    <font>
      <sz val="11"/>
      <color rgb="FF006100"/>
      <name val="宋体"/>
      <family val="3"/>
      <charset val="134"/>
      <scheme val="minor"/>
    </font>
    <font>
      <vertAlign val="superscript"/>
      <sz val="9"/>
      <color rgb="FF000000"/>
      <name val="宋体"/>
      <family val="3"/>
      <charset val="134"/>
    </font>
    <font>
      <b/>
      <sz val="12"/>
      <name val="宋体"/>
      <family val="3"/>
      <charset val="134"/>
    </font>
    <font>
      <b/>
      <sz val="14"/>
      <name val="Times New Roman"/>
      <family val="1"/>
    </font>
    <font>
      <b/>
      <sz val="14"/>
      <name val="黑体"/>
      <family val="3"/>
      <charset val="134"/>
    </font>
    <font>
      <vertAlign val="superscript"/>
      <sz val="10"/>
      <name val="宋体"/>
      <family val="3"/>
      <charset val="134"/>
    </font>
    <font>
      <sz val="14"/>
      <name val="Times New Roman"/>
      <family val="1"/>
    </font>
    <font>
      <u/>
      <sz val="16"/>
      <name val="Times New Roman"/>
      <family val="1"/>
    </font>
    <font>
      <u/>
      <sz val="12"/>
      <name val="宋体"/>
      <family val="3"/>
      <charset val="134"/>
    </font>
    <font>
      <u/>
      <sz val="18"/>
      <name val="Times New Roman"/>
      <family val="1"/>
    </font>
    <font>
      <sz val="9"/>
      <name val="仿宋_GB2312"/>
      <family val="3"/>
      <charset val="134"/>
    </font>
    <font>
      <vertAlign val="superscript"/>
      <sz val="10.5"/>
      <name val="Times New Roman"/>
      <family val="1"/>
    </font>
    <font>
      <vertAlign val="superscript"/>
      <sz val="10.5"/>
      <name val="宋体"/>
      <family val="3"/>
      <charset val="134"/>
    </font>
    <font>
      <vertAlign val="superscript"/>
      <sz val="9"/>
      <name val="宋体"/>
      <family val="3"/>
      <charset val="134"/>
    </font>
    <font>
      <b/>
      <sz val="10"/>
      <color indexed="8"/>
      <name val="宋体"/>
      <family val="3"/>
      <charset val="134"/>
    </font>
    <font>
      <vertAlign val="superscript"/>
      <sz val="10"/>
      <name val="Times New Roman"/>
      <family val="1"/>
    </font>
    <font>
      <b/>
      <vertAlign val="superscript"/>
      <sz val="10"/>
      <name val="宋体"/>
      <family val="3"/>
      <charset val="134"/>
    </font>
    <font>
      <sz val="9"/>
      <name val="宋体"/>
      <family val="3"/>
      <charset val="134"/>
    </font>
    <font>
      <b/>
      <sz val="9"/>
      <name val="宋体"/>
      <family val="3"/>
      <charset val="134"/>
    </font>
    <font>
      <sz val="12"/>
      <name val="宋体"/>
      <family val="3"/>
      <charset val="134"/>
    </font>
    <font>
      <sz val="14"/>
      <name val="黑体"/>
      <family val="3"/>
      <charset val="134"/>
    </font>
  </fonts>
  <fills count="35">
    <fill>
      <patternFill patternType="none"/>
    </fill>
    <fill>
      <patternFill patternType="gray125"/>
    </fill>
    <fill>
      <patternFill patternType="solid">
        <fgColor indexed="14"/>
        <bgColor indexed="64"/>
      </patternFill>
    </fill>
    <fill>
      <patternFill patternType="solid">
        <fgColor indexed="43"/>
        <bgColor indexed="64"/>
      </patternFill>
    </fill>
    <fill>
      <patternFill patternType="solid">
        <fgColor indexed="13"/>
        <bgColor indexed="64"/>
      </patternFill>
    </fill>
    <fill>
      <patternFill patternType="solid">
        <fgColor indexed="47"/>
        <bgColor indexed="64"/>
      </patternFill>
    </fill>
    <fill>
      <patternFill patternType="solid">
        <fgColor indexed="41"/>
        <bgColor indexed="64"/>
      </patternFill>
    </fill>
    <fill>
      <patternFill patternType="solid">
        <fgColor indexed="11"/>
        <bgColor indexed="64"/>
      </patternFill>
    </fill>
    <fill>
      <patternFill patternType="solid">
        <fgColor theme="0"/>
        <bgColor indexed="64"/>
      </patternFill>
    </fill>
    <fill>
      <patternFill patternType="solid">
        <fgColor rgb="FFFFFF00"/>
        <bgColor indexed="64"/>
      </patternFill>
    </fill>
    <fill>
      <patternFill patternType="solid">
        <fgColor indexed="22"/>
        <bgColor indexed="64"/>
      </patternFill>
    </fill>
    <fill>
      <patternFill patternType="solid">
        <fgColor indexed="9"/>
        <bgColor indexed="64"/>
      </patternFill>
    </fill>
    <fill>
      <patternFill patternType="solid">
        <fgColor indexed="26"/>
        <bgColor indexed="64"/>
      </patternFill>
    </fill>
    <fill>
      <patternFill patternType="solid">
        <fgColor indexed="45"/>
        <bgColor indexed="64"/>
      </patternFill>
    </fill>
    <fill>
      <patternFill patternType="solid">
        <fgColor rgb="FFFFC7CE"/>
        <bgColor indexed="64"/>
      </patternFill>
    </fill>
    <fill>
      <patternFill patternType="solid">
        <fgColor indexed="31"/>
        <bgColor indexed="64"/>
      </patternFill>
    </fill>
    <fill>
      <patternFill patternType="solid">
        <fgColor indexed="29"/>
        <bgColor indexed="64"/>
      </patternFill>
    </fill>
    <fill>
      <patternFill patternType="solid">
        <fgColor rgb="FFC6EFCE"/>
        <bgColor indexed="64"/>
      </patternFill>
    </fill>
    <fill>
      <patternFill patternType="solid">
        <fgColor rgb="FFFFEB9C"/>
        <bgColor indexed="64"/>
      </patternFill>
    </fill>
    <fill>
      <patternFill patternType="solid">
        <fgColor indexed="27"/>
        <bgColor indexed="64"/>
      </patternFill>
    </fill>
    <fill>
      <patternFill patternType="solid">
        <fgColor indexed="57"/>
        <bgColor indexed="64"/>
      </patternFill>
    </fill>
    <fill>
      <patternFill patternType="solid">
        <fgColor indexed="55"/>
        <bgColor indexed="64"/>
      </patternFill>
    </fill>
    <fill>
      <patternFill patternType="solid">
        <fgColor indexed="53"/>
        <bgColor indexed="64"/>
      </patternFill>
    </fill>
    <fill>
      <patternFill patternType="solid">
        <fgColor indexed="54"/>
        <bgColor indexed="64"/>
      </patternFill>
    </fill>
    <fill>
      <patternFill patternType="solid">
        <fgColor indexed="44"/>
        <bgColor indexed="64"/>
      </patternFill>
    </fill>
    <fill>
      <patternFill patternType="solid">
        <fgColor indexed="46"/>
        <bgColor indexed="64"/>
      </patternFill>
    </fill>
    <fill>
      <patternFill patternType="solid">
        <fgColor indexed="51"/>
        <bgColor indexed="64"/>
      </patternFill>
    </fill>
    <fill>
      <patternFill patternType="solid">
        <fgColor indexed="42"/>
        <bgColor indexed="64"/>
      </patternFill>
    </fill>
    <fill>
      <patternFill patternType="solid">
        <fgColor indexed="52"/>
        <bgColor indexed="64"/>
      </patternFill>
    </fill>
    <fill>
      <patternFill patternType="solid">
        <fgColor indexed="50"/>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62"/>
        <bgColor indexed="64"/>
      </patternFill>
    </fill>
    <fill>
      <patternFill patternType="solid">
        <fgColor indexed="10"/>
        <bgColor indexed="64"/>
      </patternFill>
    </fill>
  </fills>
  <borders count="4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bottom style="thin">
        <color auto="1"/>
      </bottom>
      <diagonal/>
    </border>
    <border>
      <left/>
      <right/>
      <top style="thin">
        <color auto="1"/>
      </top>
      <bottom/>
      <diagonal/>
    </border>
    <border>
      <left style="thin">
        <color indexed="8"/>
      </left>
      <right style="thin">
        <color indexed="8"/>
      </right>
      <top style="thin">
        <color indexed="8"/>
      </top>
      <bottom style="thin">
        <color indexed="8"/>
      </bottom>
      <diagonal/>
    </border>
    <border>
      <left/>
      <right/>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top style="thin">
        <color indexed="8"/>
      </top>
      <bottom/>
      <diagonal/>
    </border>
    <border>
      <left style="thin">
        <color indexed="8"/>
      </left>
      <right style="thin">
        <color indexed="8"/>
      </right>
      <top/>
      <bottom style="thin">
        <color indexed="8"/>
      </bottom>
      <diagonal/>
    </border>
    <border>
      <left style="thin">
        <color indexed="8"/>
      </left>
      <right/>
      <top style="thin">
        <color indexed="8"/>
      </top>
      <bottom style="thin">
        <color indexed="8"/>
      </bottom>
      <diagonal/>
    </border>
    <border>
      <left/>
      <right style="thin">
        <color indexed="8"/>
      </right>
      <top style="thin">
        <color indexed="8"/>
      </top>
      <bottom style="thin">
        <color indexed="8"/>
      </bottom>
      <diagonal/>
    </border>
    <border>
      <left/>
      <right style="thin">
        <color indexed="8"/>
      </right>
      <top style="thin">
        <color indexed="8"/>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thin">
        <color auto="1"/>
      </left>
      <right/>
      <top/>
      <bottom/>
      <diagonal/>
    </border>
    <border>
      <left/>
      <right style="thin">
        <color auto="1"/>
      </right>
      <top style="thin">
        <color auto="1"/>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medium">
        <color auto="1"/>
      </left>
      <right/>
      <top/>
      <bottom style="medium">
        <color auto="1"/>
      </bottom>
      <diagonal/>
    </border>
    <border>
      <left/>
      <right/>
      <top/>
      <bottom style="thick">
        <color indexed="50"/>
      </bottom>
      <diagonal/>
    </border>
    <border>
      <left/>
      <right/>
      <top/>
      <bottom style="thick">
        <color indexed="43"/>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medium">
        <color indexed="13"/>
      </bottom>
      <diagonal/>
    </border>
    <border>
      <left/>
      <right/>
      <top style="thin">
        <color indexed="50"/>
      </top>
      <bottom style="double">
        <color indexed="5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42184">
    <xf numFmtId="0" fontId="0" fillId="0" borderId="0"/>
    <xf numFmtId="0" fontId="81" fillId="0" borderId="0" applyBorder="0">
      <alignment vertical="center"/>
    </xf>
    <xf numFmtId="0" fontId="81" fillId="0" borderId="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39" fillId="11" borderId="0" applyNumberFormat="0" applyBorder="0" applyAlignment="0" applyProtection="0">
      <alignment vertical="center"/>
    </xf>
    <xf numFmtId="0" fontId="39" fillId="3"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39" fillId="5"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39" fillId="3" borderId="0" applyNumberFormat="0" applyBorder="0" applyAlignment="0" applyProtection="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xf numFmtId="0" fontId="81" fillId="0" borderId="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39" fillId="11"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xf numFmtId="0" fontId="81" fillId="0" borderId="0">
      <alignment vertical="center"/>
    </xf>
    <xf numFmtId="0" fontId="39" fillId="11" borderId="0" applyNumberFormat="0" applyBorder="0" applyAlignment="0" applyProtection="0">
      <alignment vertical="center"/>
    </xf>
    <xf numFmtId="0" fontId="81" fillId="0" borderId="0">
      <alignment vertical="center"/>
    </xf>
    <xf numFmtId="0" fontId="81" fillId="0" borderId="0" applyBorder="0">
      <alignment vertical="center"/>
    </xf>
    <xf numFmtId="9" fontId="81" fillId="0" borderId="0" applyFont="0" applyFill="0" applyBorder="0" applyAlignment="0" applyProtection="0"/>
    <xf numFmtId="0" fontId="81" fillId="0" borderId="0" applyBorder="0">
      <alignment vertical="center"/>
    </xf>
    <xf numFmtId="0" fontId="39" fillId="5" borderId="0" applyNumberFormat="0" applyBorder="0" applyAlignment="0" applyProtection="0">
      <alignment vertical="center"/>
    </xf>
    <xf numFmtId="0" fontId="81" fillId="0" borderId="0" applyBorder="0">
      <alignment vertical="center"/>
    </xf>
    <xf numFmtId="0" fontId="39" fillId="0" borderId="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39" fillId="3"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81" fillId="0" borderId="0"/>
    <xf numFmtId="0" fontId="81" fillId="0" borderId="0">
      <alignment vertical="center"/>
    </xf>
    <xf numFmtId="0" fontId="81" fillId="0" borderId="0">
      <alignment vertical="center"/>
    </xf>
    <xf numFmtId="0" fontId="39" fillId="12" borderId="0" applyNumberFormat="0" applyBorder="0" applyAlignment="0" applyProtection="0">
      <alignment vertical="center"/>
    </xf>
    <xf numFmtId="0" fontId="39" fillId="11" borderId="0" applyNumberFormat="0" applyBorder="0" applyAlignment="0" applyProtection="0">
      <alignment vertical="center"/>
    </xf>
    <xf numFmtId="0" fontId="81" fillId="0" borderId="0">
      <alignment vertical="center"/>
    </xf>
    <xf numFmtId="0" fontId="81" fillId="0" borderId="0"/>
    <xf numFmtId="0" fontId="81" fillId="0" borderId="0"/>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xf numFmtId="0" fontId="39" fillId="5"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5" borderId="0" applyNumberFormat="0" applyBorder="0" applyAlignment="0" applyProtection="0">
      <alignment vertical="center"/>
    </xf>
    <xf numFmtId="0" fontId="39" fillId="11" borderId="0" applyNumberFormat="0" applyBorder="0" applyAlignment="0" applyProtection="0">
      <alignment vertical="center"/>
    </xf>
    <xf numFmtId="0" fontId="39" fillId="12" borderId="0" applyNumberFormat="0" applyBorder="0" applyAlignment="0" applyProtection="0">
      <alignment vertical="center"/>
    </xf>
    <xf numFmtId="0" fontId="81" fillId="0" borderId="0"/>
    <xf numFmtId="0" fontId="39" fillId="3"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39" fillId="5" borderId="0" applyNumberFormat="0" applyBorder="0" applyAlignment="0" applyProtection="0">
      <alignment vertical="center"/>
    </xf>
    <xf numFmtId="0" fontId="81" fillId="0" borderId="0">
      <alignment vertical="center"/>
    </xf>
    <xf numFmtId="0" fontId="81" fillId="0" borderId="0" applyBorder="0">
      <alignment vertical="center"/>
    </xf>
    <xf numFmtId="0" fontId="39" fillId="3" borderId="0" applyNumberFormat="0" applyBorder="0" applyAlignment="0" applyProtection="0">
      <alignment vertical="center"/>
    </xf>
    <xf numFmtId="0" fontId="39" fillId="11" borderId="0" applyNumberFormat="0" applyBorder="0" applyAlignment="0" applyProtection="0">
      <alignment vertical="center"/>
    </xf>
    <xf numFmtId="0" fontId="81" fillId="0" borderId="0"/>
    <xf numFmtId="0" fontId="81" fillId="0" borderId="0" applyBorder="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xf numFmtId="0" fontId="39" fillId="11" borderId="0" applyNumberFormat="0" applyBorder="0" applyAlignment="0" applyProtection="0">
      <alignment vertical="center"/>
    </xf>
    <xf numFmtId="0" fontId="81" fillId="0" borderId="0"/>
    <xf numFmtId="0" fontId="81" fillId="0" borderId="0"/>
    <xf numFmtId="0" fontId="81" fillId="0" borderId="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42" fillId="0" borderId="33" applyNumberFormat="0" applyFill="0" applyAlignment="0" applyProtection="0">
      <alignment vertical="center"/>
    </xf>
    <xf numFmtId="0" fontId="81" fillId="0" borderId="0" applyBorder="0">
      <alignment vertical="center"/>
    </xf>
    <xf numFmtId="0" fontId="39" fillId="3" borderId="0" applyNumberFormat="0" applyBorder="0" applyAlignment="0" applyProtection="0">
      <alignment vertical="center"/>
    </xf>
    <xf numFmtId="0" fontId="39" fillId="5" borderId="0" applyNumberFormat="0" applyBorder="0" applyAlignment="0" applyProtection="0">
      <alignment vertical="center"/>
    </xf>
    <xf numFmtId="0" fontId="81" fillId="0" borderId="0" applyBorder="0">
      <alignment vertical="center"/>
    </xf>
    <xf numFmtId="0" fontId="81" fillId="0" borderId="0"/>
    <xf numFmtId="0" fontId="39" fillId="12" borderId="0" applyNumberFormat="0" applyBorder="0" applyAlignment="0" applyProtection="0">
      <alignment vertical="center"/>
    </xf>
    <xf numFmtId="0" fontId="41" fillId="13" borderId="0" applyNumberFormat="0" applyBorder="0" applyAlignment="0" applyProtection="0">
      <alignment vertical="center"/>
    </xf>
    <xf numFmtId="0" fontId="81" fillId="0" borderId="0" applyBorder="0">
      <alignment vertical="center"/>
    </xf>
    <xf numFmtId="0" fontId="39" fillId="3" borderId="0" applyNumberFormat="0" applyBorder="0" applyAlignment="0" applyProtection="0">
      <alignment vertical="center"/>
    </xf>
    <xf numFmtId="0" fontId="81" fillId="0" borderId="0" applyBorder="0">
      <alignment vertical="center"/>
    </xf>
    <xf numFmtId="0" fontId="81" fillId="0" borderId="0"/>
    <xf numFmtId="0" fontId="81" fillId="0" borderId="0"/>
    <xf numFmtId="0" fontId="39" fillId="3" borderId="0" applyNumberFormat="0" applyBorder="0" applyAlignment="0" applyProtection="0">
      <alignment vertical="center"/>
    </xf>
    <xf numFmtId="0" fontId="39" fillId="12"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81" fillId="0" borderId="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xf numFmtId="0" fontId="81" fillId="0" borderId="0"/>
    <xf numFmtId="0" fontId="81" fillId="0" borderId="0" applyBorder="0">
      <alignment vertical="center"/>
    </xf>
    <xf numFmtId="0" fontId="39" fillId="12" borderId="0" applyNumberFormat="0" applyBorder="0" applyAlignment="0" applyProtection="0">
      <alignment vertical="center"/>
    </xf>
    <xf numFmtId="0" fontId="81" fillId="0" borderId="0"/>
    <xf numFmtId="0" fontId="81" fillId="0" borderId="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lignment vertical="center"/>
    </xf>
    <xf numFmtId="0" fontId="81" fillId="0" borderId="0" applyBorder="0">
      <alignment vertical="center"/>
    </xf>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39" fillId="5"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45" fillId="14" borderId="0" applyNumberFormat="0" applyBorder="0" applyAlignment="0" applyProtection="0">
      <alignment vertical="center"/>
    </xf>
    <xf numFmtId="0" fontId="81" fillId="0" borderId="0">
      <alignment vertical="center"/>
    </xf>
    <xf numFmtId="0" fontId="81" fillId="0" borderId="0">
      <alignment vertical="center"/>
    </xf>
    <xf numFmtId="0" fontId="39" fillId="11"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xf numFmtId="0" fontId="81" fillId="0" borderId="0" applyBorder="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xf numFmtId="0" fontId="81" fillId="0" borderId="0" applyBorder="0">
      <alignment vertical="center"/>
    </xf>
    <xf numFmtId="0" fontId="81" fillId="0" borderId="0">
      <alignment vertical="center"/>
    </xf>
    <xf numFmtId="0" fontId="39" fillId="5" borderId="0" applyNumberFormat="0" applyBorder="0" applyAlignment="0" applyProtection="0">
      <alignment vertical="center"/>
    </xf>
    <xf numFmtId="0" fontId="39" fillId="3"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39" fillId="11" borderId="0" applyNumberFormat="0" applyBorder="0" applyAlignment="0" applyProtection="0">
      <alignment vertical="center"/>
    </xf>
    <xf numFmtId="0" fontId="39" fillId="12" borderId="0" applyNumberFormat="0" applyBorder="0" applyAlignment="0" applyProtection="0">
      <alignment vertical="center"/>
    </xf>
    <xf numFmtId="0" fontId="81" fillId="0" borderId="0">
      <alignment vertical="center"/>
    </xf>
    <xf numFmtId="0" fontId="39" fillId="11" borderId="0" applyNumberFormat="0" applyBorder="0" applyAlignment="0" applyProtection="0">
      <alignment vertical="center"/>
    </xf>
    <xf numFmtId="0" fontId="39" fillId="5" borderId="0" applyNumberFormat="0" applyBorder="0" applyAlignment="0" applyProtection="0">
      <alignment vertical="center"/>
    </xf>
    <xf numFmtId="0" fontId="81" fillId="0" borderId="0"/>
    <xf numFmtId="0" fontId="39" fillId="12" borderId="0" applyNumberFormat="0" applyBorder="0" applyAlignment="0" applyProtection="0">
      <alignment vertical="center"/>
    </xf>
    <xf numFmtId="0" fontId="39" fillId="11"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39" fillId="12" borderId="0" applyNumberFormat="0" applyBorder="0" applyAlignment="0" applyProtection="0">
      <alignment vertical="center"/>
    </xf>
    <xf numFmtId="0" fontId="46" fillId="0" borderId="0" applyNumberFormat="0" applyFill="0" applyBorder="0" applyAlignment="0" applyProtection="0">
      <alignment vertical="center"/>
    </xf>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81" fillId="0" borderId="0" applyBorder="0">
      <alignment vertical="center"/>
    </xf>
    <xf numFmtId="0" fontId="81" fillId="0" borderId="0"/>
    <xf numFmtId="0" fontId="81" fillId="0" borderId="0" applyBorder="0">
      <alignment vertical="center"/>
    </xf>
    <xf numFmtId="0" fontId="39" fillId="5" borderId="0" applyNumberFormat="0" applyBorder="0" applyAlignment="0" applyProtection="0">
      <alignment vertical="center"/>
    </xf>
    <xf numFmtId="0" fontId="81" fillId="0" borderId="0"/>
    <xf numFmtId="0" fontId="81" fillId="0" borderId="0">
      <alignment vertical="center"/>
    </xf>
    <xf numFmtId="0" fontId="39" fillId="11"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39" fillId="3" borderId="0" applyNumberFormat="0" applyBorder="0" applyAlignment="0" applyProtection="0">
      <alignment vertical="center"/>
    </xf>
    <xf numFmtId="0" fontId="81" fillId="0" borderId="0"/>
    <xf numFmtId="0" fontId="81" fillId="0" borderId="0" applyBorder="0">
      <alignment vertical="center"/>
    </xf>
    <xf numFmtId="0" fontId="39" fillId="5" borderId="0" applyNumberFormat="0" applyBorder="0" applyAlignment="0" applyProtection="0">
      <alignment vertical="center"/>
    </xf>
    <xf numFmtId="0" fontId="81" fillId="0" borderId="0"/>
    <xf numFmtId="0" fontId="39" fillId="11" borderId="0" applyNumberFormat="0" applyBorder="0" applyAlignment="0" applyProtection="0">
      <alignment vertical="center"/>
    </xf>
    <xf numFmtId="0" fontId="81" fillId="0" borderId="0"/>
    <xf numFmtId="0" fontId="81" fillId="0" borderId="0" applyBorder="0">
      <alignment vertical="center"/>
    </xf>
    <xf numFmtId="0" fontId="39" fillId="12" borderId="0" applyNumberFormat="0" applyBorder="0" applyAlignment="0" applyProtection="0">
      <alignment vertical="center"/>
    </xf>
    <xf numFmtId="0" fontId="39" fillId="5" borderId="0" applyNumberFormat="0" applyBorder="0" applyAlignment="0" applyProtection="0">
      <alignment vertical="center"/>
    </xf>
    <xf numFmtId="9" fontId="81" fillId="0" borderId="0" applyFont="0" applyFill="0" applyBorder="0" applyAlignment="0" applyProtection="0"/>
    <xf numFmtId="0" fontId="39" fillId="12" borderId="0" applyNumberFormat="0" applyBorder="0" applyAlignment="0" applyProtection="0">
      <alignment vertical="center"/>
    </xf>
    <xf numFmtId="0" fontId="39" fillId="3" borderId="0" applyNumberFormat="0" applyBorder="0" applyAlignment="0" applyProtection="0">
      <alignment vertical="center"/>
    </xf>
    <xf numFmtId="0" fontId="81" fillId="0" borderId="0"/>
    <xf numFmtId="0" fontId="81" fillId="0" borderId="0">
      <alignment vertical="center"/>
    </xf>
    <xf numFmtId="0" fontId="39" fillId="11" borderId="0" applyNumberFormat="0" applyBorder="0" applyAlignment="0" applyProtection="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xf numFmtId="0" fontId="81" fillId="0" borderId="0"/>
    <xf numFmtId="0" fontId="81" fillId="0" borderId="0" applyBorder="0">
      <alignment vertical="center"/>
    </xf>
    <xf numFmtId="0" fontId="81" fillId="0" borderId="0" applyBorder="0">
      <alignment vertical="center"/>
    </xf>
    <xf numFmtId="0" fontId="39" fillId="5" borderId="0" applyNumberFormat="0" applyBorder="0" applyAlignment="0" applyProtection="0">
      <alignment vertical="center"/>
    </xf>
    <xf numFmtId="9" fontId="81" fillId="0" borderId="0" applyFont="0" applyFill="0" applyBorder="0" applyAlignment="0" applyProtection="0"/>
    <xf numFmtId="0" fontId="39" fillId="5" borderId="0" applyNumberFormat="0" applyBorder="0" applyAlignment="0" applyProtection="0">
      <alignment vertical="center"/>
    </xf>
    <xf numFmtId="0" fontId="81" fillId="0" borderId="0"/>
    <xf numFmtId="0" fontId="81" fillId="0" borderId="0">
      <alignment vertical="center"/>
    </xf>
    <xf numFmtId="0" fontId="39" fillId="12" borderId="0" applyNumberFormat="0" applyBorder="0" applyAlignment="0" applyProtection="0">
      <alignment vertical="center"/>
    </xf>
    <xf numFmtId="0" fontId="81" fillId="0" borderId="0"/>
    <xf numFmtId="0" fontId="39" fillId="3" borderId="0" applyNumberFormat="0" applyBorder="0" applyAlignment="0" applyProtection="0">
      <alignment vertical="center"/>
    </xf>
    <xf numFmtId="0" fontId="81" fillId="0" borderId="0"/>
    <xf numFmtId="0" fontId="81" fillId="0" borderId="0">
      <alignment vertical="center"/>
    </xf>
    <xf numFmtId="0" fontId="81" fillId="0" borderId="0" applyBorder="0">
      <alignment vertical="center"/>
    </xf>
    <xf numFmtId="0" fontId="39" fillId="11" borderId="0" applyNumberFormat="0" applyBorder="0" applyAlignment="0" applyProtection="0">
      <alignment vertical="center"/>
    </xf>
    <xf numFmtId="0" fontId="39" fillId="12" borderId="0" applyNumberFormat="0" applyBorder="0" applyAlignment="0" applyProtection="0">
      <alignment vertical="center"/>
    </xf>
    <xf numFmtId="0" fontId="39" fillId="3" borderId="0" applyNumberFormat="0" applyBorder="0" applyAlignment="0" applyProtection="0">
      <alignment vertical="center"/>
    </xf>
    <xf numFmtId="0" fontId="81" fillId="0" borderId="0" applyBorder="0">
      <alignment vertical="center"/>
    </xf>
    <xf numFmtId="0" fontId="81" fillId="0" borderId="0"/>
    <xf numFmtId="0" fontId="81" fillId="0" borderId="0"/>
    <xf numFmtId="0" fontId="81" fillId="0" borderId="0"/>
    <xf numFmtId="0" fontId="81" fillId="0" borderId="0" applyBorder="0">
      <alignment vertical="center"/>
    </xf>
    <xf numFmtId="0" fontId="39" fillId="5" borderId="0" applyNumberFormat="0" applyBorder="0" applyAlignment="0" applyProtection="0">
      <alignment vertical="center"/>
    </xf>
    <xf numFmtId="0" fontId="81" fillId="0" borderId="0" applyBorder="0">
      <alignment vertical="center"/>
    </xf>
    <xf numFmtId="0" fontId="6" fillId="0" borderId="0"/>
    <xf numFmtId="0" fontId="39" fillId="12" borderId="0" applyNumberFormat="0" applyBorder="0" applyAlignment="0" applyProtection="0">
      <alignment vertical="center"/>
    </xf>
    <xf numFmtId="0" fontId="81" fillId="0" borderId="0"/>
    <xf numFmtId="0" fontId="81" fillId="0" borderId="0"/>
    <xf numFmtId="0" fontId="81" fillId="0" borderId="0" applyBorder="0">
      <alignment vertical="center"/>
    </xf>
    <xf numFmtId="0" fontId="81" fillId="0" borderId="0" applyBorder="0">
      <alignment vertical="center"/>
    </xf>
    <xf numFmtId="0" fontId="39" fillId="11" borderId="0" applyNumberFormat="0" applyBorder="0" applyAlignment="0" applyProtection="0">
      <alignment vertical="center"/>
    </xf>
    <xf numFmtId="0" fontId="81" fillId="0" borderId="0"/>
    <xf numFmtId="0" fontId="81" fillId="0" borderId="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xf numFmtId="0" fontId="39" fillId="11" borderId="0" applyNumberFormat="0" applyBorder="0" applyAlignment="0" applyProtection="0">
      <alignment vertical="center"/>
    </xf>
    <xf numFmtId="0" fontId="81" fillId="0" borderId="0"/>
    <xf numFmtId="0" fontId="81" fillId="0" borderId="0">
      <alignment vertical="center"/>
    </xf>
    <xf numFmtId="0" fontId="81" fillId="0" borderId="0">
      <alignment vertical="center"/>
    </xf>
    <xf numFmtId="0" fontId="39" fillId="11" borderId="0" applyNumberFormat="0" applyBorder="0" applyAlignment="0" applyProtection="0">
      <alignment vertical="center"/>
    </xf>
    <xf numFmtId="0" fontId="81" fillId="0" borderId="0" applyBorder="0">
      <alignment vertical="center"/>
    </xf>
    <xf numFmtId="0" fontId="81" fillId="0" borderId="0"/>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lignment vertical="center"/>
    </xf>
    <xf numFmtId="0" fontId="81" fillId="0" borderId="0"/>
    <xf numFmtId="0" fontId="39" fillId="11" borderId="0" applyNumberFormat="0" applyBorder="0" applyAlignment="0" applyProtection="0">
      <alignment vertical="center"/>
    </xf>
    <xf numFmtId="0" fontId="81" fillId="0" borderId="0"/>
    <xf numFmtId="0" fontId="81" fillId="0" borderId="0">
      <alignment vertical="center"/>
    </xf>
    <xf numFmtId="0" fontId="81" fillId="0" borderId="0"/>
    <xf numFmtId="0" fontId="81" fillId="0" borderId="0" applyBorder="0">
      <alignment vertical="center"/>
    </xf>
    <xf numFmtId="0" fontId="39" fillId="12" borderId="0" applyNumberFormat="0" applyBorder="0" applyAlignment="0" applyProtection="0">
      <alignment vertical="center"/>
    </xf>
    <xf numFmtId="0" fontId="81" fillId="0" borderId="0">
      <alignment vertical="center"/>
    </xf>
    <xf numFmtId="0" fontId="81" fillId="0" borderId="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xf numFmtId="0" fontId="81" fillId="0" borderId="0" applyBorder="0">
      <alignment vertical="center"/>
    </xf>
    <xf numFmtId="0" fontId="39" fillId="11" borderId="0" applyNumberFormat="0" applyBorder="0" applyAlignment="0" applyProtection="0">
      <alignment vertical="center"/>
    </xf>
    <xf numFmtId="0" fontId="81" fillId="0" borderId="0" applyBorder="0">
      <alignment vertical="center"/>
    </xf>
    <xf numFmtId="0" fontId="81" fillId="0" borderId="0"/>
    <xf numFmtId="0" fontId="81" fillId="0" borderId="0"/>
    <xf numFmtId="0" fontId="81" fillId="0" borderId="0"/>
    <xf numFmtId="0" fontId="81" fillId="0" borderId="0">
      <alignment vertical="center"/>
    </xf>
    <xf numFmtId="0" fontId="81" fillId="0" borderId="0">
      <alignment vertical="center"/>
    </xf>
    <xf numFmtId="0" fontId="39" fillId="11" borderId="0" applyNumberFormat="0" applyBorder="0" applyAlignment="0" applyProtection="0">
      <alignment vertical="center"/>
    </xf>
    <xf numFmtId="0" fontId="81" fillId="0" borderId="0" applyBorder="0">
      <alignment vertical="center"/>
    </xf>
    <xf numFmtId="0" fontId="81" fillId="0" borderId="0"/>
    <xf numFmtId="0" fontId="81" fillId="0" borderId="0">
      <alignment vertical="center"/>
    </xf>
    <xf numFmtId="0" fontId="81" fillId="0" borderId="0">
      <alignment vertical="center"/>
    </xf>
    <xf numFmtId="0" fontId="39" fillId="12" borderId="0" applyNumberFormat="0" applyBorder="0" applyAlignment="0" applyProtection="0">
      <alignment vertical="center"/>
    </xf>
    <xf numFmtId="0" fontId="81" fillId="0" borderId="0"/>
    <xf numFmtId="0" fontId="39" fillId="5" borderId="0" applyNumberFormat="0" applyBorder="0" applyAlignment="0" applyProtection="0">
      <alignment vertical="center"/>
    </xf>
    <xf numFmtId="0" fontId="81" fillId="0" borderId="0"/>
    <xf numFmtId="0" fontId="39" fillId="12" borderId="0" applyNumberFormat="0" applyBorder="0" applyAlignment="0" applyProtection="0">
      <alignment vertical="center"/>
    </xf>
    <xf numFmtId="0" fontId="81" fillId="0" borderId="0"/>
    <xf numFmtId="0" fontId="81" fillId="0" borderId="0">
      <alignment vertical="center"/>
    </xf>
    <xf numFmtId="0" fontId="81" fillId="0" borderId="0">
      <alignment vertical="center"/>
    </xf>
    <xf numFmtId="0" fontId="39" fillId="12" borderId="0" applyNumberFormat="0" applyBorder="0" applyAlignment="0" applyProtection="0">
      <alignment vertical="center"/>
    </xf>
    <xf numFmtId="0" fontId="81" fillId="0" borderId="0"/>
    <xf numFmtId="0" fontId="39" fillId="5" borderId="0" applyNumberFormat="0" applyBorder="0" applyAlignment="0" applyProtection="0">
      <alignment vertical="center"/>
    </xf>
    <xf numFmtId="0" fontId="81" fillId="0" borderId="0">
      <alignment vertical="center"/>
    </xf>
    <xf numFmtId="0" fontId="81" fillId="0" borderId="0"/>
    <xf numFmtId="0" fontId="39" fillId="12" borderId="0" applyNumberFormat="0" applyBorder="0" applyAlignment="0" applyProtection="0">
      <alignment vertical="center"/>
    </xf>
    <xf numFmtId="0" fontId="81" fillId="0" borderId="0">
      <alignment vertical="center"/>
    </xf>
    <xf numFmtId="0" fontId="39" fillId="11" borderId="0" applyNumberFormat="0" applyBorder="0" applyAlignment="0" applyProtection="0">
      <alignment vertical="center"/>
    </xf>
    <xf numFmtId="0" fontId="39" fillId="12"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81" fillId="0" borderId="0">
      <alignment vertical="center"/>
    </xf>
    <xf numFmtId="0" fontId="81" fillId="0" borderId="0"/>
    <xf numFmtId="0" fontId="39" fillId="5" borderId="0" applyNumberFormat="0" applyBorder="0" applyAlignment="0" applyProtection="0">
      <alignment vertical="center"/>
    </xf>
    <xf numFmtId="0" fontId="81" fillId="0" borderId="0" applyBorder="0">
      <alignment vertical="center"/>
    </xf>
    <xf numFmtId="0" fontId="81" fillId="0" borderId="0"/>
    <xf numFmtId="0" fontId="81" fillId="0" borderId="0" applyBorder="0">
      <alignment vertical="center"/>
    </xf>
    <xf numFmtId="0" fontId="39" fillId="12" borderId="0" applyNumberFormat="0" applyBorder="0" applyAlignment="0" applyProtection="0">
      <alignment vertical="center"/>
    </xf>
    <xf numFmtId="0" fontId="81" fillId="0" borderId="0"/>
    <xf numFmtId="0" fontId="81" fillId="0" borderId="0" applyBorder="0">
      <alignment vertical="center"/>
    </xf>
    <xf numFmtId="0" fontId="81" fillId="0" borderId="0"/>
    <xf numFmtId="0" fontId="39" fillId="11" borderId="0" applyNumberFormat="0" applyBorder="0" applyAlignment="0" applyProtection="0">
      <alignment vertical="center"/>
    </xf>
    <xf numFmtId="0" fontId="81" fillId="0" borderId="0">
      <alignment vertical="center"/>
    </xf>
    <xf numFmtId="0" fontId="39" fillId="11" borderId="0" applyNumberFormat="0" applyBorder="0" applyAlignment="0" applyProtection="0">
      <alignment vertical="center"/>
    </xf>
    <xf numFmtId="0" fontId="81" fillId="0" borderId="0" applyBorder="0">
      <alignment vertical="center"/>
    </xf>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39" fillId="12" borderId="0" applyNumberFormat="0" applyBorder="0" applyAlignment="0" applyProtection="0">
      <alignment vertical="center"/>
    </xf>
    <xf numFmtId="0" fontId="81" fillId="0" borderId="0"/>
    <xf numFmtId="0" fontId="81" fillId="0" borderId="0"/>
    <xf numFmtId="0" fontId="81" fillId="0" borderId="0"/>
    <xf numFmtId="0" fontId="81" fillId="0" borderId="0"/>
    <xf numFmtId="0" fontId="81" fillId="0" borderId="0"/>
    <xf numFmtId="0" fontId="81" fillId="0" borderId="0">
      <alignment vertical="center"/>
    </xf>
    <xf numFmtId="0" fontId="81" fillId="0" borderId="0">
      <alignment vertical="center"/>
    </xf>
    <xf numFmtId="0" fontId="39" fillId="5"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xf numFmtId="0" fontId="81" fillId="0" borderId="0">
      <alignment vertical="center"/>
    </xf>
    <xf numFmtId="0" fontId="81" fillId="0" borderId="0">
      <alignment vertical="center"/>
    </xf>
    <xf numFmtId="0" fontId="39" fillId="5"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xf numFmtId="0" fontId="39" fillId="5" borderId="0" applyNumberFormat="0" applyBorder="0" applyAlignment="0" applyProtection="0">
      <alignment vertical="center"/>
    </xf>
    <xf numFmtId="0" fontId="81" fillId="0" borderId="0"/>
    <xf numFmtId="0" fontId="81" fillId="0" borderId="0"/>
    <xf numFmtId="0" fontId="81" fillId="0" borderId="0">
      <alignment vertical="center"/>
    </xf>
    <xf numFmtId="0" fontId="81" fillId="0" borderId="0">
      <alignment vertical="center"/>
    </xf>
    <xf numFmtId="0" fontId="39" fillId="12" borderId="0" applyNumberFormat="0" applyBorder="0" applyAlignment="0" applyProtection="0">
      <alignment vertical="center"/>
    </xf>
    <xf numFmtId="0" fontId="81" fillId="0" borderId="0"/>
    <xf numFmtId="0" fontId="81" fillId="0" borderId="0"/>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pplyBorder="0">
      <alignment vertical="center"/>
    </xf>
    <xf numFmtId="0" fontId="39" fillId="16" borderId="0" applyNumberFormat="0" applyBorder="0" applyAlignment="0" applyProtection="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39" fillId="12" borderId="0" applyNumberFormat="0" applyBorder="0" applyAlignment="0" applyProtection="0">
      <alignment vertical="center"/>
    </xf>
    <xf numFmtId="0" fontId="39" fillId="11" borderId="0" applyNumberFormat="0" applyBorder="0" applyAlignment="0" applyProtection="0">
      <alignment vertical="center"/>
    </xf>
    <xf numFmtId="0" fontId="81" fillId="0" borderId="0"/>
    <xf numFmtId="0" fontId="39" fillId="11" borderId="0" applyNumberFormat="0" applyBorder="0" applyAlignment="0" applyProtection="0">
      <alignment vertical="center"/>
    </xf>
    <xf numFmtId="0" fontId="81" fillId="0" borderId="0"/>
    <xf numFmtId="0" fontId="39" fillId="3" borderId="0" applyNumberFormat="0" applyBorder="0" applyAlignment="0" applyProtection="0">
      <alignment vertical="center"/>
    </xf>
    <xf numFmtId="0" fontId="81" fillId="0" borderId="0" applyBorder="0">
      <alignment vertical="center"/>
    </xf>
    <xf numFmtId="0" fontId="81" fillId="0" borderId="0">
      <alignment vertical="center"/>
    </xf>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39" fillId="11" borderId="0" applyNumberFormat="0" applyBorder="0" applyAlignment="0" applyProtection="0">
      <alignment vertical="center"/>
    </xf>
    <xf numFmtId="0" fontId="81" fillId="0" borderId="0">
      <alignment vertical="center"/>
    </xf>
    <xf numFmtId="0" fontId="81" fillId="0" borderId="0"/>
    <xf numFmtId="0" fontId="81" fillId="0" borderId="0"/>
    <xf numFmtId="0" fontId="39" fillId="3" borderId="0" applyNumberFormat="0" applyBorder="0" applyAlignment="0" applyProtection="0">
      <alignment vertical="center"/>
    </xf>
    <xf numFmtId="0" fontId="81" fillId="0" borderId="0">
      <alignment vertical="center"/>
    </xf>
    <xf numFmtId="0" fontId="39" fillId="11" borderId="0" applyNumberFormat="0" applyBorder="0" applyAlignment="0" applyProtection="0">
      <alignment vertical="center"/>
    </xf>
    <xf numFmtId="0" fontId="43" fillId="0" borderId="35" applyNumberFormat="0" applyFill="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39" fillId="0" borderId="0">
      <alignment vertical="center"/>
    </xf>
    <xf numFmtId="0" fontId="81" fillId="0" borderId="0"/>
    <xf numFmtId="0" fontId="39" fillId="12" borderId="0" applyNumberFormat="0" applyBorder="0" applyAlignment="0" applyProtection="0">
      <alignment vertical="center"/>
    </xf>
    <xf numFmtId="0" fontId="39" fillId="3"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81" fillId="0" borderId="0"/>
    <xf numFmtId="0" fontId="81" fillId="0" borderId="0"/>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39" fillId="11" borderId="0" applyNumberFormat="0" applyBorder="0" applyAlignment="0" applyProtection="0">
      <alignment vertical="center"/>
    </xf>
    <xf numFmtId="0" fontId="81" fillId="0" borderId="0">
      <alignment vertical="center"/>
    </xf>
    <xf numFmtId="0" fontId="81" fillId="0" borderId="0"/>
    <xf numFmtId="0" fontId="39" fillId="12" borderId="0" applyNumberFormat="0" applyBorder="0" applyAlignment="0" applyProtection="0">
      <alignment vertical="center"/>
    </xf>
    <xf numFmtId="0" fontId="81" fillId="0" borderId="0" applyBorder="0">
      <alignment vertical="center"/>
    </xf>
    <xf numFmtId="0" fontId="81" fillId="0" borderId="0"/>
    <xf numFmtId="0" fontId="81" fillId="0" borderId="0">
      <alignment vertical="center"/>
    </xf>
    <xf numFmtId="0" fontId="81" fillId="0" borderId="0" applyBorder="0">
      <alignment vertical="center"/>
    </xf>
    <xf numFmtId="0" fontId="39" fillId="3"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3" borderId="0" applyNumberFormat="0" applyBorder="0" applyAlignment="0" applyProtection="0">
      <alignment vertical="center"/>
    </xf>
    <xf numFmtId="0" fontId="39" fillId="11" borderId="0" applyNumberFormat="0" applyBorder="0" applyAlignment="0" applyProtection="0">
      <alignment vertical="center"/>
    </xf>
    <xf numFmtId="0" fontId="81" fillId="0" borderId="0"/>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39" fillId="12" borderId="0" applyNumberFormat="0" applyBorder="0" applyAlignment="0" applyProtection="0">
      <alignment vertical="center"/>
    </xf>
    <xf numFmtId="0" fontId="81" fillId="0" borderId="0" applyBorder="0">
      <alignment vertical="center"/>
    </xf>
    <xf numFmtId="0" fontId="39" fillId="3" borderId="0" applyNumberFormat="0" applyBorder="0" applyAlignment="0" applyProtection="0">
      <alignment vertical="center"/>
    </xf>
    <xf numFmtId="0" fontId="39" fillId="11" borderId="0" applyNumberFormat="0" applyBorder="0" applyAlignment="0" applyProtection="0">
      <alignment vertical="center"/>
    </xf>
    <xf numFmtId="0" fontId="81" fillId="0" borderId="0"/>
    <xf numFmtId="0" fontId="39" fillId="3" borderId="0" applyNumberFormat="0" applyBorder="0" applyAlignment="0" applyProtection="0">
      <alignment vertical="center"/>
    </xf>
    <xf numFmtId="0" fontId="81" fillId="0" borderId="0">
      <alignment vertical="center"/>
    </xf>
    <xf numFmtId="0" fontId="39" fillId="11" borderId="0" applyNumberFormat="0" applyBorder="0" applyAlignment="0" applyProtection="0">
      <alignment vertical="center"/>
    </xf>
    <xf numFmtId="0" fontId="81" fillId="0" borderId="0"/>
    <xf numFmtId="0" fontId="81" fillId="0" borderId="0">
      <alignment vertical="center"/>
    </xf>
    <xf numFmtId="0" fontId="81" fillId="0" borderId="0" applyBorder="0">
      <alignment vertical="center"/>
    </xf>
    <xf numFmtId="0" fontId="81" fillId="0" borderId="0"/>
    <xf numFmtId="0" fontId="39" fillId="3" borderId="0" applyNumberFormat="0" applyBorder="0" applyAlignment="0" applyProtection="0">
      <alignment vertical="center"/>
    </xf>
    <xf numFmtId="0" fontId="81" fillId="0" borderId="0"/>
    <xf numFmtId="0" fontId="81" fillId="0" borderId="0" applyBorder="0">
      <alignment vertical="center"/>
    </xf>
    <xf numFmtId="0" fontId="39" fillId="11" borderId="0" applyNumberFormat="0" applyBorder="0" applyAlignment="0" applyProtection="0">
      <alignment vertical="center"/>
    </xf>
    <xf numFmtId="0" fontId="81" fillId="0" borderId="0"/>
    <xf numFmtId="0" fontId="81" fillId="0" borderId="0"/>
    <xf numFmtId="0" fontId="39" fillId="11" borderId="0" applyNumberFormat="0" applyBorder="0" applyAlignment="0" applyProtection="0">
      <alignment vertical="center"/>
    </xf>
    <xf numFmtId="0" fontId="37" fillId="0" borderId="0"/>
    <xf numFmtId="0" fontId="37" fillId="0" borderId="0">
      <alignment vertical="center"/>
    </xf>
    <xf numFmtId="0" fontId="81" fillId="0" borderId="0">
      <alignment vertical="center"/>
    </xf>
    <xf numFmtId="0" fontId="39" fillId="12" borderId="0" applyNumberFormat="0" applyBorder="0" applyAlignment="0" applyProtection="0">
      <alignment vertical="center"/>
    </xf>
    <xf numFmtId="0" fontId="81" fillId="0" borderId="0"/>
    <xf numFmtId="0" fontId="81" fillId="0" borderId="0" applyBorder="0">
      <alignment vertical="center"/>
    </xf>
    <xf numFmtId="0" fontId="39" fillId="11" borderId="0" applyNumberFormat="0" applyBorder="0" applyAlignment="0" applyProtection="0">
      <alignment vertical="center"/>
    </xf>
    <xf numFmtId="0" fontId="39" fillId="0" borderId="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xf numFmtId="0" fontId="81" fillId="0" borderId="0">
      <alignment vertical="center"/>
    </xf>
    <xf numFmtId="0" fontId="81" fillId="0" borderId="0" applyBorder="0">
      <alignment vertical="center"/>
    </xf>
    <xf numFmtId="0" fontId="39" fillId="11" borderId="0" applyNumberFormat="0" applyBorder="0" applyAlignment="0" applyProtection="0">
      <alignment vertical="center"/>
    </xf>
    <xf numFmtId="0" fontId="81" fillId="0" borderId="0"/>
    <xf numFmtId="0" fontId="81" fillId="0" borderId="0" applyBorder="0">
      <alignment vertical="center"/>
    </xf>
    <xf numFmtId="0" fontId="48" fillId="0" borderId="36" applyNumberFormat="0" applyFill="0" applyAlignment="0" applyProtection="0">
      <alignment vertical="center"/>
    </xf>
    <xf numFmtId="0" fontId="39" fillId="11" borderId="0" applyNumberFormat="0" applyBorder="0" applyAlignment="0" applyProtection="0">
      <alignment vertical="center"/>
    </xf>
    <xf numFmtId="0" fontId="81" fillId="0" borderId="0" applyBorder="0">
      <alignment vertical="center"/>
    </xf>
    <xf numFmtId="0" fontId="81" fillId="0" borderId="0"/>
    <xf numFmtId="0" fontId="39" fillId="11" borderId="0" applyNumberFormat="0" applyBorder="0" applyAlignment="0" applyProtection="0">
      <alignment vertical="center"/>
    </xf>
    <xf numFmtId="0" fontId="81" fillId="0" borderId="0">
      <alignment vertical="center"/>
    </xf>
    <xf numFmtId="0" fontId="81" fillId="0" borderId="0"/>
    <xf numFmtId="0" fontId="81" fillId="0" borderId="0"/>
    <xf numFmtId="0" fontId="39" fillId="11" borderId="0" applyNumberFormat="0" applyBorder="0" applyAlignment="0" applyProtection="0">
      <alignment vertical="center"/>
    </xf>
    <xf numFmtId="0" fontId="39" fillId="3" borderId="0" applyNumberFormat="0" applyBorder="0" applyAlignment="0" applyProtection="0">
      <alignment vertical="center"/>
    </xf>
    <xf numFmtId="0" fontId="81" fillId="0" borderId="0" applyBorder="0">
      <alignment vertical="center"/>
    </xf>
    <xf numFmtId="0" fontId="81" fillId="0" borderId="0">
      <alignment vertical="center"/>
    </xf>
    <xf numFmtId="0" fontId="81" fillId="0" borderId="0"/>
    <xf numFmtId="0" fontId="81" fillId="0" borderId="0"/>
    <xf numFmtId="0" fontId="81" fillId="0" borderId="0"/>
    <xf numFmtId="0" fontId="81" fillId="0" borderId="0" applyBorder="0">
      <alignment vertical="center"/>
    </xf>
    <xf numFmtId="0" fontId="81" fillId="0" borderId="0">
      <alignment vertical="center"/>
    </xf>
    <xf numFmtId="0" fontId="39" fillId="11" borderId="0" applyNumberFormat="0" applyBorder="0" applyAlignment="0" applyProtection="0">
      <alignment vertical="center"/>
    </xf>
    <xf numFmtId="0" fontId="81" fillId="0" borderId="0" applyBorder="0">
      <alignment vertical="center"/>
    </xf>
    <xf numFmtId="0" fontId="81" fillId="0" borderId="0"/>
    <xf numFmtId="0" fontId="81" fillId="0" borderId="0">
      <alignment vertical="center"/>
    </xf>
    <xf numFmtId="0" fontId="39" fillId="11" borderId="0" applyNumberFormat="0" applyBorder="0" applyAlignment="0" applyProtection="0">
      <alignment vertical="center"/>
    </xf>
    <xf numFmtId="0" fontId="81" fillId="0" borderId="0" applyBorder="0">
      <alignment vertical="center"/>
    </xf>
    <xf numFmtId="0" fontId="81" fillId="0" borderId="0"/>
    <xf numFmtId="0" fontId="81" fillId="0" borderId="0"/>
    <xf numFmtId="0" fontId="81" fillId="0" borderId="0"/>
    <xf numFmtId="0" fontId="81" fillId="0" borderId="0" applyBorder="0">
      <alignment vertical="center"/>
    </xf>
    <xf numFmtId="0" fontId="81" fillId="0" borderId="0" applyBorder="0">
      <alignment vertical="center"/>
    </xf>
    <xf numFmtId="0" fontId="39" fillId="11"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xf numFmtId="0" fontId="81" fillId="0" borderId="0">
      <alignment vertical="center"/>
    </xf>
    <xf numFmtId="0" fontId="39" fillId="11" borderId="0" applyNumberFormat="0" applyBorder="0" applyAlignment="0" applyProtection="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xf numFmtId="0" fontId="39" fillId="11"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xf numFmtId="0" fontId="39" fillId="11" borderId="0" applyNumberFormat="0" applyBorder="0" applyAlignment="0" applyProtection="0">
      <alignment vertical="center"/>
    </xf>
    <xf numFmtId="0" fontId="39" fillId="5"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xf numFmtId="0" fontId="81" fillId="0" borderId="0"/>
    <xf numFmtId="0" fontId="81" fillId="0" borderId="0">
      <alignment vertical="center"/>
    </xf>
    <xf numFmtId="0" fontId="81" fillId="0" borderId="0">
      <alignment vertical="center"/>
    </xf>
    <xf numFmtId="0" fontId="81" fillId="0" borderId="0"/>
    <xf numFmtId="0" fontId="81" fillId="0" borderId="0">
      <alignment vertical="center"/>
    </xf>
    <xf numFmtId="0" fontId="81" fillId="0" borderId="0"/>
    <xf numFmtId="0" fontId="81" fillId="0" borderId="0"/>
    <xf numFmtId="0" fontId="39" fillId="11" borderId="0" applyNumberFormat="0" applyBorder="0" applyAlignment="0" applyProtection="0">
      <alignment vertical="center"/>
    </xf>
    <xf numFmtId="0" fontId="81" fillId="0" borderId="0"/>
    <xf numFmtId="0" fontId="81" fillId="0" borderId="0"/>
    <xf numFmtId="0" fontId="39" fillId="11" borderId="0" applyNumberFormat="0" applyBorder="0" applyAlignment="0" applyProtection="0">
      <alignment vertical="center"/>
    </xf>
    <xf numFmtId="0" fontId="81" fillId="0" borderId="0" applyBorder="0">
      <alignment vertical="center"/>
    </xf>
    <xf numFmtId="0" fontId="81" fillId="0" borderId="0"/>
    <xf numFmtId="0" fontId="81" fillId="0" borderId="0">
      <alignment vertical="center"/>
    </xf>
    <xf numFmtId="0" fontId="39" fillId="11" borderId="0" applyNumberFormat="0" applyBorder="0" applyAlignment="0" applyProtection="0">
      <alignment vertical="center"/>
    </xf>
    <xf numFmtId="0" fontId="81" fillId="0" borderId="0">
      <alignment vertical="center"/>
    </xf>
    <xf numFmtId="0" fontId="81" fillId="0" borderId="0">
      <alignment vertical="center"/>
    </xf>
    <xf numFmtId="0" fontId="81" fillId="0" borderId="0"/>
    <xf numFmtId="0" fontId="81" fillId="0" borderId="0"/>
    <xf numFmtId="0" fontId="81" fillId="0" borderId="0">
      <alignment vertical="center"/>
    </xf>
    <xf numFmtId="0" fontId="81" fillId="0" borderId="0">
      <alignment vertical="center"/>
    </xf>
    <xf numFmtId="0" fontId="49" fillId="5" borderId="37" applyNumberFormat="0" applyAlignment="0" applyProtection="0">
      <alignment vertical="center"/>
    </xf>
    <xf numFmtId="0" fontId="81" fillId="0" borderId="0" applyBorder="0">
      <alignment vertical="center"/>
    </xf>
    <xf numFmtId="0" fontId="81" fillId="0" borderId="0"/>
    <xf numFmtId="0" fontId="81" fillId="0" borderId="0"/>
    <xf numFmtId="0" fontId="39" fillId="11" borderId="0" applyNumberFormat="0" applyBorder="0" applyAlignment="0" applyProtection="0">
      <alignment vertical="center"/>
    </xf>
    <xf numFmtId="0" fontId="81" fillId="0" borderId="0"/>
    <xf numFmtId="0" fontId="39" fillId="11" borderId="0" applyNumberFormat="0" applyBorder="0" applyAlignment="0" applyProtection="0">
      <alignment vertical="center"/>
    </xf>
    <xf numFmtId="0" fontId="81" fillId="0" borderId="0"/>
    <xf numFmtId="0" fontId="39" fillId="11"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xf numFmtId="0" fontId="81" fillId="0" borderId="0" applyBorder="0">
      <alignment vertical="center"/>
    </xf>
    <xf numFmtId="0" fontId="81" fillId="0" borderId="0"/>
    <xf numFmtId="0" fontId="81" fillId="0" borderId="0"/>
    <xf numFmtId="0" fontId="81" fillId="0" borderId="0">
      <alignment vertical="center"/>
    </xf>
    <xf numFmtId="0" fontId="39" fillId="3" borderId="0" applyNumberFormat="0" applyBorder="0" applyAlignment="0" applyProtection="0">
      <alignment vertical="center"/>
    </xf>
    <xf numFmtId="0" fontId="81" fillId="0" borderId="0">
      <alignment vertical="center"/>
    </xf>
    <xf numFmtId="0" fontId="81" fillId="0" borderId="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xf numFmtId="0" fontId="81" fillId="0" borderId="0"/>
    <xf numFmtId="0" fontId="81" fillId="0" borderId="0">
      <alignment vertical="center"/>
    </xf>
    <xf numFmtId="0" fontId="39" fillId="3"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39" fillId="11"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81" fillId="0" borderId="0">
      <alignment vertical="center"/>
    </xf>
    <xf numFmtId="0" fontId="81" fillId="0" borderId="0"/>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lignment vertical="center"/>
    </xf>
    <xf numFmtId="0" fontId="39" fillId="3"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81" fillId="0" borderId="0">
      <alignment vertical="center"/>
    </xf>
    <xf numFmtId="0" fontId="81" fillId="0" borderId="0" applyBorder="0">
      <alignment vertical="center"/>
    </xf>
    <xf numFmtId="0" fontId="81" fillId="0" borderId="0" applyBorder="0">
      <alignment vertical="center"/>
    </xf>
    <xf numFmtId="0" fontId="39" fillId="7"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pplyBorder="0">
      <alignment vertical="center"/>
    </xf>
    <xf numFmtId="0" fontId="39" fillId="3" borderId="0" applyNumberFormat="0" applyBorder="0" applyAlignment="0" applyProtection="0">
      <alignment vertical="center"/>
    </xf>
    <xf numFmtId="0" fontId="81" fillId="0" borderId="0"/>
    <xf numFmtId="0" fontId="39" fillId="5" borderId="0" applyNumberFormat="0" applyBorder="0" applyAlignment="0" applyProtection="0">
      <alignment vertical="center"/>
    </xf>
    <xf numFmtId="0" fontId="81" fillId="0" borderId="0">
      <alignment vertical="center"/>
    </xf>
    <xf numFmtId="0" fontId="81" fillId="0" borderId="0">
      <alignment vertical="center"/>
    </xf>
    <xf numFmtId="0" fontId="81" fillId="0" borderId="0"/>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xf numFmtId="0" fontId="81" fillId="0" borderId="0"/>
    <xf numFmtId="0" fontId="81" fillId="0" borderId="0"/>
    <xf numFmtId="0" fontId="81" fillId="0" borderId="0"/>
    <xf numFmtId="0" fontId="39" fillId="12" borderId="0" applyNumberFormat="0" applyBorder="0" applyAlignment="0" applyProtection="0">
      <alignment vertical="center"/>
    </xf>
    <xf numFmtId="0" fontId="81" fillId="0" borderId="0"/>
    <xf numFmtId="0" fontId="81" fillId="0" borderId="0" applyBorder="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xf numFmtId="0" fontId="81" fillId="0" borderId="0"/>
    <xf numFmtId="0" fontId="81" fillId="0" borderId="0">
      <alignment vertical="center"/>
    </xf>
    <xf numFmtId="0" fontId="81" fillId="0" borderId="0">
      <alignment vertical="center"/>
    </xf>
    <xf numFmtId="0" fontId="81" fillId="0" borderId="0"/>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39" fillId="11" borderId="0" applyNumberFormat="0" applyBorder="0" applyAlignment="0" applyProtection="0">
      <alignment vertical="center"/>
    </xf>
    <xf numFmtId="0" fontId="47" fillId="0" borderId="0"/>
    <xf numFmtId="0" fontId="81" fillId="0" borderId="0"/>
    <xf numFmtId="0" fontId="81" fillId="0" borderId="0"/>
    <xf numFmtId="0" fontId="39" fillId="12" borderId="0" applyNumberFormat="0" applyBorder="0" applyAlignment="0" applyProtection="0">
      <alignment vertical="center"/>
    </xf>
    <xf numFmtId="0" fontId="39" fillId="3" borderId="0" applyNumberFormat="0" applyBorder="0" applyAlignment="0" applyProtection="0">
      <alignment vertical="center"/>
    </xf>
    <xf numFmtId="0" fontId="81" fillId="0" borderId="0">
      <alignment vertical="center"/>
    </xf>
    <xf numFmtId="0" fontId="81" fillId="0" borderId="0">
      <alignment vertical="center"/>
    </xf>
    <xf numFmtId="0" fontId="81" fillId="0" borderId="0"/>
    <xf numFmtId="0" fontId="39" fillId="11" borderId="0" applyNumberFormat="0" applyBorder="0" applyAlignment="0" applyProtection="0">
      <alignment vertical="center"/>
    </xf>
    <xf numFmtId="0" fontId="81" fillId="0" borderId="0"/>
    <xf numFmtId="0" fontId="39" fillId="3" borderId="0" applyNumberFormat="0" applyBorder="0" applyAlignment="0" applyProtection="0">
      <alignment vertical="center"/>
    </xf>
    <xf numFmtId="0" fontId="81" fillId="0" borderId="0"/>
    <xf numFmtId="0" fontId="44" fillId="5" borderId="0" applyNumberFormat="0" applyBorder="0" applyAlignment="0" applyProtection="0">
      <alignment vertical="center"/>
    </xf>
    <xf numFmtId="0" fontId="39" fillId="11" borderId="0" applyNumberFormat="0" applyBorder="0" applyAlignment="0" applyProtection="0">
      <alignment vertical="center"/>
    </xf>
    <xf numFmtId="0" fontId="81" fillId="0" borderId="0"/>
    <xf numFmtId="0" fontId="81" fillId="0" borderId="0" applyBorder="0">
      <alignment vertical="center"/>
    </xf>
    <xf numFmtId="0" fontId="81" fillId="0" borderId="0">
      <alignment vertical="center"/>
    </xf>
    <xf numFmtId="0" fontId="81" fillId="0" borderId="0"/>
    <xf numFmtId="0" fontId="81" fillId="0" borderId="0"/>
    <xf numFmtId="0" fontId="81" fillId="0" borderId="0"/>
    <xf numFmtId="0" fontId="81" fillId="0" borderId="0">
      <alignment vertical="center"/>
    </xf>
    <xf numFmtId="0" fontId="81" fillId="0" borderId="0" applyBorder="0">
      <alignment vertical="center"/>
    </xf>
    <xf numFmtId="0" fontId="81" fillId="0" borderId="0">
      <alignment vertical="center"/>
    </xf>
    <xf numFmtId="0" fontId="39" fillId="11" borderId="0" applyNumberFormat="0" applyBorder="0" applyAlignment="0" applyProtection="0">
      <alignment vertical="center"/>
    </xf>
    <xf numFmtId="0" fontId="39" fillId="12" borderId="0" applyNumberFormat="0" applyBorder="0" applyAlignment="0" applyProtection="0">
      <alignment vertical="center"/>
    </xf>
    <xf numFmtId="0" fontId="81" fillId="0" borderId="0"/>
    <xf numFmtId="0" fontId="81" fillId="0" borderId="0">
      <alignment vertical="center"/>
    </xf>
    <xf numFmtId="0" fontId="81" fillId="0" borderId="0"/>
    <xf numFmtId="0" fontId="39" fillId="3" borderId="0" applyNumberFormat="0" applyBorder="0" applyAlignment="0" applyProtection="0">
      <alignment vertical="center"/>
    </xf>
    <xf numFmtId="0" fontId="81" fillId="0" borderId="0"/>
    <xf numFmtId="0" fontId="39" fillId="11" borderId="0" applyNumberFormat="0" applyBorder="0" applyAlignment="0" applyProtection="0">
      <alignment vertical="center"/>
    </xf>
    <xf numFmtId="0" fontId="81" fillId="0" borderId="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lignment vertical="center"/>
    </xf>
    <xf numFmtId="0" fontId="81" fillId="0" borderId="0"/>
    <xf numFmtId="0" fontId="81" fillId="0" borderId="0">
      <alignment vertical="center"/>
    </xf>
    <xf numFmtId="0" fontId="81" fillId="0" borderId="0"/>
    <xf numFmtId="0" fontId="81" fillId="0" borderId="0">
      <alignment vertical="center"/>
    </xf>
    <xf numFmtId="0" fontId="39" fillId="5" borderId="0" applyNumberFormat="0" applyBorder="0" applyAlignment="0" applyProtection="0">
      <alignment vertical="center"/>
    </xf>
    <xf numFmtId="0" fontId="81" fillId="0" borderId="0"/>
    <xf numFmtId="0" fontId="81" fillId="0" borderId="0" applyBorder="0">
      <alignment vertical="center"/>
    </xf>
    <xf numFmtId="0" fontId="39" fillId="3" borderId="0" applyNumberFormat="0" applyBorder="0" applyAlignment="0" applyProtection="0">
      <alignment vertical="center"/>
    </xf>
    <xf numFmtId="0" fontId="81" fillId="0" borderId="0"/>
    <xf numFmtId="0" fontId="81" fillId="0" borderId="0" applyBorder="0">
      <alignment vertical="center"/>
    </xf>
    <xf numFmtId="0" fontId="39" fillId="3" borderId="0" applyNumberFormat="0" applyBorder="0" applyAlignment="0" applyProtection="0">
      <alignment vertical="center"/>
    </xf>
    <xf numFmtId="0" fontId="81" fillId="0" borderId="0"/>
    <xf numFmtId="0" fontId="81" fillId="0" borderId="0"/>
    <xf numFmtId="0" fontId="81" fillId="0" borderId="0"/>
    <xf numFmtId="0" fontId="81" fillId="0" borderId="0" applyBorder="0">
      <alignment vertical="center"/>
    </xf>
    <xf numFmtId="0" fontId="39" fillId="3" borderId="0" applyNumberFormat="0" applyBorder="0" applyAlignment="0" applyProtection="0">
      <alignment vertical="center"/>
    </xf>
    <xf numFmtId="0" fontId="81" fillId="0" borderId="0"/>
    <xf numFmtId="0" fontId="44" fillId="5" borderId="0" applyNumberFormat="0" applyBorder="0" applyAlignment="0" applyProtection="0">
      <alignment vertical="center"/>
    </xf>
    <xf numFmtId="0" fontId="39" fillId="3" borderId="0" applyNumberFormat="0" applyBorder="0" applyAlignment="0" applyProtection="0">
      <alignment vertical="center"/>
    </xf>
    <xf numFmtId="0" fontId="81" fillId="0" borderId="0"/>
    <xf numFmtId="0" fontId="81" fillId="0" borderId="0"/>
    <xf numFmtId="0" fontId="81" fillId="0" borderId="0"/>
    <xf numFmtId="0" fontId="39" fillId="3" borderId="0" applyNumberFormat="0" applyBorder="0" applyAlignment="0" applyProtection="0">
      <alignment vertical="center"/>
    </xf>
    <xf numFmtId="0" fontId="81" fillId="0" borderId="0">
      <alignment vertical="center"/>
    </xf>
    <xf numFmtId="0" fontId="50" fillId="10" borderId="37" applyNumberFormat="0" applyAlignment="0" applyProtection="0">
      <alignment vertical="center"/>
    </xf>
    <xf numFmtId="0" fontId="81" fillId="0" borderId="0">
      <alignment vertical="center"/>
    </xf>
    <xf numFmtId="0" fontId="81" fillId="0" borderId="0" applyBorder="0">
      <alignment vertical="center"/>
    </xf>
    <xf numFmtId="0" fontId="81" fillId="0" borderId="0"/>
    <xf numFmtId="0" fontId="81" fillId="0" borderId="0">
      <alignment vertical="center"/>
    </xf>
    <xf numFmtId="0" fontId="39" fillId="12" borderId="0" applyNumberFormat="0" applyBorder="0" applyAlignment="0" applyProtection="0">
      <alignment vertical="center"/>
    </xf>
    <xf numFmtId="0" fontId="81" fillId="0" borderId="0"/>
    <xf numFmtId="0" fontId="81" fillId="0" borderId="0">
      <alignment vertical="center"/>
    </xf>
    <xf numFmtId="0" fontId="81" fillId="0" borderId="0"/>
    <xf numFmtId="0" fontId="81" fillId="0" borderId="0">
      <alignment vertical="center"/>
    </xf>
    <xf numFmtId="0" fontId="81" fillId="0" borderId="0">
      <alignment vertical="center"/>
    </xf>
    <xf numFmtId="0" fontId="39" fillId="11" borderId="0" applyNumberFormat="0" applyBorder="0" applyAlignment="0" applyProtection="0">
      <alignment vertical="center"/>
    </xf>
    <xf numFmtId="0" fontId="81" fillId="0" borderId="0"/>
    <xf numFmtId="0" fontId="39" fillId="11" borderId="0" applyNumberFormat="0" applyBorder="0" applyAlignment="0" applyProtection="0">
      <alignment vertical="center"/>
    </xf>
    <xf numFmtId="0" fontId="39" fillId="3" borderId="0" applyNumberFormat="0" applyBorder="0" applyAlignment="0" applyProtection="0">
      <alignment vertical="center"/>
    </xf>
    <xf numFmtId="0" fontId="81" fillId="0" borderId="0"/>
    <xf numFmtId="0" fontId="39" fillId="3" borderId="0" applyNumberFormat="0" applyBorder="0" applyAlignment="0" applyProtection="0">
      <alignment vertical="center"/>
    </xf>
    <xf numFmtId="0" fontId="81" fillId="0" borderId="0"/>
    <xf numFmtId="0" fontId="81" fillId="0" borderId="0"/>
    <xf numFmtId="0" fontId="81" fillId="0" borderId="0"/>
    <xf numFmtId="0" fontId="81" fillId="0" borderId="0" applyBorder="0">
      <alignment vertical="center"/>
    </xf>
    <xf numFmtId="0" fontId="39" fillId="11" borderId="0" applyNumberFormat="0" applyBorder="0" applyAlignment="0" applyProtection="0">
      <alignment vertical="center"/>
    </xf>
    <xf numFmtId="0" fontId="81" fillId="0" borderId="0">
      <alignment vertical="center"/>
    </xf>
    <xf numFmtId="0" fontId="44" fillId="5" borderId="0" applyNumberFormat="0" applyBorder="0" applyAlignment="0" applyProtection="0">
      <alignment vertical="center"/>
    </xf>
    <xf numFmtId="0" fontId="39" fillId="11" borderId="0" applyNumberFormat="0" applyBorder="0" applyAlignment="0" applyProtection="0">
      <alignment vertical="center"/>
    </xf>
    <xf numFmtId="0" fontId="81" fillId="0" borderId="0" applyBorder="0">
      <alignment vertical="center"/>
    </xf>
    <xf numFmtId="0" fontId="81" fillId="0" borderId="0"/>
    <xf numFmtId="0" fontId="81" fillId="0" borderId="0" applyBorder="0">
      <alignment vertical="center"/>
    </xf>
    <xf numFmtId="0" fontId="39" fillId="11" borderId="0" applyNumberFormat="0" applyBorder="0" applyAlignment="0" applyProtection="0">
      <alignment vertical="center"/>
    </xf>
    <xf numFmtId="0" fontId="81" fillId="0" borderId="0"/>
    <xf numFmtId="0" fontId="81" fillId="0" borderId="0" applyBorder="0">
      <alignment vertical="center"/>
    </xf>
    <xf numFmtId="0" fontId="81" fillId="0" borderId="0"/>
    <xf numFmtId="0" fontId="81" fillId="0" borderId="0">
      <alignment vertical="center"/>
    </xf>
    <xf numFmtId="0" fontId="81" fillId="0" borderId="0" applyBorder="0">
      <alignment vertical="center"/>
    </xf>
    <xf numFmtId="0" fontId="81" fillId="0" borderId="0">
      <alignment vertical="center"/>
    </xf>
    <xf numFmtId="0" fontId="39" fillId="12" borderId="0" applyNumberFormat="0" applyBorder="0" applyAlignment="0" applyProtection="0">
      <alignment vertical="center"/>
    </xf>
    <xf numFmtId="0" fontId="81" fillId="0" borderId="0"/>
    <xf numFmtId="0" fontId="81" fillId="0" borderId="0"/>
    <xf numFmtId="0" fontId="81" fillId="0" borderId="0">
      <alignment vertical="center"/>
    </xf>
    <xf numFmtId="0" fontId="81" fillId="0" borderId="0">
      <alignment vertical="center"/>
    </xf>
    <xf numFmtId="0" fontId="81" fillId="0" borderId="0"/>
    <xf numFmtId="0" fontId="81" fillId="0" borderId="0"/>
    <xf numFmtId="0" fontId="81" fillId="0" borderId="0" applyBorder="0">
      <alignment vertical="center"/>
    </xf>
    <xf numFmtId="0" fontId="39" fillId="3" borderId="0" applyNumberFormat="0" applyBorder="0" applyAlignment="0" applyProtection="0">
      <alignment vertical="center"/>
    </xf>
    <xf numFmtId="0" fontId="81" fillId="0" borderId="0">
      <alignment vertical="center"/>
    </xf>
    <xf numFmtId="0" fontId="81" fillId="0" borderId="0"/>
    <xf numFmtId="0" fontId="81" fillId="0" borderId="0"/>
    <xf numFmtId="0" fontId="81" fillId="0" borderId="0" applyBorder="0">
      <alignment vertical="center"/>
    </xf>
    <xf numFmtId="0" fontId="39" fillId="10" borderId="0" applyNumberFormat="0" applyBorder="0" applyAlignment="0" applyProtection="0">
      <alignment vertical="center"/>
    </xf>
    <xf numFmtId="0" fontId="39" fillId="3" borderId="0" applyNumberFormat="0" applyBorder="0" applyAlignment="0" applyProtection="0">
      <alignment vertical="center"/>
    </xf>
    <xf numFmtId="0" fontId="81" fillId="0" borderId="0"/>
    <xf numFmtId="0" fontId="39" fillId="3" borderId="0" applyNumberFormat="0" applyBorder="0" applyAlignment="0" applyProtection="0">
      <alignment vertical="center"/>
    </xf>
    <xf numFmtId="0" fontId="81" fillId="0" borderId="0"/>
    <xf numFmtId="0" fontId="81" fillId="0" borderId="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xf numFmtId="0" fontId="39" fillId="11" borderId="0" applyNumberFormat="0" applyBorder="0" applyAlignment="0" applyProtection="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39" fillId="5" borderId="0" applyNumberFormat="0" applyBorder="0" applyAlignment="0" applyProtection="0">
      <alignment vertical="center"/>
    </xf>
    <xf numFmtId="0" fontId="81" fillId="0" borderId="0" applyBorder="0">
      <alignment vertical="center"/>
    </xf>
    <xf numFmtId="0" fontId="39" fillId="3" borderId="0" applyNumberFormat="0" applyBorder="0" applyAlignment="0" applyProtection="0">
      <alignment vertical="center"/>
    </xf>
    <xf numFmtId="0" fontId="81" fillId="0" borderId="0" applyBorder="0">
      <alignment vertical="center"/>
    </xf>
    <xf numFmtId="0" fontId="81" fillId="0" borderId="0"/>
    <xf numFmtId="0" fontId="81" fillId="0" borderId="0"/>
    <xf numFmtId="0" fontId="81" fillId="0" borderId="0"/>
    <xf numFmtId="0" fontId="81" fillId="0" borderId="0" applyBorder="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pplyBorder="0">
      <alignment vertical="center"/>
    </xf>
    <xf numFmtId="0" fontId="39" fillId="3" borderId="0" applyNumberFormat="0" applyBorder="0" applyAlignment="0" applyProtection="0">
      <alignment vertical="center"/>
    </xf>
    <xf numFmtId="0" fontId="81" fillId="0" borderId="0" applyBorder="0">
      <alignment vertical="center"/>
    </xf>
    <xf numFmtId="0" fontId="39" fillId="3" borderId="0" applyNumberFormat="0" applyBorder="0" applyAlignment="0" applyProtection="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xf numFmtId="0" fontId="81" fillId="0" borderId="0" applyBorder="0">
      <alignment vertical="center"/>
    </xf>
    <xf numFmtId="0" fontId="39" fillId="11" borderId="0" applyNumberFormat="0" applyBorder="0" applyAlignment="0" applyProtection="0">
      <alignment vertical="center"/>
    </xf>
    <xf numFmtId="0" fontId="81" fillId="0" borderId="0"/>
    <xf numFmtId="0" fontId="47" fillId="0" borderId="0" applyBorder="0">
      <alignment vertical="center"/>
    </xf>
    <xf numFmtId="0" fontId="81" fillId="0" borderId="0"/>
    <xf numFmtId="0" fontId="39" fillId="3" borderId="0" applyNumberFormat="0" applyBorder="0" applyAlignment="0" applyProtection="0">
      <alignment vertical="center"/>
    </xf>
    <xf numFmtId="0" fontId="81" fillId="0" borderId="0" applyBorder="0">
      <alignment vertical="center"/>
    </xf>
    <xf numFmtId="0" fontId="81" fillId="0" borderId="0"/>
    <xf numFmtId="0" fontId="81" fillId="0" borderId="0"/>
    <xf numFmtId="0" fontId="81" fillId="0" borderId="0" applyBorder="0">
      <alignment vertical="center"/>
    </xf>
    <xf numFmtId="0" fontId="39" fillId="11"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46" fillId="0" borderId="0" applyNumberFormat="0" applyFill="0" applyBorder="0" applyAlignment="0" applyProtection="0">
      <alignment vertical="center"/>
    </xf>
    <xf numFmtId="0" fontId="81" fillId="0" borderId="0"/>
    <xf numFmtId="0" fontId="81" fillId="0" borderId="0" applyBorder="0">
      <alignment vertical="center"/>
    </xf>
    <xf numFmtId="0" fontId="39" fillId="3" borderId="0" applyNumberFormat="0" applyBorder="0" applyAlignment="0" applyProtection="0">
      <alignment vertical="center"/>
    </xf>
    <xf numFmtId="0" fontId="81" fillId="0" borderId="0"/>
    <xf numFmtId="0" fontId="39" fillId="5" borderId="0" applyNumberFormat="0" applyBorder="0" applyAlignment="0" applyProtection="0">
      <alignment vertical="center"/>
    </xf>
    <xf numFmtId="0" fontId="81" fillId="0" borderId="0"/>
    <xf numFmtId="0" fontId="39" fillId="5" borderId="0" applyNumberFormat="0" applyBorder="0" applyAlignment="0" applyProtection="0">
      <alignment vertical="center"/>
    </xf>
    <xf numFmtId="0" fontId="81" fillId="0" borderId="0" applyBorder="0">
      <alignment vertical="center"/>
    </xf>
    <xf numFmtId="0" fontId="39" fillId="3" borderId="0" applyNumberFormat="0" applyBorder="0" applyAlignment="0" applyProtection="0">
      <alignment vertical="center"/>
    </xf>
    <xf numFmtId="0" fontId="81" fillId="0" borderId="0"/>
    <xf numFmtId="0" fontId="81" fillId="0" borderId="0">
      <alignment vertical="center"/>
    </xf>
    <xf numFmtId="0" fontId="39" fillId="3" borderId="0" applyNumberFormat="0" applyBorder="0" applyAlignment="0" applyProtection="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xf numFmtId="0" fontId="81" fillId="0" borderId="0">
      <alignment vertical="center"/>
    </xf>
    <xf numFmtId="0" fontId="39" fillId="11"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81" fillId="0" borderId="0">
      <alignment vertical="center"/>
    </xf>
    <xf numFmtId="0" fontId="39" fillId="5" borderId="0" applyNumberFormat="0" applyBorder="0" applyAlignment="0" applyProtection="0">
      <alignment vertical="center"/>
    </xf>
    <xf numFmtId="0" fontId="81" fillId="0" borderId="0" applyBorder="0">
      <alignment vertical="center"/>
    </xf>
    <xf numFmtId="0" fontId="81" fillId="0" borderId="0"/>
    <xf numFmtId="0" fontId="81" fillId="0" borderId="0">
      <alignment vertical="center"/>
    </xf>
    <xf numFmtId="0" fontId="50" fillId="10" borderId="37" applyNumberFormat="0" applyAlignment="0" applyProtection="0">
      <alignment vertical="center"/>
    </xf>
    <xf numFmtId="0" fontId="39" fillId="5"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xf numFmtId="0" fontId="44" fillId="4" borderId="0" applyNumberFormat="0" applyBorder="0" applyAlignment="0" applyProtection="0">
      <alignment vertical="center"/>
    </xf>
    <xf numFmtId="0" fontId="39" fillId="3" borderId="0" applyNumberFormat="0" applyBorder="0" applyAlignment="0" applyProtection="0">
      <alignment vertical="center"/>
    </xf>
    <xf numFmtId="0" fontId="81" fillId="0" borderId="0" applyBorder="0">
      <alignment vertical="center"/>
    </xf>
    <xf numFmtId="0" fontId="81" fillId="0" borderId="0"/>
    <xf numFmtId="0" fontId="39" fillId="12" borderId="0" applyNumberFormat="0" applyBorder="0" applyAlignment="0" applyProtection="0">
      <alignment vertical="center"/>
    </xf>
    <xf numFmtId="0" fontId="39" fillId="3" borderId="0" applyNumberFormat="0" applyBorder="0" applyAlignment="0" applyProtection="0">
      <alignment vertical="center"/>
    </xf>
    <xf numFmtId="0" fontId="81" fillId="0" borderId="0"/>
    <xf numFmtId="0" fontId="39" fillId="5" borderId="0" applyNumberFormat="0" applyBorder="0" applyAlignment="0" applyProtection="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xf numFmtId="0" fontId="39" fillId="11"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lignment vertical="center"/>
    </xf>
    <xf numFmtId="0" fontId="81" fillId="0" borderId="0"/>
    <xf numFmtId="0" fontId="39" fillId="3" borderId="0" applyNumberFormat="0" applyBorder="0" applyAlignment="0" applyProtection="0">
      <alignment vertical="center"/>
    </xf>
    <xf numFmtId="0" fontId="39" fillId="5" borderId="0" applyNumberFormat="0" applyBorder="0" applyAlignment="0" applyProtection="0">
      <alignment vertical="center"/>
    </xf>
    <xf numFmtId="0" fontId="81" fillId="0" borderId="0"/>
    <xf numFmtId="0" fontId="39" fillId="5" borderId="0" applyNumberFormat="0" applyBorder="0" applyAlignment="0" applyProtection="0">
      <alignment vertical="center"/>
    </xf>
    <xf numFmtId="0" fontId="81" fillId="0" borderId="0">
      <alignment vertical="center"/>
    </xf>
    <xf numFmtId="0" fontId="81" fillId="0" borderId="0"/>
    <xf numFmtId="0" fontId="39" fillId="11" borderId="0" applyNumberFormat="0" applyBorder="0" applyAlignment="0" applyProtection="0">
      <alignment vertical="center"/>
    </xf>
    <xf numFmtId="0" fontId="81" fillId="0" borderId="0"/>
    <xf numFmtId="0" fontId="39" fillId="3" borderId="0" applyNumberFormat="0" applyBorder="0" applyAlignment="0" applyProtection="0">
      <alignment vertical="center"/>
    </xf>
    <xf numFmtId="0" fontId="81" fillId="0" borderId="0">
      <alignment vertical="center"/>
    </xf>
    <xf numFmtId="0" fontId="81" fillId="0" borderId="0">
      <alignment vertical="center"/>
    </xf>
    <xf numFmtId="0" fontId="81" fillId="0" borderId="0"/>
    <xf numFmtId="0" fontId="39" fillId="11" borderId="0" applyNumberFormat="0" applyBorder="0" applyAlignment="0" applyProtection="0">
      <alignment vertical="center"/>
    </xf>
    <xf numFmtId="0" fontId="40" fillId="3" borderId="0" applyNumberFormat="0" applyBorder="0" applyAlignment="0" applyProtection="0">
      <alignment vertical="center"/>
    </xf>
    <xf numFmtId="0" fontId="81" fillId="0" borderId="0" applyBorder="0">
      <alignment vertical="center"/>
    </xf>
    <xf numFmtId="0" fontId="81" fillId="0" borderId="0"/>
    <xf numFmtId="0" fontId="81" fillId="0" borderId="0"/>
    <xf numFmtId="0" fontId="81" fillId="0" borderId="0" applyBorder="0">
      <alignment vertical="center"/>
    </xf>
    <xf numFmtId="0" fontId="39" fillId="3" borderId="0" applyNumberFormat="0" applyBorder="0" applyAlignment="0" applyProtection="0">
      <alignment vertical="center"/>
    </xf>
    <xf numFmtId="0" fontId="81" fillId="0" borderId="0"/>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81" fillId="0" borderId="0"/>
    <xf numFmtId="0" fontId="39" fillId="5" borderId="0" applyNumberFormat="0" applyBorder="0" applyAlignment="0" applyProtection="0">
      <alignment vertical="center"/>
    </xf>
    <xf numFmtId="0" fontId="81" fillId="0" borderId="0"/>
    <xf numFmtId="0" fontId="44" fillId="4" borderId="0" applyNumberFormat="0" applyBorder="0" applyAlignment="0" applyProtection="0">
      <alignment vertical="center"/>
    </xf>
    <xf numFmtId="0" fontId="39" fillId="3" borderId="0" applyNumberFormat="0" applyBorder="0" applyAlignment="0" applyProtection="0">
      <alignment vertical="center"/>
    </xf>
    <xf numFmtId="0" fontId="81" fillId="0" borderId="0" applyBorder="0">
      <alignment vertical="center"/>
    </xf>
    <xf numFmtId="0" fontId="81" fillId="0" borderId="0"/>
    <xf numFmtId="0" fontId="81" fillId="0" borderId="0">
      <alignment vertical="center"/>
    </xf>
    <xf numFmtId="0" fontId="81" fillId="0" borderId="0"/>
    <xf numFmtId="0" fontId="39" fillId="3" borderId="0" applyNumberFormat="0" applyBorder="0" applyAlignment="0" applyProtection="0">
      <alignment vertical="center"/>
    </xf>
    <xf numFmtId="0" fontId="81" fillId="0" borderId="0"/>
    <xf numFmtId="0" fontId="81" fillId="0" borderId="0" applyBorder="0">
      <alignment vertical="center"/>
    </xf>
    <xf numFmtId="0" fontId="81" fillId="0" borderId="0"/>
    <xf numFmtId="0" fontId="39" fillId="3" borderId="0" applyNumberFormat="0" applyBorder="0" applyAlignment="0" applyProtection="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xf numFmtId="0" fontId="39" fillId="3" borderId="0" applyNumberFormat="0" applyBorder="0" applyAlignment="0" applyProtection="0">
      <alignment vertical="center"/>
    </xf>
    <xf numFmtId="0" fontId="81" fillId="0" borderId="0" applyBorder="0">
      <alignment vertical="center"/>
    </xf>
    <xf numFmtId="0" fontId="81" fillId="0" borderId="0">
      <alignment vertical="center"/>
    </xf>
    <xf numFmtId="0" fontId="81" fillId="0" borderId="0"/>
    <xf numFmtId="0" fontId="39" fillId="3"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81" fillId="0" borderId="0"/>
    <xf numFmtId="0" fontId="81" fillId="0" borderId="0" applyBorder="0">
      <alignment vertical="center"/>
    </xf>
    <xf numFmtId="0" fontId="81" fillId="0" borderId="0">
      <alignment vertical="center"/>
    </xf>
    <xf numFmtId="0" fontId="81" fillId="0" borderId="0"/>
    <xf numFmtId="0" fontId="39" fillId="3"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xf numFmtId="0" fontId="39" fillId="3" borderId="0" applyNumberFormat="0" applyBorder="0" applyAlignment="0" applyProtection="0">
      <alignment vertical="center"/>
    </xf>
    <xf numFmtId="0" fontId="81" fillId="0" borderId="0">
      <alignment vertical="center"/>
    </xf>
    <xf numFmtId="0" fontId="81" fillId="0" borderId="0"/>
    <xf numFmtId="0" fontId="81" fillId="0" borderId="0"/>
    <xf numFmtId="0" fontId="39" fillId="0" borderId="0">
      <alignment vertical="center"/>
    </xf>
    <xf numFmtId="0" fontId="81" fillId="0" borderId="0" applyBorder="0">
      <alignment vertical="center"/>
    </xf>
    <xf numFmtId="0" fontId="39" fillId="5" borderId="0" applyNumberFormat="0" applyBorder="0" applyAlignment="0" applyProtection="0">
      <alignment vertical="center"/>
    </xf>
    <xf numFmtId="0" fontId="39" fillId="3" borderId="0" applyNumberFormat="0" applyBorder="0" applyAlignment="0" applyProtection="0">
      <alignment vertical="center"/>
    </xf>
    <xf numFmtId="0" fontId="81" fillId="0" borderId="0"/>
    <xf numFmtId="0" fontId="81" fillId="0" borderId="0" applyBorder="0">
      <alignment vertical="center"/>
    </xf>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81" fillId="0" borderId="0"/>
    <xf numFmtId="0" fontId="39" fillId="3" borderId="0" applyNumberFormat="0" applyBorder="0" applyAlignment="0" applyProtection="0">
      <alignment vertical="center"/>
    </xf>
    <xf numFmtId="0" fontId="81" fillId="0" borderId="0"/>
    <xf numFmtId="0" fontId="39" fillId="3" borderId="0" applyNumberFormat="0" applyBorder="0" applyAlignment="0" applyProtection="0">
      <alignment vertical="center"/>
    </xf>
    <xf numFmtId="0" fontId="81" fillId="0" borderId="0">
      <alignment vertical="center"/>
    </xf>
    <xf numFmtId="0" fontId="81" fillId="0" borderId="0" applyBorder="0">
      <alignment vertical="center"/>
    </xf>
    <xf numFmtId="0" fontId="81" fillId="0" borderId="0"/>
    <xf numFmtId="0" fontId="81" fillId="0" borderId="0"/>
    <xf numFmtId="0" fontId="81" fillId="0" borderId="0" applyBorder="0">
      <alignment vertical="center"/>
    </xf>
    <xf numFmtId="0" fontId="39" fillId="11" borderId="0" applyNumberFormat="0" applyBorder="0" applyAlignment="0" applyProtection="0">
      <alignment vertical="center"/>
    </xf>
    <xf numFmtId="0" fontId="81" fillId="0" borderId="0">
      <alignment vertical="center"/>
    </xf>
    <xf numFmtId="0" fontId="81" fillId="0" borderId="0">
      <alignment vertical="center"/>
    </xf>
    <xf numFmtId="0" fontId="39" fillId="3" borderId="0" applyNumberFormat="0" applyBorder="0" applyAlignment="0" applyProtection="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xf numFmtId="0" fontId="39" fillId="5" borderId="0" applyNumberFormat="0" applyBorder="0" applyAlignment="0" applyProtection="0">
      <alignment vertical="center"/>
    </xf>
    <xf numFmtId="0" fontId="81" fillId="0" borderId="0" applyBorder="0">
      <alignment vertical="center"/>
    </xf>
    <xf numFmtId="0" fontId="81" fillId="0" borderId="0">
      <alignment vertical="center"/>
    </xf>
    <xf numFmtId="0" fontId="39" fillId="5" borderId="0" applyNumberFormat="0" applyBorder="0" applyAlignment="0" applyProtection="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39" fillId="3"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81" fillId="0" borderId="0"/>
    <xf numFmtId="0" fontId="39" fillId="5" borderId="0" applyNumberFormat="0" applyBorder="0" applyAlignment="0" applyProtection="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39" fillId="5" borderId="0" applyNumberFormat="0" applyBorder="0" applyAlignment="0" applyProtection="0">
      <alignment vertical="center"/>
    </xf>
    <xf numFmtId="0" fontId="37" fillId="0" borderId="0">
      <alignment vertical="center"/>
    </xf>
    <xf numFmtId="0" fontId="39" fillId="3" borderId="0" applyNumberFormat="0" applyBorder="0" applyAlignment="0" applyProtection="0">
      <alignment vertical="center"/>
    </xf>
    <xf numFmtId="0" fontId="81" fillId="0" borderId="0"/>
    <xf numFmtId="0" fontId="81" fillId="0" borderId="0" applyBorder="0">
      <alignment vertical="center"/>
    </xf>
    <xf numFmtId="0" fontId="39" fillId="3" borderId="0" applyNumberFormat="0" applyBorder="0" applyAlignment="0" applyProtection="0">
      <alignment vertical="center"/>
    </xf>
    <xf numFmtId="0" fontId="81" fillId="0" borderId="0">
      <alignment vertical="center"/>
    </xf>
    <xf numFmtId="0" fontId="39" fillId="3" borderId="0" applyNumberFormat="0" applyBorder="0" applyAlignment="0" applyProtection="0">
      <alignment vertical="center"/>
    </xf>
    <xf numFmtId="0" fontId="39" fillId="5" borderId="0" applyNumberFormat="0" applyBorder="0" applyAlignment="0" applyProtection="0">
      <alignment vertical="center"/>
    </xf>
    <xf numFmtId="0" fontId="81" fillId="0" borderId="0"/>
    <xf numFmtId="0" fontId="39" fillId="3" borderId="0" applyNumberFormat="0" applyBorder="0" applyAlignment="0" applyProtection="0">
      <alignment vertical="center"/>
    </xf>
    <xf numFmtId="0" fontId="37" fillId="0" borderId="0">
      <alignment vertical="center"/>
    </xf>
    <xf numFmtId="0" fontId="39" fillId="5" borderId="0" applyNumberFormat="0" applyBorder="0" applyAlignment="0" applyProtection="0">
      <alignment vertical="center"/>
    </xf>
    <xf numFmtId="0" fontId="39" fillId="3" borderId="0" applyNumberFormat="0" applyBorder="0" applyAlignment="0" applyProtection="0">
      <alignment vertical="center"/>
    </xf>
    <xf numFmtId="0" fontId="81" fillId="0" borderId="0"/>
    <xf numFmtId="0" fontId="39" fillId="12" borderId="0" applyNumberFormat="0" applyBorder="0" applyAlignment="0" applyProtection="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xf numFmtId="0" fontId="39" fillId="3" borderId="0" applyNumberFormat="0" applyBorder="0" applyAlignment="0" applyProtection="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39" fillId="3"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81" fillId="0" borderId="0"/>
    <xf numFmtId="0" fontId="39" fillId="3" borderId="0" applyNumberFormat="0" applyBorder="0" applyAlignment="0" applyProtection="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xf numFmtId="0" fontId="39" fillId="3" borderId="0" applyNumberFormat="0" applyBorder="0" applyAlignment="0" applyProtection="0">
      <alignment vertical="center"/>
    </xf>
    <xf numFmtId="0" fontId="39" fillId="0" borderId="0">
      <alignment vertical="center"/>
    </xf>
    <xf numFmtId="0" fontId="81" fillId="0" borderId="0" applyBorder="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xf numFmtId="0" fontId="81" fillId="0" borderId="0">
      <alignment vertical="center"/>
    </xf>
    <xf numFmtId="0" fontId="39" fillId="3" borderId="0" applyNumberFormat="0" applyBorder="0" applyAlignment="0" applyProtection="0">
      <alignment vertical="center"/>
    </xf>
    <xf numFmtId="0" fontId="81" fillId="0" borderId="0"/>
    <xf numFmtId="0" fontId="39" fillId="3" borderId="0" applyNumberFormat="0" applyBorder="0" applyAlignment="0" applyProtection="0">
      <alignment vertical="center"/>
    </xf>
    <xf numFmtId="0" fontId="81" fillId="0" borderId="0"/>
    <xf numFmtId="0" fontId="39" fillId="3" borderId="0" applyNumberFormat="0" applyBorder="0" applyAlignment="0" applyProtection="0">
      <alignment vertical="center"/>
    </xf>
    <xf numFmtId="0" fontId="81" fillId="0" borderId="0" applyBorder="0">
      <alignment vertical="center"/>
    </xf>
    <xf numFmtId="0" fontId="81" fillId="0" borderId="0"/>
    <xf numFmtId="0" fontId="81" fillId="0" borderId="0">
      <alignment vertical="center"/>
    </xf>
    <xf numFmtId="0" fontId="81" fillId="0" borderId="0" applyBorder="0">
      <alignment vertical="center"/>
    </xf>
    <xf numFmtId="0" fontId="39" fillId="5" borderId="0" applyNumberFormat="0" applyBorder="0" applyAlignment="0" applyProtection="0">
      <alignment vertical="center"/>
    </xf>
    <xf numFmtId="0" fontId="39" fillId="0" borderId="0">
      <alignment vertical="center"/>
    </xf>
    <xf numFmtId="0" fontId="81" fillId="0" borderId="0" applyBorder="0">
      <alignment vertical="center"/>
    </xf>
    <xf numFmtId="0" fontId="81" fillId="0" borderId="0">
      <alignment vertical="center"/>
    </xf>
    <xf numFmtId="0" fontId="39" fillId="3" borderId="0" applyNumberFormat="0" applyBorder="0" applyAlignment="0" applyProtection="0">
      <alignment vertical="center"/>
    </xf>
    <xf numFmtId="0" fontId="81" fillId="0" borderId="0"/>
    <xf numFmtId="0" fontId="81" fillId="0" borderId="0"/>
    <xf numFmtId="0" fontId="81" fillId="0" borderId="0"/>
    <xf numFmtId="0" fontId="39" fillId="5" borderId="0" applyNumberFormat="0" applyBorder="0" applyAlignment="0" applyProtection="0">
      <alignment vertical="center"/>
    </xf>
    <xf numFmtId="0" fontId="81" fillId="0" borderId="0"/>
    <xf numFmtId="0" fontId="39" fillId="3" borderId="0" applyNumberFormat="0" applyBorder="0" applyAlignment="0" applyProtection="0">
      <alignment vertical="center"/>
    </xf>
    <xf numFmtId="0" fontId="81" fillId="0" borderId="0"/>
    <xf numFmtId="0" fontId="81" fillId="0" borderId="0">
      <alignment vertical="center"/>
    </xf>
    <xf numFmtId="0" fontId="81" fillId="0" borderId="0">
      <alignment vertical="center"/>
    </xf>
    <xf numFmtId="0" fontId="81" fillId="0" borderId="0"/>
    <xf numFmtId="0" fontId="81" fillId="0" borderId="0" applyBorder="0">
      <alignment vertical="center"/>
    </xf>
    <xf numFmtId="0" fontId="81" fillId="0" borderId="0" applyBorder="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xf numFmtId="0" fontId="39" fillId="11" borderId="0" applyNumberFormat="0" applyBorder="0" applyAlignment="0" applyProtection="0">
      <alignment vertical="center"/>
    </xf>
    <xf numFmtId="0" fontId="81" fillId="0" borderId="0"/>
    <xf numFmtId="0" fontId="81" fillId="0" borderId="0" applyBorder="0">
      <alignment vertical="center"/>
    </xf>
    <xf numFmtId="0" fontId="39" fillId="11" borderId="0" applyNumberFormat="0" applyBorder="0" applyAlignment="0" applyProtection="0">
      <alignment vertical="center"/>
    </xf>
    <xf numFmtId="0" fontId="81" fillId="0" borderId="0" applyBorder="0">
      <alignment vertical="center"/>
    </xf>
    <xf numFmtId="0" fontId="39" fillId="3" borderId="0" applyNumberFormat="0" applyBorder="0" applyAlignment="0" applyProtection="0">
      <alignment vertical="center"/>
    </xf>
    <xf numFmtId="0" fontId="81" fillId="0" borderId="0"/>
    <xf numFmtId="0" fontId="81" fillId="0" borderId="0" applyBorder="0">
      <alignment vertical="center"/>
    </xf>
    <xf numFmtId="0" fontId="39" fillId="5" borderId="0" applyNumberFormat="0" applyBorder="0" applyAlignment="0" applyProtection="0">
      <alignment vertical="center"/>
    </xf>
    <xf numFmtId="0" fontId="81" fillId="0" borderId="0"/>
    <xf numFmtId="0" fontId="39" fillId="3" borderId="0" applyNumberFormat="0" applyBorder="0" applyAlignment="0" applyProtection="0">
      <alignment vertical="center"/>
    </xf>
    <xf numFmtId="0" fontId="81" fillId="0" borderId="0"/>
    <xf numFmtId="0" fontId="39" fillId="3"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39" fillId="11" borderId="0" applyNumberFormat="0" applyBorder="0" applyAlignment="0" applyProtection="0">
      <alignment vertical="center"/>
    </xf>
    <xf numFmtId="0" fontId="40" fillId="3" borderId="0" applyNumberFormat="0" applyBorder="0" applyAlignment="0" applyProtection="0">
      <alignment vertical="center"/>
    </xf>
    <xf numFmtId="0" fontId="81" fillId="0" borderId="0"/>
    <xf numFmtId="0" fontId="81" fillId="0" borderId="0" applyBorder="0">
      <alignment vertical="center"/>
    </xf>
    <xf numFmtId="0" fontId="39" fillId="3" borderId="0" applyNumberFormat="0" applyBorder="0" applyAlignment="0" applyProtection="0">
      <alignment vertical="center"/>
    </xf>
    <xf numFmtId="0" fontId="81" fillId="0" borderId="0" applyBorder="0">
      <alignment vertical="center"/>
    </xf>
    <xf numFmtId="0" fontId="81" fillId="0" borderId="0">
      <alignment vertical="center"/>
    </xf>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39" fillId="11" borderId="0" applyNumberFormat="0" applyBorder="0" applyAlignment="0" applyProtection="0">
      <alignment vertical="center"/>
    </xf>
    <xf numFmtId="0" fontId="81" fillId="0" borderId="0">
      <alignment vertical="center"/>
    </xf>
    <xf numFmtId="0" fontId="81" fillId="0" borderId="0"/>
    <xf numFmtId="0" fontId="81" fillId="0" borderId="0">
      <alignment vertical="center"/>
    </xf>
    <xf numFmtId="0" fontId="39" fillId="11" borderId="0" applyNumberFormat="0" applyBorder="0" applyAlignment="0" applyProtection="0">
      <alignment vertical="center"/>
    </xf>
    <xf numFmtId="0" fontId="40" fillId="3" borderId="0" applyNumberFormat="0" applyBorder="0" applyAlignment="0" applyProtection="0">
      <alignment vertical="center"/>
    </xf>
    <xf numFmtId="0" fontId="81" fillId="0" borderId="0"/>
    <xf numFmtId="0" fontId="81" fillId="0" borderId="0" applyBorder="0">
      <alignment vertical="center"/>
    </xf>
    <xf numFmtId="0" fontId="81" fillId="0" borderId="0">
      <alignment vertical="center"/>
    </xf>
    <xf numFmtId="0" fontId="39" fillId="5" borderId="0" applyNumberFormat="0" applyBorder="0" applyAlignment="0" applyProtection="0">
      <alignment vertical="center"/>
    </xf>
    <xf numFmtId="0" fontId="39" fillId="3" borderId="0" applyNumberFormat="0" applyBorder="0" applyAlignment="0" applyProtection="0">
      <alignment vertical="center"/>
    </xf>
    <xf numFmtId="0" fontId="81" fillId="0" borderId="0"/>
    <xf numFmtId="0" fontId="44" fillId="20" borderId="0" applyNumberFormat="0" applyBorder="0" applyAlignment="0" applyProtection="0">
      <alignment vertical="center"/>
    </xf>
    <xf numFmtId="0" fontId="39" fillId="3" borderId="0" applyNumberFormat="0" applyBorder="0" applyAlignment="0" applyProtection="0">
      <alignment vertical="center"/>
    </xf>
    <xf numFmtId="0" fontId="81" fillId="0" borderId="0" applyBorder="0">
      <alignment vertical="center"/>
    </xf>
    <xf numFmtId="0" fontId="81" fillId="0" borderId="0"/>
    <xf numFmtId="0" fontId="44" fillId="20" borderId="0" applyNumberFormat="0" applyBorder="0" applyAlignment="0" applyProtection="0">
      <alignment vertical="center"/>
    </xf>
    <xf numFmtId="0" fontId="39" fillId="3"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xf numFmtId="0" fontId="81" fillId="0" borderId="0"/>
    <xf numFmtId="0" fontId="81" fillId="0" borderId="0" applyBorder="0">
      <alignment vertical="center"/>
    </xf>
    <xf numFmtId="0" fontId="39" fillId="3" borderId="0" applyNumberFormat="0" applyBorder="0" applyAlignment="0" applyProtection="0">
      <alignment vertical="center"/>
    </xf>
    <xf numFmtId="0" fontId="39" fillId="12" borderId="0" applyNumberFormat="0" applyBorder="0" applyAlignment="0" applyProtection="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39" fillId="3" borderId="0" applyNumberFormat="0" applyBorder="0" applyAlignment="0" applyProtection="0">
      <alignment vertical="center"/>
    </xf>
    <xf numFmtId="0" fontId="39" fillId="12" borderId="0" applyNumberFormat="0" applyBorder="0" applyAlignment="0" applyProtection="0">
      <alignment vertical="center"/>
    </xf>
    <xf numFmtId="0" fontId="81" fillId="0" borderId="0">
      <alignment vertical="center"/>
    </xf>
    <xf numFmtId="0" fontId="81" fillId="0" borderId="0"/>
    <xf numFmtId="0" fontId="81" fillId="0" borderId="0"/>
    <xf numFmtId="0" fontId="81" fillId="0" borderId="0"/>
    <xf numFmtId="0" fontId="81" fillId="0" borderId="0"/>
    <xf numFmtId="0" fontId="81" fillId="0" borderId="0"/>
    <xf numFmtId="0" fontId="39" fillId="11" borderId="0" applyNumberFormat="0" applyBorder="0" applyAlignment="0" applyProtection="0">
      <alignment vertical="center"/>
    </xf>
    <xf numFmtId="0" fontId="39" fillId="3"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xf numFmtId="0" fontId="39" fillId="11" borderId="0" applyNumberFormat="0" applyBorder="0" applyAlignment="0" applyProtection="0">
      <alignment vertical="center"/>
    </xf>
    <xf numFmtId="0" fontId="81" fillId="0" borderId="0"/>
    <xf numFmtId="0" fontId="81" fillId="0" borderId="0">
      <alignment vertical="center"/>
    </xf>
    <xf numFmtId="0" fontId="81" fillId="0" borderId="0"/>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xf numFmtId="0" fontId="39" fillId="5"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81" fillId="0" borderId="0">
      <alignment vertical="center"/>
    </xf>
    <xf numFmtId="0" fontId="81" fillId="0" borderId="0" applyBorder="0">
      <alignment vertical="center"/>
    </xf>
    <xf numFmtId="0" fontId="81" fillId="0" borderId="0"/>
    <xf numFmtId="0" fontId="81" fillId="0" borderId="0">
      <alignment vertical="center"/>
    </xf>
    <xf numFmtId="0" fontId="39" fillId="11" borderId="0" applyNumberFormat="0" applyBorder="0" applyAlignment="0" applyProtection="0">
      <alignment vertical="center"/>
    </xf>
    <xf numFmtId="0" fontId="81" fillId="0" borderId="0" applyBorder="0">
      <alignment vertical="center"/>
    </xf>
    <xf numFmtId="0" fontId="39" fillId="10"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81" fillId="0" borderId="0"/>
    <xf numFmtId="0" fontId="81" fillId="0" borderId="0" applyBorder="0">
      <alignment vertical="center"/>
    </xf>
    <xf numFmtId="0" fontId="39" fillId="10" borderId="0" applyNumberFormat="0" applyBorder="0" applyAlignment="0" applyProtection="0">
      <alignment vertical="center"/>
    </xf>
    <xf numFmtId="0" fontId="39" fillId="12" borderId="0" applyNumberFormat="0" applyBorder="0" applyAlignment="0" applyProtection="0">
      <alignment vertical="center"/>
    </xf>
    <xf numFmtId="0" fontId="39" fillId="3" borderId="0" applyNumberFormat="0" applyBorder="0" applyAlignment="0" applyProtection="0">
      <alignment vertical="center"/>
    </xf>
    <xf numFmtId="0" fontId="81" fillId="0" borderId="0" applyBorder="0">
      <alignment vertical="center"/>
    </xf>
    <xf numFmtId="0" fontId="81" fillId="0" borderId="0"/>
    <xf numFmtId="0" fontId="39" fillId="5" borderId="0" applyNumberFormat="0" applyBorder="0" applyAlignment="0" applyProtection="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xf numFmtId="0" fontId="81" fillId="0" borderId="0">
      <alignment vertical="center"/>
    </xf>
    <xf numFmtId="0" fontId="39" fillId="11" borderId="0" applyNumberFormat="0" applyBorder="0" applyAlignment="0" applyProtection="0">
      <alignment vertical="center"/>
    </xf>
    <xf numFmtId="0" fontId="39" fillId="10" borderId="0" applyNumberFormat="0" applyBorder="0" applyAlignment="0" applyProtection="0">
      <alignment vertical="center"/>
    </xf>
    <xf numFmtId="0" fontId="39" fillId="12" borderId="0" applyNumberFormat="0" applyBorder="0" applyAlignment="0" applyProtection="0">
      <alignment vertical="center"/>
    </xf>
    <xf numFmtId="0" fontId="81" fillId="0" borderId="0">
      <alignment vertical="center"/>
    </xf>
    <xf numFmtId="0" fontId="81" fillId="0" borderId="0" applyBorder="0">
      <alignment vertical="center"/>
    </xf>
    <xf numFmtId="0" fontId="81" fillId="0" borderId="0"/>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xf numFmtId="0" fontId="39" fillId="5"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81" fillId="0" borderId="0">
      <alignment vertical="center"/>
    </xf>
    <xf numFmtId="0" fontId="81" fillId="0" borderId="0">
      <alignment vertical="center"/>
    </xf>
    <xf numFmtId="0" fontId="81" fillId="0" borderId="0"/>
    <xf numFmtId="0" fontId="81" fillId="0" borderId="0"/>
    <xf numFmtId="0" fontId="39" fillId="5"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81" fillId="0" borderId="0">
      <alignment vertical="center"/>
    </xf>
    <xf numFmtId="0" fontId="81" fillId="0" borderId="0"/>
    <xf numFmtId="0" fontId="81" fillId="0" borderId="0">
      <alignment vertical="center"/>
    </xf>
    <xf numFmtId="0" fontId="81" fillId="0" borderId="0"/>
    <xf numFmtId="0" fontId="81" fillId="0" borderId="0" applyBorder="0">
      <alignment vertical="center"/>
    </xf>
    <xf numFmtId="0" fontId="81" fillId="0" borderId="0">
      <alignment vertical="center"/>
    </xf>
    <xf numFmtId="0" fontId="39" fillId="12"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81" fillId="0" borderId="0">
      <alignment vertical="center"/>
    </xf>
    <xf numFmtId="0" fontId="44" fillId="3"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81" fillId="0" borderId="0"/>
    <xf numFmtId="0" fontId="81" fillId="0" borderId="0"/>
    <xf numFmtId="0" fontId="39" fillId="5" borderId="0" applyNumberFormat="0" applyBorder="0" applyAlignment="0" applyProtection="0">
      <alignment vertical="center"/>
    </xf>
    <xf numFmtId="0" fontId="81" fillId="0" borderId="0" applyBorder="0">
      <alignment vertical="center"/>
    </xf>
    <xf numFmtId="0" fontId="81" fillId="0" borderId="0"/>
    <xf numFmtId="0" fontId="81" fillId="0" borderId="0">
      <alignment vertical="center"/>
    </xf>
    <xf numFmtId="0" fontId="81" fillId="0" borderId="0" applyBorder="0">
      <alignment vertical="center"/>
    </xf>
    <xf numFmtId="0" fontId="39" fillId="10"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xf numFmtId="0" fontId="39" fillId="5"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81" fillId="0" borderId="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39" fillId="5" borderId="0" applyNumberFormat="0" applyBorder="0" applyAlignment="0" applyProtection="0">
      <alignment vertical="center"/>
    </xf>
    <xf numFmtId="0" fontId="81" fillId="0" borderId="0">
      <alignment vertical="center"/>
    </xf>
    <xf numFmtId="0" fontId="81" fillId="0" borderId="0"/>
    <xf numFmtId="0" fontId="39" fillId="12" borderId="0" applyNumberFormat="0" applyBorder="0" applyAlignment="0" applyProtection="0">
      <alignment vertical="center"/>
    </xf>
    <xf numFmtId="0" fontId="81" fillId="0" borderId="0" applyBorder="0">
      <alignment vertical="center"/>
    </xf>
    <xf numFmtId="0" fontId="81" fillId="0" borderId="0"/>
    <xf numFmtId="0" fontId="39" fillId="11"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81" fillId="0" borderId="0">
      <alignment vertical="center"/>
    </xf>
    <xf numFmtId="0" fontId="81" fillId="0" borderId="0"/>
    <xf numFmtId="0" fontId="81" fillId="0" borderId="0" applyBorder="0">
      <alignment vertical="center"/>
    </xf>
    <xf numFmtId="0" fontId="81" fillId="0" borderId="0" applyBorder="0">
      <alignment vertical="center"/>
    </xf>
    <xf numFmtId="0" fontId="81" fillId="0" borderId="0"/>
    <xf numFmtId="0" fontId="81" fillId="0" borderId="0">
      <alignment vertical="center"/>
    </xf>
    <xf numFmtId="0" fontId="81" fillId="0" borderId="0">
      <alignment vertical="center"/>
    </xf>
    <xf numFmtId="0" fontId="81" fillId="0" borderId="0"/>
    <xf numFmtId="0" fontId="39" fillId="3" borderId="0" applyNumberFormat="0" applyBorder="0" applyAlignment="0" applyProtection="0">
      <alignment vertical="center"/>
    </xf>
    <xf numFmtId="0" fontId="81" fillId="0" borderId="0">
      <alignment vertical="center"/>
    </xf>
    <xf numFmtId="0" fontId="81" fillId="0" borderId="0">
      <alignment vertical="center"/>
    </xf>
    <xf numFmtId="0" fontId="81" fillId="0" borderId="0"/>
    <xf numFmtId="0" fontId="81" fillId="0" borderId="0" applyBorder="0">
      <alignment vertical="center"/>
    </xf>
    <xf numFmtId="0" fontId="39" fillId="12" borderId="0" applyNumberFormat="0" applyBorder="0" applyAlignment="0" applyProtection="0">
      <alignment vertical="center"/>
    </xf>
    <xf numFmtId="0" fontId="39" fillId="3"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39" fillId="12" borderId="0" applyNumberFormat="0" applyBorder="0" applyAlignment="0" applyProtection="0">
      <alignment vertical="center"/>
    </xf>
    <xf numFmtId="0" fontId="39" fillId="0" borderId="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81" fillId="0" borderId="0">
      <alignment vertical="center"/>
    </xf>
    <xf numFmtId="0" fontId="81" fillId="0" borderId="0"/>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pplyBorder="0">
      <alignment vertical="center"/>
    </xf>
    <xf numFmtId="0" fontId="81" fillId="0" borderId="0">
      <alignment vertical="center"/>
    </xf>
    <xf numFmtId="0" fontId="81" fillId="0" borderId="0"/>
    <xf numFmtId="0" fontId="81" fillId="0" borderId="0" applyBorder="0">
      <alignment vertical="center"/>
    </xf>
    <xf numFmtId="0" fontId="81" fillId="0" borderId="0">
      <alignment vertical="center"/>
    </xf>
    <xf numFmtId="0" fontId="81" fillId="0" borderId="0"/>
    <xf numFmtId="9" fontId="81" fillId="0" borderId="0" applyFont="0" applyFill="0" applyBorder="0" applyAlignment="0" applyProtection="0"/>
    <xf numFmtId="0" fontId="39" fillId="12" borderId="0" applyNumberFormat="0" applyBorder="0" applyAlignment="0" applyProtection="0">
      <alignment vertical="center"/>
    </xf>
    <xf numFmtId="0" fontId="81" fillId="0" borderId="0" applyBorder="0">
      <alignment vertical="center"/>
    </xf>
    <xf numFmtId="0" fontId="81" fillId="0" borderId="0"/>
    <xf numFmtId="0" fontId="39" fillId="11" borderId="0" applyNumberFormat="0" applyBorder="0" applyAlignment="0" applyProtection="0">
      <alignment vertical="center"/>
    </xf>
    <xf numFmtId="0" fontId="81" fillId="0" borderId="0" applyBorder="0">
      <alignment vertical="center"/>
    </xf>
    <xf numFmtId="0" fontId="81" fillId="0" borderId="0"/>
    <xf numFmtId="0" fontId="39" fillId="11" borderId="0" applyNumberFormat="0" applyBorder="0" applyAlignment="0" applyProtection="0">
      <alignment vertical="center"/>
    </xf>
    <xf numFmtId="0" fontId="81" fillId="0" borderId="0"/>
    <xf numFmtId="0" fontId="39" fillId="12" borderId="0" applyNumberFormat="0" applyBorder="0" applyAlignment="0" applyProtection="0">
      <alignment vertical="center"/>
    </xf>
    <xf numFmtId="0" fontId="81" fillId="0" borderId="0">
      <alignment vertical="center"/>
    </xf>
    <xf numFmtId="0" fontId="81" fillId="0" borderId="0"/>
    <xf numFmtId="0" fontId="81" fillId="0" borderId="0">
      <alignment vertical="center"/>
    </xf>
    <xf numFmtId="0" fontId="81" fillId="0" borderId="0"/>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pplyBorder="0">
      <alignment vertical="center"/>
    </xf>
    <xf numFmtId="0" fontId="81" fillId="0" borderId="0"/>
    <xf numFmtId="0" fontId="39" fillId="3" borderId="0" applyNumberFormat="0" applyBorder="0" applyAlignment="0" applyProtection="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xf numFmtId="0" fontId="81" fillId="0" borderId="0" applyBorder="0">
      <alignment vertical="center"/>
    </xf>
    <xf numFmtId="0" fontId="39" fillId="5" borderId="0" applyNumberFormat="0" applyBorder="0" applyAlignment="0" applyProtection="0">
      <alignment vertical="center"/>
    </xf>
    <xf numFmtId="0" fontId="81" fillId="0" borderId="0"/>
    <xf numFmtId="0" fontId="81" fillId="0" borderId="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xf numFmtId="0" fontId="81" fillId="0" borderId="0" applyBorder="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81" fillId="0" borderId="0" applyBorder="0">
      <alignment vertical="center"/>
    </xf>
    <xf numFmtId="0" fontId="39" fillId="3"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44" fillId="3" borderId="0" applyNumberFormat="0" applyBorder="0" applyAlignment="0" applyProtection="0">
      <alignment vertical="center"/>
    </xf>
    <xf numFmtId="0" fontId="39" fillId="12" borderId="0" applyNumberFormat="0" applyBorder="0" applyAlignment="0" applyProtection="0">
      <alignment vertical="center"/>
    </xf>
    <xf numFmtId="0" fontId="39" fillId="11"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xf numFmtId="0" fontId="81" fillId="0" borderId="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81" fillId="0" borderId="0"/>
    <xf numFmtId="0" fontId="81" fillId="0" borderId="0"/>
    <xf numFmtId="0" fontId="81" fillId="0" borderId="0" applyBorder="0">
      <alignment vertical="center"/>
    </xf>
    <xf numFmtId="0" fontId="81" fillId="0" borderId="0"/>
    <xf numFmtId="0" fontId="81" fillId="0" borderId="0"/>
    <xf numFmtId="0" fontId="81" fillId="0" borderId="0" applyBorder="0">
      <alignment vertical="center"/>
    </xf>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39" fillId="3" borderId="0" applyNumberFormat="0" applyBorder="0" applyAlignment="0" applyProtection="0">
      <alignment vertical="center"/>
    </xf>
    <xf numFmtId="0" fontId="81" fillId="0" borderId="0"/>
    <xf numFmtId="0" fontId="39" fillId="12"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81" fillId="0" borderId="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xf numFmtId="0" fontId="81" fillId="0" borderId="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xf numFmtId="0" fontId="81" fillId="0" borderId="0">
      <alignment vertical="center"/>
    </xf>
    <xf numFmtId="0" fontId="81" fillId="0" borderId="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xf numFmtId="0" fontId="81" fillId="0" borderId="0"/>
    <xf numFmtId="0" fontId="81" fillId="0" borderId="0">
      <alignment vertical="center"/>
    </xf>
    <xf numFmtId="0" fontId="39" fillId="11"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xf numFmtId="0" fontId="81" fillId="0" borderId="0" applyBorder="0">
      <alignment vertical="center"/>
    </xf>
    <xf numFmtId="0" fontId="39" fillId="12" borderId="0" applyNumberFormat="0" applyBorder="0" applyAlignment="0" applyProtection="0">
      <alignment vertical="center"/>
    </xf>
    <xf numFmtId="0" fontId="81" fillId="0" borderId="0">
      <alignment vertical="center"/>
    </xf>
    <xf numFmtId="0" fontId="81" fillId="0" borderId="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81" fillId="0" borderId="0">
      <alignment vertical="center"/>
    </xf>
    <xf numFmtId="0" fontId="81" fillId="0" borderId="0"/>
    <xf numFmtId="0" fontId="81" fillId="0" borderId="0">
      <alignment vertical="center"/>
    </xf>
    <xf numFmtId="0" fontId="81" fillId="0" borderId="0"/>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81" fillId="0" borderId="0">
      <alignment vertical="center"/>
    </xf>
    <xf numFmtId="0" fontId="81" fillId="0" borderId="0">
      <alignment vertical="center"/>
    </xf>
    <xf numFmtId="0" fontId="81" fillId="0" borderId="0"/>
    <xf numFmtId="0" fontId="81" fillId="0" borderId="0" applyBorder="0">
      <alignment vertical="center"/>
    </xf>
    <xf numFmtId="0" fontId="39" fillId="11"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lignment vertical="center"/>
    </xf>
    <xf numFmtId="0" fontId="81" fillId="0" borderId="0"/>
    <xf numFmtId="0" fontId="39" fillId="11" borderId="0" applyNumberFormat="0" applyBorder="0" applyAlignment="0" applyProtection="0">
      <alignment vertical="center"/>
    </xf>
    <xf numFmtId="0" fontId="81" fillId="0" borderId="0">
      <alignment vertical="center"/>
    </xf>
    <xf numFmtId="0" fontId="81" fillId="0" borderId="0"/>
    <xf numFmtId="0" fontId="81" fillId="0" borderId="0" applyBorder="0">
      <alignment vertical="center"/>
    </xf>
    <xf numFmtId="0" fontId="39" fillId="12" borderId="0" applyNumberFormat="0" applyBorder="0" applyAlignment="0" applyProtection="0">
      <alignment vertical="center"/>
    </xf>
    <xf numFmtId="0" fontId="81" fillId="0" borderId="0">
      <alignment vertical="center"/>
    </xf>
    <xf numFmtId="0" fontId="81" fillId="0" borderId="0"/>
    <xf numFmtId="0" fontId="81" fillId="0" borderId="0" applyBorder="0">
      <alignment vertical="center"/>
    </xf>
    <xf numFmtId="0" fontId="81" fillId="0" borderId="0" applyBorder="0">
      <alignment vertical="center"/>
    </xf>
    <xf numFmtId="0" fontId="39" fillId="11" borderId="0" applyNumberFormat="0" applyBorder="0" applyAlignment="0" applyProtection="0">
      <alignment vertical="center"/>
    </xf>
    <xf numFmtId="0" fontId="81" fillId="0" borderId="0">
      <alignment vertical="center"/>
    </xf>
    <xf numFmtId="0" fontId="39" fillId="0" borderId="0">
      <alignment vertical="center"/>
    </xf>
    <xf numFmtId="0" fontId="81" fillId="0" borderId="0"/>
    <xf numFmtId="0" fontId="81" fillId="0" borderId="0">
      <alignment vertical="center"/>
    </xf>
    <xf numFmtId="0" fontId="81" fillId="0" borderId="0"/>
    <xf numFmtId="0" fontId="81" fillId="0" borderId="0">
      <alignment vertical="center"/>
    </xf>
    <xf numFmtId="0" fontId="81" fillId="0" borderId="0"/>
    <xf numFmtId="0" fontId="81" fillId="0" borderId="0" applyBorder="0">
      <alignment vertical="center"/>
    </xf>
    <xf numFmtId="0" fontId="39" fillId="3" borderId="0" applyNumberFormat="0" applyBorder="0" applyAlignment="0" applyProtection="0">
      <alignment vertical="center"/>
    </xf>
    <xf numFmtId="0" fontId="81" fillId="0" borderId="0">
      <alignment vertical="center"/>
    </xf>
    <xf numFmtId="0" fontId="81" fillId="0" borderId="0"/>
    <xf numFmtId="0" fontId="81" fillId="0" borderId="0">
      <alignment vertical="center"/>
    </xf>
    <xf numFmtId="0" fontId="81" fillId="0" borderId="0"/>
    <xf numFmtId="0" fontId="81" fillId="0" borderId="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39" fillId="5" borderId="0" applyNumberFormat="0" applyBorder="0" applyAlignment="0" applyProtection="0">
      <alignment vertical="center"/>
    </xf>
    <xf numFmtId="0" fontId="81" fillId="0" borderId="0">
      <alignment vertical="center"/>
    </xf>
    <xf numFmtId="0" fontId="81" fillId="0" borderId="0" applyBorder="0">
      <alignment vertical="center"/>
    </xf>
    <xf numFmtId="0" fontId="81" fillId="0" borderId="0"/>
    <xf numFmtId="0" fontId="81" fillId="0" borderId="0">
      <alignment vertical="center"/>
    </xf>
    <xf numFmtId="0" fontId="81" fillId="0" borderId="0"/>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xf numFmtId="0" fontId="81" fillId="0" borderId="0">
      <alignment vertical="center"/>
    </xf>
    <xf numFmtId="0" fontId="81" fillId="0" borderId="0"/>
    <xf numFmtId="0" fontId="81" fillId="0" borderId="0" applyBorder="0">
      <alignment vertical="center"/>
    </xf>
    <xf numFmtId="0" fontId="81" fillId="0" borderId="0">
      <alignment vertical="center"/>
    </xf>
    <xf numFmtId="0" fontId="39" fillId="12" borderId="0" applyNumberFormat="0" applyBorder="0" applyAlignment="0" applyProtection="0">
      <alignment vertical="center"/>
    </xf>
    <xf numFmtId="0" fontId="81" fillId="0" borderId="0">
      <alignment vertical="center"/>
    </xf>
    <xf numFmtId="0" fontId="81" fillId="0" borderId="0" applyBorder="0">
      <alignment vertical="center"/>
    </xf>
    <xf numFmtId="0" fontId="81" fillId="0" borderId="0"/>
    <xf numFmtId="0" fontId="81" fillId="0" borderId="0">
      <alignment vertical="center"/>
    </xf>
    <xf numFmtId="0" fontId="81" fillId="0" borderId="0">
      <alignment vertical="center"/>
    </xf>
    <xf numFmtId="0" fontId="39" fillId="12" borderId="0" applyNumberFormat="0" applyBorder="0" applyAlignment="0" applyProtection="0">
      <alignment vertical="center"/>
    </xf>
    <xf numFmtId="0" fontId="81" fillId="0" borderId="0">
      <alignment vertical="center"/>
    </xf>
    <xf numFmtId="0" fontId="81" fillId="0" borderId="0">
      <alignment vertical="center"/>
    </xf>
    <xf numFmtId="0" fontId="81" fillId="0" borderId="0"/>
    <xf numFmtId="0" fontId="81" fillId="0" borderId="0" applyBorder="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lignment vertical="center"/>
    </xf>
    <xf numFmtId="0" fontId="81" fillId="0" borderId="0"/>
    <xf numFmtId="0" fontId="39" fillId="3" borderId="0" applyNumberFormat="0" applyBorder="0" applyAlignment="0" applyProtection="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xf numFmtId="0" fontId="39" fillId="12"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xf numFmtId="0" fontId="81" fillId="0" borderId="0"/>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xf numFmtId="0" fontId="39" fillId="12" borderId="0" applyNumberFormat="0" applyBorder="0" applyAlignment="0" applyProtection="0">
      <alignment vertical="center"/>
    </xf>
    <xf numFmtId="0" fontId="81" fillId="0" borderId="0">
      <alignment vertical="center"/>
    </xf>
    <xf numFmtId="0" fontId="39" fillId="11" borderId="0" applyNumberFormat="0" applyBorder="0" applyAlignment="0" applyProtection="0">
      <alignment vertical="center"/>
    </xf>
    <xf numFmtId="0" fontId="81" fillId="0" borderId="0" applyBorder="0">
      <alignment vertical="center"/>
    </xf>
    <xf numFmtId="0" fontId="81" fillId="0" borderId="0"/>
    <xf numFmtId="0" fontId="81" fillId="0" borderId="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0" borderId="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81" fillId="0" borderId="0">
      <alignment vertical="center"/>
    </xf>
    <xf numFmtId="0" fontId="81" fillId="0" borderId="0"/>
    <xf numFmtId="0" fontId="39" fillId="12"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81" fillId="0" borderId="0" applyBorder="0">
      <alignment vertical="center"/>
    </xf>
    <xf numFmtId="0" fontId="81" fillId="0" borderId="0"/>
    <xf numFmtId="0" fontId="81" fillId="0" borderId="0">
      <alignment vertical="center"/>
    </xf>
    <xf numFmtId="0" fontId="81" fillId="0" borderId="0"/>
    <xf numFmtId="0" fontId="39" fillId="5" borderId="0" applyNumberFormat="0" applyBorder="0" applyAlignment="0" applyProtection="0">
      <alignment vertical="center"/>
    </xf>
    <xf numFmtId="0" fontId="81" fillId="0" borderId="0">
      <alignment vertical="center"/>
    </xf>
    <xf numFmtId="0" fontId="81" fillId="0" borderId="0">
      <alignment vertical="center"/>
    </xf>
    <xf numFmtId="0" fontId="81" fillId="0" borderId="0"/>
    <xf numFmtId="0" fontId="39" fillId="3" borderId="0" applyNumberFormat="0" applyBorder="0" applyAlignment="0" applyProtection="0">
      <alignment vertical="center"/>
    </xf>
    <xf numFmtId="0" fontId="81" fillId="0" borderId="0">
      <alignment vertical="center"/>
    </xf>
    <xf numFmtId="0" fontId="81" fillId="0" borderId="0" applyBorder="0">
      <alignment vertical="center"/>
    </xf>
    <xf numFmtId="0" fontId="81" fillId="0" borderId="0"/>
    <xf numFmtId="0" fontId="81" fillId="0" borderId="0" applyBorder="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81" fillId="0" borderId="0">
      <alignment vertical="center"/>
    </xf>
    <xf numFmtId="0" fontId="81" fillId="0" borderId="0"/>
    <xf numFmtId="0" fontId="81" fillId="0" borderId="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39" fillId="11" borderId="0" applyNumberFormat="0" applyBorder="0" applyAlignment="0" applyProtection="0">
      <alignment vertical="center"/>
    </xf>
    <xf numFmtId="0" fontId="39" fillId="10" borderId="0" applyNumberFormat="0" applyBorder="0" applyAlignment="0" applyProtection="0">
      <alignment vertical="center"/>
    </xf>
    <xf numFmtId="0" fontId="39" fillId="3" borderId="0" applyNumberFormat="0" applyBorder="0" applyAlignment="0" applyProtection="0">
      <alignment vertical="center"/>
    </xf>
    <xf numFmtId="0" fontId="81" fillId="0" borderId="0">
      <alignment vertical="center"/>
    </xf>
    <xf numFmtId="0" fontId="81" fillId="0" borderId="0"/>
    <xf numFmtId="0" fontId="39" fillId="11" borderId="0" applyNumberFormat="0" applyBorder="0" applyAlignment="0" applyProtection="0">
      <alignment vertical="center"/>
    </xf>
    <xf numFmtId="0" fontId="81" fillId="0" borderId="0" applyBorder="0">
      <alignment vertical="center"/>
    </xf>
    <xf numFmtId="0" fontId="81" fillId="0" borderId="0">
      <alignment vertical="center"/>
    </xf>
    <xf numFmtId="0" fontId="81" fillId="0" borderId="0"/>
    <xf numFmtId="0" fontId="39" fillId="0" borderId="0">
      <alignment vertical="center"/>
    </xf>
    <xf numFmtId="0" fontId="39" fillId="3"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xf numFmtId="0" fontId="81" fillId="0" borderId="0"/>
    <xf numFmtId="0" fontId="39" fillId="3" borderId="0" applyNumberFormat="0" applyBorder="0" applyAlignment="0" applyProtection="0">
      <alignment vertical="center"/>
    </xf>
    <xf numFmtId="0" fontId="81" fillId="0" borderId="0">
      <alignment vertical="center"/>
    </xf>
    <xf numFmtId="0" fontId="81" fillId="0" borderId="0" applyBorder="0">
      <alignment vertical="center"/>
    </xf>
    <xf numFmtId="0" fontId="81" fillId="0" borderId="0"/>
    <xf numFmtId="0" fontId="81" fillId="0" borderId="0"/>
    <xf numFmtId="0" fontId="81" fillId="0" borderId="0" applyBorder="0">
      <alignment vertical="center"/>
    </xf>
    <xf numFmtId="0" fontId="81" fillId="0" borderId="0">
      <alignment vertical="center"/>
    </xf>
    <xf numFmtId="0" fontId="81" fillId="0" borderId="0"/>
    <xf numFmtId="0" fontId="81" fillId="0" borderId="0"/>
    <xf numFmtId="0" fontId="81" fillId="0" borderId="0">
      <alignment vertical="center"/>
    </xf>
    <xf numFmtId="0" fontId="81" fillId="0" borderId="0" applyBorder="0">
      <alignment vertical="center"/>
    </xf>
    <xf numFmtId="0" fontId="81" fillId="0" borderId="0"/>
    <xf numFmtId="0" fontId="81" fillId="0" borderId="0"/>
    <xf numFmtId="0" fontId="39" fillId="11" borderId="0" applyNumberFormat="0" applyBorder="0" applyAlignment="0" applyProtection="0">
      <alignment vertical="center"/>
    </xf>
    <xf numFmtId="0" fontId="81" fillId="0" borderId="0">
      <alignment vertical="center"/>
    </xf>
    <xf numFmtId="0" fontId="81" fillId="0" borderId="0" applyBorder="0">
      <alignment vertical="center"/>
    </xf>
    <xf numFmtId="0" fontId="81" fillId="0" borderId="0"/>
    <xf numFmtId="0" fontId="81" fillId="0" borderId="0">
      <alignment vertical="center"/>
    </xf>
    <xf numFmtId="0" fontId="39" fillId="12"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3" borderId="0" applyNumberFormat="0" applyBorder="0" applyAlignment="0" applyProtection="0">
      <alignment vertical="center"/>
    </xf>
    <xf numFmtId="0" fontId="81" fillId="0" borderId="0" applyBorder="0">
      <alignment vertical="center"/>
    </xf>
    <xf numFmtId="0" fontId="81" fillId="0" borderId="0">
      <alignment vertical="center"/>
    </xf>
    <xf numFmtId="0" fontId="81" fillId="0" borderId="0"/>
    <xf numFmtId="0" fontId="81" fillId="0" borderId="0"/>
    <xf numFmtId="0" fontId="39" fillId="12" borderId="0" applyNumberFormat="0" applyBorder="0" applyAlignment="0" applyProtection="0">
      <alignment vertical="center"/>
    </xf>
    <xf numFmtId="0" fontId="81" fillId="0" borderId="0" applyBorder="0">
      <alignment vertical="center"/>
    </xf>
    <xf numFmtId="0" fontId="81" fillId="0" borderId="0"/>
    <xf numFmtId="0" fontId="81" fillId="0" borderId="0"/>
    <xf numFmtId="0" fontId="81" fillId="0" borderId="0">
      <alignment vertical="center"/>
    </xf>
    <xf numFmtId="0" fontId="81" fillId="0" borderId="0" applyBorder="0">
      <alignment vertical="center"/>
    </xf>
    <xf numFmtId="0" fontId="81" fillId="0" borderId="0"/>
    <xf numFmtId="0" fontId="81" fillId="0" borderId="0"/>
    <xf numFmtId="0" fontId="81" fillId="0" borderId="0" applyBorder="0">
      <alignment vertical="center"/>
    </xf>
    <xf numFmtId="0" fontId="81" fillId="0" borderId="0"/>
    <xf numFmtId="0" fontId="39" fillId="12"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81" fillId="0" borderId="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39" fillId="12" borderId="0" applyNumberFormat="0" applyBorder="0" applyAlignment="0" applyProtection="0">
      <alignment vertical="center"/>
    </xf>
    <xf numFmtId="0" fontId="81" fillId="0" borderId="0">
      <alignment vertical="center"/>
    </xf>
    <xf numFmtId="0" fontId="81" fillId="0" borderId="0"/>
    <xf numFmtId="0" fontId="81" fillId="0" borderId="0" applyBorder="0">
      <alignment vertical="center"/>
    </xf>
    <xf numFmtId="0" fontId="39" fillId="3"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81" fillId="0" borderId="0">
      <alignment vertical="center"/>
    </xf>
    <xf numFmtId="0" fontId="81" fillId="0" borderId="0"/>
    <xf numFmtId="0" fontId="81" fillId="0" borderId="0">
      <alignment vertical="center"/>
    </xf>
    <xf numFmtId="0" fontId="81" fillId="0" borderId="0"/>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81" fillId="0" borderId="0" applyBorder="0">
      <alignment vertical="center"/>
    </xf>
    <xf numFmtId="0" fontId="81" fillId="0" borderId="0">
      <alignment vertical="center"/>
    </xf>
    <xf numFmtId="0" fontId="81" fillId="0" borderId="0"/>
    <xf numFmtId="0" fontId="39" fillId="0" borderId="0">
      <alignment vertical="center"/>
    </xf>
    <xf numFmtId="0" fontId="81" fillId="0" borderId="0"/>
    <xf numFmtId="0" fontId="81" fillId="0" borderId="0" applyBorder="0">
      <alignment vertical="center"/>
    </xf>
    <xf numFmtId="0" fontId="39" fillId="5"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lignment vertical="center"/>
    </xf>
    <xf numFmtId="0" fontId="81" fillId="0" borderId="0" applyBorder="0">
      <alignment vertical="center"/>
    </xf>
    <xf numFmtId="0" fontId="81" fillId="0" borderId="0"/>
    <xf numFmtId="0" fontId="39" fillId="5" borderId="0" applyNumberFormat="0" applyBorder="0" applyAlignment="0" applyProtection="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39" fillId="3" borderId="0" applyNumberFormat="0" applyBorder="0" applyAlignment="0" applyProtection="0">
      <alignment vertical="center"/>
    </xf>
    <xf numFmtId="0" fontId="81" fillId="0" borderId="0">
      <alignment vertical="center"/>
    </xf>
    <xf numFmtId="0" fontId="81" fillId="0" borderId="0"/>
    <xf numFmtId="0" fontId="81" fillId="0" borderId="0" applyBorder="0">
      <alignment vertical="center"/>
    </xf>
    <xf numFmtId="0" fontId="37" fillId="0" borderId="0">
      <alignment vertical="center"/>
    </xf>
    <xf numFmtId="0" fontId="39" fillId="12"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81" fillId="0" borderId="0">
      <alignment vertical="center"/>
    </xf>
    <xf numFmtId="0" fontId="81" fillId="0" borderId="0" applyBorder="0">
      <alignment vertical="center"/>
    </xf>
    <xf numFmtId="0" fontId="81" fillId="0" borderId="0"/>
    <xf numFmtId="0" fontId="5" fillId="0" borderId="0"/>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51" fillId="21" borderId="38" applyNumberFormat="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xf numFmtId="0" fontId="39" fillId="5" borderId="0" applyNumberFormat="0" applyBorder="0" applyAlignment="0" applyProtection="0">
      <alignment vertical="center"/>
    </xf>
    <xf numFmtId="0" fontId="81" fillId="0" borderId="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11" borderId="0" applyNumberFormat="0" applyBorder="0" applyAlignment="0" applyProtection="0">
      <alignment vertical="center"/>
    </xf>
    <xf numFmtId="0" fontId="81" fillId="0" borderId="0" applyBorder="0">
      <alignment vertical="center"/>
    </xf>
    <xf numFmtId="0" fontId="81" fillId="0" borderId="0">
      <alignment vertical="center"/>
    </xf>
    <xf numFmtId="0" fontId="81" fillId="0" borderId="0" applyBorder="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15"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39" fillId="15" borderId="0" applyNumberFormat="0" applyBorder="0" applyAlignment="0" applyProtection="0">
      <alignment vertical="center"/>
    </xf>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39" fillId="3"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lignment vertical="center"/>
    </xf>
    <xf numFmtId="0" fontId="39" fillId="11" borderId="0" applyNumberFormat="0" applyBorder="0" applyAlignment="0" applyProtection="0">
      <alignment vertical="center"/>
    </xf>
    <xf numFmtId="0" fontId="39" fillId="12" borderId="0" applyNumberFormat="0" applyBorder="0" applyAlignment="0" applyProtection="0">
      <alignment vertical="center"/>
    </xf>
    <xf numFmtId="0" fontId="81" fillId="0" borderId="0">
      <alignment vertical="center"/>
    </xf>
    <xf numFmtId="0" fontId="39" fillId="11" borderId="0" applyNumberFormat="0" applyBorder="0" applyAlignment="0" applyProtection="0">
      <alignment vertical="center"/>
    </xf>
    <xf numFmtId="0" fontId="81" fillId="0" borderId="0" applyBorder="0">
      <alignment vertical="center"/>
    </xf>
    <xf numFmtId="0" fontId="81" fillId="0" borderId="0">
      <alignment vertical="center"/>
    </xf>
    <xf numFmtId="0" fontId="39" fillId="12"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81" fillId="0" borderId="0">
      <alignment vertical="center"/>
    </xf>
    <xf numFmtId="0" fontId="39" fillId="11"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39" fillId="11" borderId="0" applyNumberFormat="0" applyBorder="0" applyAlignment="0" applyProtection="0">
      <alignment vertical="center"/>
    </xf>
    <xf numFmtId="0" fontId="81" fillId="0" borderId="0">
      <alignment vertical="center"/>
    </xf>
    <xf numFmtId="0" fontId="81" fillId="0" borderId="0" applyBorder="0">
      <alignment vertical="center"/>
    </xf>
    <xf numFmtId="0" fontId="81" fillId="0" borderId="0">
      <alignment vertical="center"/>
    </xf>
    <xf numFmtId="0" fontId="39" fillId="12" borderId="0" applyNumberFormat="0" applyBorder="0" applyAlignment="0" applyProtection="0">
      <alignment vertical="center"/>
    </xf>
    <xf numFmtId="0" fontId="39" fillId="11"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81" fillId="0" borderId="0" applyBorder="0">
      <alignment vertical="center"/>
    </xf>
    <xf numFmtId="0" fontId="81" fillId="0" borderId="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11"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81" fillId="0" borderId="0" applyBorder="0">
      <alignment vertical="center"/>
    </xf>
    <xf numFmtId="0" fontId="39" fillId="3"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39" fillId="0" borderId="0">
      <alignment vertical="center"/>
    </xf>
    <xf numFmtId="0" fontId="81" fillId="0" borderId="0">
      <alignment vertical="center"/>
    </xf>
    <xf numFmtId="0" fontId="39" fillId="5" borderId="0" applyNumberFormat="0" applyBorder="0" applyAlignment="0" applyProtection="0">
      <alignment vertical="center"/>
    </xf>
    <xf numFmtId="0" fontId="39" fillId="11" borderId="0" applyNumberFormat="0" applyBorder="0" applyAlignment="0" applyProtection="0">
      <alignment vertical="center"/>
    </xf>
    <xf numFmtId="0" fontId="39" fillId="3" borderId="0" applyNumberFormat="0" applyBorder="0" applyAlignment="0" applyProtection="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81" fillId="0" borderId="0" applyBorder="0">
      <alignment vertical="center"/>
    </xf>
    <xf numFmtId="0" fontId="81" fillId="0" borderId="0"/>
    <xf numFmtId="0" fontId="81" fillId="0" borderId="0" applyBorder="0">
      <alignment vertical="center"/>
    </xf>
    <xf numFmtId="0" fontId="39" fillId="12" borderId="0" applyNumberFormat="0" applyBorder="0" applyAlignment="0" applyProtection="0">
      <alignment vertical="center"/>
    </xf>
    <xf numFmtId="0" fontId="39" fillId="3" borderId="0" applyNumberFormat="0" applyBorder="0" applyAlignment="0" applyProtection="0">
      <alignment vertical="center"/>
    </xf>
    <xf numFmtId="0" fontId="81" fillId="0" borderId="0" applyBorder="0">
      <alignment vertical="center"/>
    </xf>
    <xf numFmtId="0" fontId="41" fillId="13"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lignment vertical="center"/>
    </xf>
    <xf numFmtId="0" fontId="39" fillId="5"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39" fillId="3"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xf numFmtId="0" fontId="39" fillId="12" borderId="0" applyNumberFormat="0" applyBorder="0" applyAlignment="0" applyProtection="0">
      <alignment vertical="center"/>
    </xf>
    <xf numFmtId="0" fontId="81" fillId="0" borderId="0"/>
    <xf numFmtId="0" fontId="39" fillId="12" borderId="0" applyNumberFormat="0" applyBorder="0" applyAlignment="0" applyProtection="0">
      <alignment vertical="center"/>
    </xf>
    <xf numFmtId="0" fontId="39" fillId="11"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39" fillId="0" borderId="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1"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39" fillId="0" borderId="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xf numFmtId="0" fontId="39" fillId="12"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lignment vertical="center"/>
    </xf>
    <xf numFmtId="0" fontId="81" fillId="0" borderId="0"/>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1" borderId="0" applyNumberFormat="0" applyBorder="0" applyAlignment="0" applyProtection="0">
      <alignment vertical="center"/>
    </xf>
    <xf numFmtId="0" fontId="39" fillId="12" borderId="0" applyNumberFormat="0" applyBorder="0" applyAlignment="0" applyProtection="0">
      <alignment vertical="center"/>
    </xf>
    <xf numFmtId="0" fontId="39" fillId="11"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39" fillId="11" borderId="0" applyNumberFormat="0" applyBorder="0" applyAlignment="0" applyProtection="0">
      <alignment vertical="center"/>
    </xf>
    <xf numFmtId="0" fontId="39" fillId="12" borderId="0" applyNumberFormat="0" applyBorder="0" applyAlignment="0" applyProtection="0">
      <alignment vertical="center"/>
    </xf>
    <xf numFmtId="0" fontId="39" fillId="11" borderId="0" applyNumberFormat="0" applyBorder="0" applyAlignment="0" applyProtection="0">
      <alignment vertical="center"/>
    </xf>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lignment vertical="center"/>
    </xf>
    <xf numFmtId="0" fontId="81" fillId="0" borderId="0" applyBorder="0">
      <alignment vertical="center"/>
    </xf>
    <xf numFmtId="0" fontId="39" fillId="11" borderId="0" applyNumberFormat="0" applyBorder="0" applyAlignment="0" applyProtection="0">
      <alignment vertical="center"/>
    </xf>
    <xf numFmtId="0" fontId="81" fillId="0" borderId="0" applyBorder="0">
      <alignment vertical="center"/>
    </xf>
    <xf numFmtId="0" fontId="81" fillId="0" borderId="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81" fillId="0" borderId="0"/>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1"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39" fillId="11" borderId="0" applyNumberFormat="0" applyBorder="0" applyAlignment="0" applyProtection="0">
      <alignment vertical="center"/>
    </xf>
    <xf numFmtId="0" fontId="39" fillId="12" borderId="0" applyNumberFormat="0" applyBorder="0" applyAlignment="0" applyProtection="0">
      <alignment vertical="center"/>
    </xf>
    <xf numFmtId="0" fontId="39" fillId="11" borderId="0" applyNumberFormat="0" applyBorder="0" applyAlignment="0" applyProtection="0">
      <alignment vertical="center"/>
    </xf>
    <xf numFmtId="0" fontId="81" fillId="0" borderId="0">
      <alignment vertical="center"/>
    </xf>
    <xf numFmtId="0" fontId="39" fillId="0" borderId="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39" fillId="11" borderId="0" applyNumberFormat="0" applyBorder="0" applyAlignment="0" applyProtection="0">
      <alignment vertical="center"/>
    </xf>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11"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81" fillId="0" borderId="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lignment vertical="center"/>
    </xf>
    <xf numFmtId="0" fontId="81" fillId="0" borderId="0" applyBorder="0">
      <alignment vertical="center"/>
    </xf>
    <xf numFmtId="0" fontId="81" fillId="0" borderId="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44" fillId="5"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44" fillId="23"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81" fillId="0" borderId="0">
      <alignment vertical="center"/>
    </xf>
    <xf numFmtId="0" fontId="81" fillId="0" borderId="0">
      <alignment vertical="center"/>
    </xf>
    <xf numFmtId="0" fontId="81" fillId="0" borderId="0" applyBorder="0">
      <alignment vertical="center"/>
    </xf>
    <xf numFmtId="0" fontId="39" fillId="12" borderId="0" applyNumberFormat="0" applyBorder="0" applyAlignment="0" applyProtection="0">
      <alignment vertical="center"/>
    </xf>
    <xf numFmtId="0" fontId="44" fillId="23" borderId="0" applyNumberFormat="0" applyBorder="0" applyAlignment="0" applyProtection="0">
      <alignment vertical="center"/>
    </xf>
    <xf numFmtId="0" fontId="39" fillId="0" borderId="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39" fillId="3"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44" fillId="3"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lignment vertical="center"/>
    </xf>
    <xf numFmtId="0" fontId="44" fillId="3"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alignment vertical="center"/>
    </xf>
    <xf numFmtId="0" fontId="81" fillId="0" borderId="0">
      <alignment vertical="center"/>
    </xf>
    <xf numFmtId="0" fontId="39" fillId="12" borderId="0" applyNumberFormat="0" applyBorder="0" applyAlignment="0" applyProtection="0">
      <alignment vertical="center"/>
    </xf>
    <xf numFmtId="0" fontId="44" fillId="23"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12" borderId="0" applyNumberFormat="0" applyBorder="0" applyAlignment="0" applyProtection="0">
      <alignment vertical="center"/>
    </xf>
    <xf numFmtId="0" fontId="44" fillId="3"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52" fillId="0" borderId="40" applyNumberFormat="0" applyFill="0" applyAlignment="0" applyProtection="0">
      <alignment vertical="center"/>
    </xf>
    <xf numFmtId="0" fontId="81" fillId="0" borderId="0">
      <alignment vertical="center"/>
    </xf>
    <xf numFmtId="0" fontId="44" fillId="3"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39" fillId="25" borderId="0" applyNumberFormat="0" applyBorder="0" applyAlignment="0" applyProtection="0">
      <alignment vertical="center"/>
    </xf>
    <xf numFmtId="0" fontId="39" fillId="12" borderId="0" applyNumberFormat="0" applyBorder="0" applyAlignment="0" applyProtection="0">
      <alignment vertical="center"/>
    </xf>
    <xf numFmtId="0" fontId="39" fillId="11"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xf numFmtId="0" fontId="39" fillId="12" borderId="0" applyNumberFormat="0" applyBorder="0" applyAlignment="0" applyProtection="0">
      <alignment vertical="center"/>
    </xf>
    <xf numFmtId="0" fontId="39" fillId="11"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39" fillId="11" borderId="0" applyNumberFormat="0" applyBorder="0" applyAlignment="0" applyProtection="0">
      <alignment vertical="center"/>
    </xf>
    <xf numFmtId="0" fontId="81" fillId="0" borderId="0"/>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39" fillId="0" borderId="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lignment vertical="center"/>
    </xf>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81" fillId="0" borderId="0" applyBorder="0">
      <alignment vertical="center"/>
    </xf>
    <xf numFmtId="0" fontId="81" fillId="0" borderId="0"/>
    <xf numFmtId="0" fontId="39" fillId="12" borderId="0" applyNumberFormat="0" applyBorder="0" applyAlignment="0" applyProtection="0">
      <alignment vertical="center"/>
    </xf>
    <xf numFmtId="0" fontId="39" fillId="0" borderId="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39" fillId="0" borderId="0">
      <alignment vertical="center"/>
    </xf>
    <xf numFmtId="0" fontId="39" fillId="5"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39" fillId="0" borderId="0">
      <alignment vertical="center"/>
    </xf>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xf numFmtId="0" fontId="39" fillId="12"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lignment vertical="center"/>
    </xf>
    <xf numFmtId="0" fontId="81" fillId="0" borderId="0">
      <alignment vertical="center"/>
    </xf>
    <xf numFmtId="0" fontId="39" fillId="5"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81" fillId="0" borderId="0"/>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0" borderId="0">
      <alignment vertical="center"/>
    </xf>
    <xf numFmtId="0" fontId="39" fillId="12" borderId="0" applyNumberFormat="0" applyBorder="0" applyAlignment="0" applyProtection="0">
      <alignment vertical="center"/>
    </xf>
    <xf numFmtId="0" fontId="81" fillId="0" borderId="0"/>
    <xf numFmtId="0" fontId="39" fillId="12" borderId="0" applyNumberFormat="0" applyBorder="0" applyAlignment="0" applyProtection="0">
      <alignment vertical="center"/>
    </xf>
    <xf numFmtId="0" fontId="81" fillId="0" borderId="0"/>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44" fillId="23"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81" fillId="0" borderId="0"/>
    <xf numFmtId="0" fontId="39" fillId="12"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44" fillId="23" borderId="0" applyNumberFormat="0" applyBorder="0" applyAlignment="0" applyProtection="0">
      <alignment vertical="center"/>
    </xf>
    <xf numFmtId="0" fontId="81" fillId="0" borderId="0"/>
    <xf numFmtId="0" fontId="44" fillId="3"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lignment vertical="center"/>
    </xf>
    <xf numFmtId="0" fontId="39" fillId="12" borderId="0" applyNumberFormat="0" applyBorder="0" applyAlignment="0" applyProtection="0">
      <alignment vertical="center"/>
    </xf>
    <xf numFmtId="0" fontId="44" fillId="23"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39" fillId="11"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xf numFmtId="0" fontId="39" fillId="12"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81" fillId="0" borderId="0">
      <alignment vertical="center"/>
    </xf>
    <xf numFmtId="0" fontId="81" fillId="0" borderId="0">
      <alignment vertical="center"/>
    </xf>
    <xf numFmtId="0" fontId="39" fillId="12"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39" fillId="0" borderId="0">
      <alignment vertical="center"/>
    </xf>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3" borderId="0" applyNumberFormat="0" applyBorder="0" applyAlignment="0" applyProtection="0">
      <alignment vertical="center"/>
    </xf>
    <xf numFmtId="0" fontId="81" fillId="0" borderId="0" applyBorder="0">
      <alignment vertical="center"/>
    </xf>
    <xf numFmtId="0" fontId="81" fillId="0" borderId="0">
      <alignment vertical="center"/>
    </xf>
    <xf numFmtId="0" fontId="39" fillId="12" borderId="0" applyNumberFormat="0" applyBorder="0" applyAlignment="0" applyProtection="0">
      <alignment vertical="center"/>
    </xf>
    <xf numFmtId="0" fontId="81" fillId="0" borderId="0">
      <alignment vertical="center"/>
    </xf>
    <xf numFmtId="0" fontId="81" fillId="0" borderId="0" applyBorder="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0" borderId="0">
      <alignment vertical="center"/>
    </xf>
    <xf numFmtId="0" fontId="39" fillId="11" borderId="0" applyNumberFormat="0" applyBorder="0" applyAlignment="0" applyProtection="0">
      <alignment vertical="center"/>
    </xf>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81" fillId="0" borderId="0" applyBorder="0">
      <alignment vertical="center"/>
    </xf>
    <xf numFmtId="0" fontId="81" fillId="0" borderId="0">
      <alignment vertical="center"/>
    </xf>
    <xf numFmtId="0" fontId="39" fillId="11"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xf numFmtId="0" fontId="81" fillId="0" borderId="0" applyBorder="0">
      <alignment vertical="center"/>
    </xf>
    <xf numFmtId="0" fontId="39" fillId="11"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39" fillId="11" borderId="0" applyNumberFormat="0" applyBorder="0" applyAlignment="0" applyProtection="0">
      <alignment vertical="center"/>
    </xf>
    <xf numFmtId="0" fontId="81" fillId="0" borderId="0">
      <alignment vertical="center"/>
    </xf>
    <xf numFmtId="0" fontId="81" fillId="0" borderId="0">
      <alignment vertical="center"/>
    </xf>
    <xf numFmtId="0" fontId="39" fillId="11"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xf numFmtId="0" fontId="39" fillId="11"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11" borderId="0" applyNumberFormat="0" applyBorder="0" applyAlignment="0" applyProtection="0">
      <alignment vertical="center"/>
    </xf>
    <xf numFmtId="0" fontId="39" fillId="12" borderId="0" applyNumberFormat="0" applyBorder="0" applyAlignment="0" applyProtection="0">
      <alignment vertical="center"/>
    </xf>
    <xf numFmtId="0" fontId="81" fillId="0" borderId="0"/>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39" fillId="0" borderId="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lignment vertical="center"/>
    </xf>
    <xf numFmtId="0" fontId="81" fillId="0" borderId="0" applyBorder="0">
      <alignment vertical="center"/>
    </xf>
    <xf numFmtId="0" fontId="39" fillId="11"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11"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lignment vertical="center"/>
    </xf>
    <xf numFmtId="0" fontId="81" fillId="0" borderId="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lignment vertical="center"/>
    </xf>
    <xf numFmtId="0" fontId="39" fillId="12" borderId="0" applyNumberFormat="0" applyBorder="0" applyAlignment="0" applyProtection="0">
      <alignment vertical="center"/>
    </xf>
    <xf numFmtId="0" fontId="81" fillId="0" borderId="0">
      <alignment vertical="center"/>
    </xf>
    <xf numFmtId="0" fontId="81" fillId="0" borderId="0" applyBorder="0">
      <alignment vertical="center"/>
    </xf>
    <xf numFmtId="0" fontId="39" fillId="11"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1"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lignment vertical="center"/>
    </xf>
    <xf numFmtId="0" fontId="81" fillId="0" borderId="0">
      <alignment vertical="center"/>
    </xf>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lignment vertical="center"/>
    </xf>
    <xf numFmtId="0" fontId="81" fillId="0" borderId="0" applyBorder="0">
      <alignment vertical="center"/>
    </xf>
    <xf numFmtId="0" fontId="39" fillId="3" borderId="0" applyNumberFormat="0" applyBorder="0" applyAlignment="0" applyProtection="0">
      <alignment vertical="center"/>
    </xf>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lignment vertical="center"/>
    </xf>
    <xf numFmtId="0" fontId="81" fillId="0" borderId="0">
      <alignment vertical="center"/>
    </xf>
    <xf numFmtId="0" fontId="39" fillId="11"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39" fillId="0" borderId="0">
      <alignment vertical="center"/>
    </xf>
    <xf numFmtId="0" fontId="81" fillId="0" borderId="0" applyBorder="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lignment vertical="center"/>
    </xf>
    <xf numFmtId="0" fontId="39" fillId="12"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44" fillId="3"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12" borderId="0" applyNumberFormat="0" applyBorder="0" applyAlignment="0" applyProtection="0">
      <alignment vertical="center"/>
    </xf>
    <xf numFmtId="0" fontId="48" fillId="0" borderId="0" applyNumberFormat="0" applyFill="0" applyBorder="0" applyAlignment="0" applyProtection="0">
      <alignment vertical="center"/>
    </xf>
    <xf numFmtId="0" fontId="39" fillId="12" borderId="0" applyNumberFormat="0" applyBorder="0" applyAlignment="0" applyProtection="0">
      <alignment vertical="center"/>
    </xf>
    <xf numFmtId="0" fontId="81" fillId="0" borderId="0"/>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lignment vertical="center"/>
    </xf>
    <xf numFmtId="0" fontId="39" fillId="11"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39" fillId="11" borderId="0" applyNumberFormat="0" applyBorder="0" applyAlignment="0" applyProtection="0">
      <alignment vertical="center"/>
    </xf>
    <xf numFmtId="0" fontId="54" fillId="18" borderId="0" applyNumberFormat="0" applyBorder="0" applyAlignment="0" applyProtection="0">
      <alignment vertical="center"/>
    </xf>
    <xf numFmtId="0" fontId="39" fillId="12" borderId="0" applyNumberFormat="0" applyBorder="0" applyAlignment="0" applyProtection="0">
      <alignment vertical="center"/>
    </xf>
    <xf numFmtId="0" fontId="39" fillId="11" borderId="0" applyNumberFormat="0" applyBorder="0" applyAlignment="0" applyProtection="0">
      <alignment vertical="center"/>
    </xf>
    <xf numFmtId="0" fontId="39" fillId="10" borderId="0" applyNumberFormat="0" applyBorder="0" applyAlignment="0" applyProtection="0">
      <alignment vertical="center"/>
    </xf>
    <xf numFmtId="0" fontId="39" fillId="12" borderId="0" applyNumberFormat="0" applyBorder="0" applyAlignment="0" applyProtection="0">
      <alignment vertical="center"/>
    </xf>
    <xf numFmtId="0" fontId="39" fillId="10" borderId="0" applyNumberFormat="0" applyBorder="0" applyAlignment="0" applyProtection="0">
      <alignment vertical="center"/>
    </xf>
    <xf numFmtId="0" fontId="39" fillId="12" borderId="0" applyNumberFormat="0" applyBorder="0" applyAlignment="0" applyProtection="0">
      <alignment vertical="center"/>
    </xf>
    <xf numFmtId="0" fontId="81" fillId="0" borderId="0">
      <alignment vertical="center"/>
    </xf>
    <xf numFmtId="0" fontId="39" fillId="11" borderId="0" applyNumberFormat="0" applyBorder="0" applyAlignment="0" applyProtection="0">
      <alignment vertical="center"/>
    </xf>
    <xf numFmtId="0" fontId="39" fillId="5" borderId="0" applyNumberFormat="0" applyBorder="0" applyAlignment="0" applyProtection="0">
      <alignment vertical="center"/>
    </xf>
    <xf numFmtId="0" fontId="39" fillId="10"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0" borderId="0">
      <alignment vertical="center"/>
    </xf>
    <xf numFmtId="0" fontId="81" fillId="0" borderId="0" applyBorder="0">
      <alignment vertical="center"/>
    </xf>
    <xf numFmtId="0" fontId="39" fillId="3" borderId="0" applyNumberFormat="0" applyBorder="0" applyAlignment="0" applyProtection="0">
      <alignment vertical="center"/>
    </xf>
    <xf numFmtId="0" fontId="39" fillId="12" borderId="0" applyNumberFormat="0" applyBorder="0" applyAlignment="0" applyProtection="0">
      <alignment vertical="center"/>
    </xf>
    <xf numFmtId="0" fontId="39" fillId="11" borderId="0" applyNumberFormat="0" applyBorder="0" applyAlignment="0" applyProtection="0">
      <alignment vertical="center"/>
    </xf>
    <xf numFmtId="0" fontId="39" fillId="0" borderId="0">
      <alignment vertical="center"/>
    </xf>
    <xf numFmtId="0" fontId="81" fillId="0" borderId="0" applyBorder="0">
      <alignment vertical="center"/>
    </xf>
    <xf numFmtId="0" fontId="39" fillId="3" borderId="0" applyNumberFormat="0" applyBorder="0" applyAlignment="0" applyProtection="0">
      <alignment vertical="center"/>
    </xf>
    <xf numFmtId="0" fontId="39" fillId="10" borderId="0" applyNumberFormat="0" applyBorder="0" applyAlignment="0" applyProtection="0">
      <alignment vertical="center"/>
    </xf>
    <xf numFmtId="0" fontId="39" fillId="12" borderId="0" applyNumberFormat="0" applyBorder="0" applyAlignment="0" applyProtection="0">
      <alignment vertical="center"/>
    </xf>
    <xf numFmtId="0" fontId="39" fillId="0" borderId="0">
      <alignment vertical="center"/>
    </xf>
    <xf numFmtId="0" fontId="81" fillId="0" borderId="0" applyBorder="0">
      <alignment vertical="center"/>
    </xf>
    <xf numFmtId="0" fontId="81" fillId="0" borderId="0">
      <alignment vertical="center"/>
    </xf>
    <xf numFmtId="0" fontId="39" fillId="3"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3" borderId="0" applyNumberFormat="0" applyBorder="0" applyAlignment="0" applyProtection="0">
      <alignment vertical="center"/>
    </xf>
    <xf numFmtId="0" fontId="39" fillId="12" borderId="0" applyNumberFormat="0" applyBorder="0" applyAlignment="0" applyProtection="0">
      <alignment vertical="center"/>
    </xf>
    <xf numFmtId="0" fontId="39" fillId="11"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81" fillId="0" borderId="0" applyBorder="0">
      <alignment vertical="center"/>
    </xf>
    <xf numFmtId="0" fontId="39" fillId="3" borderId="0" applyNumberFormat="0" applyBorder="0" applyAlignment="0" applyProtection="0">
      <alignment vertical="center"/>
    </xf>
    <xf numFmtId="0" fontId="39" fillId="10"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11"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lignment vertical="center"/>
    </xf>
    <xf numFmtId="0" fontId="39" fillId="3"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11" borderId="0" applyNumberFormat="0" applyBorder="0" applyAlignment="0" applyProtection="0">
      <alignment vertical="center"/>
    </xf>
    <xf numFmtId="0" fontId="39" fillId="0" borderId="0">
      <alignment vertical="center"/>
    </xf>
    <xf numFmtId="0" fontId="81" fillId="0" borderId="0">
      <alignment vertical="center"/>
    </xf>
    <xf numFmtId="0" fontId="81" fillId="0" borderId="0" applyBorder="0">
      <alignment vertical="center"/>
    </xf>
    <xf numFmtId="0" fontId="39" fillId="3" borderId="0" applyNumberFormat="0" applyBorder="0" applyAlignment="0" applyProtection="0">
      <alignment vertical="center"/>
    </xf>
    <xf numFmtId="0" fontId="39" fillId="12" borderId="0" applyNumberFormat="0" applyBorder="0" applyAlignment="0" applyProtection="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3" borderId="0" applyNumberFormat="0" applyBorder="0" applyAlignment="0" applyProtection="0">
      <alignment vertical="center"/>
    </xf>
    <xf numFmtId="0" fontId="81" fillId="0" borderId="0" applyBorder="0">
      <alignment vertical="center"/>
    </xf>
    <xf numFmtId="0" fontId="81" fillId="0" borderId="0">
      <alignment vertical="center"/>
    </xf>
    <xf numFmtId="0" fontId="39" fillId="12" borderId="0" applyNumberFormat="0" applyBorder="0" applyAlignment="0" applyProtection="0">
      <alignment vertical="center"/>
    </xf>
    <xf numFmtId="0" fontId="81" fillId="0" borderId="0"/>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0"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37" fillId="0" borderId="0">
      <alignment vertical="center"/>
    </xf>
    <xf numFmtId="0" fontId="81" fillId="0" borderId="0" applyBorder="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applyBorder="0">
      <alignment vertical="center"/>
    </xf>
    <xf numFmtId="0" fontId="81" fillId="0" borderId="0">
      <alignment vertical="center"/>
    </xf>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39" fillId="11" borderId="0" applyNumberFormat="0" applyBorder="0" applyAlignment="0" applyProtection="0">
      <alignment vertical="center"/>
    </xf>
    <xf numFmtId="0" fontId="39" fillId="12" borderId="0" applyNumberFormat="0" applyBorder="0" applyAlignment="0" applyProtection="0">
      <alignment vertical="center"/>
    </xf>
    <xf numFmtId="0" fontId="39" fillId="3" borderId="0" applyNumberFormat="0" applyBorder="0" applyAlignment="0" applyProtection="0">
      <alignment vertical="center"/>
    </xf>
    <xf numFmtId="0" fontId="39" fillId="5" borderId="0" applyNumberFormat="0" applyBorder="0" applyAlignment="0" applyProtection="0">
      <alignment vertical="center"/>
    </xf>
    <xf numFmtId="0" fontId="81" fillId="0" borderId="0" applyBorder="0">
      <alignment vertical="center"/>
    </xf>
    <xf numFmtId="0" fontId="81" fillId="0" borderId="0">
      <alignment vertical="center"/>
    </xf>
    <xf numFmtId="0" fontId="39" fillId="12" borderId="0" applyNumberFormat="0" applyBorder="0" applyAlignment="0" applyProtection="0">
      <alignment vertical="center"/>
    </xf>
    <xf numFmtId="0" fontId="81" fillId="0" borderId="0" applyBorder="0">
      <alignment vertical="center"/>
    </xf>
    <xf numFmtId="0" fontId="39" fillId="15" borderId="0" applyNumberFormat="0" applyBorder="0" applyAlignment="0" applyProtection="0">
      <alignment vertical="center"/>
    </xf>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39" fillId="15" borderId="0" applyNumberFormat="0" applyBorder="0" applyAlignment="0" applyProtection="0">
      <alignment vertical="center"/>
    </xf>
    <xf numFmtId="0" fontId="39" fillId="12" borderId="0" applyNumberFormat="0" applyBorder="0" applyAlignment="0" applyProtection="0">
      <alignment vertical="center"/>
    </xf>
    <xf numFmtId="0" fontId="81" fillId="0" borderId="0">
      <alignment vertical="center"/>
    </xf>
    <xf numFmtId="0" fontId="81" fillId="0" borderId="0">
      <alignment vertical="center"/>
    </xf>
    <xf numFmtId="0" fontId="39" fillId="5" borderId="0" applyNumberFormat="0" applyBorder="0" applyAlignment="0" applyProtection="0">
      <alignment vertical="center"/>
    </xf>
    <xf numFmtId="0" fontId="39" fillId="13" borderId="0" applyNumberFormat="0" applyBorder="0" applyAlignment="0" applyProtection="0">
      <alignment vertical="center"/>
    </xf>
    <xf numFmtId="0" fontId="81" fillId="0" borderId="0" applyBorder="0">
      <alignment vertical="center"/>
    </xf>
    <xf numFmtId="0" fontId="39" fillId="13" borderId="0" applyNumberFormat="0" applyBorder="0" applyAlignment="0" applyProtection="0">
      <alignment vertical="center"/>
    </xf>
    <xf numFmtId="0" fontId="81" fillId="0" borderId="0">
      <alignment vertical="center"/>
    </xf>
    <xf numFmtId="0" fontId="81" fillId="0" borderId="0">
      <alignment vertical="center"/>
    </xf>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39" fillId="11"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applyBorder="0">
      <alignment vertical="center"/>
    </xf>
    <xf numFmtId="0" fontId="39" fillId="0" borderId="0">
      <alignment vertical="center"/>
    </xf>
    <xf numFmtId="0" fontId="39" fillId="11" borderId="0" applyNumberFormat="0" applyBorder="0" applyAlignment="0" applyProtection="0">
      <alignment vertical="center"/>
    </xf>
    <xf numFmtId="0" fontId="81" fillId="0" borderId="0"/>
    <xf numFmtId="0" fontId="39" fillId="5"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81" fillId="0" borderId="0">
      <alignment vertical="center"/>
    </xf>
    <xf numFmtId="0" fontId="81" fillId="0" borderId="0" applyBorder="0">
      <alignment vertical="center"/>
    </xf>
    <xf numFmtId="0" fontId="39" fillId="11"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81" fillId="0" borderId="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81" fillId="0" borderId="0" applyBorder="0">
      <alignment vertical="center"/>
    </xf>
    <xf numFmtId="0" fontId="81" fillId="0" borderId="0">
      <alignment vertical="center"/>
    </xf>
    <xf numFmtId="0" fontId="39" fillId="5"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81" fillId="0" borderId="0">
      <alignment vertical="center"/>
    </xf>
    <xf numFmtId="0" fontId="81" fillId="0" borderId="0" applyBorder="0">
      <alignment vertical="center"/>
    </xf>
    <xf numFmtId="0" fontId="81" fillId="0" borderId="0">
      <alignment vertical="center"/>
    </xf>
    <xf numFmtId="0" fontId="39" fillId="5"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39" fillId="11" borderId="0" applyNumberFormat="0" applyBorder="0" applyAlignment="0" applyProtection="0">
      <alignment vertical="center"/>
    </xf>
    <xf numFmtId="0" fontId="81" fillId="0" borderId="0">
      <alignment vertical="center"/>
    </xf>
    <xf numFmtId="0" fontId="39" fillId="11"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11" borderId="0" applyNumberFormat="0" applyBorder="0" applyAlignment="0" applyProtection="0">
      <alignment vertical="center"/>
    </xf>
    <xf numFmtId="0" fontId="81" fillId="0" borderId="0"/>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81" fillId="0" borderId="0" applyBorder="0">
      <alignment vertical="center"/>
    </xf>
    <xf numFmtId="0" fontId="81" fillId="0" borderId="0">
      <alignment vertical="center"/>
    </xf>
    <xf numFmtId="0" fontId="39" fillId="5"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39" fillId="11" borderId="0" applyNumberFormat="0" applyBorder="0" applyAlignment="0" applyProtection="0">
      <alignment vertical="center"/>
    </xf>
    <xf numFmtId="0" fontId="81" fillId="0" borderId="0" applyBorder="0">
      <alignment vertical="center"/>
    </xf>
    <xf numFmtId="0" fontId="81" fillId="0" borderId="0">
      <alignment vertical="center"/>
    </xf>
    <xf numFmtId="0" fontId="81" fillId="0" borderId="0"/>
    <xf numFmtId="0" fontId="39" fillId="11"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81" fillId="0" borderId="0">
      <alignment vertical="center"/>
    </xf>
    <xf numFmtId="0" fontId="81" fillId="0" borderId="0" applyBorder="0">
      <alignment vertical="center"/>
    </xf>
    <xf numFmtId="0" fontId="39" fillId="11" borderId="0" applyNumberFormat="0" applyBorder="0" applyAlignment="0" applyProtection="0">
      <alignment vertical="center"/>
    </xf>
    <xf numFmtId="0" fontId="39" fillId="12" borderId="0" applyNumberFormat="0" applyBorder="0" applyAlignment="0" applyProtection="0">
      <alignment vertical="center"/>
    </xf>
    <xf numFmtId="0" fontId="81" fillId="0" borderId="0">
      <alignment vertical="center"/>
    </xf>
    <xf numFmtId="0" fontId="81" fillId="0" borderId="0" applyBorder="0">
      <alignment vertical="center"/>
    </xf>
    <xf numFmtId="0" fontId="81" fillId="0" borderId="0"/>
    <xf numFmtId="0" fontId="39" fillId="11" borderId="0" applyNumberFormat="0" applyBorder="0" applyAlignment="0" applyProtection="0">
      <alignment vertical="center"/>
    </xf>
    <xf numFmtId="0" fontId="81" fillId="0" borderId="0">
      <alignment vertical="center"/>
    </xf>
    <xf numFmtId="0" fontId="81" fillId="0" borderId="0" applyBorder="0">
      <alignment vertical="center"/>
    </xf>
    <xf numFmtId="0" fontId="81" fillId="0" borderId="0">
      <alignment vertical="center"/>
    </xf>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3"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39" fillId="11" borderId="0" applyNumberFormat="0" applyBorder="0" applyAlignment="0" applyProtection="0">
      <alignment vertical="center"/>
    </xf>
    <xf numFmtId="0" fontId="81" fillId="0" borderId="0" applyBorder="0">
      <alignment vertical="center"/>
    </xf>
    <xf numFmtId="0" fontId="81" fillId="0" borderId="0"/>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xf numFmtId="0" fontId="39" fillId="5" borderId="0" applyNumberFormat="0" applyBorder="0" applyAlignment="0" applyProtection="0">
      <alignment vertical="center"/>
    </xf>
    <xf numFmtId="0" fontId="81" fillId="0" borderId="0"/>
    <xf numFmtId="0" fontId="39" fillId="5" borderId="0" applyNumberFormat="0" applyBorder="0" applyAlignment="0" applyProtection="0">
      <alignment vertical="center"/>
    </xf>
    <xf numFmtId="0" fontId="39" fillId="11" borderId="0" applyNumberFormat="0" applyBorder="0" applyAlignment="0" applyProtection="0">
      <alignment vertical="center"/>
    </xf>
    <xf numFmtId="0" fontId="40" fillId="3" borderId="0" applyNumberFormat="0" applyBorder="0" applyAlignment="0" applyProtection="0">
      <alignment vertical="center"/>
    </xf>
    <xf numFmtId="0" fontId="81" fillId="0" borderId="0"/>
    <xf numFmtId="0" fontId="39" fillId="5" borderId="0" applyNumberFormat="0" applyBorder="0" applyAlignment="0" applyProtection="0">
      <alignment vertical="center"/>
    </xf>
    <xf numFmtId="0" fontId="81" fillId="0" borderId="0">
      <alignment vertical="center"/>
    </xf>
    <xf numFmtId="0" fontId="81" fillId="0" borderId="0"/>
    <xf numFmtId="0" fontId="39" fillId="5" borderId="0" applyNumberFormat="0" applyBorder="0" applyAlignment="0" applyProtection="0">
      <alignment vertical="center"/>
    </xf>
    <xf numFmtId="0" fontId="81" fillId="0" borderId="0" applyBorder="0">
      <alignment vertical="center"/>
    </xf>
    <xf numFmtId="0" fontId="81" fillId="0" borderId="0"/>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11" borderId="0" applyNumberFormat="0" applyBorder="0" applyAlignment="0" applyProtection="0">
      <alignment vertical="center"/>
    </xf>
    <xf numFmtId="0" fontId="39" fillId="5" borderId="0" applyNumberFormat="0" applyBorder="0" applyAlignment="0" applyProtection="0">
      <alignment vertical="center"/>
    </xf>
    <xf numFmtId="0" fontId="81" fillId="0" borderId="0" applyBorder="0">
      <alignment vertical="center"/>
    </xf>
    <xf numFmtId="0" fontId="81" fillId="0" borderId="0"/>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81" fillId="0" borderId="0"/>
    <xf numFmtId="0" fontId="39" fillId="3"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81" fillId="0" borderId="0"/>
    <xf numFmtId="0" fontId="39" fillId="3"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81" fillId="0" borderId="0" applyBorder="0">
      <alignment vertical="center"/>
    </xf>
    <xf numFmtId="0" fontId="39" fillId="3" borderId="0" applyNumberFormat="0" applyBorder="0" applyAlignment="0" applyProtection="0">
      <alignment vertical="center"/>
    </xf>
    <xf numFmtId="0" fontId="81" fillId="0" borderId="0" applyBorder="0">
      <alignment vertical="center"/>
    </xf>
    <xf numFmtId="0" fontId="81" fillId="0" borderId="0">
      <alignment vertical="center"/>
    </xf>
    <xf numFmtId="0" fontId="39" fillId="5" borderId="0" applyNumberFormat="0" applyBorder="0" applyAlignment="0" applyProtection="0">
      <alignment vertical="center"/>
    </xf>
    <xf numFmtId="0" fontId="39" fillId="3" borderId="0" applyNumberFormat="0" applyBorder="0" applyAlignment="0" applyProtection="0">
      <alignment vertical="center"/>
    </xf>
    <xf numFmtId="0" fontId="81" fillId="0" borderId="0" applyBorder="0">
      <alignment vertical="center"/>
    </xf>
    <xf numFmtId="0" fontId="81" fillId="0" borderId="0">
      <alignment vertical="center"/>
    </xf>
    <xf numFmtId="0" fontId="39" fillId="5" borderId="0" applyNumberFormat="0" applyBorder="0" applyAlignment="0" applyProtection="0">
      <alignment vertical="center"/>
    </xf>
    <xf numFmtId="0" fontId="39" fillId="3"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11" borderId="0" applyNumberFormat="0" applyBorder="0" applyAlignment="0" applyProtection="0">
      <alignment vertical="center"/>
    </xf>
    <xf numFmtId="0" fontId="81" fillId="0" borderId="0" applyBorder="0">
      <alignment vertical="center"/>
    </xf>
    <xf numFmtId="0" fontId="81" fillId="0" borderId="0">
      <alignment vertical="center"/>
    </xf>
    <xf numFmtId="0" fontId="39" fillId="5" borderId="0" applyNumberFormat="0" applyBorder="0" applyAlignment="0" applyProtection="0">
      <alignment vertical="center"/>
    </xf>
    <xf numFmtId="0" fontId="81" fillId="0" borderId="0" applyBorder="0">
      <alignment vertical="center"/>
    </xf>
    <xf numFmtId="0" fontId="39" fillId="3" borderId="0" applyNumberFormat="0" applyBorder="0" applyAlignment="0" applyProtection="0">
      <alignment vertical="center"/>
    </xf>
    <xf numFmtId="0" fontId="39" fillId="5" borderId="0" applyNumberFormat="0" applyBorder="0" applyAlignment="0" applyProtection="0">
      <alignment vertical="center"/>
    </xf>
    <xf numFmtId="0" fontId="81" fillId="0" borderId="0" applyBorder="0">
      <alignment vertical="center"/>
    </xf>
    <xf numFmtId="0" fontId="81" fillId="0" borderId="0">
      <alignment vertical="center"/>
    </xf>
    <xf numFmtId="0" fontId="39" fillId="5" borderId="0" applyNumberFormat="0" applyBorder="0" applyAlignment="0" applyProtection="0">
      <alignment vertical="center"/>
    </xf>
    <xf numFmtId="0" fontId="81" fillId="0" borderId="0" applyBorder="0">
      <alignment vertical="center"/>
    </xf>
    <xf numFmtId="0" fontId="39" fillId="3" borderId="0" applyNumberFormat="0" applyBorder="0" applyAlignment="0" applyProtection="0">
      <alignment vertical="center"/>
    </xf>
    <xf numFmtId="0" fontId="39" fillId="5"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81" fillId="0" borderId="0" applyBorder="0">
      <alignment vertical="center"/>
    </xf>
    <xf numFmtId="0" fontId="39" fillId="3" borderId="0" applyNumberFormat="0" applyBorder="0" applyAlignment="0" applyProtection="0">
      <alignment vertical="center"/>
    </xf>
    <xf numFmtId="0" fontId="39" fillId="5"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39" fillId="3"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lignment vertical="center"/>
    </xf>
    <xf numFmtId="0" fontId="39" fillId="5" borderId="0" applyNumberFormat="0" applyBorder="0" applyAlignment="0" applyProtection="0">
      <alignment vertical="center"/>
    </xf>
    <xf numFmtId="0" fontId="81" fillId="0" borderId="0" applyBorder="0">
      <alignment vertical="center"/>
    </xf>
    <xf numFmtId="0" fontId="39" fillId="3" borderId="0" applyNumberFormat="0" applyBorder="0" applyAlignment="0" applyProtection="0">
      <alignment vertical="center"/>
    </xf>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39" fillId="3" borderId="0" applyNumberFormat="0" applyBorder="0" applyAlignment="0" applyProtection="0">
      <alignment vertical="center"/>
    </xf>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39" fillId="3" borderId="0" applyNumberFormat="0" applyBorder="0" applyAlignment="0" applyProtection="0">
      <alignment vertical="center"/>
    </xf>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11" borderId="0" applyNumberFormat="0" applyBorder="0" applyAlignment="0" applyProtection="0">
      <alignment vertical="center"/>
    </xf>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39" fillId="11"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11"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81" fillId="0" borderId="0"/>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3" borderId="0" applyNumberFormat="0" applyBorder="0" applyAlignment="0" applyProtection="0">
      <alignment vertical="center"/>
    </xf>
    <xf numFmtId="0" fontId="39" fillId="5" borderId="0" applyNumberFormat="0" applyBorder="0" applyAlignment="0" applyProtection="0">
      <alignment vertical="center"/>
    </xf>
    <xf numFmtId="0" fontId="39" fillId="3"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3" borderId="0" applyNumberFormat="0" applyBorder="0" applyAlignment="0" applyProtection="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3" borderId="0" applyNumberFormat="0" applyBorder="0" applyAlignment="0" applyProtection="0">
      <alignment vertical="center"/>
    </xf>
    <xf numFmtId="0" fontId="39" fillId="5" borderId="0" applyNumberFormat="0" applyBorder="0" applyAlignment="0" applyProtection="0">
      <alignment vertical="center"/>
    </xf>
    <xf numFmtId="0" fontId="39" fillId="3"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3" borderId="0" applyNumberFormat="0" applyBorder="0" applyAlignment="0" applyProtection="0">
      <alignment vertical="center"/>
    </xf>
    <xf numFmtId="0" fontId="81" fillId="0" borderId="0">
      <alignment vertical="center"/>
    </xf>
    <xf numFmtId="0" fontId="81" fillId="0" borderId="0"/>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11" borderId="0" applyNumberFormat="0" applyBorder="0" applyAlignment="0" applyProtection="0">
      <alignment vertical="center"/>
    </xf>
    <xf numFmtId="0" fontId="39" fillId="5" borderId="0" applyNumberFormat="0" applyBorder="0" applyAlignment="0" applyProtection="0">
      <alignment vertical="center"/>
    </xf>
    <xf numFmtId="0" fontId="39" fillId="3"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39" fillId="11"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81" fillId="0" borderId="0"/>
    <xf numFmtId="0" fontId="39" fillId="5" borderId="0" applyNumberFormat="0" applyBorder="0" applyAlignment="0" applyProtection="0">
      <alignment vertical="center"/>
    </xf>
    <xf numFmtId="0" fontId="81" fillId="0" borderId="0"/>
    <xf numFmtId="0" fontId="39" fillId="5"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39" fillId="11" borderId="0" applyNumberFormat="0" applyBorder="0" applyAlignment="0" applyProtection="0">
      <alignment vertical="center"/>
    </xf>
    <xf numFmtId="0" fontId="39" fillId="3"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pplyBorder="0">
      <alignment vertical="center"/>
    </xf>
    <xf numFmtId="0" fontId="81" fillId="0" borderId="0">
      <alignment vertical="center"/>
    </xf>
    <xf numFmtId="0" fontId="39" fillId="12"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applyBorder="0">
      <alignment vertical="center"/>
    </xf>
    <xf numFmtId="0" fontId="39" fillId="3" borderId="0" applyNumberFormat="0" applyBorder="0" applyAlignment="0" applyProtection="0">
      <alignment vertical="center"/>
    </xf>
    <xf numFmtId="0" fontId="81" fillId="0" borderId="0" applyBorder="0">
      <alignment vertical="center"/>
    </xf>
    <xf numFmtId="0" fontId="81" fillId="0" borderId="0"/>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alignment vertical="center"/>
    </xf>
    <xf numFmtId="0" fontId="81" fillId="0" borderId="0" applyBorder="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39" fillId="5" borderId="0" applyNumberFormat="0" applyBorder="0" applyAlignment="0" applyProtection="0">
      <alignment vertical="center"/>
    </xf>
    <xf numFmtId="0" fontId="81" fillId="0" borderId="0" applyBorder="0">
      <alignment vertical="center"/>
    </xf>
    <xf numFmtId="0" fontId="81" fillId="0" borderId="0">
      <alignment vertical="center"/>
    </xf>
    <xf numFmtId="0" fontId="39" fillId="12" borderId="0" applyNumberFormat="0" applyBorder="0" applyAlignment="0" applyProtection="0">
      <alignment vertical="center"/>
    </xf>
    <xf numFmtId="0" fontId="43" fillId="0" borderId="34" applyNumberFormat="0" applyFill="0" applyAlignment="0" applyProtection="0">
      <alignment vertical="center"/>
    </xf>
    <xf numFmtId="0" fontId="39" fillId="3"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81" fillId="0" borderId="0"/>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11" borderId="0" applyNumberFormat="0" applyBorder="0" applyAlignment="0" applyProtection="0">
      <alignment vertical="center"/>
    </xf>
    <xf numFmtId="0" fontId="81" fillId="0" borderId="0" applyBorder="0">
      <alignment vertical="center"/>
    </xf>
    <xf numFmtId="0" fontId="81" fillId="0" borderId="0">
      <alignment vertical="center"/>
    </xf>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xf numFmtId="0" fontId="39" fillId="5"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11" borderId="0" applyNumberFormat="0" applyBorder="0" applyAlignment="0" applyProtection="0">
      <alignment vertical="center"/>
    </xf>
    <xf numFmtId="0" fontId="39" fillId="10" borderId="0" applyNumberFormat="0" applyBorder="0" applyAlignment="0" applyProtection="0">
      <alignment vertical="center"/>
    </xf>
    <xf numFmtId="0" fontId="39" fillId="11" borderId="0" applyNumberFormat="0" applyBorder="0" applyAlignment="0" applyProtection="0">
      <alignment vertical="center"/>
    </xf>
    <xf numFmtId="0" fontId="39" fillId="5" borderId="0" applyNumberFormat="0" applyBorder="0" applyAlignment="0" applyProtection="0">
      <alignment vertical="center"/>
    </xf>
    <xf numFmtId="0" fontId="81" fillId="0" borderId="0">
      <alignment vertical="center"/>
    </xf>
    <xf numFmtId="0" fontId="81" fillId="0" borderId="0"/>
    <xf numFmtId="0" fontId="39" fillId="5" borderId="0" applyNumberFormat="0" applyBorder="0" applyAlignment="0" applyProtection="0">
      <alignment vertical="center"/>
    </xf>
    <xf numFmtId="0" fontId="39" fillId="10" borderId="0" applyNumberFormat="0" applyBorder="0" applyAlignment="0" applyProtection="0">
      <alignment vertical="center"/>
    </xf>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10"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81" fillId="0" borderId="0">
      <alignment vertical="center"/>
    </xf>
    <xf numFmtId="0" fontId="39" fillId="10" borderId="0" applyNumberFormat="0" applyBorder="0" applyAlignment="0" applyProtection="0">
      <alignment vertical="center"/>
    </xf>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39" fillId="3" borderId="0" applyNumberFormat="0" applyBorder="0" applyAlignment="0" applyProtection="0">
      <alignment vertical="center"/>
    </xf>
    <xf numFmtId="0" fontId="81" fillId="0" borderId="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xf numFmtId="0" fontId="39" fillId="5"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44" fillId="3" borderId="0" applyNumberFormat="0" applyBorder="0" applyAlignment="0" applyProtection="0">
      <alignment vertical="center"/>
    </xf>
    <xf numFmtId="0" fontId="39" fillId="5"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81" fillId="0" borderId="0" applyBorder="0">
      <alignment vertical="center"/>
    </xf>
    <xf numFmtId="9" fontId="81" fillId="0" borderId="0" applyFont="0" applyFill="0" applyBorder="0" applyAlignment="0" applyProtection="0"/>
    <xf numFmtId="0" fontId="39" fillId="12" borderId="0" applyNumberFormat="0" applyBorder="0" applyAlignment="0" applyProtection="0">
      <alignment vertical="center"/>
    </xf>
    <xf numFmtId="0" fontId="81" fillId="0" borderId="0">
      <alignment vertical="center"/>
    </xf>
    <xf numFmtId="0" fontId="81" fillId="0" borderId="0" applyBorder="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39" fillId="0" borderId="0">
      <alignment vertical="center"/>
    </xf>
    <xf numFmtId="0" fontId="81" fillId="0" borderId="0">
      <alignment vertical="center"/>
    </xf>
    <xf numFmtId="0" fontId="39" fillId="5" borderId="0" applyNumberFormat="0" applyBorder="0" applyAlignment="0" applyProtection="0">
      <alignment vertical="center"/>
    </xf>
    <xf numFmtId="0" fontId="39" fillId="0" borderId="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81" fillId="0" borderId="0"/>
    <xf numFmtId="0" fontId="39" fillId="5"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pplyBorder="0">
      <alignment vertical="center"/>
    </xf>
    <xf numFmtId="0" fontId="81" fillId="0" borderId="0">
      <alignment vertical="center"/>
    </xf>
    <xf numFmtId="0" fontId="39" fillId="5" borderId="0" applyNumberFormat="0" applyBorder="0" applyAlignment="0" applyProtection="0">
      <alignment vertical="center"/>
    </xf>
    <xf numFmtId="0" fontId="37" fillId="0" borderId="0">
      <alignment vertical="center"/>
    </xf>
    <xf numFmtId="0" fontId="81" fillId="0" borderId="0">
      <alignment vertical="center"/>
    </xf>
    <xf numFmtId="0" fontId="39" fillId="5" borderId="0" applyNumberFormat="0" applyBorder="0" applyAlignment="0" applyProtection="0">
      <alignment vertical="center"/>
    </xf>
    <xf numFmtId="0" fontId="47" fillId="0" borderId="0" applyBorder="0">
      <alignment vertical="center"/>
    </xf>
    <xf numFmtId="0" fontId="81" fillId="0" borderId="0" applyBorder="0">
      <alignment vertical="center"/>
    </xf>
    <xf numFmtId="0" fontId="81" fillId="0" borderId="0">
      <alignment vertical="center"/>
    </xf>
    <xf numFmtId="0" fontId="39" fillId="5" borderId="0" applyNumberFormat="0" applyBorder="0" applyAlignment="0" applyProtection="0">
      <alignment vertical="center"/>
    </xf>
    <xf numFmtId="0" fontId="47" fillId="0" borderId="0" applyBorder="0">
      <alignment vertical="center"/>
    </xf>
    <xf numFmtId="0" fontId="81" fillId="0" borderId="0">
      <alignment vertical="center"/>
    </xf>
    <xf numFmtId="0" fontId="39" fillId="5" borderId="0" applyNumberFormat="0" applyBorder="0" applyAlignment="0" applyProtection="0">
      <alignment vertical="center"/>
    </xf>
    <xf numFmtId="0" fontId="81" fillId="0" borderId="0">
      <alignment vertical="center"/>
    </xf>
    <xf numFmtId="0" fontId="81" fillId="0" borderId="0"/>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39" fillId="0" borderId="0">
      <alignment vertical="center"/>
    </xf>
    <xf numFmtId="0" fontId="81" fillId="0" borderId="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xf numFmtId="0" fontId="39" fillId="5"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81" fillId="0" borderId="0">
      <alignment vertical="center"/>
    </xf>
    <xf numFmtId="0" fontId="39" fillId="11"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39" fillId="11"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47" fillId="0" borderId="0" applyBorder="0">
      <alignment vertical="center"/>
    </xf>
    <xf numFmtId="0" fontId="81" fillId="0" borderId="0">
      <alignment vertical="center"/>
    </xf>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39" fillId="11" borderId="0" applyNumberFormat="0" applyBorder="0" applyAlignment="0" applyProtection="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39" fillId="3" borderId="0" applyNumberFormat="0" applyBorder="0" applyAlignment="0" applyProtection="0">
      <alignment vertical="center"/>
    </xf>
    <xf numFmtId="0" fontId="39" fillId="5" borderId="0" applyNumberFormat="0" applyBorder="0" applyAlignment="0" applyProtection="0">
      <alignment vertical="center"/>
    </xf>
    <xf numFmtId="0" fontId="81" fillId="0" borderId="0" applyBorder="0">
      <alignment vertical="center"/>
    </xf>
    <xf numFmtId="0" fontId="81" fillId="0" borderId="0">
      <alignment vertical="center"/>
    </xf>
    <xf numFmtId="0" fontId="39" fillId="5" borderId="0" applyNumberFormat="0" applyBorder="0" applyAlignment="0" applyProtection="0">
      <alignment vertical="center"/>
    </xf>
    <xf numFmtId="0" fontId="39" fillId="3"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39" fillId="3"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applyBorder="0">
      <alignment vertical="center"/>
    </xf>
    <xf numFmtId="0" fontId="81" fillId="0" borderId="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39" fillId="11"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pplyBorder="0">
      <alignment vertical="center"/>
    </xf>
    <xf numFmtId="0" fontId="44" fillId="4" borderId="0" applyNumberFormat="0" applyBorder="0" applyAlignment="0" applyProtection="0">
      <alignment vertical="center"/>
    </xf>
    <xf numFmtId="0" fontId="39" fillId="11"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39" fillId="3"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alignment vertical="center"/>
    </xf>
    <xf numFmtId="0" fontId="39" fillId="3" borderId="0" applyNumberFormat="0" applyBorder="0" applyAlignment="0" applyProtection="0">
      <alignment vertical="center"/>
    </xf>
    <xf numFmtId="0" fontId="39" fillId="5"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39" fillId="3"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81" fillId="0" borderId="0" applyBorder="0">
      <alignment vertical="center"/>
    </xf>
    <xf numFmtId="0" fontId="81" fillId="0" borderId="0"/>
    <xf numFmtId="0" fontId="39" fillId="5" borderId="0" applyNumberFormat="0" applyBorder="0" applyAlignment="0" applyProtection="0">
      <alignment vertical="center"/>
    </xf>
    <xf numFmtId="0" fontId="81" fillId="0" borderId="0"/>
    <xf numFmtId="0" fontId="39" fillId="5" borderId="0" applyNumberFormat="0" applyBorder="0" applyAlignment="0" applyProtection="0">
      <alignment vertical="center"/>
    </xf>
    <xf numFmtId="0" fontId="81" fillId="0" borderId="0"/>
    <xf numFmtId="0" fontId="39" fillId="5" borderId="0" applyNumberFormat="0" applyBorder="0" applyAlignment="0" applyProtection="0">
      <alignment vertical="center"/>
    </xf>
    <xf numFmtId="0" fontId="81" fillId="0" borderId="0"/>
    <xf numFmtId="0" fontId="39" fillId="5" borderId="0" applyNumberFormat="0" applyBorder="0" applyAlignment="0" applyProtection="0">
      <alignment vertical="center"/>
    </xf>
    <xf numFmtId="0" fontId="81" fillId="0" borderId="0"/>
    <xf numFmtId="0" fontId="39" fillId="5" borderId="0" applyNumberFormat="0" applyBorder="0" applyAlignment="0" applyProtection="0">
      <alignment vertical="center"/>
    </xf>
    <xf numFmtId="0" fontId="81" fillId="0" borderId="0"/>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81" fillId="0" borderId="0">
      <alignment vertical="center"/>
    </xf>
    <xf numFmtId="0" fontId="81" fillId="0" borderId="0"/>
    <xf numFmtId="0" fontId="39" fillId="5" borderId="0" applyNumberFormat="0" applyBorder="0" applyAlignment="0" applyProtection="0">
      <alignment vertical="center"/>
    </xf>
    <xf numFmtId="0" fontId="81" fillId="0" borderId="0" applyBorder="0">
      <alignment vertical="center"/>
    </xf>
    <xf numFmtId="0" fontId="81" fillId="0" borderId="0"/>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81" fillId="0" borderId="0">
      <alignment vertical="center"/>
    </xf>
    <xf numFmtId="0" fontId="81" fillId="0" borderId="0"/>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0" borderId="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81" fillId="0" borderId="0"/>
    <xf numFmtId="0" fontId="39" fillId="5"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xf numFmtId="0" fontId="39" fillId="5" borderId="0" applyNumberFormat="0" applyBorder="0" applyAlignment="0" applyProtection="0">
      <alignment vertical="center"/>
    </xf>
    <xf numFmtId="9" fontId="81" fillId="0" borderId="0" applyFont="0" applyFill="0" applyBorder="0" applyAlignment="0" applyProtection="0"/>
    <xf numFmtId="0" fontId="39" fillId="12" borderId="0" applyNumberFormat="0" applyBorder="0" applyAlignment="0" applyProtection="0">
      <alignment vertical="center"/>
    </xf>
    <xf numFmtId="0" fontId="81" fillId="0" borderId="0"/>
    <xf numFmtId="0" fontId="39" fillId="5"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81" fillId="0" borderId="0"/>
    <xf numFmtId="0" fontId="39" fillId="5" borderId="0" applyNumberFormat="0" applyBorder="0" applyAlignment="0" applyProtection="0">
      <alignment vertical="center"/>
    </xf>
    <xf numFmtId="0" fontId="39" fillId="0" borderId="0">
      <alignment vertical="center"/>
    </xf>
    <xf numFmtId="0" fontId="81" fillId="0" borderId="0" applyBorder="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12" borderId="0" applyNumberFormat="0" applyBorder="0" applyAlignment="0" applyProtection="0">
      <alignment vertical="center"/>
    </xf>
    <xf numFmtId="0" fontId="39" fillId="0" borderId="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11"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0" borderId="0">
      <alignment vertical="center"/>
    </xf>
    <xf numFmtId="0" fontId="39" fillId="5"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39" fillId="0" borderId="0">
      <alignment vertical="center"/>
    </xf>
    <xf numFmtId="0" fontId="39" fillId="5"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13"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81" fillId="0" borderId="0" applyBorder="0">
      <alignment vertical="center"/>
    </xf>
    <xf numFmtId="0" fontId="39" fillId="13"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lignment vertical="center"/>
    </xf>
    <xf numFmtId="0" fontId="39" fillId="11"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39" fillId="11" borderId="0" applyNumberFormat="0" applyBorder="0" applyAlignment="0" applyProtection="0">
      <alignment vertical="center"/>
    </xf>
    <xf numFmtId="0" fontId="81" fillId="0" borderId="0">
      <alignment vertical="center"/>
    </xf>
    <xf numFmtId="0" fontId="39" fillId="11" borderId="0" applyNumberFormat="0" applyBorder="0" applyAlignment="0" applyProtection="0">
      <alignment vertical="center"/>
    </xf>
    <xf numFmtId="0" fontId="39" fillId="27"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lignment vertical="center"/>
    </xf>
    <xf numFmtId="0" fontId="39" fillId="0" borderId="0">
      <alignment vertical="center"/>
    </xf>
    <xf numFmtId="0" fontId="39" fillId="27" borderId="0" applyNumberFormat="0" applyBorder="0" applyAlignment="0" applyProtection="0">
      <alignment vertical="center"/>
    </xf>
    <xf numFmtId="0" fontId="81" fillId="0" borderId="0">
      <alignment vertical="center"/>
    </xf>
    <xf numFmtId="0" fontId="44" fillId="4" borderId="0" applyNumberFormat="0" applyBorder="0" applyAlignment="0" applyProtection="0">
      <alignment vertical="center"/>
    </xf>
    <xf numFmtId="0" fontId="39" fillId="11"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44" fillId="4" borderId="0" applyNumberFormat="0" applyBorder="0" applyAlignment="0" applyProtection="0">
      <alignment vertical="center"/>
    </xf>
    <xf numFmtId="0" fontId="39" fillId="11"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44" fillId="4" borderId="0" applyNumberFormat="0" applyBorder="0" applyAlignment="0" applyProtection="0">
      <alignment vertical="center"/>
    </xf>
    <xf numFmtId="0" fontId="39" fillId="11" borderId="0" applyNumberFormat="0" applyBorder="0" applyAlignment="0" applyProtection="0">
      <alignment vertical="center"/>
    </xf>
    <xf numFmtId="0" fontId="81" fillId="0" borderId="0">
      <alignment vertical="center"/>
    </xf>
    <xf numFmtId="0" fontId="81" fillId="0" borderId="0">
      <alignment vertical="center"/>
    </xf>
    <xf numFmtId="0" fontId="39" fillId="11"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11" borderId="0" applyNumberFormat="0" applyBorder="0" applyAlignment="0" applyProtection="0">
      <alignment vertical="center"/>
    </xf>
    <xf numFmtId="0" fontId="39" fillId="12" borderId="0" applyNumberFormat="0" applyBorder="0" applyAlignment="0" applyProtection="0">
      <alignment vertical="center"/>
    </xf>
    <xf numFmtId="0" fontId="81" fillId="0" borderId="0">
      <alignment vertical="center"/>
    </xf>
    <xf numFmtId="0" fontId="81" fillId="0" borderId="0">
      <alignment vertical="center"/>
    </xf>
    <xf numFmtId="0" fontId="44" fillId="5" borderId="0" applyNumberFormat="0" applyBorder="0" applyAlignment="0" applyProtection="0">
      <alignment vertical="center"/>
    </xf>
    <xf numFmtId="0" fontId="39" fillId="11"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11"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81" fillId="0" borderId="0"/>
    <xf numFmtId="0" fontId="81" fillId="0" borderId="0" applyBorder="0">
      <alignment vertical="center"/>
    </xf>
    <xf numFmtId="0" fontId="39" fillId="11" borderId="0" applyNumberFormat="0" applyBorder="0" applyAlignment="0" applyProtection="0">
      <alignment vertical="center"/>
    </xf>
    <xf numFmtId="0" fontId="39" fillId="10" borderId="0" applyNumberFormat="0" applyBorder="0" applyAlignment="0" applyProtection="0">
      <alignment vertical="center"/>
    </xf>
    <xf numFmtId="0" fontId="81" fillId="0" borderId="0">
      <alignment vertical="center"/>
    </xf>
    <xf numFmtId="0" fontId="81" fillId="0" borderId="0" applyBorder="0">
      <alignment vertical="center"/>
    </xf>
    <xf numFmtId="0" fontId="48" fillId="0" borderId="39" applyNumberFormat="0" applyFill="0" applyAlignment="0" applyProtection="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81" fillId="0" borderId="0">
      <alignment vertical="center"/>
    </xf>
    <xf numFmtId="0" fontId="81" fillId="0" borderId="0" applyBorder="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81" fillId="0" borderId="0">
      <alignment vertical="center"/>
    </xf>
    <xf numFmtId="0" fontId="39" fillId="11"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39" fillId="11" borderId="0" applyNumberFormat="0" applyBorder="0" applyAlignment="0" applyProtection="0">
      <alignment vertical="center"/>
    </xf>
    <xf numFmtId="0" fontId="81" fillId="0" borderId="0">
      <alignment vertical="center"/>
    </xf>
    <xf numFmtId="0" fontId="81" fillId="0" borderId="0">
      <alignment vertical="center"/>
    </xf>
    <xf numFmtId="0" fontId="39" fillId="12"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81" fillId="0" borderId="0">
      <alignment vertical="center"/>
    </xf>
    <xf numFmtId="0" fontId="81" fillId="0" borderId="0">
      <alignment vertical="center"/>
    </xf>
    <xf numFmtId="0" fontId="81" fillId="0" borderId="0" applyBorder="0">
      <alignment vertical="center"/>
    </xf>
    <xf numFmtId="0" fontId="39" fillId="11" borderId="0" applyNumberFormat="0" applyBorder="0" applyAlignment="0" applyProtection="0">
      <alignment vertical="center"/>
    </xf>
    <xf numFmtId="0" fontId="81" fillId="0" borderId="0">
      <alignment vertical="center"/>
    </xf>
    <xf numFmtId="0" fontId="53" fillId="0" borderId="41" applyNumberFormat="0" applyFill="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39" fillId="3"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81" fillId="0" borderId="0">
      <alignment vertical="center"/>
    </xf>
    <xf numFmtId="0" fontId="81" fillId="0" borderId="0" applyBorder="0">
      <alignment vertical="center"/>
    </xf>
    <xf numFmtId="0" fontId="81" fillId="0" borderId="0" applyBorder="0">
      <alignment vertical="center"/>
    </xf>
    <xf numFmtId="0" fontId="39" fillId="12" borderId="0" applyNumberFormat="0" applyBorder="0" applyAlignment="0" applyProtection="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81" fillId="0" borderId="0">
      <alignment vertical="center"/>
    </xf>
    <xf numFmtId="0" fontId="81" fillId="0" borderId="0">
      <alignment vertical="center"/>
    </xf>
    <xf numFmtId="0" fontId="39" fillId="11" borderId="0" applyNumberFormat="0" applyBorder="0" applyAlignment="0" applyProtection="0">
      <alignment vertical="center"/>
    </xf>
    <xf numFmtId="0" fontId="81" fillId="0" borderId="0">
      <alignment vertical="center"/>
    </xf>
    <xf numFmtId="0" fontId="39" fillId="11" borderId="0" applyNumberFormat="0" applyBorder="0" applyAlignment="0" applyProtection="0">
      <alignment vertical="center"/>
    </xf>
    <xf numFmtId="0" fontId="40" fillId="3" borderId="0" applyNumberFormat="0" applyBorder="0" applyAlignment="0" applyProtection="0">
      <alignment vertical="center"/>
    </xf>
    <xf numFmtId="0" fontId="81" fillId="0" borderId="0" applyBorder="0">
      <alignment vertical="center"/>
    </xf>
    <xf numFmtId="0" fontId="81" fillId="0" borderId="0"/>
    <xf numFmtId="0" fontId="39" fillId="11" borderId="0" applyNumberFormat="0" applyBorder="0" applyAlignment="0" applyProtection="0">
      <alignment vertical="center"/>
    </xf>
    <xf numFmtId="0" fontId="81" fillId="0" borderId="0"/>
    <xf numFmtId="0" fontId="81" fillId="0" borderId="0">
      <alignment vertical="center"/>
    </xf>
    <xf numFmtId="0" fontId="39" fillId="11" borderId="0" applyNumberFormat="0" applyBorder="0" applyAlignment="0" applyProtection="0">
      <alignment vertical="center"/>
    </xf>
    <xf numFmtId="0" fontId="40" fillId="3"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81" fillId="0" borderId="0">
      <alignment vertical="center"/>
    </xf>
    <xf numFmtId="0" fontId="81" fillId="0" borderId="0">
      <alignment vertical="center"/>
    </xf>
    <xf numFmtId="0" fontId="39" fillId="11" borderId="0" applyNumberFormat="0" applyBorder="0" applyAlignment="0" applyProtection="0">
      <alignment vertical="center"/>
    </xf>
    <xf numFmtId="0" fontId="40" fillId="3"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81" fillId="0" borderId="0"/>
    <xf numFmtId="0" fontId="39" fillId="11" borderId="0" applyNumberFormat="0" applyBorder="0" applyAlignment="0" applyProtection="0">
      <alignment vertical="center"/>
    </xf>
    <xf numFmtId="0" fontId="81" fillId="0" borderId="0"/>
    <xf numFmtId="0" fontId="39" fillId="11"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44" fillId="4" borderId="0" applyNumberFormat="0" applyBorder="0" applyAlignment="0" applyProtection="0">
      <alignment vertical="center"/>
    </xf>
    <xf numFmtId="0" fontId="39" fillId="11" borderId="0" applyNumberFormat="0" applyBorder="0" applyAlignment="0" applyProtection="0">
      <alignment vertical="center"/>
    </xf>
    <xf numFmtId="0" fontId="39" fillId="5"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44" fillId="4" borderId="0" applyNumberFormat="0" applyBorder="0" applyAlignment="0" applyProtection="0">
      <alignment vertical="center"/>
    </xf>
    <xf numFmtId="0" fontId="39" fillId="11" borderId="0" applyNumberFormat="0" applyBorder="0" applyAlignment="0" applyProtection="0">
      <alignment vertical="center"/>
    </xf>
    <xf numFmtId="0" fontId="81" fillId="0" borderId="0">
      <alignment vertical="center"/>
    </xf>
    <xf numFmtId="0" fontId="39" fillId="11" borderId="0" applyNumberFormat="0" applyBorder="0" applyAlignment="0" applyProtection="0">
      <alignment vertical="center"/>
    </xf>
    <xf numFmtId="0" fontId="81" fillId="0" borderId="0">
      <alignment vertical="center"/>
    </xf>
    <xf numFmtId="0" fontId="81" fillId="0" borderId="0">
      <alignment vertical="center"/>
    </xf>
    <xf numFmtId="0" fontId="39" fillId="11"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11"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39" fillId="11" borderId="0" applyNumberFormat="0" applyBorder="0" applyAlignment="0" applyProtection="0">
      <alignment vertical="center"/>
    </xf>
    <xf numFmtId="0" fontId="39" fillId="10"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11"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lignment vertical="center"/>
    </xf>
    <xf numFmtId="0" fontId="39" fillId="11" borderId="0" applyNumberFormat="0" applyBorder="0" applyAlignment="0" applyProtection="0">
      <alignment vertical="center"/>
    </xf>
    <xf numFmtId="0" fontId="81" fillId="0" borderId="0">
      <alignment vertical="center"/>
    </xf>
    <xf numFmtId="0" fontId="39" fillId="11"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81" fillId="0" borderId="0" applyBorder="0">
      <alignment vertical="center"/>
    </xf>
    <xf numFmtId="0" fontId="81" fillId="0" borderId="0">
      <alignment vertical="center"/>
    </xf>
    <xf numFmtId="0" fontId="81" fillId="0" borderId="0"/>
    <xf numFmtId="0" fontId="81" fillId="0" borderId="0" applyBorder="0">
      <alignment vertical="center"/>
    </xf>
    <xf numFmtId="0" fontId="39" fillId="11"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11" borderId="0" applyNumberFormat="0" applyBorder="0" applyAlignment="0" applyProtection="0">
      <alignment vertical="center"/>
    </xf>
    <xf numFmtId="0" fontId="81" fillId="0" borderId="0">
      <alignment vertical="center"/>
    </xf>
    <xf numFmtId="0" fontId="81" fillId="0" borderId="0">
      <alignment vertical="center"/>
    </xf>
    <xf numFmtId="0" fontId="39" fillId="11"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11"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81" fillId="0" borderId="0">
      <alignment vertical="center"/>
    </xf>
    <xf numFmtId="0" fontId="81" fillId="0" borderId="0" applyBorder="0">
      <alignment vertical="center"/>
    </xf>
    <xf numFmtId="0" fontId="39" fillId="11" borderId="0" applyNumberFormat="0" applyBorder="0" applyAlignment="0" applyProtection="0">
      <alignment vertical="center"/>
    </xf>
    <xf numFmtId="0" fontId="39" fillId="5"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81" fillId="0" borderId="0" applyBorder="0">
      <alignment vertical="center"/>
    </xf>
    <xf numFmtId="0" fontId="81" fillId="0" borderId="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81" fillId="0" borderId="0">
      <alignment vertical="center"/>
    </xf>
    <xf numFmtId="0" fontId="39" fillId="11" borderId="0" applyNumberFormat="0" applyBorder="0" applyAlignment="0" applyProtection="0">
      <alignment vertical="center"/>
    </xf>
    <xf numFmtId="0" fontId="39" fillId="0" borderId="0">
      <alignment vertical="center"/>
    </xf>
    <xf numFmtId="0" fontId="39" fillId="5" borderId="0" applyNumberFormat="0" applyBorder="0" applyAlignment="0" applyProtection="0">
      <alignment vertical="center"/>
    </xf>
    <xf numFmtId="0" fontId="81" fillId="0" borderId="0">
      <alignment vertical="center"/>
    </xf>
    <xf numFmtId="9" fontId="81" fillId="0" borderId="0" applyFont="0" applyFill="0" applyBorder="0" applyAlignment="0" applyProtection="0"/>
    <xf numFmtId="0" fontId="39" fillId="11" borderId="0" applyNumberFormat="0" applyBorder="0" applyAlignment="0" applyProtection="0">
      <alignment vertical="center"/>
    </xf>
    <xf numFmtId="0" fontId="39" fillId="5" borderId="0" applyNumberFormat="0" applyBorder="0" applyAlignment="0" applyProtection="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11" borderId="0" applyNumberFormat="0" applyBorder="0" applyAlignment="0" applyProtection="0">
      <alignment vertical="center"/>
    </xf>
    <xf numFmtId="0" fontId="39" fillId="5" borderId="0" applyNumberFormat="0" applyBorder="0" applyAlignment="0" applyProtection="0">
      <alignment vertical="center"/>
    </xf>
    <xf numFmtId="0" fontId="81" fillId="0" borderId="0">
      <alignment vertical="center"/>
    </xf>
    <xf numFmtId="0" fontId="81" fillId="0" borderId="0">
      <alignment vertical="center"/>
    </xf>
    <xf numFmtId="0" fontId="39" fillId="11" borderId="0" applyNumberFormat="0" applyBorder="0" applyAlignment="0" applyProtection="0">
      <alignment vertical="center"/>
    </xf>
    <xf numFmtId="0" fontId="39" fillId="5" borderId="0" applyNumberFormat="0" applyBorder="0" applyAlignment="0" applyProtection="0">
      <alignment vertical="center"/>
    </xf>
    <xf numFmtId="0" fontId="39" fillId="11"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81" fillId="0" borderId="0">
      <alignment vertical="center"/>
    </xf>
    <xf numFmtId="0" fontId="39" fillId="11"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39" fillId="0" borderId="0">
      <alignment vertical="center"/>
    </xf>
    <xf numFmtId="0" fontId="39" fillId="12" borderId="0" applyNumberFormat="0" applyBorder="0" applyAlignment="0" applyProtection="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11"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81" fillId="0" borderId="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81" fillId="0" borderId="0">
      <alignment vertical="center"/>
    </xf>
    <xf numFmtId="0" fontId="81" fillId="0" borderId="0"/>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39" fillId="5" borderId="0" applyNumberFormat="0" applyBorder="0" applyAlignment="0" applyProtection="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81" fillId="0" borderId="0" applyBorder="0">
      <alignment vertical="center"/>
    </xf>
    <xf numFmtId="0" fontId="81" fillId="0" borderId="0">
      <alignment vertical="center"/>
    </xf>
    <xf numFmtId="0" fontId="39" fillId="11"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54" fillId="18"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43" fillId="0" borderId="34" applyNumberFormat="0" applyFill="0" applyAlignment="0" applyProtection="0">
      <alignment vertical="center"/>
    </xf>
    <xf numFmtId="0" fontId="39" fillId="5" borderId="0" applyNumberFormat="0" applyBorder="0" applyAlignment="0" applyProtection="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81" fillId="0" borderId="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pplyBorder="0">
      <alignment vertical="center"/>
    </xf>
    <xf numFmtId="0" fontId="81" fillId="0" borderId="0">
      <alignment vertical="center"/>
    </xf>
    <xf numFmtId="0" fontId="39" fillId="11"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81" fillId="0" borderId="0" applyBorder="0">
      <alignment vertical="center"/>
    </xf>
    <xf numFmtId="0" fontId="81" fillId="0" borderId="0">
      <alignment vertical="center"/>
    </xf>
    <xf numFmtId="0" fontId="39" fillId="5" borderId="0" applyNumberFormat="0" applyBorder="0" applyAlignment="0" applyProtection="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81" fillId="0" borderId="0">
      <alignment vertical="center"/>
    </xf>
    <xf numFmtId="0" fontId="81" fillId="0" borderId="0" applyBorder="0">
      <alignment vertical="center"/>
    </xf>
    <xf numFmtId="0" fontId="81" fillId="0" borderId="0" applyBorder="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81" fillId="0" borderId="0">
      <alignment vertical="center"/>
    </xf>
    <xf numFmtId="0" fontId="81" fillId="0" borderId="0">
      <alignment vertical="center"/>
    </xf>
    <xf numFmtId="0" fontId="39" fillId="11" borderId="0" applyNumberFormat="0" applyBorder="0" applyAlignment="0" applyProtection="0">
      <alignment vertical="center"/>
    </xf>
    <xf numFmtId="0" fontId="39" fillId="0" borderId="0">
      <alignment vertical="center"/>
    </xf>
    <xf numFmtId="0" fontId="39" fillId="11" borderId="0" applyNumberFormat="0" applyBorder="0" applyAlignment="0" applyProtection="0">
      <alignment vertical="center"/>
    </xf>
    <xf numFmtId="0" fontId="81" fillId="0" borderId="0">
      <alignment vertical="center"/>
    </xf>
    <xf numFmtId="9" fontId="81" fillId="0" borderId="0" applyFont="0" applyFill="0" applyBorder="0" applyAlignment="0" applyProtection="0"/>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81" fillId="0" borderId="0" applyBorder="0">
      <alignment vertical="center"/>
    </xf>
    <xf numFmtId="0" fontId="81" fillId="0" borderId="0"/>
    <xf numFmtId="0" fontId="39" fillId="11"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39" fillId="12" borderId="0" applyNumberFormat="0" applyBorder="0" applyAlignment="0" applyProtection="0">
      <alignment vertical="center"/>
    </xf>
    <xf numFmtId="0" fontId="39" fillId="11" borderId="0" applyNumberFormat="0" applyBorder="0" applyAlignment="0" applyProtection="0">
      <alignment vertical="center"/>
    </xf>
    <xf numFmtId="0" fontId="81" fillId="0" borderId="0">
      <alignment vertical="center"/>
    </xf>
    <xf numFmtId="0" fontId="39" fillId="0" borderId="0" applyProtection="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81" fillId="0" borderId="0">
      <alignment vertical="center"/>
    </xf>
    <xf numFmtId="0" fontId="39" fillId="11"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39" fillId="5" borderId="0" applyNumberFormat="0" applyBorder="0" applyAlignment="0" applyProtection="0">
      <alignment vertical="center"/>
    </xf>
    <xf numFmtId="0" fontId="81" fillId="0" borderId="0" applyBorder="0">
      <alignment vertical="center"/>
    </xf>
    <xf numFmtId="0" fontId="81" fillId="0" borderId="0">
      <alignment vertical="center"/>
    </xf>
    <xf numFmtId="0" fontId="39" fillId="11" borderId="0" applyNumberFormat="0" applyBorder="0" applyAlignment="0" applyProtection="0">
      <alignment vertical="center"/>
    </xf>
    <xf numFmtId="0" fontId="39" fillId="12" borderId="0" applyNumberFormat="0" applyBorder="0" applyAlignment="0" applyProtection="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39" fillId="16" borderId="0" applyNumberFormat="0" applyBorder="0" applyAlignment="0" applyProtection="0">
      <alignment vertical="center"/>
    </xf>
    <xf numFmtId="0" fontId="39" fillId="11" borderId="0" applyNumberFormat="0" applyBorder="0" applyAlignment="0" applyProtection="0">
      <alignment vertical="center"/>
    </xf>
    <xf numFmtId="0" fontId="39" fillId="16" borderId="0" applyNumberFormat="0" applyBorder="0" applyAlignment="0" applyProtection="0">
      <alignment vertical="center"/>
    </xf>
    <xf numFmtId="0" fontId="39" fillId="11" borderId="0" applyNumberFormat="0" applyBorder="0" applyAlignment="0" applyProtection="0">
      <alignment vertical="center"/>
    </xf>
    <xf numFmtId="0" fontId="39" fillId="5" borderId="0" applyNumberFormat="0" applyBorder="0" applyAlignment="0" applyProtection="0">
      <alignment vertical="center"/>
    </xf>
    <xf numFmtId="0" fontId="39" fillId="11" borderId="0" applyNumberFormat="0" applyBorder="0" applyAlignment="0" applyProtection="0">
      <alignment vertical="center"/>
    </xf>
    <xf numFmtId="0" fontId="39" fillId="5" borderId="0" applyNumberFormat="0" applyBorder="0" applyAlignment="0" applyProtection="0">
      <alignment vertical="center"/>
    </xf>
    <xf numFmtId="0" fontId="39" fillId="11" borderId="0" applyNumberFormat="0" applyBorder="0" applyAlignment="0" applyProtection="0">
      <alignment vertical="center"/>
    </xf>
    <xf numFmtId="0" fontId="39" fillId="5" borderId="0" applyNumberFormat="0" applyBorder="0" applyAlignment="0" applyProtection="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39" fillId="11" borderId="0" applyNumberFormat="0" applyBorder="0" applyAlignment="0" applyProtection="0">
      <alignment vertical="center"/>
    </xf>
    <xf numFmtId="0" fontId="39" fillId="5" borderId="0" applyNumberFormat="0" applyBorder="0" applyAlignment="0" applyProtection="0">
      <alignment vertical="center"/>
    </xf>
    <xf numFmtId="0" fontId="81" fillId="0" borderId="0">
      <alignment vertical="center"/>
    </xf>
    <xf numFmtId="0" fontId="44" fillId="4" borderId="0" applyNumberFormat="0" applyBorder="0" applyAlignment="0" applyProtection="0">
      <alignment vertical="center"/>
    </xf>
    <xf numFmtId="0" fontId="39" fillId="11" borderId="0" applyNumberFormat="0" applyBorder="0" applyAlignment="0" applyProtection="0">
      <alignment vertical="center"/>
    </xf>
    <xf numFmtId="0" fontId="39" fillId="12" borderId="0" applyNumberFormat="0" applyBorder="0" applyAlignment="0" applyProtection="0">
      <alignment vertical="center"/>
    </xf>
    <xf numFmtId="0" fontId="81" fillId="0" borderId="0">
      <alignment vertical="center"/>
    </xf>
    <xf numFmtId="0" fontId="81" fillId="0" borderId="0" applyBorder="0">
      <alignment vertical="center"/>
    </xf>
    <xf numFmtId="0" fontId="81" fillId="0" borderId="0" applyBorder="0">
      <alignment vertical="center"/>
    </xf>
    <xf numFmtId="0" fontId="39" fillId="11" borderId="0" applyNumberFormat="0" applyBorder="0" applyAlignment="0" applyProtection="0">
      <alignment vertical="center"/>
    </xf>
    <xf numFmtId="0" fontId="81" fillId="0" borderId="0" applyBorder="0">
      <alignment vertical="center"/>
    </xf>
    <xf numFmtId="0" fontId="81" fillId="0" borderId="0">
      <alignment vertical="center"/>
    </xf>
    <xf numFmtId="0" fontId="81" fillId="0" borderId="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11" borderId="0" applyNumberFormat="0" applyBorder="0" applyAlignment="0" applyProtection="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39" fillId="12" borderId="0" applyNumberFormat="0" applyBorder="0" applyAlignment="0" applyProtection="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81" fillId="0" borderId="0" applyBorder="0">
      <alignment vertical="center"/>
    </xf>
    <xf numFmtId="0" fontId="81" fillId="0" borderId="0">
      <alignment vertical="center"/>
    </xf>
    <xf numFmtId="0" fontId="39" fillId="12" borderId="0" applyNumberFormat="0" applyBorder="0" applyAlignment="0" applyProtection="0">
      <alignment vertical="center"/>
    </xf>
    <xf numFmtId="0" fontId="39" fillId="11"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lignment vertical="center"/>
    </xf>
    <xf numFmtId="0" fontId="39" fillId="12" borderId="0" applyNumberFormat="0" applyBorder="0" applyAlignment="0" applyProtection="0">
      <alignment vertical="center"/>
    </xf>
    <xf numFmtId="0" fontId="81" fillId="0" borderId="0">
      <alignment vertical="center"/>
    </xf>
    <xf numFmtId="0" fontId="81" fillId="0" borderId="0">
      <alignment vertical="center"/>
    </xf>
    <xf numFmtId="0" fontId="81" fillId="0" borderId="0" applyBorder="0">
      <alignment vertical="center"/>
    </xf>
    <xf numFmtId="0" fontId="39" fillId="11" borderId="0" applyNumberFormat="0" applyBorder="0" applyAlignment="0" applyProtection="0">
      <alignment vertical="center"/>
    </xf>
    <xf numFmtId="0" fontId="81" fillId="0" borderId="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lignment vertical="center"/>
    </xf>
    <xf numFmtId="0" fontId="39" fillId="11" borderId="0" applyNumberFormat="0" applyBorder="0" applyAlignment="0" applyProtection="0">
      <alignment vertical="center"/>
    </xf>
    <xf numFmtId="0" fontId="81" fillId="0" borderId="0" applyBorder="0">
      <alignment vertical="center"/>
    </xf>
    <xf numFmtId="0" fontId="81" fillId="0" borderId="0">
      <alignment vertical="center"/>
    </xf>
    <xf numFmtId="0" fontId="81" fillId="0" borderId="0">
      <alignment vertical="center"/>
    </xf>
    <xf numFmtId="0" fontId="39" fillId="12" borderId="0" applyNumberFormat="0" applyBorder="0" applyAlignment="0" applyProtection="0">
      <alignment vertical="center"/>
    </xf>
    <xf numFmtId="0" fontId="81" fillId="0" borderId="0">
      <alignment vertical="center"/>
    </xf>
    <xf numFmtId="0" fontId="39" fillId="11" borderId="0" applyNumberFormat="0" applyBorder="0" applyAlignment="0" applyProtection="0">
      <alignment vertical="center"/>
    </xf>
    <xf numFmtId="0" fontId="39" fillId="0" borderId="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lignment vertical="center"/>
    </xf>
    <xf numFmtId="0" fontId="39" fillId="11" borderId="0" applyNumberFormat="0" applyBorder="0" applyAlignment="0" applyProtection="0">
      <alignment vertical="center"/>
    </xf>
    <xf numFmtId="0" fontId="81" fillId="0" borderId="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lignment vertical="center"/>
    </xf>
    <xf numFmtId="0" fontId="39" fillId="11" borderId="0" applyNumberFormat="0" applyBorder="0" applyAlignment="0" applyProtection="0">
      <alignment vertical="center"/>
    </xf>
    <xf numFmtId="0" fontId="81" fillId="0" borderId="0" applyBorder="0">
      <alignment vertical="center"/>
    </xf>
    <xf numFmtId="0" fontId="81" fillId="0" borderId="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39" fillId="5" borderId="0" applyNumberFormat="0" applyBorder="0" applyAlignment="0" applyProtection="0">
      <alignment vertical="center"/>
    </xf>
    <xf numFmtId="0" fontId="81" fillId="0" borderId="0" applyBorder="0">
      <alignment vertical="center"/>
    </xf>
    <xf numFmtId="0" fontId="81" fillId="0" borderId="0">
      <alignment vertical="center"/>
    </xf>
    <xf numFmtId="0" fontId="81" fillId="0" borderId="0">
      <alignment vertical="center"/>
    </xf>
    <xf numFmtId="0" fontId="39" fillId="11"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81" fillId="0" borderId="0" applyBorder="0">
      <alignment vertical="center"/>
    </xf>
    <xf numFmtId="0" fontId="81" fillId="0" borderId="0">
      <alignment vertical="center"/>
    </xf>
    <xf numFmtId="0" fontId="39" fillId="11" borderId="0" applyNumberFormat="0" applyBorder="0" applyAlignment="0" applyProtection="0">
      <alignment vertical="center"/>
    </xf>
    <xf numFmtId="0" fontId="81" fillId="0" borderId="0">
      <alignment vertical="center"/>
    </xf>
    <xf numFmtId="0" fontId="81" fillId="0" borderId="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11"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81" fillId="0" borderId="0">
      <alignment vertical="center"/>
    </xf>
    <xf numFmtId="0" fontId="81" fillId="0" borderId="0" applyBorder="0">
      <alignment vertical="center"/>
    </xf>
    <xf numFmtId="0" fontId="81" fillId="0" borderId="0" applyBorder="0">
      <alignment vertical="center"/>
    </xf>
    <xf numFmtId="0" fontId="39" fillId="11" borderId="0" applyNumberFormat="0" applyBorder="0" applyAlignment="0" applyProtection="0">
      <alignment vertical="center"/>
    </xf>
    <xf numFmtId="0" fontId="81" fillId="0" borderId="0" applyBorder="0">
      <alignment vertical="center"/>
    </xf>
    <xf numFmtId="0" fontId="44" fillId="4" borderId="0" applyNumberFormat="0" applyBorder="0" applyAlignment="0" applyProtection="0">
      <alignment vertical="center"/>
    </xf>
    <xf numFmtId="0" fontId="39" fillId="11" borderId="0" applyNumberFormat="0" applyBorder="0" applyAlignment="0" applyProtection="0">
      <alignment vertical="center"/>
    </xf>
    <xf numFmtId="0" fontId="81" fillId="0" borderId="0" applyBorder="0">
      <alignment vertical="center"/>
    </xf>
    <xf numFmtId="0" fontId="81" fillId="0" borderId="0"/>
    <xf numFmtId="0" fontId="44" fillId="4" borderId="0" applyNumberFormat="0" applyBorder="0" applyAlignment="0" applyProtection="0">
      <alignment vertical="center"/>
    </xf>
    <xf numFmtId="0" fontId="39" fillId="11" borderId="0" applyNumberFormat="0" applyBorder="0" applyAlignment="0" applyProtection="0">
      <alignment vertical="center"/>
    </xf>
    <xf numFmtId="0" fontId="81" fillId="0" borderId="0">
      <alignment vertical="center"/>
    </xf>
    <xf numFmtId="0" fontId="81" fillId="0" borderId="0"/>
    <xf numFmtId="0" fontId="39" fillId="11"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39" fillId="0" borderId="0">
      <alignment vertical="center"/>
    </xf>
    <xf numFmtId="0" fontId="39" fillId="11"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3" borderId="0" applyNumberFormat="0" applyBorder="0" applyAlignment="0" applyProtection="0">
      <alignment vertical="center"/>
    </xf>
    <xf numFmtId="0" fontId="39" fillId="11" borderId="0" applyNumberFormat="0" applyBorder="0" applyAlignment="0" applyProtection="0">
      <alignment vertical="center"/>
    </xf>
    <xf numFmtId="0" fontId="81" fillId="0" borderId="0" applyBorder="0">
      <alignment vertical="center"/>
    </xf>
    <xf numFmtId="0" fontId="39" fillId="3"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39" fillId="3" borderId="0" applyNumberFormat="0" applyBorder="0" applyAlignment="0" applyProtection="0">
      <alignment vertical="center"/>
    </xf>
    <xf numFmtId="0" fontId="39" fillId="11" borderId="0" applyNumberFormat="0" applyBorder="0" applyAlignment="0" applyProtection="0">
      <alignment vertical="center"/>
    </xf>
    <xf numFmtId="0" fontId="81" fillId="0" borderId="0" applyBorder="0">
      <alignment vertical="center"/>
    </xf>
    <xf numFmtId="0" fontId="81" fillId="0" borderId="0">
      <alignment vertical="center"/>
    </xf>
    <xf numFmtId="0" fontId="39" fillId="3"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3" borderId="0" applyNumberFormat="0" applyBorder="0" applyAlignment="0" applyProtection="0">
      <alignment vertical="center"/>
    </xf>
    <xf numFmtId="0" fontId="39" fillId="11"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81" fillId="0" borderId="0">
      <alignment vertical="center"/>
    </xf>
    <xf numFmtId="0" fontId="81" fillId="0" borderId="0"/>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39" fillId="11"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39" fillId="12" borderId="0" applyNumberFormat="0" applyBorder="0" applyAlignment="0" applyProtection="0">
      <alignment vertical="center"/>
    </xf>
    <xf numFmtId="0" fontId="39" fillId="11"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81" fillId="0" borderId="0">
      <alignment vertical="center"/>
    </xf>
    <xf numFmtId="0" fontId="81" fillId="0" borderId="0" applyBorder="0">
      <alignment vertical="center"/>
    </xf>
    <xf numFmtId="0" fontId="39" fillId="11" borderId="0" applyNumberFormat="0" applyBorder="0" applyAlignment="0" applyProtection="0">
      <alignment vertical="center"/>
    </xf>
    <xf numFmtId="0" fontId="81" fillId="0" borderId="0" applyBorder="0">
      <alignment vertical="center"/>
    </xf>
    <xf numFmtId="0" fontId="81" fillId="0" borderId="0"/>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81" fillId="0" borderId="0">
      <alignment vertical="center"/>
    </xf>
    <xf numFmtId="0" fontId="39" fillId="11"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81" fillId="0" borderId="0">
      <alignment vertical="center"/>
    </xf>
    <xf numFmtId="0" fontId="39" fillId="11" borderId="0" applyNumberFormat="0" applyBorder="0" applyAlignment="0" applyProtection="0">
      <alignment vertical="center"/>
    </xf>
    <xf numFmtId="0" fontId="81" fillId="0" borderId="0" applyBorder="0">
      <alignment vertical="center"/>
    </xf>
    <xf numFmtId="0" fontId="44" fillId="4" borderId="0" applyNumberFormat="0" applyBorder="0" applyAlignment="0" applyProtection="0">
      <alignment vertical="center"/>
    </xf>
    <xf numFmtId="0" fontId="39" fillId="11"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81" fillId="0" borderId="0"/>
    <xf numFmtId="0" fontId="44" fillId="4" borderId="0" applyNumberFormat="0" applyBorder="0" applyAlignment="0" applyProtection="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39" fillId="12" borderId="0" applyNumberFormat="0" applyBorder="0" applyAlignment="0" applyProtection="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39" fillId="11"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12" borderId="0" applyNumberFormat="0" applyBorder="0" applyAlignment="0" applyProtection="0">
      <alignment vertical="center"/>
    </xf>
    <xf numFmtId="0" fontId="52" fillId="0" borderId="40" applyNumberFormat="0" applyFill="0" applyAlignment="0" applyProtection="0">
      <alignment vertical="center"/>
    </xf>
    <xf numFmtId="0" fontId="39" fillId="11"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81" fillId="0" borderId="0">
      <alignment vertical="center"/>
    </xf>
    <xf numFmtId="0" fontId="81" fillId="0" borderId="0" applyBorder="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81" fillId="0" borderId="0">
      <alignment vertical="center"/>
    </xf>
    <xf numFmtId="0" fontId="81" fillId="0" borderId="0">
      <alignment vertical="center"/>
    </xf>
    <xf numFmtId="0" fontId="39" fillId="11" borderId="0" applyNumberFormat="0" applyBorder="0" applyAlignment="0" applyProtection="0">
      <alignment vertical="center"/>
    </xf>
    <xf numFmtId="0" fontId="39" fillId="12" borderId="0" applyNumberFormat="0" applyBorder="0" applyAlignment="0" applyProtection="0">
      <alignment vertical="center"/>
    </xf>
    <xf numFmtId="0" fontId="81" fillId="0" borderId="0">
      <alignment vertical="center"/>
    </xf>
    <xf numFmtId="0" fontId="81" fillId="0" borderId="0" applyBorder="0">
      <alignment vertical="center"/>
    </xf>
    <xf numFmtId="0" fontId="39" fillId="11" borderId="0" applyNumberFormat="0" applyBorder="0" applyAlignment="0" applyProtection="0">
      <alignment vertical="center"/>
    </xf>
    <xf numFmtId="0" fontId="39" fillId="12" borderId="0" applyNumberFormat="0" applyBorder="0" applyAlignment="0" applyProtection="0">
      <alignment vertical="center"/>
    </xf>
    <xf numFmtId="0" fontId="81" fillId="0" borderId="0">
      <alignment vertical="center"/>
    </xf>
    <xf numFmtId="0" fontId="81" fillId="0" borderId="0" applyBorder="0">
      <alignment vertical="center"/>
    </xf>
    <xf numFmtId="0" fontId="81" fillId="0" borderId="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81" fillId="0" borderId="0">
      <alignment vertical="center"/>
    </xf>
    <xf numFmtId="0" fontId="81" fillId="0" borderId="0">
      <alignment vertical="center"/>
    </xf>
    <xf numFmtId="0" fontId="39" fillId="11"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lignment vertical="center"/>
    </xf>
    <xf numFmtId="0" fontId="81" fillId="0" borderId="0" applyBorder="0">
      <alignment vertical="center"/>
    </xf>
    <xf numFmtId="0" fontId="39" fillId="11" borderId="0" applyNumberFormat="0" applyBorder="0" applyAlignment="0" applyProtection="0">
      <alignment vertical="center"/>
    </xf>
    <xf numFmtId="0" fontId="39" fillId="12" borderId="0" applyNumberFormat="0" applyBorder="0" applyAlignment="0" applyProtection="0">
      <alignment vertical="center"/>
    </xf>
    <xf numFmtId="0" fontId="81" fillId="0" borderId="0"/>
    <xf numFmtId="0" fontId="81" fillId="0" borderId="0">
      <alignment vertical="center"/>
    </xf>
    <xf numFmtId="0" fontId="39" fillId="11" borderId="0" applyNumberFormat="0" applyBorder="0" applyAlignment="0" applyProtection="0">
      <alignment vertical="center"/>
    </xf>
    <xf numFmtId="0" fontId="81" fillId="0" borderId="0" applyBorder="0">
      <alignment vertical="center"/>
    </xf>
    <xf numFmtId="0" fontId="81" fillId="0" borderId="0">
      <alignment vertical="center"/>
    </xf>
    <xf numFmtId="0" fontId="39" fillId="11" borderId="0" applyNumberFormat="0" applyBorder="0" applyAlignment="0" applyProtection="0">
      <alignment vertical="center"/>
    </xf>
    <xf numFmtId="0" fontId="81" fillId="0" borderId="0">
      <alignment vertical="center"/>
    </xf>
    <xf numFmtId="0" fontId="81" fillId="0" borderId="0" applyBorder="0">
      <alignment vertical="center"/>
    </xf>
    <xf numFmtId="0" fontId="39" fillId="11" borderId="0" applyNumberFormat="0" applyBorder="0" applyAlignment="0" applyProtection="0">
      <alignment vertical="center"/>
    </xf>
    <xf numFmtId="0" fontId="81" fillId="0" borderId="0">
      <alignment vertical="center"/>
    </xf>
    <xf numFmtId="0" fontId="81" fillId="0" borderId="0" applyBorder="0">
      <alignment vertical="center"/>
    </xf>
    <xf numFmtId="0" fontId="81" fillId="0" borderId="0" applyBorder="0">
      <alignment vertical="center"/>
    </xf>
    <xf numFmtId="0" fontId="39" fillId="11"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11"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39" fillId="5"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39" fillId="0" borderId="0">
      <alignment vertical="center"/>
    </xf>
    <xf numFmtId="9" fontId="81" fillId="0" borderId="0" applyFont="0" applyFill="0" applyBorder="0" applyAlignment="0" applyProtection="0"/>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39" fillId="5" borderId="0" applyNumberFormat="0" applyBorder="0" applyAlignment="0" applyProtection="0">
      <alignment vertical="center"/>
    </xf>
    <xf numFmtId="0" fontId="39" fillId="3" borderId="0" applyNumberFormat="0" applyBorder="0" applyAlignment="0" applyProtection="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lignment vertical="center"/>
    </xf>
    <xf numFmtId="0" fontId="39" fillId="11" borderId="0" applyNumberFormat="0" applyBorder="0" applyAlignment="0" applyProtection="0">
      <alignment vertical="center"/>
    </xf>
    <xf numFmtId="0" fontId="39" fillId="0" borderId="0">
      <alignment vertical="center"/>
    </xf>
    <xf numFmtId="0" fontId="81" fillId="0" borderId="0">
      <alignment vertical="center"/>
    </xf>
    <xf numFmtId="0" fontId="39" fillId="12" borderId="0" applyNumberFormat="0" applyBorder="0" applyAlignment="0" applyProtection="0">
      <alignment vertical="center"/>
    </xf>
    <xf numFmtId="0" fontId="39" fillId="3"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11" borderId="0" applyNumberFormat="0" applyBorder="0" applyAlignment="0" applyProtection="0">
      <alignment vertical="center"/>
    </xf>
    <xf numFmtId="0" fontId="39" fillId="3" borderId="0" applyNumberFormat="0" applyBorder="0" applyAlignment="0" applyProtection="0">
      <alignment vertical="center"/>
    </xf>
    <xf numFmtId="0" fontId="39" fillId="11"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9" fontId="81" fillId="0" borderId="0" applyFont="0" applyFill="0" applyBorder="0" applyAlignment="0" applyProtection="0"/>
    <xf numFmtId="0" fontId="39" fillId="11"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9" fontId="81" fillId="0" borderId="0" applyFont="0" applyFill="0" applyBorder="0" applyAlignment="0" applyProtection="0"/>
    <xf numFmtId="0" fontId="81" fillId="0" borderId="0">
      <alignment vertical="center"/>
    </xf>
    <xf numFmtId="0" fontId="39" fillId="0" borderId="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39" fillId="11"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39" fillId="11"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39" fillId="12" borderId="0" applyNumberFormat="0" applyBorder="0" applyAlignment="0" applyProtection="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81" fillId="0" borderId="0">
      <alignment vertical="center"/>
    </xf>
    <xf numFmtId="0" fontId="39" fillId="11"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39" fillId="5" borderId="0" applyNumberFormat="0" applyBorder="0" applyAlignment="0" applyProtection="0">
      <alignment vertical="center"/>
    </xf>
    <xf numFmtId="0" fontId="39" fillId="0" borderId="0">
      <alignment vertical="center"/>
    </xf>
    <xf numFmtId="0" fontId="39" fillId="12"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81" fillId="0" borderId="0">
      <alignment vertical="center"/>
    </xf>
    <xf numFmtId="0" fontId="81" fillId="0" borderId="0">
      <alignment vertical="center"/>
    </xf>
    <xf numFmtId="0" fontId="81" fillId="0" borderId="0" applyBorder="0">
      <alignment vertical="center"/>
    </xf>
    <xf numFmtId="0" fontId="39" fillId="11"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11"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5" borderId="0" applyNumberFormat="0" applyBorder="0" applyAlignment="0" applyProtection="0">
      <alignment vertical="center"/>
    </xf>
    <xf numFmtId="0" fontId="39" fillId="11" borderId="0" applyNumberFormat="0" applyBorder="0" applyAlignment="0" applyProtection="0">
      <alignment vertical="center"/>
    </xf>
    <xf numFmtId="0" fontId="39" fillId="3" borderId="0" applyNumberFormat="0" applyBorder="0" applyAlignment="0" applyProtection="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81" fillId="0" borderId="0" applyBorder="0">
      <alignment vertical="center"/>
    </xf>
    <xf numFmtId="0" fontId="39" fillId="0" borderId="0">
      <alignment vertical="center"/>
    </xf>
    <xf numFmtId="0" fontId="39" fillId="3" borderId="0" applyNumberFormat="0" applyBorder="0" applyAlignment="0" applyProtection="0">
      <alignment vertical="center"/>
    </xf>
    <xf numFmtId="0" fontId="39" fillId="11"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39" fillId="3" borderId="0" applyNumberFormat="0" applyBorder="0" applyAlignment="0" applyProtection="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lignment vertical="center"/>
    </xf>
    <xf numFmtId="0" fontId="39" fillId="11" borderId="0" applyNumberFormat="0" applyBorder="0" applyAlignment="0" applyProtection="0">
      <alignment vertical="center"/>
    </xf>
    <xf numFmtId="0" fontId="81" fillId="0" borderId="0">
      <alignment vertical="center"/>
    </xf>
    <xf numFmtId="0" fontId="39" fillId="11" borderId="0" applyNumberFormat="0" applyBorder="0" applyAlignment="0" applyProtection="0">
      <alignment vertical="center"/>
    </xf>
    <xf numFmtId="0" fontId="39" fillId="5" borderId="0" applyNumberFormat="0" applyBorder="0" applyAlignment="0" applyProtection="0">
      <alignment vertical="center"/>
    </xf>
    <xf numFmtId="0" fontId="39" fillId="3" borderId="0" applyNumberFormat="0" applyBorder="0" applyAlignment="0" applyProtection="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39" fillId="11" borderId="0" applyNumberFormat="0" applyBorder="0" applyAlignment="0" applyProtection="0">
      <alignment vertical="center"/>
    </xf>
    <xf numFmtId="0" fontId="81" fillId="0" borderId="0">
      <alignment vertical="center"/>
    </xf>
    <xf numFmtId="0" fontId="39" fillId="11" borderId="0" applyNumberFormat="0" applyBorder="0" applyAlignment="0" applyProtection="0">
      <alignment vertical="center"/>
    </xf>
    <xf numFmtId="0" fontId="39" fillId="3" borderId="0" applyNumberFormat="0" applyBorder="0" applyAlignment="0" applyProtection="0">
      <alignment vertical="center"/>
    </xf>
    <xf numFmtId="0" fontId="39" fillId="11"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81" fillId="0" borderId="0"/>
    <xf numFmtId="0" fontId="39" fillId="11"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81" fillId="0" borderId="0"/>
    <xf numFmtId="0" fontId="39" fillId="12" borderId="0" applyNumberFormat="0" applyBorder="0" applyAlignment="0" applyProtection="0">
      <alignment vertical="center"/>
    </xf>
    <xf numFmtId="0" fontId="81" fillId="0" borderId="0">
      <alignment vertical="center"/>
    </xf>
    <xf numFmtId="0" fontId="39" fillId="11" borderId="0" applyNumberFormat="0" applyBorder="0" applyAlignment="0" applyProtection="0">
      <alignment vertical="center"/>
    </xf>
    <xf numFmtId="0" fontId="81" fillId="0" borderId="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81" fillId="0" borderId="0">
      <alignment vertical="center"/>
    </xf>
    <xf numFmtId="0" fontId="39" fillId="11" borderId="0" applyNumberFormat="0" applyBorder="0" applyAlignment="0" applyProtection="0">
      <alignment vertical="center"/>
    </xf>
    <xf numFmtId="0" fontId="81" fillId="0" borderId="0"/>
    <xf numFmtId="0" fontId="39" fillId="11"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39" fillId="3" borderId="0" applyNumberFormat="0" applyBorder="0" applyAlignment="0" applyProtection="0">
      <alignment vertical="center"/>
    </xf>
    <xf numFmtId="0" fontId="81" fillId="0" borderId="0">
      <alignment vertical="center"/>
    </xf>
    <xf numFmtId="0" fontId="39" fillId="11"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39" fillId="5" borderId="0" applyNumberFormat="0" applyBorder="0" applyAlignment="0" applyProtection="0">
      <alignment vertical="center"/>
    </xf>
    <xf numFmtId="0" fontId="39" fillId="11" borderId="0" applyNumberFormat="0" applyBorder="0" applyAlignment="0" applyProtection="0">
      <alignment vertical="center"/>
    </xf>
    <xf numFmtId="0" fontId="81" fillId="0" borderId="0">
      <alignment vertical="center"/>
    </xf>
    <xf numFmtId="0" fontId="39" fillId="11" borderId="0" applyNumberFormat="0" applyBorder="0" applyAlignment="0" applyProtection="0">
      <alignment vertical="center"/>
    </xf>
    <xf numFmtId="0" fontId="56" fillId="0" borderId="0" applyNumberFormat="0" applyFill="0" applyBorder="0" applyAlignment="0" applyProtection="0">
      <alignment vertical="center"/>
    </xf>
    <xf numFmtId="0" fontId="81" fillId="0" borderId="0"/>
    <xf numFmtId="0" fontId="81" fillId="0" borderId="0" applyBorder="0">
      <alignment vertical="center"/>
    </xf>
    <xf numFmtId="0" fontId="39" fillId="11"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81" fillId="0" borderId="0" applyBorder="0">
      <alignment vertical="center"/>
    </xf>
    <xf numFmtId="0" fontId="39" fillId="3"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81" fillId="0" borderId="0"/>
    <xf numFmtId="0" fontId="81" fillId="0" borderId="0"/>
    <xf numFmtId="0" fontId="81" fillId="0" borderId="0">
      <alignment vertical="center"/>
    </xf>
    <xf numFmtId="0" fontId="39" fillId="3"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44" fillId="4" borderId="0" applyNumberFormat="0" applyBorder="0" applyAlignment="0" applyProtection="0">
      <alignment vertical="center"/>
    </xf>
    <xf numFmtId="0" fontId="39" fillId="12" borderId="0" applyNumberFormat="0" applyBorder="0" applyAlignment="0" applyProtection="0">
      <alignment vertical="center"/>
    </xf>
    <xf numFmtId="0" fontId="39" fillId="11" borderId="0" applyNumberFormat="0" applyBorder="0" applyAlignment="0" applyProtection="0">
      <alignment vertical="center"/>
    </xf>
    <xf numFmtId="0" fontId="81" fillId="0" borderId="0"/>
    <xf numFmtId="0" fontId="81" fillId="0" borderId="0"/>
    <xf numFmtId="0" fontId="39" fillId="12" borderId="0" applyNumberFormat="0" applyBorder="0" applyAlignment="0" applyProtection="0">
      <alignment vertical="center"/>
    </xf>
    <xf numFmtId="0" fontId="39" fillId="11" borderId="0" applyNumberFormat="0" applyBorder="0" applyAlignment="0" applyProtection="0">
      <alignment vertical="center"/>
    </xf>
    <xf numFmtId="0" fontId="81" fillId="0" borderId="0">
      <alignment vertical="center"/>
    </xf>
    <xf numFmtId="0" fontId="39" fillId="11" borderId="0" applyNumberFormat="0" applyBorder="0" applyAlignment="0" applyProtection="0">
      <alignment vertical="center"/>
    </xf>
    <xf numFmtId="0" fontId="39" fillId="10" borderId="0" applyNumberFormat="0" applyBorder="0" applyAlignment="0" applyProtection="0">
      <alignment vertical="center"/>
    </xf>
    <xf numFmtId="0" fontId="81" fillId="0" borderId="0" applyBorder="0">
      <alignment vertical="center"/>
    </xf>
    <xf numFmtId="0" fontId="39" fillId="3" borderId="0" applyNumberFormat="0" applyBorder="0" applyAlignment="0" applyProtection="0">
      <alignment vertical="center"/>
    </xf>
    <xf numFmtId="0" fontId="81" fillId="0" borderId="0">
      <alignment vertical="center"/>
    </xf>
    <xf numFmtId="0" fontId="39" fillId="11"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11"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1" borderId="0" applyNumberFormat="0" applyBorder="0" applyAlignment="0" applyProtection="0">
      <alignment vertical="center"/>
    </xf>
    <xf numFmtId="0" fontId="39" fillId="12" borderId="0" applyNumberFormat="0" applyBorder="0" applyAlignment="0" applyProtection="0">
      <alignment vertical="center"/>
    </xf>
    <xf numFmtId="0" fontId="39" fillId="11"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39" fillId="12" borderId="0" applyNumberFormat="0" applyBorder="0" applyAlignment="0" applyProtection="0">
      <alignment vertical="center"/>
    </xf>
    <xf numFmtId="0" fontId="39" fillId="11"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11" borderId="0" applyNumberFormat="0" applyBorder="0" applyAlignment="0" applyProtection="0">
      <alignment vertical="center"/>
    </xf>
    <xf numFmtId="0" fontId="81" fillId="0" borderId="0"/>
    <xf numFmtId="0" fontId="81" fillId="0" borderId="0"/>
    <xf numFmtId="0" fontId="39" fillId="12" borderId="0" applyNumberFormat="0" applyBorder="0" applyAlignment="0" applyProtection="0">
      <alignment vertical="center"/>
    </xf>
    <xf numFmtId="0" fontId="81" fillId="0" borderId="0">
      <alignment vertical="center"/>
    </xf>
    <xf numFmtId="0" fontId="39" fillId="11" borderId="0" applyNumberFormat="0" applyBorder="0" applyAlignment="0" applyProtection="0">
      <alignment vertical="center"/>
    </xf>
    <xf numFmtId="0" fontId="81" fillId="0" borderId="0"/>
    <xf numFmtId="0" fontId="39" fillId="12"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44" fillId="4"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81" fillId="0" borderId="0">
      <alignment vertical="center"/>
    </xf>
    <xf numFmtId="0" fontId="39" fillId="11"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lignment vertical="center"/>
    </xf>
    <xf numFmtId="0" fontId="81" fillId="0" borderId="0" applyBorder="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39" fillId="11" borderId="0" applyNumberFormat="0" applyBorder="0" applyAlignment="0" applyProtection="0">
      <alignment vertical="center"/>
    </xf>
    <xf numFmtId="0" fontId="81" fillId="0" borderId="0">
      <alignment vertical="center"/>
    </xf>
    <xf numFmtId="0" fontId="81" fillId="0" borderId="0">
      <alignment vertical="center"/>
    </xf>
    <xf numFmtId="0" fontId="81" fillId="0" borderId="0">
      <alignment vertical="center"/>
    </xf>
    <xf numFmtId="0" fontId="39" fillId="12"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39" fillId="5"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39" fillId="10" borderId="0" applyNumberFormat="0" applyBorder="0" applyAlignment="0" applyProtection="0">
      <alignment vertical="center"/>
    </xf>
    <xf numFmtId="0" fontId="81" fillId="0" borderId="0" applyBorder="0">
      <alignment vertical="center"/>
    </xf>
    <xf numFmtId="0" fontId="39" fillId="27" borderId="0" applyNumberFormat="0" applyBorder="0" applyAlignment="0" applyProtection="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39" fillId="27" borderId="0" applyNumberFormat="0" applyBorder="0" applyAlignment="0" applyProtection="0">
      <alignment vertical="center"/>
    </xf>
    <xf numFmtId="0" fontId="44" fillId="4"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81" fillId="0" borderId="0"/>
    <xf numFmtId="0" fontId="39" fillId="12"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25"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44" fillId="4"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44" fillId="4"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lignment vertical="center"/>
    </xf>
    <xf numFmtId="0" fontId="52" fillId="0" borderId="40" applyNumberFormat="0" applyFill="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xf numFmtId="0" fontId="39" fillId="12" borderId="0" applyNumberFormat="0" applyBorder="0" applyAlignment="0" applyProtection="0">
      <alignment vertical="center"/>
    </xf>
    <xf numFmtId="0" fontId="81" fillId="0" borderId="0" applyBorder="0">
      <alignment vertical="center"/>
    </xf>
    <xf numFmtId="0" fontId="39" fillId="0" borderId="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11"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39" fillId="11"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12" borderId="0" applyNumberFormat="0" applyBorder="0" applyAlignment="0" applyProtection="0">
      <alignment vertical="center"/>
    </xf>
    <xf numFmtId="0" fontId="39" fillId="11" borderId="0" applyNumberFormat="0" applyBorder="0" applyAlignment="0" applyProtection="0">
      <alignment vertical="center"/>
    </xf>
    <xf numFmtId="0" fontId="39" fillId="12" borderId="0" applyNumberFormat="0" applyBorder="0" applyAlignment="0" applyProtection="0">
      <alignment vertical="center"/>
    </xf>
    <xf numFmtId="0" fontId="39" fillId="11" borderId="0" applyNumberFormat="0" applyBorder="0" applyAlignment="0" applyProtection="0">
      <alignment vertical="center"/>
    </xf>
    <xf numFmtId="0" fontId="39" fillId="12" borderId="0" applyNumberFormat="0" applyBorder="0" applyAlignment="0" applyProtection="0">
      <alignment vertical="center"/>
    </xf>
    <xf numFmtId="0" fontId="81" fillId="0" borderId="0"/>
    <xf numFmtId="0" fontId="81" fillId="0" borderId="0"/>
    <xf numFmtId="0" fontId="81" fillId="0" borderId="0"/>
    <xf numFmtId="0" fontId="81" fillId="0" borderId="0"/>
    <xf numFmtId="0" fontId="39" fillId="12" borderId="0" applyNumberFormat="0" applyBorder="0" applyAlignment="0" applyProtection="0">
      <alignment vertical="center"/>
    </xf>
    <xf numFmtId="0" fontId="39" fillId="11"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xf numFmtId="0" fontId="81" fillId="0" borderId="0"/>
    <xf numFmtId="0" fontId="39" fillId="11"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xf numFmtId="0" fontId="81" fillId="0" borderId="0"/>
    <xf numFmtId="0" fontId="81" fillId="0" borderId="0"/>
    <xf numFmtId="0" fontId="81" fillId="0" borderId="0"/>
    <xf numFmtId="0" fontId="39" fillId="12"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11"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lignment vertical="center"/>
    </xf>
    <xf numFmtId="0" fontId="39" fillId="11"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lignment vertical="center"/>
    </xf>
    <xf numFmtId="0" fontId="39" fillId="11"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39" fillId="3"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3" borderId="0" applyNumberFormat="0" applyBorder="0" applyAlignment="0" applyProtection="0">
      <alignment vertical="center"/>
    </xf>
    <xf numFmtId="0" fontId="81" fillId="0" borderId="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46" fillId="0" borderId="0" applyNumberFormat="0" applyFill="0" applyBorder="0" applyAlignment="0" applyProtection="0">
      <alignment vertical="center"/>
    </xf>
    <xf numFmtId="0" fontId="39" fillId="3" borderId="0" applyNumberFormat="0" applyBorder="0" applyAlignment="0" applyProtection="0">
      <alignment vertical="center"/>
    </xf>
    <xf numFmtId="0" fontId="81" fillId="0" borderId="0" applyBorder="0">
      <alignment vertical="center"/>
    </xf>
    <xf numFmtId="0" fontId="81" fillId="0" borderId="0">
      <alignment vertical="center"/>
    </xf>
    <xf numFmtId="0" fontId="39" fillId="12" borderId="0" applyNumberFormat="0" applyBorder="0" applyAlignment="0" applyProtection="0">
      <alignment vertical="center"/>
    </xf>
    <xf numFmtId="0" fontId="81" fillId="0" borderId="0"/>
    <xf numFmtId="0" fontId="39" fillId="3"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81" fillId="0" borderId="0" applyBorder="0">
      <alignment vertical="center"/>
    </xf>
    <xf numFmtId="0" fontId="39" fillId="0" borderId="0">
      <alignment vertical="center"/>
    </xf>
    <xf numFmtId="0" fontId="46" fillId="0" borderId="0" applyNumberFormat="0" applyFill="0" applyBorder="0" applyAlignment="0" applyProtection="0">
      <alignment vertical="center"/>
    </xf>
    <xf numFmtId="0" fontId="39" fillId="3"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39" fillId="11"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lignment vertical="center"/>
    </xf>
    <xf numFmtId="0" fontId="39" fillId="11" borderId="0" applyNumberFormat="0" applyBorder="0" applyAlignment="0" applyProtection="0">
      <alignment vertical="center"/>
    </xf>
    <xf numFmtId="0" fontId="39" fillId="0" borderId="0">
      <alignment vertical="center"/>
    </xf>
    <xf numFmtId="0" fontId="81" fillId="0" borderId="0" applyBorder="0">
      <alignment vertical="center"/>
    </xf>
    <xf numFmtId="0" fontId="39" fillId="12" borderId="0" applyNumberFormat="0" applyBorder="0" applyAlignment="0" applyProtection="0">
      <alignment vertical="center"/>
    </xf>
    <xf numFmtId="0" fontId="39" fillId="10" borderId="0" applyNumberFormat="0" applyBorder="0" applyAlignment="0" applyProtection="0">
      <alignment vertical="center"/>
    </xf>
    <xf numFmtId="0" fontId="39" fillId="12" borderId="0" applyNumberFormat="0" applyBorder="0" applyAlignment="0" applyProtection="0">
      <alignment vertical="center"/>
    </xf>
    <xf numFmtId="0" fontId="39" fillId="10" borderId="0" applyNumberFormat="0" applyBorder="0" applyAlignment="0" applyProtection="0">
      <alignment vertical="center"/>
    </xf>
    <xf numFmtId="0" fontId="42" fillId="0" borderId="33" applyNumberFormat="0" applyFill="0" applyAlignment="0" applyProtection="0">
      <alignment vertical="center"/>
    </xf>
    <xf numFmtId="0" fontId="39" fillId="12" borderId="0" applyNumberFormat="0" applyBorder="0" applyAlignment="0" applyProtection="0">
      <alignment vertical="center"/>
    </xf>
    <xf numFmtId="0" fontId="39" fillId="10" borderId="0" applyNumberFormat="0" applyBorder="0" applyAlignment="0" applyProtection="0">
      <alignment vertical="center"/>
    </xf>
    <xf numFmtId="0" fontId="39" fillId="12"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42" fillId="0" borderId="33" applyNumberFormat="0" applyFill="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1"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39" fillId="10" borderId="0" applyNumberFormat="0" applyBorder="0" applyAlignment="0" applyProtection="0">
      <alignment vertical="center"/>
    </xf>
    <xf numFmtId="0" fontId="39" fillId="11" borderId="0" applyNumberFormat="0" applyBorder="0" applyAlignment="0" applyProtection="0">
      <alignment vertical="center"/>
    </xf>
    <xf numFmtId="0" fontId="39" fillId="12" borderId="0" applyNumberFormat="0" applyBorder="0" applyAlignment="0" applyProtection="0">
      <alignment vertical="center"/>
    </xf>
    <xf numFmtId="0" fontId="39" fillId="10"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39" fillId="10" borderId="0" applyNumberFormat="0" applyBorder="0" applyAlignment="0" applyProtection="0">
      <alignment vertical="center"/>
    </xf>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48" fillId="0" borderId="0" applyNumberFormat="0" applyFill="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39" fillId="10" borderId="0" applyNumberFormat="0" applyBorder="0" applyAlignment="0" applyProtection="0">
      <alignment vertical="center"/>
    </xf>
    <xf numFmtId="0" fontId="39" fillId="5"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3"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9" fontId="81" fillId="0" borderId="0" applyFont="0" applyFill="0" applyBorder="0" applyAlignment="0" applyProtection="0"/>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lignment vertical="center"/>
    </xf>
    <xf numFmtId="0" fontId="81" fillId="0" borderId="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lignment vertical="center"/>
    </xf>
    <xf numFmtId="0" fontId="81" fillId="0" borderId="0"/>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lignment vertical="center"/>
    </xf>
    <xf numFmtId="0" fontId="81" fillId="0" borderId="0">
      <alignment vertical="center"/>
    </xf>
    <xf numFmtId="0" fontId="39" fillId="11" borderId="0" applyNumberFormat="0" applyBorder="0" applyAlignment="0" applyProtection="0">
      <alignment vertical="center"/>
    </xf>
    <xf numFmtId="0" fontId="81" fillId="0" borderId="0">
      <alignment vertical="center"/>
    </xf>
    <xf numFmtId="0" fontId="81" fillId="0" borderId="0">
      <alignment vertical="center"/>
    </xf>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lignment vertical="center"/>
    </xf>
    <xf numFmtId="0" fontId="81" fillId="0" borderId="0">
      <alignment vertical="center"/>
    </xf>
    <xf numFmtId="0" fontId="39" fillId="12" borderId="0" applyNumberFormat="0" applyBorder="0" applyAlignment="0" applyProtection="0">
      <alignment vertical="center"/>
    </xf>
    <xf numFmtId="0" fontId="81" fillId="0" borderId="0">
      <alignment vertical="center"/>
    </xf>
    <xf numFmtId="0" fontId="81" fillId="0" borderId="0" applyBorder="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lignment vertical="center"/>
    </xf>
    <xf numFmtId="0" fontId="81" fillId="0" borderId="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81" fillId="0" borderId="0"/>
    <xf numFmtId="0" fontId="81" fillId="0" borderId="0" applyBorder="0">
      <alignment vertical="center"/>
    </xf>
    <xf numFmtId="0" fontId="39" fillId="12" borderId="0" applyNumberFormat="0" applyBorder="0" applyAlignment="0" applyProtection="0">
      <alignment vertical="center"/>
    </xf>
    <xf numFmtId="0" fontId="81" fillId="0" borderId="0"/>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12" borderId="0" applyNumberFormat="0" applyBorder="0" applyAlignment="0" applyProtection="0">
      <alignment vertical="center"/>
    </xf>
    <xf numFmtId="0" fontId="44" fillId="4"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lignment vertical="center"/>
    </xf>
    <xf numFmtId="0" fontId="81" fillId="0" borderId="0">
      <alignment vertical="center"/>
    </xf>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11" borderId="0" applyNumberFormat="0" applyBorder="0" applyAlignment="0" applyProtection="0">
      <alignment vertical="center"/>
    </xf>
    <xf numFmtId="0" fontId="81" fillId="0" borderId="0"/>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xf numFmtId="0" fontId="81" fillId="0" borderId="0" applyBorder="0">
      <alignment vertical="center"/>
    </xf>
    <xf numFmtId="0" fontId="39" fillId="5" borderId="0" applyNumberFormat="0" applyBorder="0" applyAlignment="0" applyProtection="0">
      <alignment vertical="center"/>
    </xf>
    <xf numFmtId="0" fontId="41" fillId="13" borderId="0" applyNumberFormat="0" applyBorder="0" applyAlignment="0" applyProtection="0">
      <alignment vertical="center"/>
    </xf>
    <xf numFmtId="0" fontId="39" fillId="12" borderId="0" applyNumberFormat="0" applyBorder="0" applyAlignment="0" applyProtection="0">
      <alignment vertical="center"/>
    </xf>
    <xf numFmtId="0" fontId="81" fillId="0" borderId="0"/>
    <xf numFmtId="0" fontId="81" fillId="0" borderId="0">
      <alignment vertical="center"/>
    </xf>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81" fillId="0" borderId="0"/>
    <xf numFmtId="0" fontId="81" fillId="0" borderId="0" applyBorder="0">
      <alignment vertical="center"/>
    </xf>
    <xf numFmtId="0" fontId="39" fillId="5" borderId="0" applyNumberFormat="0" applyBorder="0" applyAlignment="0" applyProtection="0">
      <alignment vertical="center"/>
    </xf>
    <xf numFmtId="0" fontId="81" fillId="0" borderId="0" applyBorder="0">
      <alignment vertical="center"/>
    </xf>
    <xf numFmtId="0" fontId="39" fillId="3" borderId="0" applyNumberFormat="0" applyBorder="0" applyAlignment="0" applyProtection="0">
      <alignment vertical="center"/>
    </xf>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12" borderId="0" applyNumberFormat="0" applyBorder="0" applyAlignment="0" applyProtection="0">
      <alignment vertical="center"/>
    </xf>
    <xf numFmtId="0" fontId="39" fillId="3" borderId="0" applyNumberFormat="0" applyBorder="0" applyAlignment="0" applyProtection="0">
      <alignment vertical="center"/>
    </xf>
    <xf numFmtId="0" fontId="81" fillId="0" borderId="0"/>
    <xf numFmtId="0" fontId="39" fillId="5" borderId="0" applyNumberFormat="0" applyBorder="0" applyAlignment="0" applyProtection="0">
      <alignment vertical="center"/>
    </xf>
    <xf numFmtId="0" fontId="39" fillId="3"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37" fillId="0" borderId="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lignment vertical="center"/>
    </xf>
    <xf numFmtId="0" fontId="39" fillId="12" borderId="0" applyNumberFormat="0" applyBorder="0" applyAlignment="0" applyProtection="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39" fillId="5"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44" fillId="4"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81" fillId="0" borderId="0">
      <alignment vertical="center"/>
    </xf>
    <xf numFmtId="0" fontId="81" fillId="0" borderId="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39" fillId="11" borderId="0" applyNumberFormat="0" applyBorder="0" applyAlignment="0" applyProtection="0">
      <alignment vertical="center"/>
    </xf>
    <xf numFmtId="0" fontId="81" fillId="0" borderId="0"/>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xf numFmtId="0" fontId="81" fillId="0" borderId="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81" fillId="0" borderId="0"/>
    <xf numFmtId="0" fontId="81" fillId="0" borderId="0" applyBorder="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lignment vertical="center"/>
    </xf>
    <xf numFmtId="0" fontId="81" fillId="0" borderId="0" applyBorder="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0" borderId="0">
      <alignment vertical="center"/>
    </xf>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11" borderId="0" applyNumberFormat="0" applyBorder="0" applyAlignment="0" applyProtection="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pplyBorder="0">
      <alignment vertical="center"/>
    </xf>
    <xf numFmtId="0" fontId="81" fillId="0" borderId="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lignment vertical="center"/>
    </xf>
    <xf numFmtId="0" fontId="81" fillId="0" borderId="0">
      <alignment vertical="center"/>
    </xf>
    <xf numFmtId="0" fontId="39" fillId="12" borderId="0" applyNumberFormat="0" applyBorder="0" applyAlignment="0" applyProtection="0">
      <alignment vertical="center"/>
    </xf>
    <xf numFmtId="0" fontId="81" fillId="0" borderId="0">
      <alignment vertical="center"/>
    </xf>
    <xf numFmtId="0" fontId="81" fillId="0" borderId="0" applyBorder="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0" borderId="0">
      <alignment vertical="center"/>
    </xf>
    <xf numFmtId="0" fontId="39" fillId="12" borderId="0" applyNumberFormat="0" applyBorder="0" applyAlignment="0" applyProtection="0">
      <alignment vertical="center"/>
    </xf>
    <xf numFmtId="0" fontId="81" fillId="0" borderId="0">
      <alignment vertical="center"/>
    </xf>
    <xf numFmtId="0" fontId="81" fillId="0" borderId="0" applyBorder="0">
      <alignment vertical="center"/>
    </xf>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3"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39" fillId="10" borderId="0" applyNumberFormat="0" applyBorder="0" applyAlignment="0" applyProtection="0">
      <alignment vertical="center"/>
    </xf>
    <xf numFmtId="0" fontId="39" fillId="25" borderId="0" applyNumberFormat="0" applyBorder="0" applyAlignment="0" applyProtection="0">
      <alignment vertical="center"/>
    </xf>
    <xf numFmtId="0" fontId="81" fillId="0" borderId="0" applyBorder="0">
      <alignment vertical="center"/>
    </xf>
    <xf numFmtId="0" fontId="39" fillId="25" borderId="0" applyNumberFormat="0" applyBorder="0" applyAlignment="0" applyProtection="0">
      <alignment vertical="center"/>
    </xf>
    <xf numFmtId="0" fontId="39" fillId="5" borderId="0" applyNumberFormat="0" applyBorder="0" applyAlignment="0" applyProtection="0">
      <alignment vertical="center"/>
    </xf>
    <xf numFmtId="0" fontId="39" fillId="11" borderId="0" applyNumberFormat="0" applyBorder="0" applyAlignment="0" applyProtection="0">
      <alignment vertical="center"/>
    </xf>
    <xf numFmtId="0" fontId="81" fillId="0" borderId="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81" fillId="0" borderId="0"/>
    <xf numFmtId="0" fontId="39" fillId="11" borderId="0" applyNumberFormat="0" applyBorder="0" applyAlignment="0" applyProtection="0">
      <alignment vertical="center"/>
    </xf>
    <xf numFmtId="0" fontId="39" fillId="19"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19" borderId="0" applyNumberFormat="0" applyBorder="0" applyAlignment="0" applyProtection="0">
      <alignment vertical="center"/>
    </xf>
    <xf numFmtId="0" fontId="39" fillId="5" borderId="0" applyNumberFormat="0" applyBorder="0" applyAlignment="0" applyProtection="0">
      <alignment vertical="center"/>
    </xf>
    <xf numFmtId="0" fontId="39" fillId="11"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alignment vertical="center"/>
    </xf>
    <xf numFmtId="0" fontId="81" fillId="0" borderId="0"/>
    <xf numFmtId="0" fontId="81" fillId="0" borderId="0" applyBorder="0">
      <alignment vertical="center"/>
    </xf>
    <xf numFmtId="0" fontId="39" fillId="11" borderId="0" applyNumberFormat="0" applyBorder="0" applyAlignment="0" applyProtection="0">
      <alignment vertical="center"/>
    </xf>
    <xf numFmtId="0" fontId="81" fillId="0" borderId="0">
      <alignment vertical="center"/>
    </xf>
    <xf numFmtId="0" fontId="39" fillId="3" borderId="0" applyNumberFormat="0" applyBorder="0" applyAlignment="0" applyProtection="0">
      <alignment vertical="center"/>
    </xf>
    <xf numFmtId="0" fontId="81" fillId="0" borderId="0"/>
    <xf numFmtId="0" fontId="39" fillId="11" borderId="0" applyNumberFormat="0" applyBorder="0" applyAlignment="0" applyProtection="0">
      <alignment vertical="center"/>
    </xf>
    <xf numFmtId="0" fontId="81" fillId="0" borderId="0">
      <alignment vertical="center"/>
    </xf>
    <xf numFmtId="0" fontId="39" fillId="11"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39" fillId="5" borderId="0" applyNumberFormat="0" applyBorder="0" applyAlignment="0" applyProtection="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39" fillId="12" borderId="0" applyNumberFormat="0" applyBorder="0" applyAlignment="0" applyProtection="0">
      <alignment vertical="center"/>
    </xf>
    <xf numFmtId="0" fontId="81" fillId="0" borderId="0">
      <alignment vertical="center"/>
    </xf>
    <xf numFmtId="0" fontId="81" fillId="0" borderId="0" applyBorder="0">
      <alignment vertical="center"/>
    </xf>
    <xf numFmtId="0" fontId="39" fillId="12" borderId="0" applyNumberFormat="0" applyBorder="0" applyAlignment="0" applyProtection="0">
      <alignment vertical="center"/>
    </xf>
    <xf numFmtId="0" fontId="39" fillId="11"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39" fillId="12" borderId="0" applyNumberFormat="0" applyBorder="0" applyAlignment="0" applyProtection="0">
      <alignment vertical="center"/>
    </xf>
    <xf numFmtId="0" fontId="81" fillId="0" borderId="0">
      <alignment vertical="center"/>
    </xf>
    <xf numFmtId="0" fontId="39" fillId="11" borderId="0" applyNumberFormat="0" applyBorder="0" applyAlignment="0" applyProtection="0">
      <alignment vertical="center"/>
    </xf>
    <xf numFmtId="0" fontId="39" fillId="12" borderId="0" applyNumberFormat="0" applyBorder="0" applyAlignment="0" applyProtection="0">
      <alignment vertical="center"/>
    </xf>
    <xf numFmtId="0" fontId="81" fillId="0" borderId="0">
      <alignment vertical="center"/>
    </xf>
    <xf numFmtId="0" fontId="39" fillId="11"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lignment vertical="center"/>
    </xf>
    <xf numFmtId="0" fontId="81" fillId="0" borderId="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39" fillId="5" borderId="0" applyNumberFormat="0" applyBorder="0" applyAlignment="0" applyProtection="0">
      <alignment vertical="center"/>
    </xf>
    <xf numFmtId="0" fontId="39" fillId="11" borderId="0" applyNumberFormat="0" applyBorder="0" applyAlignment="0" applyProtection="0">
      <alignment vertical="center"/>
    </xf>
    <xf numFmtId="0" fontId="81" fillId="0" borderId="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39" fillId="11" borderId="0" applyNumberFormat="0" applyBorder="0" applyAlignment="0" applyProtection="0">
      <alignment vertical="center"/>
    </xf>
    <xf numFmtId="0" fontId="81" fillId="0" borderId="0">
      <alignment vertical="center"/>
    </xf>
    <xf numFmtId="0" fontId="39" fillId="11" borderId="0" applyNumberFormat="0" applyBorder="0" applyAlignment="0" applyProtection="0">
      <alignment vertical="center"/>
    </xf>
    <xf numFmtId="0" fontId="81" fillId="0" borderId="0" applyBorder="0">
      <alignment vertical="center"/>
    </xf>
    <xf numFmtId="0" fontId="39" fillId="3" borderId="0" applyNumberFormat="0" applyBorder="0" applyAlignment="0" applyProtection="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81" fillId="0" borderId="0">
      <alignment vertical="center"/>
    </xf>
    <xf numFmtId="0" fontId="39" fillId="3" borderId="0" applyNumberFormat="0" applyBorder="0" applyAlignment="0" applyProtection="0">
      <alignment vertical="center"/>
    </xf>
    <xf numFmtId="0" fontId="81" fillId="0" borderId="0" applyBorder="0">
      <alignment vertical="center"/>
    </xf>
    <xf numFmtId="0" fontId="81" fillId="0" borderId="0">
      <alignment vertical="center"/>
    </xf>
    <xf numFmtId="0" fontId="81" fillId="0" borderId="0" applyBorder="0">
      <alignment vertical="center"/>
    </xf>
    <xf numFmtId="0" fontId="39" fillId="11" borderId="0" applyNumberFormat="0" applyBorder="0" applyAlignment="0" applyProtection="0">
      <alignment vertical="center"/>
    </xf>
    <xf numFmtId="0" fontId="42" fillId="0" borderId="43" applyNumberFormat="0" applyFill="0" applyAlignment="0" applyProtection="0">
      <alignment vertical="center"/>
    </xf>
    <xf numFmtId="0" fontId="81" fillId="0" borderId="0" applyBorder="0">
      <alignment vertical="center"/>
    </xf>
    <xf numFmtId="0" fontId="81" fillId="0" borderId="0">
      <alignment vertical="center"/>
    </xf>
    <xf numFmtId="0" fontId="39" fillId="3" borderId="0" applyNumberFormat="0" applyBorder="0" applyAlignment="0" applyProtection="0">
      <alignment vertical="center"/>
    </xf>
    <xf numFmtId="0" fontId="39" fillId="5"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39" fillId="10" borderId="0" applyNumberFormat="0" applyBorder="0" applyAlignment="0" applyProtection="0">
      <alignment vertical="center"/>
    </xf>
    <xf numFmtId="0" fontId="39" fillId="5" borderId="0" applyNumberFormat="0" applyBorder="0" applyAlignment="0" applyProtection="0">
      <alignment vertical="center"/>
    </xf>
    <xf numFmtId="0" fontId="39" fillId="11"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39" fillId="5" borderId="0" applyNumberFormat="0" applyBorder="0" applyAlignment="0" applyProtection="0">
      <alignment vertical="center"/>
    </xf>
    <xf numFmtId="0" fontId="39" fillId="11" borderId="0" applyNumberFormat="0" applyBorder="0" applyAlignment="0" applyProtection="0">
      <alignment vertical="center"/>
    </xf>
    <xf numFmtId="0" fontId="39" fillId="5" borderId="0" applyNumberFormat="0" applyBorder="0" applyAlignment="0" applyProtection="0">
      <alignment vertical="center"/>
    </xf>
    <xf numFmtId="0" fontId="39" fillId="11"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39" fillId="3"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11" borderId="0" applyNumberFormat="0" applyBorder="0" applyAlignment="0" applyProtection="0">
      <alignment vertical="center"/>
    </xf>
    <xf numFmtId="0" fontId="81" fillId="0" borderId="0">
      <alignment vertical="center"/>
    </xf>
    <xf numFmtId="0" fontId="81" fillId="0" borderId="0" applyBorder="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39" fillId="12" borderId="0" applyNumberFormat="0" applyBorder="0" applyAlignment="0" applyProtection="0">
      <alignment vertical="center"/>
    </xf>
    <xf numFmtId="0" fontId="81" fillId="0" borderId="0">
      <alignment vertical="center"/>
    </xf>
    <xf numFmtId="0" fontId="81" fillId="0" borderId="0" applyBorder="0">
      <alignment vertical="center"/>
    </xf>
    <xf numFmtId="0" fontId="39" fillId="11"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81" fillId="0" borderId="0">
      <alignment vertical="center"/>
    </xf>
    <xf numFmtId="0" fontId="81" fillId="0" borderId="0">
      <alignment vertical="center"/>
    </xf>
    <xf numFmtId="0" fontId="39" fillId="5" borderId="0" applyNumberFormat="0" applyBorder="0" applyAlignment="0" applyProtection="0">
      <alignment vertical="center"/>
    </xf>
    <xf numFmtId="0" fontId="81" fillId="0" borderId="0">
      <alignment vertical="center"/>
    </xf>
    <xf numFmtId="0" fontId="39" fillId="11"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39" fillId="12" borderId="0" applyNumberFormat="0" applyBorder="0" applyAlignment="0" applyProtection="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81" fillId="0" borderId="0" applyBorder="0">
      <alignment vertical="center"/>
    </xf>
    <xf numFmtId="0" fontId="39" fillId="3"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11" borderId="0" applyNumberFormat="0" applyBorder="0" applyAlignment="0" applyProtection="0">
      <alignment vertical="center"/>
    </xf>
    <xf numFmtId="0" fontId="39" fillId="0" borderId="0">
      <alignment vertical="center"/>
    </xf>
    <xf numFmtId="0" fontId="81" fillId="0" borderId="0" applyBorder="0">
      <alignment vertical="center"/>
    </xf>
    <xf numFmtId="0" fontId="39" fillId="5" borderId="0" applyNumberFormat="0" applyBorder="0" applyAlignment="0" applyProtection="0">
      <alignment vertical="center"/>
    </xf>
    <xf numFmtId="0" fontId="39" fillId="3" borderId="0" applyNumberFormat="0" applyBorder="0" applyAlignment="0" applyProtection="0">
      <alignment vertical="center"/>
    </xf>
    <xf numFmtId="0" fontId="39" fillId="5" borderId="0" applyNumberFormat="0" applyBorder="0" applyAlignment="0" applyProtection="0">
      <alignment vertical="center"/>
    </xf>
    <xf numFmtId="0" fontId="39" fillId="11" borderId="0" applyNumberFormat="0" applyBorder="0" applyAlignment="0" applyProtection="0">
      <alignment vertical="center"/>
    </xf>
    <xf numFmtId="0" fontId="81" fillId="0" borderId="0"/>
    <xf numFmtId="0" fontId="81" fillId="0" borderId="0" applyBorder="0">
      <alignment vertical="center"/>
    </xf>
    <xf numFmtId="0" fontId="39" fillId="5"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39" fillId="11" borderId="0" applyNumberFormat="0" applyBorder="0" applyAlignment="0" applyProtection="0">
      <alignment vertical="center"/>
    </xf>
    <xf numFmtId="0" fontId="39" fillId="0" borderId="0">
      <alignment vertical="center"/>
    </xf>
    <xf numFmtId="0" fontId="39" fillId="5" borderId="0" applyNumberFormat="0" applyBorder="0" applyAlignment="0" applyProtection="0">
      <alignment vertical="center"/>
    </xf>
    <xf numFmtId="0" fontId="81" fillId="0" borderId="0">
      <alignment vertical="center"/>
    </xf>
    <xf numFmtId="0" fontId="81" fillId="0" borderId="0">
      <alignment vertical="center"/>
    </xf>
    <xf numFmtId="0" fontId="39" fillId="5" borderId="0" applyNumberFormat="0" applyBorder="0" applyAlignment="0" applyProtection="0">
      <alignment vertical="center"/>
    </xf>
    <xf numFmtId="0" fontId="39" fillId="11" borderId="0" applyNumberFormat="0" applyBorder="0" applyAlignment="0" applyProtection="0">
      <alignment vertical="center"/>
    </xf>
    <xf numFmtId="0" fontId="39" fillId="0" borderId="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11" borderId="0" applyNumberFormat="0" applyBorder="0" applyAlignment="0" applyProtection="0">
      <alignment vertical="center"/>
    </xf>
    <xf numFmtId="0" fontId="81" fillId="0" borderId="0"/>
    <xf numFmtId="0" fontId="39" fillId="5"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39" fillId="11" borderId="0" applyNumberFormat="0" applyBorder="0" applyAlignment="0" applyProtection="0">
      <alignment vertical="center"/>
    </xf>
    <xf numFmtId="0" fontId="81" fillId="0" borderId="0"/>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81" fillId="0" borderId="0"/>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alignment vertical="center"/>
    </xf>
    <xf numFmtId="0" fontId="39" fillId="0" borderId="0">
      <alignment vertical="center"/>
    </xf>
    <xf numFmtId="0" fontId="39" fillId="11" borderId="0" applyNumberFormat="0" applyBorder="0" applyAlignment="0" applyProtection="0">
      <alignment vertical="center"/>
    </xf>
    <xf numFmtId="0" fontId="39" fillId="0" borderId="0">
      <alignment vertical="center"/>
    </xf>
    <xf numFmtId="0" fontId="39" fillId="5" borderId="0" applyNumberFormat="0" applyBorder="0" applyAlignment="0" applyProtection="0">
      <alignment vertical="center"/>
    </xf>
    <xf numFmtId="0" fontId="81" fillId="0" borderId="0">
      <alignment vertical="center"/>
    </xf>
    <xf numFmtId="0" fontId="39" fillId="3" borderId="0" applyNumberFormat="0" applyBorder="0" applyAlignment="0" applyProtection="0">
      <alignment vertical="center"/>
    </xf>
    <xf numFmtId="0" fontId="39" fillId="11" borderId="0" applyNumberFormat="0" applyBorder="0" applyAlignment="0" applyProtection="0">
      <alignment vertical="center"/>
    </xf>
    <xf numFmtId="0" fontId="81" fillId="0" borderId="0">
      <alignment vertical="center"/>
    </xf>
    <xf numFmtId="0" fontId="81" fillId="0" borderId="0">
      <alignment vertical="center"/>
    </xf>
    <xf numFmtId="0" fontId="81" fillId="0" borderId="0"/>
    <xf numFmtId="0" fontId="39" fillId="0" borderId="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11"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39" fillId="0" borderId="0">
      <alignment vertical="center"/>
    </xf>
    <xf numFmtId="0" fontId="39" fillId="5"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39" fillId="11" borderId="0" applyNumberFormat="0" applyBorder="0" applyAlignment="0" applyProtection="0">
      <alignment vertical="center"/>
    </xf>
    <xf numFmtId="0" fontId="81" fillId="0" borderId="0"/>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xf numFmtId="0" fontId="39" fillId="11" borderId="0" applyNumberFormat="0" applyBorder="0" applyAlignment="0" applyProtection="0">
      <alignment vertical="center"/>
    </xf>
    <xf numFmtId="0" fontId="81" fillId="0" borderId="0"/>
    <xf numFmtId="0" fontId="39" fillId="12" borderId="0" applyNumberFormat="0" applyBorder="0" applyAlignment="0" applyProtection="0">
      <alignment vertical="center"/>
    </xf>
    <xf numFmtId="0" fontId="81" fillId="0" borderId="0">
      <alignment vertical="center"/>
    </xf>
    <xf numFmtId="0" fontId="39" fillId="11"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81" fillId="0" borderId="0">
      <alignment vertical="center"/>
    </xf>
    <xf numFmtId="0" fontId="39" fillId="5"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81" fillId="0" borderId="0"/>
    <xf numFmtId="0" fontId="81" fillId="0" borderId="0">
      <alignment vertical="center"/>
    </xf>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39" fillId="11"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81" fillId="0" borderId="0"/>
    <xf numFmtId="0" fontId="81" fillId="0" borderId="0"/>
    <xf numFmtId="0" fontId="39" fillId="5" borderId="0" applyNumberFormat="0" applyBorder="0" applyAlignment="0" applyProtection="0">
      <alignment vertical="center"/>
    </xf>
    <xf numFmtId="0" fontId="81" fillId="0" borderId="0">
      <alignment vertical="center"/>
    </xf>
    <xf numFmtId="0" fontId="81" fillId="0" borderId="0" applyBorder="0">
      <alignment vertical="center"/>
    </xf>
    <xf numFmtId="0" fontId="81" fillId="0" borderId="0" applyBorder="0">
      <alignment vertical="center"/>
    </xf>
    <xf numFmtId="0" fontId="39" fillId="11"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11" borderId="0" applyNumberFormat="0" applyBorder="0" applyAlignment="0" applyProtection="0">
      <alignment vertical="center"/>
    </xf>
    <xf numFmtId="0" fontId="81" fillId="0" borderId="0"/>
    <xf numFmtId="0" fontId="39" fillId="11" borderId="0" applyNumberFormat="0" applyBorder="0" applyAlignment="0" applyProtection="0">
      <alignment vertical="center"/>
    </xf>
    <xf numFmtId="0" fontId="39" fillId="3" borderId="0" applyNumberFormat="0" applyBorder="0" applyAlignment="0" applyProtection="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11"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11" borderId="0" applyNumberFormat="0" applyBorder="0" applyAlignment="0" applyProtection="0">
      <alignment vertical="center"/>
    </xf>
    <xf numFmtId="0" fontId="39" fillId="5" borderId="0" applyNumberFormat="0" applyBorder="0" applyAlignment="0" applyProtection="0">
      <alignment vertical="center"/>
    </xf>
    <xf numFmtId="9" fontId="81" fillId="0" borderId="0" applyFont="0" applyFill="0" applyBorder="0" applyAlignment="0" applyProtection="0"/>
    <xf numFmtId="0" fontId="39" fillId="11" borderId="0" applyNumberFormat="0" applyBorder="0" applyAlignment="0" applyProtection="0">
      <alignment vertical="center"/>
    </xf>
    <xf numFmtId="0" fontId="39" fillId="3"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81" fillId="0" borderId="0">
      <alignment vertical="center"/>
    </xf>
    <xf numFmtId="0" fontId="39" fillId="11" borderId="0" applyNumberFormat="0" applyBorder="0" applyAlignment="0" applyProtection="0">
      <alignment vertical="center"/>
    </xf>
    <xf numFmtId="0" fontId="39" fillId="12" borderId="0" applyNumberFormat="0" applyBorder="0" applyAlignment="0" applyProtection="0">
      <alignment vertical="center"/>
    </xf>
    <xf numFmtId="0" fontId="39" fillId="10" borderId="0" applyNumberFormat="0" applyBorder="0" applyAlignment="0" applyProtection="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lignment vertical="center"/>
    </xf>
    <xf numFmtId="0" fontId="39" fillId="11"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39" fillId="12" borderId="0" applyNumberFormat="0" applyBorder="0" applyAlignment="0" applyProtection="0">
      <alignment vertical="center"/>
    </xf>
    <xf numFmtId="0" fontId="39" fillId="11"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10" borderId="0" applyNumberFormat="0" applyBorder="0" applyAlignment="0" applyProtection="0">
      <alignment vertical="center"/>
    </xf>
    <xf numFmtId="0" fontId="39" fillId="11"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81" fillId="0" borderId="0">
      <alignment vertical="center"/>
    </xf>
    <xf numFmtId="0" fontId="81" fillId="0" borderId="0" applyBorder="0">
      <alignment vertical="center"/>
    </xf>
    <xf numFmtId="0" fontId="39" fillId="11"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11"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44" fillId="3" borderId="0" applyNumberFormat="0" applyBorder="0" applyAlignment="0" applyProtection="0">
      <alignment vertical="center"/>
    </xf>
    <xf numFmtId="0" fontId="39" fillId="11"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81" fillId="0" borderId="0">
      <alignment vertical="center"/>
    </xf>
    <xf numFmtId="0" fontId="39" fillId="11" borderId="0" applyNumberFormat="0" applyBorder="0" applyAlignment="0" applyProtection="0">
      <alignment vertical="center"/>
    </xf>
    <xf numFmtId="0" fontId="81" fillId="0" borderId="0">
      <alignment vertical="center"/>
    </xf>
    <xf numFmtId="0" fontId="39" fillId="11"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39" fillId="11"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39" fillId="11"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81" fillId="0" borderId="0">
      <alignment vertical="center"/>
    </xf>
    <xf numFmtId="0" fontId="81" fillId="0" borderId="0">
      <alignment vertical="center"/>
    </xf>
    <xf numFmtId="0" fontId="39" fillId="11" borderId="0" applyNumberFormat="0" applyBorder="0" applyAlignment="0" applyProtection="0">
      <alignment vertical="center"/>
    </xf>
    <xf numFmtId="0" fontId="81" fillId="0" borderId="0" applyBorder="0">
      <alignment vertical="center"/>
    </xf>
    <xf numFmtId="0" fontId="81" fillId="0" borderId="0">
      <alignment vertical="center"/>
    </xf>
    <xf numFmtId="0" fontId="39" fillId="11"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81" fillId="0" borderId="0"/>
    <xf numFmtId="0" fontId="39" fillId="11"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39" fillId="11"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39" fillId="11"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39" fillId="3" borderId="0" applyNumberFormat="0" applyBorder="0" applyAlignment="0" applyProtection="0">
      <alignment vertical="center"/>
    </xf>
    <xf numFmtId="0" fontId="81" fillId="0" borderId="0">
      <alignment vertical="center"/>
    </xf>
    <xf numFmtId="0" fontId="39" fillId="11"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lignment vertical="center"/>
    </xf>
    <xf numFmtId="0" fontId="39" fillId="11"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81" fillId="0" borderId="0" applyBorder="0">
      <alignment vertical="center"/>
    </xf>
    <xf numFmtId="0" fontId="81" fillId="0" borderId="0"/>
    <xf numFmtId="0" fontId="39" fillId="11"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39" fillId="12" borderId="0" applyNumberFormat="0" applyBorder="0" applyAlignment="0" applyProtection="0">
      <alignment vertical="center"/>
    </xf>
    <xf numFmtId="9" fontId="81" fillId="0" borderId="0" applyFont="0" applyFill="0" applyBorder="0" applyAlignment="0" applyProtection="0"/>
    <xf numFmtId="0" fontId="81" fillId="0" borderId="0"/>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39" fillId="11"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39" fillId="11" borderId="0" applyNumberFormat="0" applyBorder="0" applyAlignment="0" applyProtection="0">
      <alignment vertical="center"/>
    </xf>
    <xf numFmtId="0" fontId="39" fillId="12" borderId="0" applyNumberFormat="0" applyBorder="0" applyAlignment="0" applyProtection="0">
      <alignment vertical="center"/>
    </xf>
    <xf numFmtId="0" fontId="81" fillId="0" borderId="0">
      <alignment vertical="center"/>
    </xf>
    <xf numFmtId="0" fontId="81" fillId="0" borderId="0" applyBorder="0">
      <alignment vertical="center"/>
    </xf>
    <xf numFmtId="0" fontId="39" fillId="11" borderId="0" applyNumberFormat="0" applyBorder="0" applyAlignment="0" applyProtection="0">
      <alignment vertical="center"/>
    </xf>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39" fillId="12" borderId="0" applyNumberFormat="0" applyBorder="0" applyAlignment="0" applyProtection="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55" fillId="27"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81" fillId="0" borderId="0"/>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81" fillId="0" borderId="0" applyBorder="0">
      <alignment vertical="center"/>
    </xf>
    <xf numFmtId="0" fontId="39" fillId="0" borderId="0">
      <alignment vertical="center"/>
    </xf>
    <xf numFmtId="0" fontId="39" fillId="11"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81" fillId="0" borderId="0">
      <alignment vertical="center"/>
    </xf>
    <xf numFmtId="0" fontId="81" fillId="0" borderId="0" applyBorder="0">
      <alignment vertical="center"/>
    </xf>
    <xf numFmtId="0" fontId="39" fillId="11"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3" borderId="0" applyNumberFormat="0" applyBorder="0" applyAlignment="0" applyProtection="0">
      <alignment vertical="center"/>
    </xf>
    <xf numFmtId="0" fontId="81" fillId="0" borderId="0">
      <alignment vertical="center"/>
    </xf>
    <xf numFmtId="0" fontId="39" fillId="11"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81" fillId="0" borderId="0"/>
    <xf numFmtId="0" fontId="39" fillId="11"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81" fillId="0" borderId="0">
      <alignment vertical="center"/>
    </xf>
    <xf numFmtId="0" fontId="81" fillId="0" borderId="0" applyBorder="0">
      <alignment vertical="center"/>
    </xf>
    <xf numFmtId="0" fontId="39" fillId="11" borderId="0" applyNumberFormat="0" applyBorder="0" applyAlignment="0" applyProtection="0">
      <alignment vertical="center"/>
    </xf>
    <xf numFmtId="0" fontId="81" fillId="0" borderId="0"/>
    <xf numFmtId="0" fontId="39" fillId="11"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39" fillId="11"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39" fillId="12" borderId="0" applyNumberFormat="0" applyBorder="0" applyAlignment="0" applyProtection="0">
      <alignment vertical="center"/>
    </xf>
    <xf numFmtId="0" fontId="81" fillId="0" borderId="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11" borderId="0" applyNumberFormat="0" applyBorder="0" applyAlignment="0" applyProtection="0">
      <alignment vertical="center"/>
    </xf>
    <xf numFmtId="0" fontId="39" fillId="12" borderId="0" applyNumberFormat="0" applyBorder="0" applyAlignment="0" applyProtection="0">
      <alignment vertical="center"/>
    </xf>
    <xf numFmtId="0" fontId="39" fillId="10" borderId="0" applyNumberFormat="0" applyBorder="0" applyAlignment="0" applyProtection="0">
      <alignment vertical="center"/>
    </xf>
    <xf numFmtId="9" fontId="81" fillId="0" borderId="0" applyFont="0" applyFill="0" applyBorder="0" applyAlignment="0" applyProtection="0"/>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81" fillId="0" borderId="0">
      <alignment vertical="center"/>
    </xf>
    <xf numFmtId="0" fontId="39" fillId="11"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11"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11" borderId="0" applyNumberFormat="0" applyBorder="0" applyAlignment="0" applyProtection="0">
      <alignment vertical="center"/>
    </xf>
    <xf numFmtId="0" fontId="39" fillId="5" borderId="0" applyNumberFormat="0" applyBorder="0" applyAlignment="0" applyProtection="0">
      <alignment vertical="center"/>
    </xf>
    <xf numFmtId="0" fontId="39" fillId="11"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81" fillId="0" borderId="0">
      <alignment vertical="center"/>
    </xf>
    <xf numFmtId="0" fontId="39" fillId="11" borderId="0" applyNumberFormat="0" applyBorder="0" applyAlignment="0" applyProtection="0">
      <alignment vertical="center"/>
    </xf>
    <xf numFmtId="0" fontId="39" fillId="3"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39" fillId="12" borderId="0" applyNumberFormat="0" applyBorder="0" applyAlignment="0" applyProtection="0">
      <alignment vertical="center"/>
    </xf>
    <xf numFmtId="0" fontId="39" fillId="10" borderId="0" applyNumberFormat="0" applyBorder="0" applyAlignment="0" applyProtection="0">
      <alignment vertical="center"/>
    </xf>
    <xf numFmtId="0" fontId="39" fillId="11"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81" fillId="0" borderId="0">
      <alignment vertical="center"/>
    </xf>
    <xf numFmtId="0" fontId="39" fillId="3" borderId="0" applyNumberFormat="0" applyBorder="0" applyAlignment="0" applyProtection="0">
      <alignment vertical="center"/>
    </xf>
    <xf numFmtId="0" fontId="81" fillId="0" borderId="0">
      <alignment vertical="center"/>
    </xf>
    <xf numFmtId="0" fontId="39" fillId="11"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lignment vertical="center"/>
    </xf>
    <xf numFmtId="0" fontId="39" fillId="11" borderId="0" applyNumberFormat="0" applyBorder="0" applyAlignment="0" applyProtection="0">
      <alignment vertical="center"/>
    </xf>
    <xf numFmtId="0" fontId="81" fillId="0" borderId="0" applyBorder="0">
      <alignment vertical="center"/>
    </xf>
    <xf numFmtId="0" fontId="39" fillId="11"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lignment vertical="center"/>
    </xf>
    <xf numFmtId="0" fontId="81" fillId="0" borderId="0" applyBorder="0">
      <alignment vertical="center"/>
    </xf>
    <xf numFmtId="0" fontId="39" fillId="11"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lignment vertical="center"/>
    </xf>
    <xf numFmtId="0" fontId="81" fillId="0" borderId="0" applyBorder="0">
      <alignment vertical="center"/>
    </xf>
    <xf numFmtId="0" fontId="39" fillId="11" borderId="0" applyNumberFormat="0" applyBorder="0" applyAlignment="0" applyProtection="0">
      <alignment vertical="center"/>
    </xf>
    <xf numFmtId="0" fontId="81" fillId="0" borderId="0">
      <alignment vertical="center"/>
    </xf>
    <xf numFmtId="0" fontId="39" fillId="11"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11" borderId="0" applyNumberFormat="0" applyBorder="0" applyAlignment="0" applyProtection="0">
      <alignment vertical="center"/>
    </xf>
    <xf numFmtId="0" fontId="81" fillId="0" borderId="0">
      <alignment vertical="center"/>
    </xf>
    <xf numFmtId="0" fontId="81" fillId="0" borderId="0">
      <alignment vertical="center"/>
    </xf>
    <xf numFmtId="0" fontId="39" fillId="11" borderId="0" applyNumberFormat="0" applyBorder="0" applyAlignment="0" applyProtection="0">
      <alignment vertical="center"/>
    </xf>
    <xf numFmtId="0" fontId="81" fillId="0" borderId="0">
      <alignment vertical="center"/>
    </xf>
    <xf numFmtId="0" fontId="81" fillId="0" borderId="0" applyBorder="0">
      <alignment vertical="center"/>
    </xf>
    <xf numFmtId="0" fontId="39" fillId="11" borderId="0" applyNumberFormat="0" applyBorder="0" applyAlignment="0" applyProtection="0">
      <alignment vertical="center"/>
    </xf>
    <xf numFmtId="0" fontId="81" fillId="0" borderId="0">
      <alignment vertical="center"/>
    </xf>
    <xf numFmtId="0" fontId="39" fillId="11" borderId="0" applyNumberFormat="0" applyBorder="0" applyAlignment="0" applyProtection="0">
      <alignment vertical="center"/>
    </xf>
    <xf numFmtId="0" fontId="81" fillId="0" borderId="0">
      <alignment vertical="center"/>
    </xf>
    <xf numFmtId="0" fontId="81" fillId="0" borderId="0">
      <alignment vertical="center"/>
    </xf>
    <xf numFmtId="0" fontId="39" fillId="11" borderId="0" applyNumberFormat="0" applyBorder="0" applyAlignment="0" applyProtection="0">
      <alignment vertical="center"/>
    </xf>
    <xf numFmtId="0" fontId="81" fillId="0" borderId="0">
      <alignment vertical="center"/>
    </xf>
    <xf numFmtId="0" fontId="39" fillId="11" borderId="0" applyNumberFormat="0" applyBorder="0" applyAlignment="0" applyProtection="0">
      <alignment vertical="center"/>
    </xf>
    <xf numFmtId="0" fontId="81" fillId="0" borderId="0" applyBorder="0">
      <alignment vertical="center"/>
    </xf>
    <xf numFmtId="0" fontId="81" fillId="0" borderId="0">
      <alignment vertical="center"/>
    </xf>
    <xf numFmtId="0" fontId="39" fillId="11" borderId="0" applyNumberFormat="0" applyBorder="0" applyAlignment="0" applyProtection="0">
      <alignment vertical="center"/>
    </xf>
    <xf numFmtId="0" fontId="81" fillId="0" borderId="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81" fillId="0" borderId="0">
      <alignment vertical="center"/>
    </xf>
    <xf numFmtId="0" fontId="81" fillId="0" borderId="0" applyBorder="0">
      <alignment vertical="center"/>
    </xf>
    <xf numFmtId="0" fontId="39" fillId="11" borderId="0" applyNumberFormat="0" applyBorder="0" applyAlignment="0" applyProtection="0">
      <alignment vertical="center"/>
    </xf>
    <xf numFmtId="0" fontId="39" fillId="11"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81" fillId="0" borderId="0">
      <alignment vertical="center"/>
    </xf>
    <xf numFmtId="0" fontId="39" fillId="19"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pplyBorder="0">
      <alignment vertical="center"/>
    </xf>
    <xf numFmtId="0" fontId="39" fillId="19" borderId="0" applyNumberFormat="0" applyBorder="0" applyAlignment="0" applyProtection="0">
      <alignment vertical="center"/>
    </xf>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81" fillId="0" borderId="0">
      <alignment vertical="center"/>
    </xf>
    <xf numFmtId="0" fontId="39" fillId="0" borderId="0">
      <alignment vertical="center"/>
    </xf>
    <xf numFmtId="0" fontId="39" fillId="12" borderId="0" applyNumberFormat="0" applyBorder="0" applyAlignment="0" applyProtection="0">
      <alignment vertical="center"/>
    </xf>
    <xf numFmtId="9" fontId="81" fillId="0" borderId="0" applyFont="0" applyFill="0" applyBorder="0" applyAlignment="0" applyProtection="0"/>
    <xf numFmtId="0" fontId="81" fillId="0" borderId="0" applyBorder="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lignment vertical="center"/>
    </xf>
    <xf numFmtId="0" fontId="81" fillId="0" borderId="0">
      <alignment vertical="center"/>
    </xf>
    <xf numFmtId="0" fontId="39" fillId="12" borderId="0" applyNumberFormat="0" applyBorder="0" applyAlignment="0" applyProtection="0">
      <alignment vertical="center"/>
    </xf>
    <xf numFmtId="0" fontId="81" fillId="0" borderId="0">
      <alignment vertical="center"/>
    </xf>
    <xf numFmtId="0" fontId="37" fillId="0" borderId="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7" fillId="0" borderId="0">
      <alignment vertical="center"/>
    </xf>
    <xf numFmtId="0" fontId="81" fillId="0" borderId="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81" fillId="0" borderId="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lignment vertical="center"/>
    </xf>
    <xf numFmtId="0" fontId="81" fillId="0" borderId="0"/>
    <xf numFmtId="0" fontId="81" fillId="0" borderId="0" applyBorder="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lignment vertical="center"/>
    </xf>
    <xf numFmtId="0" fontId="81" fillId="0" borderId="0" applyBorder="0">
      <alignment vertical="center"/>
    </xf>
    <xf numFmtId="0" fontId="37" fillId="0" borderId="0">
      <alignment vertical="center"/>
    </xf>
    <xf numFmtId="0" fontId="37" fillId="0" borderId="0"/>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lignment vertical="center"/>
    </xf>
    <xf numFmtId="0" fontId="37" fillId="0" borderId="0"/>
    <xf numFmtId="0" fontId="37" fillId="0" borderId="0"/>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81" fillId="0" borderId="0"/>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lignment vertical="center"/>
    </xf>
    <xf numFmtId="0" fontId="81" fillId="0" borderId="0"/>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39" fillId="3" borderId="0" applyNumberFormat="0" applyBorder="0" applyAlignment="0" applyProtection="0">
      <alignment vertical="center"/>
    </xf>
    <xf numFmtId="0" fontId="81" fillId="0" borderId="0">
      <alignment vertical="center"/>
    </xf>
    <xf numFmtId="0" fontId="81" fillId="0" borderId="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lignment vertical="center"/>
    </xf>
    <xf numFmtId="0" fontId="39" fillId="12"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lignment vertical="center"/>
    </xf>
    <xf numFmtId="0" fontId="81" fillId="0" borderId="0">
      <alignment vertical="center"/>
    </xf>
    <xf numFmtId="0" fontId="39" fillId="5" borderId="0" applyNumberFormat="0" applyBorder="0" applyAlignment="0" applyProtection="0">
      <alignment vertical="center"/>
    </xf>
    <xf numFmtId="0" fontId="39" fillId="0" borderId="0">
      <alignment vertical="center"/>
    </xf>
    <xf numFmtId="0" fontId="39" fillId="12"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pplyBorder="0">
      <alignment vertical="center"/>
    </xf>
    <xf numFmtId="0" fontId="81" fillId="0" borderId="0"/>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lignment vertical="center"/>
    </xf>
    <xf numFmtId="0" fontId="39" fillId="12" borderId="0" applyNumberFormat="0" applyBorder="0" applyAlignment="0" applyProtection="0">
      <alignment vertical="center"/>
    </xf>
    <xf numFmtId="0" fontId="81" fillId="0" borderId="0">
      <alignment vertical="center"/>
    </xf>
    <xf numFmtId="0" fontId="81" fillId="0" borderId="0"/>
    <xf numFmtId="0" fontId="39" fillId="12"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lignment vertical="center"/>
    </xf>
    <xf numFmtId="0" fontId="39" fillId="12" borderId="0" applyNumberFormat="0" applyBorder="0" applyAlignment="0" applyProtection="0">
      <alignment vertical="center"/>
    </xf>
    <xf numFmtId="0" fontId="81" fillId="0" borderId="0">
      <alignment vertical="center"/>
    </xf>
    <xf numFmtId="0" fontId="81" fillId="0" borderId="0" applyBorder="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39" fillId="3" borderId="0" applyNumberFormat="0" applyBorder="0" applyAlignment="0" applyProtection="0">
      <alignment vertical="center"/>
    </xf>
    <xf numFmtId="0" fontId="39" fillId="12" borderId="0" applyNumberFormat="0" applyBorder="0" applyAlignment="0" applyProtection="0">
      <alignment vertical="center"/>
    </xf>
    <xf numFmtId="0" fontId="39" fillId="10"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39" fillId="10"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81" fillId="0" borderId="0">
      <alignment vertical="center"/>
    </xf>
    <xf numFmtId="0" fontId="81" fillId="0" borderId="0">
      <alignment vertical="center"/>
    </xf>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xf numFmtId="0" fontId="81" fillId="0" borderId="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39" fillId="3" borderId="0" applyNumberFormat="0" applyBorder="0" applyAlignment="0" applyProtection="0">
      <alignment vertical="center"/>
    </xf>
    <xf numFmtId="0" fontId="81" fillId="0" borderId="0">
      <alignment vertical="center"/>
    </xf>
    <xf numFmtId="0" fontId="81" fillId="0" borderId="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lignment vertical="center"/>
    </xf>
    <xf numFmtId="0" fontId="39" fillId="12" borderId="0" applyNumberFormat="0" applyBorder="0" applyAlignment="0" applyProtection="0">
      <alignment vertical="center"/>
    </xf>
    <xf numFmtId="0" fontId="81" fillId="0" borderId="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lignment vertical="center"/>
    </xf>
    <xf numFmtId="0" fontId="39" fillId="0" borderId="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81" fillId="0" borderId="0">
      <alignment vertical="center"/>
    </xf>
    <xf numFmtId="0" fontId="81" fillId="0" borderId="0" applyBorder="0">
      <alignment vertical="center"/>
    </xf>
    <xf numFmtId="0" fontId="81" fillId="0" borderId="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lignment vertical="center"/>
    </xf>
    <xf numFmtId="0" fontId="39" fillId="12" borderId="0" applyNumberFormat="0" applyBorder="0" applyAlignment="0" applyProtection="0">
      <alignment vertical="center"/>
    </xf>
    <xf numFmtId="0" fontId="81" fillId="0" borderId="0">
      <alignment vertical="center"/>
    </xf>
    <xf numFmtId="0" fontId="81" fillId="0" borderId="0"/>
    <xf numFmtId="0" fontId="81" fillId="0" borderId="0"/>
    <xf numFmtId="0" fontId="81" fillId="0" borderId="0"/>
    <xf numFmtId="0" fontId="81" fillId="0" borderId="0"/>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alignment vertical="center"/>
    </xf>
    <xf numFmtId="0" fontId="81" fillId="0" borderId="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39" fillId="3" borderId="0" applyNumberFormat="0" applyBorder="0" applyAlignment="0" applyProtection="0">
      <alignment vertical="center"/>
    </xf>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39" fillId="3" borderId="0" applyNumberFormat="0" applyBorder="0" applyAlignment="0" applyProtection="0">
      <alignment vertical="center"/>
    </xf>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39" fillId="3" borderId="0" applyNumberFormat="0" applyBorder="0" applyAlignment="0" applyProtection="0">
      <alignment vertical="center"/>
    </xf>
    <xf numFmtId="0" fontId="39" fillId="12" borderId="0" applyNumberFormat="0" applyBorder="0" applyAlignment="0" applyProtection="0">
      <alignment vertical="center"/>
    </xf>
    <xf numFmtId="0" fontId="39" fillId="3"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lignment vertical="center"/>
    </xf>
    <xf numFmtId="0" fontId="39" fillId="12"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9" fontId="81" fillId="0" borderId="0" applyFont="0" applyFill="0" applyBorder="0" applyAlignment="0" applyProtection="0"/>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81" fillId="0" borderId="0"/>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81" fillId="0" borderId="0"/>
    <xf numFmtId="0" fontId="81" fillId="0" borderId="0" applyBorder="0">
      <alignment vertical="center"/>
    </xf>
    <xf numFmtId="0" fontId="39" fillId="12"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81" fillId="0" borderId="0">
      <alignment vertical="center"/>
    </xf>
    <xf numFmtId="0" fontId="81" fillId="0" borderId="0" applyBorder="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81" fillId="0" borderId="0"/>
    <xf numFmtId="0" fontId="81" fillId="0" borderId="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39" fillId="0" borderId="0">
      <alignment vertical="center"/>
    </xf>
    <xf numFmtId="0" fontId="39" fillId="12"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44" fillId="5"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81" fillId="0" borderId="0">
      <alignment vertical="center"/>
    </xf>
    <xf numFmtId="0" fontId="81" fillId="0" borderId="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39" fillId="3" borderId="0" applyNumberFormat="0" applyBorder="0" applyAlignment="0" applyProtection="0">
      <alignment vertical="center"/>
    </xf>
    <xf numFmtId="0" fontId="81" fillId="0" borderId="0" applyBorder="0">
      <alignment vertical="center"/>
    </xf>
    <xf numFmtId="0" fontId="39" fillId="0" borderId="0">
      <alignment vertical="center"/>
    </xf>
    <xf numFmtId="0" fontId="39" fillId="12"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39" fillId="3" borderId="0" applyNumberFormat="0" applyBorder="0" applyAlignment="0" applyProtection="0">
      <alignment vertical="center"/>
    </xf>
    <xf numFmtId="0" fontId="44" fillId="5"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39" fillId="3" borderId="0" applyNumberFormat="0" applyBorder="0" applyAlignment="0" applyProtection="0">
      <alignment vertical="center"/>
    </xf>
    <xf numFmtId="0" fontId="39" fillId="0" borderId="0">
      <alignment vertical="center"/>
    </xf>
    <xf numFmtId="0" fontId="39" fillId="12"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3" borderId="0" applyNumberFormat="0" applyBorder="0" applyAlignment="0" applyProtection="0">
      <alignment vertical="center"/>
    </xf>
    <xf numFmtId="0" fontId="39" fillId="0" borderId="0">
      <alignment vertical="center"/>
    </xf>
    <xf numFmtId="0" fontId="39" fillId="12"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81" fillId="0" borderId="0" applyBorder="0">
      <alignment vertical="center"/>
    </xf>
    <xf numFmtId="0" fontId="81" fillId="0" borderId="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39" fillId="3"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9" fontId="81" fillId="0" borderId="0" applyFont="0" applyFill="0" applyBorder="0" applyAlignment="0" applyProtection="0"/>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lignment vertical="center"/>
    </xf>
    <xf numFmtId="0" fontId="39" fillId="12"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lignment vertical="center"/>
    </xf>
    <xf numFmtId="0" fontId="81" fillId="0" borderId="0">
      <alignment vertical="center"/>
    </xf>
    <xf numFmtId="0" fontId="39" fillId="12" borderId="0" applyNumberFormat="0" applyBorder="0" applyAlignment="0" applyProtection="0">
      <alignment vertical="center"/>
    </xf>
    <xf numFmtId="0" fontId="81" fillId="0" borderId="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lignment vertical="center"/>
    </xf>
    <xf numFmtId="0" fontId="39" fillId="12"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lignment vertical="center"/>
    </xf>
    <xf numFmtId="0" fontId="39" fillId="12" borderId="0" applyNumberFormat="0" applyBorder="0" applyAlignment="0" applyProtection="0">
      <alignment vertical="center"/>
    </xf>
    <xf numFmtId="0" fontId="81" fillId="0" borderId="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39" fillId="3" borderId="0" applyNumberFormat="0" applyBorder="0" applyAlignment="0" applyProtection="0">
      <alignment vertical="center"/>
    </xf>
    <xf numFmtId="0" fontId="81" fillId="0" borderId="0"/>
    <xf numFmtId="0" fontId="39" fillId="5" borderId="0" applyNumberFormat="0" applyBorder="0" applyAlignment="0" applyProtection="0">
      <alignment vertical="center"/>
    </xf>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39" fillId="5" borderId="0" applyNumberFormat="0" applyBorder="0" applyAlignment="0" applyProtection="0">
      <alignment vertical="center"/>
    </xf>
    <xf numFmtId="0" fontId="81" fillId="0" borderId="0"/>
    <xf numFmtId="0" fontId="39" fillId="3"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3" borderId="0" applyNumberFormat="0" applyBorder="0" applyAlignment="0" applyProtection="0">
      <alignment vertical="center"/>
    </xf>
    <xf numFmtId="0" fontId="39" fillId="5" borderId="0" applyNumberFormat="0" applyBorder="0" applyAlignment="0" applyProtection="0">
      <alignment vertical="center"/>
    </xf>
    <xf numFmtId="0" fontId="81" fillId="0" borderId="0">
      <alignment vertical="center"/>
    </xf>
    <xf numFmtId="0" fontId="39" fillId="3" borderId="0" applyNumberFormat="0" applyBorder="0" applyAlignment="0" applyProtection="0">
      <alignment vertical="center"/>
    </xf>
    <xf numFmtId="0" fontId="39" fillId="24" borderId="0" applyNumberFormat="0" applyBorder="0" applyAlignment="0" applyProtection="0">
      <alignment vertical="center"/>
    </xf>
    <xf numFmtId="0" fontId="42" fillId="0" borderId="33" applyNumberFormat="0" applyFill="0" applyAlignment="0" applyProtection="0">
      <alignment vertical="center"/>
    </xf>
    <xf numFmtId="0" fontId="81" fillId="0" borderId="0" applyBorder="0">
      <alignment vertical="center"/>
    </xf>
    <xf numFmtId="0" fontId="44" fillId="28"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81" fillId="0" borderId="0" applyBorder="0">
      <alignment vertical="center"/>
    </xf>
    <xf numFmtId="0" fontId="81" fillId="0" borderId="0"/>
    <xf numFmtId="0" fontId="81" fillId="0" borderId="0" applyBorder="0">
      <alignment vertical="center"/>
    </xf>
    <xf numFmtId="0" fontId="39" fillId="3" borderId="0" applyNumberFormat="0" applyBorder="0" applyAlignment="0" applyProtection="0">
      <alignment vertical="center"/>
    </xf>
    <xf numFmtId="0" fontId="39" fillId="24" borderId="0" applyNumberFormat="0" applyBorder="0" applyAlignment="0" applyProtection="0">
      <alignment vertical="center"/>
    </xf>
    <xf numFmtId="0" fontId="42" fillId="0" borderId="33" applyNumberFormat="0" applyFill="0" applyAlignment="0" applyProtection="0">
      <alignment vertical="center"/>
    </xf>
    <xf numFmtId="0" fontId="81" fillId="0" borderId="0">
      <alignment vertical="center"/>
    </xf>
    <xf numFmtId="0" fontId="39" fillId="3" borderId="0" applyNumberFormat="0" applyBorder="0" applyAlignment="0" applyProtection="0">
      <alignment vertical="center"/>
    </xf>
    <xf numFmtId="0" fontId="81" fillId="0" borderId="0"/>
    <xf numFmtId="0" fontId="81" fillId="0" borderId="0" applyBorder="0">
      <alignment vertical="center"/>
    </xf>
    <xf numFmtId="0" fontId="39" fillId="3" borderId="0" applyNumberFormat="0" applyBorder="0" applyAlignment="0" applyProtection="0">
      <alignment vertical="center"/>
    </xf>
    <xf numFmtId="0" fontId="81" fillId="0" borderId="0" applyBorder="0">
      <alignment vertical="center"/>
    </xf>
    <xf numFmtId="0" fontId="39" fillId="3"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3" borderId="0" applyNumberFormat="0" applyBorder="0" applyAlignment="0" applyProtection="0">
      <alignment vertical="center"/>
    </xf>
    <xf numFmtId="0" fontId="39" fillId="5" borderId="0" applyNumberFormat="0" applyBorder="0" applyAlignment="0" applyProtection="0">
      <alignment vertical="center"/>
    </xf>
    <xf numFmtId="0" fontId="39" fillId="3" borderId="0" applyNumberFormat="0" applyBorder="0" applyAlignment="0" applyProtection="0">
      <alignment vertical="center"/>
    </xf>
    <xf numFmtId="0" fontId="39" fillId="5" borderId="0" applyNumberFormat="0" applyBorder="0" applyAlignment="0" applyProtection="0">
      <alignment vertical="center"/>
    </xf>
    <xf numFmtId="0" fontId="39" fillId="3"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3"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3" borderId="0" applyNumberFormat="0" applyBorder="0" applyAlignment="0" applyProtection="0">
      <alignment vertical="center"/>
    </xf>
    <xf numFmtId="0" fontId="39" fillId="5" borderId="0" applyNumberFormat="0" applyBorder="0" applyAlignment="0" applyProtection="0">
      <alignment vertical="center"/>
    </xf>
    <xf numFmtId="0" fontId="39" fillId="3"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5" borderId="0" applyNumberFormat="0" applyBorder="0" applyAlignment="0" applyProtection="0">
      <alignment vertical="center"/>
    </xf>
    <xf numFmtId="0" fontId="39" fillId="3" borderId="0" applyNumberFormat="0" applyBorder="0" applyAlignment="0" applyProtection="0">
      <alignment vertical="center"/>
    </xf>
    <xf numFmtId="0" fontId="39" fillId="5" borderId="0" applyNumberFormat="0" applyBorder="0" applyAlignment="0" applyProtection="0">
      <alignment vertical="center"/>
    </xf>
    <xf numFmtId="0" fontId="39" fillId="3" borderId="0" applyNumberFormat="0" applyBorder="0" applyAlignment="0" applyProtection="0">
      <alignment vertical="center"/>
    </xf>
    <xf numFmtId="0" fontId="39" fillId="5" borderId="0" applyNumberFormat="0" applyBorder="0" applyAlignment="0" applyProtection="0">
      <alignment vertical="center"/>
    </xf>
    <xf numFmtId="0" fontId="39" fillId="3" borderId="0" applyNumberFormat="0" applyBorder="0" applyAlignment="0" applyProtection="0">
      <alignment vertical="center"/>
    </xf>
    <xf numFmtId="0" fontId="81" fillId="0" borderId="0" applyBorder="0">
      <alignment vertical="center"/>
    </xf>
    <xf numFmtId="0" fontId="81" fillId="0" borderId="0"/>
    <xf numFmtId="0" fontId="39" fillId="5" borderId="0" applyNumberFormat="0" applyBorder="0" applyAlignment="0" applyProtection="0">
      <alignment vertical="center"/>
    </xf>
    <xf numFmtId="0" fontId="81" fillId="0" borderId="0">
      <alignment vertical="center"/>
    </xf>
    <xf numFmtId="0" fontId="81" fillId="0" borderId="0" applyBorder="0">
      <alignment vertical="center"/>
    </xf>
    <xf numFmtId="0" fontId="39" fillId="5" borderId="0" applyNumberFormat="0" applyBorder="0" applyAlignment="0" applyProtection="0">
      <alignment vertical="center"/>
    </xf>
    <xf numFmtId="0" fontId="39" fillId="3"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39" fillId="3"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3" borderId="0" applyNumberFormat="0" applyBorder="0" applyAlignment="0" applyProtection="0">
      <alignment vertical="center"/>
    </xf>
    <xf numFmtId="0" fontId="39" fillId="5" borderId="0" applyNumberFormat="0" applyBorder="0" applyAlignment="0" applyProtection="0">
      <alignment vertical="center"/>
    </xf>
    <xf numFmtId="0" fontId="81" fillId="0" borderId="0" applyBorder="0">
      <alignment vertical="center"/>
    </xf>
    <xf numFmtId="0" fontId="39" fillId="3" borderId="0" applyNumberFormat="0" applyBorder="0" applyAlignment="0" applyProtection="0">
      <alignment vertical="center"/>
    </xf>
    <xf numFmtId="0" fontId="39" fillId="5" borderId="0" applyNumberFormat="0" applyBorder="0" applyAlignment="0" applyProtection="0">
      <alignment vertical="center"/>
    </xf>
    <xf numFmtId="0" fontId="39" fillId="3"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3" borderId="0" applyNumberFormat="0" applyBorder="0" applyAlignment="0" applyProtection="0">
      <alignment vertical="center"/>
    </xf>
    <xf numFmtId="0" fontId="39" fillId="12" borderId="0" applyNumberFormat="0" applyBorder="0" applyAlignment="0" applyProtection="0">
      <alignment vertical="center"/>
    </xf>
    <xf numFmtId="0" fontId="39" fillId="3" borderId="0" applyNumberFormat="0" applyBorder="0" applyAlignment="0" applyProtection="0">
      <alignment vertical="center"/>
    </xf>
    <xf numFmtId="0" fontId="39" fillId="5"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39" fillId="3"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39" fillId="3" borderId="0" applyNumberFormat="0" applyBorder="0" applyAlignment="0" applyProtection="0">
      <alignment vertical="center"/>
    </xf>
    <xf numFmtId="0" fontId="39" fillId="5" borderId="0" applyNumberFormat="0" applyBorder="0" applyAlignment="0" applyProtection="0">
      <alignment vertical="center"/>
    </xf>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81" fillId="0" borderId="0"/>
    <xf numFmtId="0" fontId="81" fillId="0" borderId="0" applyBorder="0">
      <alignment vertical="center"/>
    </xf>
    <xf numFmtId="0" fontId="39" fillId="3" borderId="0" applyNumberFormat="0" applyBorder="0" applyAlignment="0" applyProtection="0">
      <alignment vertical="center"/>
    </xf>
    <xf numFmtId="0" fontId="81" fillId="0" borderId="0"/>
    <xf numFmtId="0" fontId="39" fillId="3" borderId="0" applyNumberFormat="0" applyBorder="0" applyAlignment="0" applyProtection="0">
      <alignment vertical="center"/>
    </xf>
    <xf numFmtId="0" fontId="81" fillId="0" borderId="0" applyBorder="0">
      <alignment vertical="center"/>
    </xf>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39" fillId="12" borderId="0" applyNumberFormat="0" applyBorder="0" applyAlignment="0" applyProtection="0">
      <alignment vertical="center"/>
    </xf>
    <xf numFmtId="0" fontId="55" fillId="27" borderId="0" applyNumberFormat="0" applyBorder="0" applyAlignment="0" applyProtection="0">
      <alignment vertical="center"/>
    </xf>
    <xf numFmtId="0" fontId="81" fillId="0" borderId="0">
      <alignment vertical="center"/>
    </xf>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81" fillId="0" borderId="0" applyBorder="0">
      <alignment vertical="center"/>
    </xf>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81" fillId="0" borderId="0" applyBorder="0">
      <alignment vertical="center"/>
    </xf>
    <xf numFmtId="0" fontId="39" fillId="3" borderId="0" applyNumberFormat="0" applyBorder="0" applyAlignment="0" applyProtection="0">
      <alignment vertical="center"/>
    </xf>
    <xf numFmtId="0" fontId="81" fillId="0" borderId="0"/>
    <xf numFmtId="0" fontId="81" fillId="0" borderId="0" applyBorder="0">
      <alignment vertical="center"/>
    </xf>
    <xf numFmtId="0" fontId="39" fillId="3" borderId="0" applyNumberFormat="0" applyBorder="0" applyAlignment="0" applyProtection="0">
      <alignment vertical="center"/>
    </xf>
    <xf numFmtId="0" fontId="81" fillId="0" borderId="0"/>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81" fillId="0" borderId="0" applyBorder="0">
      <alignment vertical="center"/>
    </xf>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39" fillId="5" borderId="0" applyNumberFormat="0" applyBorder="0" applyAlignment="0" applyProtection="0">
      <alignment vertical="center"/>
    </xf>
    <xf numFmtId="0" fontId="81" fillId="0" borderId="0" applyBorder="0">
      <alignment vertical="center"/>
    </xf>
    <xf numFmtId="0" fontId="39" fillId="3" borderId="0" applyNumberFormat="0" applyBorder="0" applyAlignment="0" applyProtection="0">
      <alignment vertical="center"/>
    </xf>
    <xf numFmtId="0" fontId="81" fillId="0" borderId="0" applyBorder="0">
      <alignment vertical="center"/>
    </xf>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81" fillId="0" borderId="0" applyBorder="0">
      <alignment vertical="center"/>
    </xf>
    <xf numFmtId="0" fontId="39" fillId="3" borderId="0" applyNumberFormat="0" applyBorder="0" applyAlignment="0" applyProtection="0">
      <alignment vertical="center"/>
    </xf>
    <xf numFmtId="0" fontId="39" fillId="5" borderId="0" applyNumberFormat="0" applyBorder="0" applyAlignment="0" applyProtection="0">
      <alignment vertical="center"/>
    </xf>
    <xf numFmtId="0" fontId="39" fillId="3" borderId="0" applyNumberFormat="0" applyBorder="0" applyAlignment="0" applyProtection="0">
      <alignment vertical="center"/>
    </xf>
    <xf numFmtId="0" fontId="81" fillId="0" borderId="0"/>
    <xf numFmtId="0" fontId="81" fillId="0" borderId="0" applyBorder="0">
      <alignment vertical="center"/>
    </xf>
    <xf numFmtId="0" fontId="39" fillId="3" borderId="0" applyNumberFormat="0" applyBorder="0" applyAlignment="0" applyProtection="0">
      <alignment vertical="center"/>
    </xf>
    <xf numFmtId="0" fontId="81" fillId="0" borderId="0">
      <alignment vertical="center"/>
    </xf>
    <xf numFmtId="0" fontId="81" fillId="0" borderId="0" applyBorder="0">
      <alignment vertical="center"/>
    </xf>
    <xf numFmtId="0" fontId="81" fillId="0" borderId="0" applyBorder="0">
      <alignment vertical="center"/>
    </xf>
    <xf numFmtId="0" fontId="39" fillId="3" borderId="0" applyNumberFormat="0" applyBorder="0" applyAlignment="0" applyProtection="0">
      <alignment vertical="center"/>
    </xf>
    <xf numFmtId="0" fontId="81" fillId="0" borderId="0" applyBorder="0">
      <alignment vertical="center"/>
    </xf>
    <xf numFmtId="0" fontId="81" fillId="0" borderId="0">
      <alignment vertical="center"/>
    </xf>
    <xf numFmtId="0" fontId="39" fillId="5" borderId="0" applyNumberFormat="0" applyBorder="0" applyAlignment="0" applyProtection="0">
      <alignment vertical="center"/>
    </xf>
    <xf numFmtId="0" fontId="39" fillId="3" borderId="0" applyNumberFormat="0" applyBorder="0" applyAlignment="0" applyProtection="0">
      <alignment vertical="center"/>
    </xf>
    <xf numFmtId="0" fontId="81" fillId="0" borderId="0">
      <alignment vertical="center"/>
    </xf>
    <xf numFmtId="0" fontId="81" fillId="0" borderId="0" applyBorder="0">
      <alignment vertical="center"/>
    </xf>
    <xf numFmtId="0" fontId="39" fillId="5" borderId="0" applyNumberFormat="0" applyBorder="0" applyAlignment="0" applyProtection="0">
      <alignment vertical="center"/>
    </xf>
    <xf numFmtId="0" fontId="39" fillId="3" borderId="0" applyNumberFormat="0" applyBorder="0" applyAlignment="0" applyProtection="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3" borderId="0" applyNumberFormat="0" applyBorder="0" applyAlignment="0" applyProtection="0">
      <alignment vertical="center"/>
    </xf>
    <xf numFmtId="0" fontId="81" fillId="0" borderId="0">
      <alignment vertical="center"/>
    </xf>
    <xf numFmtId="0" fontId="39" fillId="0" borderId="0">
      <alignment vertical="center"/>
    </xf>
    <xf numFmtId="0" fontId="39" fillId="3" borderId="0" applyNumberFormat="0" applyBorder="0" applyAlignment="0" applyProtection="0">
      <alignment vertical="center"/>
    </xf>
    <xf numFmtId="0" fontId="81" fillId="0" borderId="0" applyBorder="0">
      <alignment vertical="center"/>
    </xf>
    <xf numFmtId="0" fontId="81" fillId="0" borderId="0">
      <alignment vertical="center"/>
    </xf>
    <xf numFmtId="0" fontId="81" fillId="0" borderId="0" applyBorder="0">
      <alignment vertical="center"/>
    </xf>
    <xf numFmtId="0" fontId="39" fillId="3" borderId="0" applyNumberFormat="0" applyBorder="0" applyAlignment="0" applyProtection="0">
      <alignment vertical="center"/>
    </xf>
    <xf numFmtId="0" fontId="81" fillId="0" borderId="0">
      <alignment vertical="center"/>
    </xf>
    <xf numFmtId="0" fontId="39" fillId="3" borderId="0" applyNumberFormat="0" applyBorder="0" applyAlignment="0" applyProtection="0">
      <alignment vertical="center"/>
    </xf>
    <xf numFmtId="0" fontId="81" fillId="0" borderId="0" applyBorder="0">
      <alignment vertical="center"/>
    </xf>
    <xf numFmtId="0" fontId="39" fillId="3" borderId="0" applyNumberFormat="0" applyBorder="0" applyAlignment="0" applyProtection="0">
      <alignment vertical="center"/>
    </xf>
    <xf numFmtId="0" fontId="39" fillId="5" borderId="0" applyNumberFormat="0" applyBorder="0" applyAlignment="0" applyProtection="0">
      <alignment vertical="center"/>
    </xf>
    <xf numFmtId="0" fontId="39" fillId="3"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3" borderId="0" applyNumberFormat="0" applyBorder="0" applyAlignment="0" applyProtection="0">
      <alignment vertical="center"/>
    </xf>
    <xf numFmtId="0" fontId="39" fillId="12" borderId="0" applyNumberFormat="0" applyBorder="0" applyAlignment="0" applyProtection="0">
      <alignment vertical="center"/>
    </xf>
    <xf numFmtId="0" fontId="39" fillId="3" borderId="0" applyNumberFormat="0" applyBorder="0" applyAlignment="0" applyProtection="0">
      <alignment vertical="center"/>
    </xf>
    <xf numFmtId="0" fontId="39" fillId="12" borderId="0" applyNumberFormat="0" applyBorder="0" applyAlignment="0" applyProtection="0">
      <alignment vertical="center"/>
    </xf>
    <xf numFmtId="0" fontId="39" fillId="3"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39" fillId="3"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3"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9" fontId="81" fillId="0" borderId="0" applyFont="0" applyFill="0" applyBorder="0" applyAlignment="0" applyProtection="0"/>
    <xf numFmtId="0" fontId="39" fillId="5" borderId="0" applyNumberFormat="0" applyBorder="0" applyAlignment="0" applyProtection="0">
      <alignment vertical="center"/>
    </xf>
    <xf numFmtId="0" fontId="81" fillId="0" borderId="0" applyBorder="0">
      <alignment vertical="center"/>
    </xf>
    <xf numFmtId="0" fontId="39" fillId="3" borderId="0" applyNumberFormat="0" applyBorder="0" applyAlignment="0" applyProtection="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3" borderId="0" applyNumberFormat="0" applyBorder="0" applyAlignment="0" applyProtection="0">
      <alignment vertical="center"/>
    </xf>
    <xf numFmtId="0" fontId="39" fillId="12" borderId="0" applyNumberFormat="0" applyBorder="0" applyAlignment="0" applyProtection="0">
      <alignment vertical="center"/>
    </xf>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39" fillId="5" borderId="0" applyNumberFormat="0" applyBorder="0" applyAlignment="0" applyProtection="0">
      <alignment vertical="center"/>
    </xf>
    <xf numFmtId="0" fontId="81" fillId="0" borderId="0" applyBorder="0">
      <alignment vertical="center"/>
    </xf>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81" fillId="0" borderId="0" applyBorder="0">
      <alignment vertical="center"/>
    </xf>
    <xf numFmtId="0" fontId="39" fillId="3" borderId="0" applyNumberFormat="0" applyBorder="0" applyAlignment="0" applyProtection="0">
      <alignment vertical="center"/>
    </xf>
    <xf numFmtId="0" fontId="39" fillId="5" borderId="0" applyNumberFormat="0" applyBorder="0" applyAlignment="0" applyProtection="0">
      <alignment vertical="center"/>
    </xf>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39" fillId="3"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39" fillId="3" borderId="0" applyNumberFormat="0" applyBorder="0" applyAlignment="0" applyProtection="0">
      <alignment vertical="center"/>
    </xf>
    <xf numFmtId="0" fontId="39" fillId="5"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39" fillId="3"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3"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3" borderId="0" applyNumberFormat="0" applyBorder="0" applyAlignment="0" applyProtection="0">
      <alignment vertical="center"/>
    </xf>
    <xf numFmtId="0" fontId="39" fillId="5" borderId="0" applyNumberFormat="0" applyBorder="0" applyAlignment="0" applyProtection="0">
      <alignment vertical="center"/>
    </xf>
    <xf numFmtId="0" fontId="81" fillId="0" borderId="0" applyBorder="0">
      <alignment vertical="center"/>
    </xf>
    <xf numFmtId="0" fontId="39" fillId="3" borderId="0" applyNumberFormat="0" applyBorder="0" applyAlignment="0" applyProtection="0">
      <alignment vertical="center"/>
    </xf>
    <xf numFmtId="0" fontId="39" fillId="5" borderId="0" applyNumberFormat="0" applyBorder="0" applyAlignment="0" applyProtection="0">
      <alignment vertical="center"/>
    </xf>
    <xf numFmtId="0" fontId="39" fillId="3"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9" fontId="81" fillId="0" borderId="0" applyFont="0" applyFill="0" applyBorder="0" applyAlignment="0" applyProtection="0"/>
    <xf numFmtId="0" fontId="39" fillId="5" borderId="0" applyNumberFormat="0" applyBorder="0" applyAlignment="0" applyProtection="0">
      <alignment vertical="center"/>
    </xf>
    <xf numFmtId="0" fontId="39" fillId="3"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81" fillId="0" borderId="0">
      <alignment vertical="center"/>
    </xf>
    <xf numFmtId="0" fontId="39" fillId="3"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3" borderId="0" applyNumberFormat="0" applyBorder="0" applyAlignment="0" applyProtection="0">
      <alignment vertical="center"/>
    </xf>
    <xf numFmtId="0" fontId="39" fillId="5" borderId="0" applyNumberFormat="0" applyBorder="0" applyAlignment="0" applyProtection="0">
      <alignment vertical="center"/>
    </xf>
    <xf numFmtId="0" fontId="39" fillId="3"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lignment vertical="center"/>
    </xf>
    <xf numFmtId="0" fontId="81" fillId="0" borderId="0">
      <alignment vertical="center"/>
    </xf>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39" fillId="5" borderId="0" applyNumberFormat="0" applyBorder="0" applyAlignment="0" applyProtection="0">
      <alignment vertical="center"/>
    </xf>
    <xf numFmtId="0" fontId="81" fillId="0" borderId="0">
      <alignment vertical="center"/>
    </xf>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39" fillId="12" borderId="0" applyNumberFormat="0" applyBorder="0" applyAlignment="0" applyProtection="0">
      <alignment vertical="center"/>
    </xf>
    <xf numFmtId="0" fontId="81" fillId="0" borderId="0">
      <alignment vertical="center"/>
    </xf>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81" fillId="0" borderId="0" applyBorder="0">
      <alignment vertical="center"/>
    </xf>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81" fillId="0" borderId="0" applyBorder="0">
      <alignment vertical="center"/>
    </xf>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39" fillId="12" borderId="0" applyNumberFormat="0" applyBorder="0" applyAlignment="0" applyProtection="0">
      <alignment vertical="center"/>
    </xf>
    <xf numFmtId="0" fontId="81" fillId="0" borderId="0">
      <alignment vertical="center"/>
    </xf>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39" fillId="5" borderId="0" applyNumberFormat="0" applyBorder="0" applyAlignment="0" applyProtection="0">
      <alignment vertical="center"/>
    </xf>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81" fillId="0" borderId="0">
      <alignment vertical="center"/>
    </xf>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81" fillId="0" borderId="0" applyBorder="0">
      <alignment vertical="center"/>
    </xf>
    <xf numFmtId="0" fontId="81" fillId="0" borderId="0">
      <alignment vertical="center"/>
    </xf>
    <xf numFmtId="0" fontId="39" fillId="3" borderId="0" applyNumberFormat="0" applyBorder="0" applyAlignment="0" applyProtection="0">
      <alignment vertical="center"/>
    </xf>
    <xf numFmtId="0" fontId="81" fillId="0" borderId="0">
      <alignment vertical="center"/>
    </xf>
    <xf numFmtId="0" fontId="39" fillId="3" borderId="0" applyNumberFormat="0" applyBorder="0" applyAlignment="0" applyProtection="0">
      <alignment vertical="center"/>
    </xf>
    <xf numFmtId="0" fontId="81" fillId="0" borderId="0">
      <alignment vertical="center"/>
    </xf>
    <xf numFmtId="0" fontId="39" fillId="3" borderId="0" applyNumberFormat="0" applyBorder="0" applyAlignment="0" applyProtection="0">
      <alignment vertical="center"/>
    </xf>
    <xf numFmtId="0" fontId="81" fillId="0" borderId="0">
      <alignment vertical="center"/>
    </xf>
    <xf numFmtId="0" fontId="39" fillId="3" borderId="0" applyNumberFormat="0" applyBorder="0" applyAlignment="0" applyProtection="0">
      <alignment vertical="center"/>
    </xf>
    <xf numFmtId="0" fontId="81" fillId="0" borderId="0">
      <alignment vertical="center"/>
    </xf>
    <xf numFmtId="0" fontId="39" fillId="3" borderId="0" applyNumberFormat="0" applyBorder="0" applyAlignment="0" applyProtection="0">
      <alignment vertical="center"/>
    </xf>
    <xf numFmtId="0" fontId="81" fillId="0" borderId="0">
      <alignment vertical="center"/>
    </xf>
    <xf numFmtId="0" fontId="39" fillId="3" borderId="0" applyNumberFormat="0" applyBorder="0" applyAlignment="0" applyProtection="0">
      <alignment vertical="center"/>
    </xf>
    <xf numFmtId="0" fontId="81" fillId="0" borderId="0" applyBorder="0">
      <alignment vertical="center"/>
    </xf>
    <xf numFmtId="0" fontId="81" fillId="0" borderId="0">
      <alignment vertical="center"/>
    </xf>
    <xf numFmtId="0" fontId="39" fillId="3" borderId="0" applyNumberFormat="0" applyBorder="0" applyAlignment="0" applyProtection="0">
      <alignment vertical="center"/>
    </xf>
    <xf numFmtId="0" fontId="81" fillId="0" borderId="0" applyBorder="0">
      <alignment vertical="center"/>
    </xf>
    <xf numFmtId="0" fontId="81" fillId="0" borderId="0">
      <alignment vertical="center"/>
    </xf>
    <xf numFmtId="0" fontId="39" fillId="3" borderId="0" applyNumberFormat="0" applyBorder="0" applyAlignment="0" applyProtection="0">
      <alignment vertical="center"/>
    </xf>
    <xf numFmtId="0" fontId="81" fillId="0" borderId="0" applyBorder="0">
      <alignment vertical="center"/>
    </xf>
    <xf numFmtId="0" fontId="39" fillId="3" borderId="0" applyNumberFormat="0" applyBorder="0" applyAlignment="0" applyProtection="0">
      <alignment vertical="center"/>
    </xf>
    <xf numFmtId="0" fontId="39" fillId="5" borderId="0" applyNumberFormat="0" applyBorder="0" applyAlignment="0" applyProtection="0">
      <alignment vertical="center"/>
    </xf>
    <xf numFmtId="0" fontId="39" fillId="3" borderId="0" applyNumberFormat="0" applyBorder="0" applyAlignment="0" applyProtection="0">
      <alignment vertical="center"/>
    </xf>
    <xf numFmtId="0" fontId="39" fillId="5" borderId="0" applyNumberFormat="0" applyBorder="0" applyAlignment="0" applyProtection="0">
      <alignment vertical="center"/>
    </xf>
    <xf numFmtId="0" fontId="39" fillId="3" borderId="0" applyNumberFormat="0" applyBorder="0" applyAlignment="0" applyProtection="0">
      <alignment vertical="center"/>
    </xf>
    <xf numFmtId="0" fontId="39" fillId="5" borderId="0" applyNumberFormat="0" applyBorder="0" applyAlignment="0" applyProtection="0">
      <alignment vertical="center"/>
    </xf>
    <xf numFmtId="0" fontId="39" fillId="3"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81" fillId="0" borderId="0">
      <alignment vertical="center"/>
    </xf>
    <xf numFmtId="0" fontId="39" fillId="3" borderId="0" applyNumberFormat="0" applyBorder="0" applyAlignment="0" applyProtection="0">
      <alignment vertical="center"/>
    </xf>
    <xf numFmtId="0" fontId="81" fillId="0" borderId="0" applyBorder="0">
      <alignment vertical="center"/>
    </xf>
    <xf numFmtId="0" fontId="81" fillId="0" borderId="0">
      <alignment vertical="center"/>
    </xf>
    <xf numFmtId="0" fontId="81" fillId="0" borderId="0" applyBorder="0">
      <alignment vertical="center"/>
    </xf>
    <xf numFmtId="0" fontId="39" fillId="3" borderId="0" applyNumberFormat="0" applyBorder="0" applyAlignment="0" applyProtection="0">
      <alignment vertical="center"/>
    </xf>
    <xf numFmtId="0" fontId="81" fillId="0" borderId="0" applyBorder="0">
      <alignment vertical="center"/>
    </xf>
    <xf numFmtId="0" fontId="39" fillId="3" borderId="0" applyNumberFormat="0" applyBorder="0" applyAlignment="0" applyProtection="0">
      <alignment vertical="center"/>
    </xf>
    <xf numFmtId="0" fontId="81" fillId="0" borderId="0" applyBorder="0">
      <alignment vertical="center"/>
    </xf>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81" fillId="0" borderId="0">
      <alignment vertical="center"/>
    </xf>
    <xf numFmtId="0" fontId="39" fillId="3" borderId="0" applyNumberFormat="0" applyBorder="0" applyAlignment="0" applyProtection="0">
      <alignment vertical="center"/>
    </xf>
    <xf numFmtId="0" fontId="81" fillId="0" borderId="0" applyBorder="0">
      <alignment vertical="center"/>
    </xf>
    <xf numFmtId="0" fontId="81" fillId="0" borderId="0">
      <alignment vertical="center"/>
    </xf>
    <xf numFmtId="0" fontId="81" fillId="0" borderId="0">
      <alignment vertical="center"/>
    </xf>
    <xf numFmtId="0" fontId="39" fillId="3" borderId="0" applyNumberFormat="0" applyBorder="0" applyAlignment="0" applyProtection="0">
      <alignment vertical="center"/>
    </xf>
    <xf numFmtId="0" fontId="81" fillId="0" borderId="0" applyBorder="0">
      <alignment vertical="center"/>
    </xf>
    <xf numFmtId="0" fontId="81" fillId="0" borderId="0">
      <alignment vertical="center"/>
    </xf>
    <xf numFmtId="0" fontId="81" fillId="0" borderId="0">
      <alignment vertical="center"/>
    </xf>
    <xf numFmtId="0" fontId="39" fillId="5" borderId="0" applyNumberFormat="0" applyBorder="0" applyAlignment="0" applyProtection="0">
      <alignment vertical="center"/>
    </xf>
    <xf numFmtId="0" fontId="39" fillId="3" borderId="0" applyNumberFormat="0" applyBorder="0" applyAlignment="0" applyProtection="0">
      <alignment vertical="center"/>
    </xf>
    <xf numFmtId="0" fontId="81" fillId="0" borderId="0">
      <alignment vertical="center"/>
    </xf>
    <xf numFmtId="0" fontId="39" fillId="3" borderId="0" applyNumberFormat="0" applyBorder="0" applyAlignment="0" applyProtection="0">
      <alignment vertical="center"/>
    </xf>
    <xf numFmtId="0" fontId="81" fillId="0" borderId="0">
      <alignment vertical="center"/>
    </xf>
    <xf numFmtId="0" fontId="81" fillId="0" borderId="0"/>
    <xf numFmtId="0" fontId="39" fillId="3"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3" borderId="0" applyNumberFormat="0" applyBorder="0" applyAlignment="0" applyProtection="0">
      <alignment vertical="center"/>
    </xf>
    <xf numFmtId="0" fontId="81" fillId="0" borderId="0">
      <alignment vertical="center"/>
    </xf>
    <xf numFmtId="0" fontId="81" fillId="0" borderId="0" applyBorder="0">
      <alignment vertical="center"/>
    </xf>
    <xf numFmtId="0" fontId="39" fillId="3" borderId="0" applyNumberFormat="0" applyBorder="0" applyAlignment="0" applyProtection="0">
      <alignment vertical="center"/>
    </xf>
    <xf numFmtId="0" fontId="81" fillId="0" borderId="0" applyBorder="0">
      <alignment vertical="center"/>
    </xf>
    <xf numFmtId="0" fontId="39" fillId="3" borderId="0" applyNumberFormat="0" applyBorder="0" applyAlignment="0" applyProtection="0">
      <alignment vertical="center"/>
    </xf>
    <xf numFmtId="0" fontId="81" fillId="0" borderId="0">
      <alignment vertical="center"/>
    </xf>
    <xf numFmtId="0" fontId="39" fillId="3" borderId="0" applyNumberFormat="0" applyBorder="0" applyAlignment="0" applyProtection="0">
      <alignment vertical="center"/>
    </xf>
    <xf numFmtId="0" fontId="81" fillId="0" borderId="0">
      <alignment vertical="center"/>
    </xf>
    <xf numFmtId="0" fontId="81" fillId="0" borderId="0" applyBorder="0">
      <alignment vertical="center"/>
    </xf>
    <xf numFmtId="0" fontId="81" fillId="0" borderId="0" applyBorder="0">
      <alignment vertical="center"/>
    </xf>
    <xf numFmtId="0" fontId="39" fillId="3" borderId="0" applyNumberFormat="0" applyBorder="0" applyAlignment="0" applyProtection="0">
      <alignment vertical="center"/>
    </xf>
    <xf numFmtId="0" fontId="81" fillId="0" borderId="0">
      <alignment vertical="center"/>
    </xf>
    <xf numFmtId="0" fontId="81" fillId="0" borderId="0">
      <alignment vertical="center"/>
    </xf>
    <xf numFmtId="0" fontId="81" fillId="0" borderId="0" applyBorder="0">
      <alignment vertical="center"/>
    </xf>
    <xf numFmtId="0" fontId="39" fillId="3" borderId="0" applyNumberFormat="0" applyBorder="0" applyAlignment="0" applyProtection="0">
      <alignment vertical="center"/>
    </xf>
    <xf numFmtId="0" fontId="81" fillId="0" borderId="0" applyBorder="0">
      <alignment vertical="center"/>
    </xf>
    <xf numFmtId="0" fontId="39" fillId="3" borderId="0" applyNumberFormat="0" applyBorder="0" applyAlignment="0" applyProtection="0">
      <alignment vertical="center"/>
    </xf>
    <xf numFmtId="0" fontId="39" fillId="5" borderId="0" applyNumberFormat="0" applyBorder="0" applyAlignment="0" applyProtection="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3" borderId="0" applyNumberFormat="0" applyBorder="0" applyAlignment="0" applyProtection="0">
      <alignment vertical="center"/>
    </xf>
    <xf numFmtId="0" fontId="39" fillId="5"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3" borderId="0" applyNumberFormat="0" applyBorder="0" applyAlignment="0" applyProtection="0">
      <alignment vertical="center"/>
    </xf>
    <xf numFmtId="0" fontId="39" fillId="5" borderId="0" applyNumberFormat="0" applyBorder="0" applyAlignment="0" applyProtection="0">
      <alignment vertical="center"/>
    </xf>
    <xf numFmtId="0" fontId="81" fillId="0" borderId="0">
      <alignment vertical="center"/>
    </xf>
    <xf numFmtId="0" fontId="81" fillId="0" borderId="0" applyBorder="0">
      <alignment vertical="center"/>
    </xf>
    <xf numFmtId="0" fontId="81" fillId="0" borderId="0" applyBorder="0">
      <alignment vertical="center"/>
    </xf>
    <xf numFmtId="0" fontId="39" fillId="3" borderId="0" applyNumberFormat="0" applyBorder="0" applyAlignment="0" applyProtection="0">
      <alignment vertical="center"/>
    </xf>
    <xf numFmtId="0" fontId="39" fillId="5" borderId="0" applyNumberFormat="0" applyBorder="0" applyAlignment="0" applyProtection="0">
      <alignment vertical="center"/>
    </xf>
    <xf numFmtId="0" fontId="39" fillId="3" borderId="0" applyNumberFormat="0" applyBorder="0" applyAlignment="0" applyProtection="0">
      <alignment vertical="center"/>
    </xf>
    <xf numFmtId="0" fontId="39" fillId="5" borderId="0" applyNumberFormat="0" applyBorder="0" applyAlignment="0" applyProtection="0">
      <alignment vertical="center"/>
    </xf>
    <xf numFmtId="0" fontId="81" fillId="0" borderId="0">
      <alignment vertical="center"/>
    </xf>
    <xf numFmtId="0" fontId="81" fillId="0" borderId="0" applyBorder="0">
      <alignment vertical="center"/>
    </xf>
    <xf numFmtId="0" fontId="39" fillId="3" borderId="0" applyNumberFormat="0" applyBorder="0" applyAlignment="0" applyProtection="0">
      <alignment vertical="center"/>
    </xf>
    <xf numFmtId="0" fontId="39" fillId="5" borderId="0" applyNumberFormat="0" applyBorder="0" applyAlignment="0" applyProtection="0">
      <alignment vertical="center"/>
    </xf>
    <xf numFmtId="0" fontId="39" fillId="24" borderId="0" applyNumberFormat="0" applyBorder="0" applyAlignment="0" applyProtection="0">
      <alignment vertical="center"/>
    </xf>
    <xf numFmtId="0" fontId="81" fillId="0" borderId="0"/>
    <xf numFmtId="0" fontId="81" fillId="0" borderId="0">
      <alignment vertical="center"/>
    </xf>
    <xf numFmtId="0" fontId="39" fillId="24" borderId="0" applyNumberFormat="0" applyBorder="0" applyAlignment="0" applyProtection="0">
      <alignment vertical="center"/>
    </xf>
    <xf numFmtId="0" fontId="81" fillId="0" borderId="0"/>
    <xf numFmtId="0" fontId="81" fillId="0" borderId="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44" fillId="10"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81" fillId="0" borderId="0">
      <alignment vertical="center"/>
    </xf>
    <xf numFmtId="0" fontId="81" fillId="0" borderId="0"/>
    <xf numFmtId="0" fontId="39" fillId="5"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0" borderId="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44"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xf numFmtId="0" fontId="39" fillId="12"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44" fillId="5"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81" fillId="0" borderId="0">
      <alignment vertical="center"/>
    </xf>
    <xf numFmtId="0" fontId="81" fillId="0" borderId="0">
      <alignment vertical="center"/>
    </xf>
    <xf numFmtId="0" fontId="39" fillId="5" borderId="0" applyNumberFormat="0" applyBorder="0" applyAlignment="0" applyProtection="0">
      <alignment vertical="center"/>
    </xf>
    <xf numFmtId="0" fontId="81" fillId="0" borderId="0">
      <alignment vertical="center"/>
    </xf>
    <xf numFmtId="0" fontId="81" fillId="0" borderId="0">
      <alignment vertical="center"/>
    </xf>
    <xf numFmtId="0" fontId="81" fillId="0" borderId="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0" borderId="0">
      <alignment vertical="center"/>
    </xf>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alignment vertical="center"/>
    </xf>
    <xf numFmtId="0" fontId="81" fillId="0" borderId="0" applyBorder="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2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47" fillId="0" borderId="0" applyBorder="0">
      <alignment vertical="center"/>
    </xf>
    <xf numFmtId="0" fontId="39" fillId="5"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applyBorder="0">
      <alignment vertical="center"/>
    </xf>
    <xf numFmtId="0" fontId="81" fillId="0" borderId="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39" fillId="10" borderId="0" applyNumberFormat="0" applyBorder="0" applyAlignment="0" applyProtection="0">
      <alignment vertical="center"/>
    </xf>
    <xf numFmtId="0" fontId="39" fillId="5"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0" borderId="0">
      <alignment vertical="center"/>
    </xf>
    <xf numFmtId="0" fontId="39" fillId="5" borderId="0" applyNumberFormat="0" applyBorder="0" applyAlignment="0" applyProtection="0">
      <alignment vertical="center"/>
    </xf>
    <xf numFmtId="0" fontId="81" fillId="0" borderId="0" applyBorder="0">
      <alignment vertical="center"/>
    </xf>
    <xf numFmtId="0" fontId="81" fillId="0" borderId="0">
      <alignment vertical="center"/>
    </xf>
    <xf numFmtId="0" fontId="39" fillId="5" borderId="0" applyNumberFormat="0" applyBorder="0" applyAlignment="0" applyProtection="0">
      <alignment vertical="center"/>
    </xf>
    <xf numFmtId="0" fontId="81" fillId="0" borderId="0">
      <alignment vertical="center"/>
    </xf>
    <xf numFmtId="0" fontId="81" fillId="0" borderId="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0" borderId="0">
      <alignment vertical="center"/>
    </xf>
    <xf numFmtId="0" fontId="39" fillId="5" borderId="0" applyNumberFormat="0" applyBorder="0" applyAlignment="0" applyProtection="0">
      <alignment vertical="center"/>
    </xf>
    <xf numFmtId="0" fontId="81" fillId="0" borderId="0">
      <alignment vertical="center"/>
    </xf>
    <xf numFmtId="0" fontId="81" fillId="0" borderId="0">
      <alignment vertical="center"/>
    </xf>
    <xf numFmtId="0" fontId="81" fillId="0" borderId="0">
      <alignment vertical="center"/>
    </xf>
    <xf numFmtId="0" fontId="39" fillId="5"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lignment vertical="center"/>
    </xf>
    <xf numFmtId="0" fontId="81" fillId="0" borderId="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lignment vertical="center"/>
    </xf>
    <xf numFmtId="0" fontId="81" fillId="0" borderId="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applyBorder="0">
      <alignment vertical="center"/>
    </xf>
    <xf numFmtId="0" fontId="39" fillId="0" borderId="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lignment vertical="center"/>
    </xf>
    <xf numFmtId="0" fontId="81" fillId="0" borderId="0">
      <alignment vertical="center"/>
    </xf>
    <xf numFmtId="0" fontId="39" fillId="5" borderId="0" applyNumberFormat="0" applyBorder="0" applyAlignment="0" applyProtection="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pplyBorder="0">
      <alignment vertical="center"/>
    </xf>
    <xf numFmtId="0" fontId="39" fillId="16" borderId="0" applyNumberFormat="0" applyBorder="0" applyAlignment="0" applyProtection="0">
      <alignment vertical="center"/>
    </xf>
    <xf numFmtId="0" fontId="81" fillId="0" borderId="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39" fillId="7" borderId="0" applyNumberFormat="0" applyBorder="0" applyAlignment="0" applyProtection="0">
      <alignment vertical="center"/>
    </xf>
    <xf numFmtId="0" fontId="81" fillId="0" borderId="0" applyBorder="0">
      <alignment vertical="center"/>
    </xf>
    <xf numFmtId="0" fontId="39" fillId="7"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xf numFmtId="0" fontId="81" fillId="0" borderId="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lignment vertical="center"/>
    </xf>
    <xf numFmtId="0" fontId="39" fillId="12" borderId="0" applyNumberFormat="0" applyBorder="0" applyAlignment="0" applyProtection="0">
      <alignment vertical="center"/>
    </xf>
    <xf numFmtId="0" fontId="81" fillId="0" borderId="0">
      <alignment vertical="center"/>
    </xf>
    <xf numFmtId="0" fontId="81" fillId="0" borderId="0" applyBorder="0">
      <alignment vertical="center"/>
    </xf>
    <xf numFmtId="0" fontId="39" fillId="5" borderId="0" applyNumberFormat="0" applyBorder="0" applyAlignment="0" applyProtection="0">
      <alignment vertical="center"/>
    </xf>
    <xf numFmtId="0" fontId="39" fillId="0" borderId="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lignment vertical="center"/>
    </xf>
    <xf numFmtId="0" fontId="39" fillId="0" borderId="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lignment vertical="center"/>
    </xf>
    <xf numFmtId="0" fontId="39" fillId="5"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lignment vertical="center"/>
    </xf>
    <xf numFmtId="0" fontId="81" fillId="0" borderId="0">
      <alignment vertical="center"/>
    </xf>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39" fillId="5" borderId="0" applyNumberFormat="0" applyBorder="0" applyAlignment="0" applyProtection="0">
      <alignment vertical="center"/>
    </xf>
    <xf numFmtId="9" fontId="37" fillId="0" borderId="0" applyFont="0" applyFill="0" applyBorder="0" applyAlignment="0" applyProtection="0">
      <alignment vertical="center"/>
    </xf>
    <xf numFmtId="0" fontId="81" fillId="0" borderId="0" applyBorder="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39" fillId="10" borderId="0" applyNumberFormat="0" applyBorder="0" applyAlignment="0" applyProtection="0">
      <alignment vertical="center"/>
    </xf>
    <xf numFmtId="0" fontId="39" fillId="5"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12" borderId="0" applyNumberFormat="0" applyBorder="0" applyAlignment="0" applyProtection="0">
      <alignment vertical="center"/>
    </xf>
    <xf numFmtId="0" fontId="39" fillId="10" borderId="0" applyNumberFormat="0" applyBorder="0" applyAlignment="0" applyProtection="0">
      <alignment vertical="center"/>
    </xf>
    <xf numFmtId="0" fontId="39" fillId="12" borderId="0" applyNumberFormat="0" applyBorder="0" applyAlignment="0" applyProtection="0">
      <alignment vertical="center"/>
    </xf>
    <xf numFmtId="0" fontId="39" fillId="10" borderId="0" applyNumberFormat="0" applyBorder="0" applyAlignment="0" applyProtection="0">
      <alignment vertical="center"/>
    </xf>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39" fillId="10" borderId="0" applyNumberFormat="0" applyBorder="0" applyAlignment="0" applyProtection="0">
      <alignment vertical="center"/>
    </xf>
    <xf numFmtId="0" fontId="39" fillId="12" borderId="0" applyNumberFormat="0" applyBorder="0" applyAlignment="0" applyProtection="0">
      <alignment vertical="center"/>
    </xf>
    <xf numFmtId="0" fontId="39" fillId="10"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lignment vertical="center"/>
    </xf>
    <xf numFmtId="0" fontId="81" fillId="0" borderId="0" applyBorder="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0" borderId="0" applyNumberFormat="0" applyBorder="0" applyAlignment="0" applyProtection="0">
      <alignment vertical="center"/>
    </xf>
    <xf numFmtId="0" fontId="39" fillId="12" borderId="0" applyNumberFormat="0" applyBorder="0" applyAlignment="0" applyProtection="0">
      <alignment vertical="center"/>
    </xf>
    <xf numFmtId="0" fontId="47"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39" fillId="10" borderId="0" applyNumberFormat="0" applyBorder="0" applyAlignment="0" applyProtection="0">
      <alignment vertical="center"/>
    </xf>
    <xf numFmtId="0" fontId="39" fillId="12" borderId="0" applyNumberFormat="0" applyBorder="0" applyAlignment="0" applyProtection="0">
      <alignment vertical="center"/>
    </xf>
    <xf numFmtId="0" fontId="39" fillId="10"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39" fillId="10"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lignment vertical="center"/>
    </xf>
    <xf numFmtId="0" fontId="81" fillId="0" borderId="0" applyBorder="0">
      <alignment vertical="center"/>
    </xf>
    <xf numFmtId="0" fontId="81" fillId="0" borderId="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12" borderId="42" applyNumberFormat="0" applyFont="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9" fontId="81" fillId="0" borderId="0" applyFont="0" applyFill="0" applyBorder="0" applyAlignment="0" applyProtection="0"/>
    <xf numFmtId="0" fontId="81" fillId="0" borderId="0" applyBorder="0">
      <alignment vertical="center"/>
    </xf>
    <xf numFmtId="0" fontId="81" fillId="0" borderId="0" applyBorder="0">
      <alignment vertical="center"/>
    </xf>
    <xf numFmtId="0" fontId="81" fillId="0" borderId="0" applyBorder="0">
      <alignment vertical="center"/>
    </xf>
    <xf numFmtId="0" fontId="39" fillId="12" borderId="0" applyNumberFormat="0" applyBorder="0" applyAlignment="0" applyProtection="0">
      <alignment vertical="center"/>
    </xf>
    <xf numFmtId="9" fontId="81" fillId="0" borderId="0" applyFont="0" applyFill="0" applyBorder="0" applyAlignment="0" applyProtection="0"/>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9" fontId="81" fillId="0" borderId="0" applyFont="0" applyFill="0" applyBorder="0" applyAlignment="0" applyProtection="0"/>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9" fontId="81" fillId="0" borderId="0" applyFont="0" applyFill="0" applyBorder="0" applyAlignment="0" applyProtection="0"/>
    <xf numFmtId="0" fontId="39" fillId="12" borderId="0" applyNumberFormat="0" applyBorder="0" applyAlignment="0" applyProtection="0">
      <alignment vertical="center"/>
    </xf>
    <xf numFmtId="9" fontId="81" fillId="0" borderId="0" applyFont="0" applyFill="0" applyBorder="0" applyAlignment="0" applyProtection="0"/>
    <xf numFmtId="0" fontId="39" fillId="12"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xf numFmtId="0" fontId="81" fillId="0" borderId="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81" fillId="0" borderId="0"/>
    <xf numFmtId="0" fontId="81" fillId="0" borderId="0">
      <alignment vertical="center"/>
    </xf>
    <xf numFmtId="0" fontId="39" fillId="12"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lignment vertical="center"/>
    </xf>
    <xf numFmtId="0" fontId="81" fillId="0" borderId="0" applyBorder="0">
      <alignment vertical="center"/>
    </xf>
    <xf numFmtId="0" fontId="39" fillId="5"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81" fillId="0" borderId="0"/>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lignment vertical="center"/>
    </xf>
    <xf numFmtId="0" fontId="81" fillId="0" borderId="0"/>
    <xf numFmtId="0" fontId="39" fillId="12" borderId="0" applyNumberFormat="0" applyBorder="0" applyAlignment="0" applyProtection="0">
      <alignment vertical="center"/>
    </xf>
    <xf numFmtId="0" fontId="81" fillId="0" borderId="0"/>
    <xf numFmtId="0" fontId="81" fillId="0" borderId="0" applyBorder="0">
      <alignment vertical="center"/>
    </xf>
    <xf numFmtId="0" fontId="81" fillId="0" borderId="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9" fontId="81" fillId="0" borderId="0" applyFont="0" applyFill="0" applyBorder="0" applyAlignment="0" applyProtection="0"/>
    <xf numFmtId="0" fontId="39" fillId="12"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39" fillId="10"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81" fillId="0" borderId="0" applyBorder="0">
      <alignment vertical="center"/>
    </xf>
    <xf numFmtId="0" fontId="39" fillId="12" borderId="0" applyNumberFormat="0" applyBorder="0" applyAlignment="0" applyProtection="0">
      <alignment vertical="center"/>
    </xf>
    <xf numFmtId="0" fontId="39" fillId="7"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81" fillId="0" borderId="0" applyBorder="0">
      <alignment vertical="center"/>
    </xf>
    <xf numFmtId="0" fontId="81" fillId="0" borderId="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pplyBorder="0">
      <alignment vertical="center"/>
    </xf>
    <xf numFmtId="0" fontId="39" fillId="25"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39" fillId="0" borderId="0">
      <alignment vertical="center"/>
    </xf>
    <xf numFmtId="0" fontId="39" fillId="5" borderId="0" applyNumberFormat="0" applyBorder="0" applyAlignment="0" applyProtection="0">
      <alignment vertical="center"/>
    </xf>
    <xf numFmtId="0" fontId="81" fillId="0" borderId="0" applyBorder="0">
      <alignment vertical="center"/>
    </xf>
    <xf numFmtId="0" fontId="81" fillId="0" borderId="0"/>
    <xf numFmtId="0" fontId="39" fillId="5" borderId="0" applyNumberFormat="0" applyBorder="0" applyAlignment="0" applyProtection="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0" borderId="0">
      <alignment vertical="center"/>
    </xf>
    <xf numFmtId="0" fontId="39" fillId="5" borderId="0" applyNumberFormat="0" applyBorder="0" applyAlignment="0" applyProtection="0">
      <alignment vertical="center"/>
    </xf>
    <xf numFmtId="0" fontId="81" fillId="0" borderId="0">
      <alignment vertical="center"/>
    </xf>
    <xf numFmtId="0" fontId="81" fillId="0" borderId="0" applyBorder="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applyBorder="0">
      <alignment vertical="center"/>
    </xf>
    <xf numFmtId="0" fontId="39" fillId="0" borderId="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0" borderId="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81" fillId="0" borderId="0">
      <alignment vertical="center"/>
    </xf>
    <xf numFmtId="0" fontId="81" fillId="0" borderId="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81" fillId="0" borderId="0">
      <alignment vertical="center"/>
    </xf>
    <xf numFmtId="0" fontId="81" fillId="0" borderId="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applyBorder="0">
      <alignment vertical="center"/>
    </xf>
    <xf numFmtId="0" fontId="47" fillId="0" borderId="0" applyBorder="0">
      <alignment vertical="center"/>
    </xf>
    <xf numFmtId="0" fontId="39" fillId="5" borderId="0" applyNumberFormat="0" applyBorder="0" applyAlignment="0" applyProtection="0">
      <alignment vertical="center"/>
    </xf>
    <xf numFmtId="0" fontId="43" fillId="0" borderId="34" applyNumberFormat="0" applyFill="0" applyAlignment="0" applyProtection="0">
      <alignment vertical="center"/>
    </xf>
    <xf numFmtId="0" fontId="39" fillId="5"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0" borderId="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alignment vertical="center"/>
    </xf>
    <xf numFmtId="0" fontId="81" fillId="0" borderId="0">
      <alignment vertical="center"/>
    </xf>
    <xf numFmtId="0" fontId="39" fillId="5" borderId="0" applyNumberFormat="0" applyBorder="0" applyAlignment="0" applyProtection="0">
      <alignment vertical="center"/>
    </xf>
    <xf numFmtId="0" fontId="81" fillId="0" borderId="0">
      <alignment vertical="center"/>
    </xf>
    <xf numFmtId="0" fontId="81" fillId="0" borderId="0"/>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0" borderId="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0" borderId="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81" fillId="0" borderId="0" applyBorder="0">
      <alignment vertical="center"/>
    </xf>
    <xf numFmtId="0" fontId="81" fillId="0" borderId="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alignment vertical="center"/>
    </xf>
    <xf numFmtId="0" fontId="81" fillId="0" borderId="0">
      <alignment vertical="center"/>
    </xf>
    <xf numFmtId="0" fontId="81" fillId="0" borderId="0"/>
    <xf numFmtId="0" fontId="39" fillId="5"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9" fontId="81" fillId="0" borderId="0" applyFont="0" applyFill="0" applyBorder="0" applyAlignment="0" applyProtection="0"/>
    <xf numFmtId="0" fontId="39" fillId="5" borderId="0" applyNumberFormat="0" applyBorder="0" applyAlignment="0" applyProtection="0">
      <alignment vertical="center"/>
    </xf>
    <xf numFmtId="9" fontId="81" fillId="0" borderId="0" applyFont="0" applyFill="0" applyBorder="0" applyAlignment="0" applyProtection="0"/>
    <xf numFmtId="0" fontId="39" fillId="5" borderId="0" applyNumberFormat="0" applyBorder="0" applyAlignment="0" applyProtection="0">
      <alignment vertical="center"/>
    </xf>
    <xf numFmtId="9" fontId="81" fillId="0" borderId="0" applyFont="0" applyFill="0" applyBorder="0" applyAlignment="0" applyProtection="0"/>
    <xf numFmtId="0" fontId="81" fillId="0" borderId="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lignment vertical="center"/>
    </xf>
    <xf numFmtId="0" fontId="81" fillId="0" borderId="0" applyBorder="0">
      <alignment vertical="center"/>
    </xf>
    <xf numFmtId="0" fontId="81" fillId="0" borderId="0">
      <alignment vertical="center"/>
    </xf>
    <xf numFmtId="0" fontId="39" fillId="5" borderId="0" applyNumberFormat="0" applyBorder="0" applyAlignment="0" applyProtection="0">
      <alignment vertical="center"/>
    </xf>
    <xf numFmtId="0" fontId="81" fillId="0" borderId="0">
      <alignment vertical="center"/>
    </xf>
    <xf numFmtId="0" fontId="81" fillId="0" borderId="0">
      <alignment vertical="center"/>
    </xf>
    <xf numFmtId="0" fontId="39" fillId="5" borderId="0" applyNumberFormat="0" applyBorder="0" applyAlignment="0" applyProtection="0">
      <alignment vertical="center"/>
    </xf>
    <xf numFmtId="0" fontId="81" fillId="0" borderId="0">
      <alignment vertical="center"/>
    </xf>
    <xf numFmtId="0" fontId="81" fillId="0" borderId="0" applyBorder="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81" fillId="0" borderId="0">
      <alignment vertical="center"/>
    </xf>
    <xf numFmtId="0" fontId="81" fillId="0" borderId="0">
      <alignment vertical="center"/>
    </xf>
    <xf numFmtId="0" fontId="39" fillId="5" borderId="0" applyNumberFormat="0" applyBorder="0" applyAlignment="0" applyProtection="0">
      <alignment vertical="center"/>
    </xf>
    <xf numFmtId="0" fontId="81" fillId="0" borderId="0">
      <alignment vertical="center"/>
    </xf>
    <xf numFmtId="0" fontId="81" fillId="0" borderId="0">
      <alignment vertical="center"/>
    </xf>
    <xf numFmtId="0" fontId="81" fillId="0" borderId="0">
      <alignment vertical="center"/>
    </xf>
    <xf numFmtId="0" fontId="39" fillId="5" borderId="0" applyNumberFormat="0" applyBorder="0" applyAlignment="0" applyProtection="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81" fillId="0" borderId="0" applyBorder="0">
      <alignment vertical="center"/>
    </xf>
    <xf numFmtId="0" fontId="39" fillId="0" borderId="0">
      <alignment vertical="center"/>
    </xf>
    <xf numFmtId="0" fontId="39" fillId="5" borderId="0" applyNumberFormat="0" applyBorder="0" applyAlignment="0" applyProtection="0">
      <alignment vertical="center"/>
    </xf>
    <xf numFmtId="0" fontId="81"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lignment vertical="center"/>
    </xf>
    <xf numFmtId="0" fontId="81" fillId="0" borderId="0" applyBorder="0">
      <alignment vertical="center"/>
    </xf>
    <xf numFmtId="0" fontId="39" fillId="0" borderId="0">
      <alignment vertical="center"/>
    </xf>
    <xf numFmtId="0" fontId="39" fillId="5"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81" fillId="0" borderId="0"/>
    <xf numFmtId="0" fontId="39" fillId="5" borderId="0" applyNumberFormat="0" applyBorder="0" applyAlignment="0" applyProtection="0">
      <alignment vertical="center"/>
    </xf>
    <xf numFmtId="0" fontId="81" fillId="0" borderId="0"/>
    <xf numFmtId="0" fontId="81" fillId="0" borderId="0" applyBorder="0">
      <alignment vertical="center"/>
    </xf>
    <xf numFmtId="0" fontId="39" fillId="5"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0" borderId="0">
      <alignment vertical="center"/>
    </xf>
    <xf numFmtId="0" fontId="39" fillId="5" borderId="0" applyNumberFormat="0" applyBorder="0" applyAlignment="0" applyProtection="0">
      <alignment vertical="center"/>
    </xf>
    <xf numFmtId="0" fontId="39" fillId="0" borderId="0">
      <alignment vertical="center"/>
    </xf>
    <xf numFmtId="0" fontId="81" fillId="0" borderId="0" applyBorder="0">
      <alignment vertical="center"/>
    </xf>
    <xf numFmtId="0" fontId="39" fillId="5" borderId="0" applyNumberFormat="0" applyBorder="0" applyAlignment="0" applyProtection="0">
      <alignment vertical="center"/>
    </xf>
    <xf numFmtId="0" fontId="39" fillId="0" borderId="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9" fontId="81" fillId="0" borderId="0" applyFont="0" applyFill="0" applyBorder="0" applyAlignment="0" applyProtection="0"/>
    <xf numFmtId="0" fontId="39" fillId="5" borderId="0" applyNumberFormat="0" applyBorder="0" applyAlignment="0" applyProtection="0">
      <alignment vertical="center"/>
    </xf>
    <xf numFmtId="9" fontId="81" fillId="0" borderId="0" applyFont="0" applyFill="0" applyBorder="0" applyAlignment="0" applyProtection="0"/>
    <xf numFmtId="0" fontId="81" fillId="0" borderId="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9" fontId="81" fillId="0" borderId="0" applyFont="0" applyFill="0" applyBorder="0" applyAlignment="0" applyProtection="0"/>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lignment vertical="center"/>
    </xf>
    <xf numFmtId="0" fontId="39" fillId="5"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25"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lignment vertical="center"/>
    </xf>
    <xf numFmtId="0" fontId="39" fillId="25" borderId="0" applyNumberFormat="0" applyBorder="0" applyAlignment="0" applyProtection="0">
      <alignment vertical="center"/>
    </xf>
    <xf numFmtId="0" fontId="81" fillId="0" borderId="0" applyBorder="0">
      <alignment vertical="center"/>
    </xf>
    <xf numFmtId="0" fontId="39" fillId="10" borderId="0" applyNumberFormat="0" applyBorder="0" applyAlignment="0" applyProtection="0">
      <alignment vertical="center"/>
    </xf>
    <xf numFmtId="0" fontId="41" fillId="13" borderId="0" applyNumberFormat="0" applyBorder="0" applyAlignment="0" applyProtection="0">
      <alignment vertical="center"/>
    </xf>
    <xf numFmtId="0" fontId="81" fillId="0" borderId="0" applyBorder="0">
      <alignment vertical="center"/>
    </xf>
    <xf numFmtId="0" fontId="39" fillId="10" borderId="0" applyNumberFormat="0" applyBorder="0" applyAlignment="0" applyProtection="0">
      <alignment vertical="center"/>
    </xf>
    <xf numFmtId="0" fontId="39" fillId="5" borderId="0" applyNumberFormat="0" applyBorder="0" applyAlignment="0" applyProtection="0">
      <alignment vertical="center"/>
    </xf>
    <xf numFmtId="0" fontId="39" fillId="0" borderId="0">
      <alignment vertical="center"/>
    </xf>
    <xf numFmtId="0" fontId="39" fillId="10" borderId="0" applyNumberFormat="0" applyBorder="0" applyAlignment="0" applyProtection="0">
      <alignment vertical="center"/>
    </xf>
    <xf numFmtId="0" fontId="39" fillId="5" borderId="0" applyNumberFormat="0" applyBorder="0" applyAlignment="0" applyProtection="0">
      <alignment vertical="center"/>
    </xf>
    <xf numFmtId="0" fontId="81" fillId="0" borderId="0" applyBorder="0">
      <alignment vertical="center"/>
    </xf>
    <xf numFmtId="0" fontId="39" fillId="24" borderId="0" applyNumberFormat="0" applyBorder="0" applyAlignment="0" applyProtection="0">
      <alignment vertical="center"/>
    </xf>
    <xf numFmtId="0" fontId="39" fillId="5" borderId="0" applyNumberFormat="0" applyBorder="0" applyAlignment="0" applyProtection="0">
      <alignment vertical="center"/>
    </xf>
    <xf numFmtId="0" fontId="81" fillId="0" borderId="0">
      <alignment vertical="center"/>
    </xf>
    <xf numFmtId="0" fontId="81" fillId="0" borderId="0" applyBorder="0">
      <alignment vertical="center"/>
    </xf>
    <xf numFmtId="0" fontId="81" fillId="0" borderId="0" applyBorder="0">
      <alignment vertical="center"/>
    </xf>
    <xf numFmtId="0" fontId="39" fillId="24" borderId="0" applyNumberFormat="0" applyBorder="0" applyAlignment="0" applyProtection="0">
      <alignment vertical="center"/>
    </xf>
    <xf numFmtId="0" fontId="81" fillId="0" borderId="0">
      <alignment vertical="center"/>
    </xf>
    <xf numFmtId="0" fontId="39" fillId="0" borderId="0">
      <alignment vertical="center"/>
    </xf>
    <xf numFmtId="0" fontId="39" fillId="10" borderId="0" applyNumberFormat="0" applyBorder="0" applyAlignment="0" applyProtection="0">
      <alignment vertical="center"/>
    </xf>
    <xf numFmtId="0" fontId="41" fillId="13"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81" fillId="0" borderId="0">
      <alignment vertical="center"/>
    </xf>
    <xf numFmtId="0" fontId="39" fillId="10" borderId="0" applyNumberFormat="0" applyBorder="0" applyAlignment="0" applyProtection="0">
      <alignment vertical="center"/>
    </xf>
    <xf numFmtId="0" fontId="81" fillId="0" borderId="0" applyBorder="0">
      <alignment vertical="center"/>
    </xf>
    <xf numFmtId="0" fontId="81" fillId="0" borderId="0"/>
    <xf numFmtId="0" fontId="39" fillId="10" borderId="0" applyNumberFormat="0" applyBorder="0" applyAlignment="0" applyProtection="0">
      <alignment vertical="center"/>
    </xf>
    <xf numFmtId="0" fontId="48" fillId="0" borderId="39" applyNumberFormat="0" applyFill="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81" fillId="0" borderId="0" applyBorder="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81" fillId="0" borderId="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81" fillId="0" borderId="0" applyBorder="0">
      <alignment vertical="center"/>
    </xf>
    <xf numFmtId="0" fontId="39" fillId="10" borderId="0" applyNumberFormat="0" applyBorder="0" applyAlignment="0" applyProtection="0">
      <alignment vertical="center"/>
    </xf>
    <xf numFmtId="0" fontId="81" fillId="0" borderId="0" applyBorder="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81" fillId="0" borderId="0" applyBorder="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81" fillId="0" borderId="0" applyBorder="0">
      <alignment vertical="center"/>
    </xf>
    <xf numFmtId="0" fontId="81" fillId="0" borderId="0">
      <alignment vertical="center"/>
    </xf>
    <xf numFmtId="0" fontId="39" fillId="10" borderId="0" applyNumberFormat="0" applyBorder="0" applyAlignment="0" applyProtection="0">
      <alignment vertical="center"/>
    </xf>
    <xf numFmtId="0" fontId="81" fillId="0" borderId="0">
      <alignment vertical="center"/>
    </xf>
    <xf numFmtId="0" fontId="39" fillId="10" borderId="0" applyNumberFormat="0" applyBorder="0" applyAlignment="0" applyProtection="0">
      <alignment vertical="center"/>
    </xf>
    <xf numFmtId="0" fontId="81" fillId="0" borderId="0" applyBorder="0">
      <alignment vertical="center"/>
    </xf>
    <xf numFmtId="0" fontId="81" fillId="0" borderId="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81" fillId="0" borderId="0" applyBorder="0">
      <alignment vertical="center"/>
    </xf>
    <xf numFmtId="0" fontId="39" fillId="10" borderId="0" applyNumberFormat="0" applyBorder="0" applyAlignment="0" applyProtection="0">
      <alignment vertical="center"/>
    </xf>
    <xf numFmtId="0" fontId="81" fillId="0" borderId="0" applyBorder="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81" fillId="0" borderId="0" applyBorder="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81" fillId="0" borderId="0" applyBorder="0">
      <alignment vertical="center"/>
    </xf>
    <xf numFmtId="0" fontId="39" fillId="10" borderId="0" applyNumberFormat="0" applyBorder="0" applyAlignment="0" applyProtection="0">
      <alignment vertical="center"/>
    </xf>
    <xf numFmtId="0" fontId="81" fillId="0" borderId="0" applyBorder="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81" fillId="0" borderId="0" applyBorder="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81" fillId="0" borderId="0" applyBorder="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81" fillId="0" borderId="0" applyBorder="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81" fillId="0" borderId="0">
      <alignment vertical="center"/>
    </xf>
    <xf numFmtId="0" fontId="39" fillId="10" borderId="0" applyNumberFormat="0" applyBorder="0" applyAlignment="0" applyProtection="0">
      <alignment vertical="center"/>
    </xf>
    <xf numFmtId="0" fontId="81" fillId="0" borderId="0"/>
    <xf numFmtId="0" fontId="81" fillId="0" borderId="0" applyBorder="0">
      <alignment vertical="center"/>
    </xf>
    <xf numFmtId="0" fontId="81" fillId="0" borderId="0"/>
    <xf numFmtId="0" fontId="39" fillId="10" borderId="0" applyNumberFormat="0" applyBorder="0" applyAlignment="0" applyProtection="0">
      <alignment vertical="center"/>
    </xf>
    <xf numFmtId="0" fontId="81" fillId="0" borderId="0" applyBorder="0">
      <alignment vertical="center"/>
    </xf>
    <xf numFmtId="0" fontId="39" fillId="10" borderId="0" applyNumberFormat="0" applyBorder="0" applyAlignment="0" applyProtection="0">
      <alignment vertical="center"/>
    </xf>
    <xf numFmtId="0" fontId="81" fillId="0" borderId="0" applyBorder="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81" fillId="0" borderId="0" applyBorder="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81" fillId="0" borderId="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81" fillId="0" borderId="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81" fillId="0" borderId="0" applyBorder="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81" fillId="0" borderId="0" applyBorder="0">
      <alignment vertical="center"/>
    </xf>
    <xf numFmtId="0" fontId="81" fillId="0" borderId="0"/>
    <xf numFmtId="0" fontId="39" fillId="10" borderId="0" applyNumberFormat="0" applyBorder="0" applyAlignment="0" applyProtection="0">
      <alignment vertical="center"/>
    </xf>
    <xf numFmtId="0" fontId="81" fillId="0" borderId="0" applyBorder="0">
      <alignment vertical="center"/>
    </xf>
    <xf numFmtId="0" fontId="81" fillId="0" borderId="0">
      <alignment vertical="center"/>
    </xf>
    <xf numFmtId="0" fontId="39" fillId="10" borderId="0" applyNumberFormat="0" applyBorder="0" applyAlignment="0" applyProtection="0">
      <alignment vertical="center"/>
    </xf>
    <xf numFmtId="0" fontId="81" fillId="0" borderId="0" applyBorder="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81" fillId="0" borderId="0" applyBorder="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81" fillId="0" borderId="0" applyBorder="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81" fillId="0" borderId="0" applyBorder="0">
      <alignment vertical="center"/>
    </xf>
    <xf numFmtId="0" fontId="39" fillId="10" borderId="0" applyNumberFormat="0" applyBorder="0" applyAlignment="0" applyProtection="0">
      <alignment vertical="center"/>
    </xf>
    <xf numFmtId="0" fontId="81" fillId="0" borderId="0">
      <alignment vertical="center"/>
    </xf>
    <xf numFmtId="0" fontId="39" fillId="10"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0" borderId="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81" fillId="0" borderId="0" applyBorder="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81" fillId="0" borderId="0" applyBorder="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81" fillId="0" borderId="0">
      <alignment vertical="center"/>
    </xf>
    <xf numFmtId="0" fontId="39" fillId="10" borderId="0" applyNumberFormat="0" applyBorder="0" applyAlignment="0" applyProtection="0">
      <alignment vertical="center"/>
    </xf>
    <xf numFmtId="0" fontId="81" fillId="0" borderId="0">
      <alignment vertical="center"/>
    </xf>
    <xf numFmtId="0" fontId="39" fillId="10" borderId="0" applyNumberFormat="0" applyBorder="0" applyAlignment="0" applyProtection="0">
      <alignment vertical="center"/>
    </xf>
    <xf numFmtId="0" fontId="81" fillId="0" borderId="0">
      <alignment vertical="center"/>
    </xf>
    <xf numFmtId="0" fontId="81" fillId="0" borderId="0" applyBorder="0">
      <alignment vertical="center"/>
    </xf>
    <xf numFmtId="0" fontId="39" fillId="10" borderId="0" applyNumberFormat="0" applyBorder="0" applyAlignment="0" applyProtection="0">
      <alignment vertical="center"/>
    </xf>
    <xf numFmtId="0" fontId="81" fillId="0" borderId="0" applyBorder="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81" fillId="0" borderId="0" applyBorder="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5"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81" fillId="0" borderId="0" applyBorder="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81" fillId="0" borderId="0">
      <alignment vertical="center"/>
    </xf>
    <xf numFmtId="0" fontId="39" fillId="10" borderId="0" applyNumberFormat="0" applyBorder="0" applyAlignment="0" applyProtection="0">
      <alignment vertical="center"/>
    </xf>
    <xf numFmtId="0" fontId="81" fillId="0" borderId="0">
      <alignment vertical="center"/>
    </xf>
    <xf numFmtId="0" fontId="39" fillId="10" borderId="0" applyNumberFormat="0" applyBorder="0" applyAlignment="0" applyProtection="0">
      <alignment vertical="center"/>
    </xf>
    <xf numFmtId="0" fontId="81" fillId="0" borderId="0" applyBorder="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81" fillId="0" borderId="0" applyBorder="0">
      <alignment vertical="center"/>
    </xf>
    <xf numFmtId="0" fontId="39" fillId="10" borderId="0" applyNumberFormat="0" applyBorder="0" applyAlignment="0" applyProtection="0">
      <alignment vertical="center"/>
    </xf>
    <xf numFmtId="0" fontId="81" fillId="0" borderId="0">
      <alignment vertical="center"/>
    </xf>
    <xf numFmtId="0" fontId="39" fillId="10" borderId="0" applyNumberFormat="0" applyBorder="0" applyAlignment="0" applyProtection="0">
      <alignment vertical="center"/>
    </xf>
    <xf numFmtId="0" fontId="81" fillId="0" borderId="0" applyBorder="0">
      <alignment vertical="center"/>
    </xf>
    <xf numFmtId="0" fontId="39" fillId="10" borderId="0" applyNumberFormat="0" applyBorder="0" applyAlignment="0" applyProtection="0">
      <alignment vertical="center"/>
    </xf>
    <xf numFmtId="0" fontId="81" fillId="0" borderId="0" applyBorder="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81" fillId="0" borderId="0" applyBorder="0">
      <alignment vertical="center"/>
    </xf>
    <xf numFmtId="0" fontId="39" fillId="10" borderId="0" applyNumberFormat="0" applyBorder="0" applyAlignment="0" applyProtection="0">
      <alignment vertical="center"/>
    </xf>
    <xf numFmtId="0" fontId="81" fillId="0" borderId="0" applyBorder="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81" fillId="0" borderId="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81" fillId="0" borderId="0" applyBorder="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81" fillId="0" borderId="0" applyBorder="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81" fillId="0" borderId="0">
      <alignment vertical="center"/>
    </xf>
    <xf numFmtId="0" fontId="39" fillId="10" borderId="0" applyNumberFormat="0" applyBorder="0" applyAlignment="0" applyProtection="0">
      <alignment vertical="center"/>
    </xf>
    <xf numFmtId="0" fontId="81" fillId="0" borderId="0" applyBorder="0">
      <alignment vertical="center"/>
    </xf>
    <xf numFmtId="0" fontId="81" fillId="0" borderId="0">
      <alignment vertical="center"/>
    </xf>
    <xf numFmtId="0" fontId="39" fillId="10" borderId="0" applyNumberFormat="0" applyBorder="0" applyAlignment="0" applyProtection="0">
      <alignment vertical="center"/>
    </xf>
    <xf numFmtId="0" fontId="81" fillId="0" borderId="0" applyBorder="0">
      <alignment vertical="center"/>
    </xf>
    <xf numFmtId="0" fontId="39" fillId="10" borderId="0" applyNumberFormat="0" applyBorder="0" applyAlignment="0" applyProtection="0">
      <alignment vertical="center"/>
    </xf>
    <xf numFmtId="0" fontId="81" fillId="0" borderId="0">
      <alignment vertical="center"/>
    </xf>
    <xf numFmtId="0" fontId="39" fillId="10" borderId="0" applyNumberFormat="0" applyBorder="0" applyAlignment="0" applyProtection="0">
      <alignment vertical="center"/>
    </xf>
    <xf numFmtId="0" fontId="81" fillId="0" borderId="0" applyBorder="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81" fillId="0" borderId="0" applyBorder="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9" fontId="81" fillId="0" borderId="0" applyFont="0" applyFill="0" applyBorder="0" applyAlignment="0" applyProtection="0"/>
    <xf numFmtId="0" fontId="39" fillId="10" borderId="0" applyNumberFormat="0" applyBorder="0" applyAlignment="0" applyProtection="0">
      <alignment vertical="center"/>
    </xf>
    <xf numFmtId="9" fontId="81" fillId="0" borderId="0" applyFont="0" applyFill="0" applyBorder="0" applyAlignment="0" applyProtection="0"/>
    <xf numFmtId="0" fontId="81" fillId="0" borderId="0" applyBorder="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0" borderId="0">
      <alignment vertical="center"/>
    </xf>
    <xf numFmtId="0" fontId="39" fillId="10" borderId="0" applyNumberFormat="0" applyBorder="0" applyAlignment="0" applyProtection="0">
      <alignment vertical="center"/>
    </xf>
    <xf numFmtId="9" fontId="81" fillId="0" borderId="0" applyFont="0" applyFill="0" applyBorder="0" applyAlignment="0" applyProtection="0"/>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81" fillId="0" borderId="0" applyBorder="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81" fillId="0" borderId="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81" fillId="0" borderId="0" applyBorder="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42" fillId="0" borderId="33" applyNumberFormat="0" applyFill="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9" fontId="81" fillId="0" borderId="0" applyFont="0" applyFill="0" applyBorder="0" applyAlignment="0" applyProtection="0"/>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44" fillId="5" borderId="0" applyNumberFormat="0" applyBorder="0" applyAlignment="0" applyProtection="0">
      <alignment vertical="center"/>
    </xf>
    <xf numFmtId="0" fontId="39" fillId="10" borderId="0" applyNumberFormat="0" applyBorder="0" applyAlignment="0" applyProtection="0">
      <alignment vertical="center"/>
    </xf>
    <xf numFmtId="0" fontId="44" fillId="5" borderId="0" applyNumberFormat="0" applyBorder="0" applyAlignment="0" applyProtection="0">
      <alignment vertical="center"/>
    </xf>
    <xf numFmtId="0" fontId="39" fillId="10" borderId="0" applyNumberFormat="0" applyBorder="0" applyAlignment="0" applyProtection="0">
      <alignment vertical="center"/>
    </xf>
    <xf numFmtId="0" fontId="81" fillId="0" borderId="0" applyBorder="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81" fillId="0" borderId="0" applyBorder="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81" fillId="0" borderId="0">
      <alignment vertical="center"/>
    </xf>
    <xf numFmtId="0" fontId="39" fillId="10" borderId="0" applyNumberFormat="0" applyBorder="0" applyAlignment="0" applyProtection="0">
      <alignment vertical="center"/>
    </xf>
    <xf numFmtId="0" fontId="81" fillId="0" borderId="0">
      <alignment vertical="center"/>
    </xf>
    <xf numFmtId="0" fontId="39" fillId="10" borderId="0" applyNumberFormat="0" applyBorder="0" applyAlignment="0" applyProtection="0">
      <alignment vertical="center"/>
    </xf>
    <xf numFmtId="0" fontId="81" fillId="0" borderId="0">
      <alignment vertical="center"/>
    </xf>
    <xf numFmtId="0" fontId="39" fillId="10" borderId="0" applyNumberFormat="0" applyBorder="0" applyAlignment="0" applyProtection="0">
      <alignment vertical="center"/>
    </xf>
    <xf numFmtId="0" fontId="81" fillId="0" borderId="0">
      <alignment vertical="center"/>
    </xf>
    <xf numFmtId="0" fontId="39" fillId="10"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10" borderId="0" applyNumberFormat="0" applyBorder="0" applyAlignment="0" applyProtection="0">
      <alignment vertical="center"/>
    </xf>
    <xf numFmtId="0" fontId="81" fillId="0" borderId="0" applyBorder="0">
      <alignment vertical="center"/>
    </xf>
    <xf numFmtId="0" fontId="39" fillId="10" borderId="0" applyNumberFormat="0" applyBorder="0" applyAlignment="0" applyProtection="0">
      <alignment vertical="center"/>
    </xf>
    <xf numFmtId="0" fontId="81" fillId="0" borderId="0" applyBorder="0">
      <alignment vertical="center"/>
    </xf>
    <xf numFmtId="0" fontId="39" fillId="10"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10" borderId="0" applyNumberFormat="0" applyBorder="0" applyAlignment="0" applyProtection="0">
      <alignment vertical="center"/>
    </xf>
    <xf numFmtId="0" fontId="81" fillId="0" borderId="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81" fillId="0" borderId="0"/>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81" fillId="0" borderId="0" applyBorder="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81" fillId="0" borderId="0" applyBorder="0">
      <alignment vertical="center"/>
    </xf>
    <xf numFmtId="0" fontId="39" fillId="10" borderId="0" applyNumberFormat="0" applyBorder="0" applyAlignment="0" applyProtection="0">
      <alignment vertical="center"/>
    </xf>
    <xf numFmtId="0" fontId="81" fillId="0" borderId="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81" fillId="0" borderId="0"/>
    <xf numFmtId="0" fontId="39" fillId="10" borderId="0" applyNumberFormat="0" applyBorder="0" applyAlignment="0" applyProtection="0">
      <alignment vertical="center"/>
    </xf>
    <xf numFmtId="0" fontId="81" fillId="0" borderId="0"/>
    <xf numFmtId="0" fontId="81" fillId="0" borderId="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81" fillId="0" borderId="0" applyBorder="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81" fillId="0" borderId="0" applyBorder="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81" fillId="0" borderId="0" applyBorder="0">
      <alignment vertical="center"/>
    </xf>
    <xf numFmtId="0" fontId="39" fillId="10" borderId="0" applyNumberFormat="0" applyBorder="0" applyAlignment="0" applyProtection="0">
      <alignment vertical="center"/>
    </xf>
    <xf numFmtId="0" fontId="44" fillId="5" borderId="0" applyNumberFormat="0" applyBorder="0" applyAlignment="0" applyProtection="0">
      <alignment vertical="center"/>
    </xf>
    <xf numFmtId="0" fontId="39" fillId="10" borderId="0" applyNumberFormat="0" applyBorder="0" applyAlignment="0" applyProtection="0">
      <alignment vertical="center"/>
    </xf>
    <xf numFmtId="0" fontId="44" fillId="5" borderId="0" applyNumberFormat="0" applyBorder="0" applyAlignment="0" applyProtection="0">
      <alignment vertical="center"/>
    </xf>
    <xf numFmtId="0" fontId="39" fillId="10" borderId="0" applyNumberFormat="0" applyBorder="0" applyAlignment="0" applyProtection="0">
      <alignment vertical="center"/>
    </xf>
    <xf numFmtId="0" fontId="44" fillId="5" borderId="0" applyNumberFormat="0" applyBorder="0" applyAlignment="0" applyProtection="0">
      <alignment vertical="center"/>
    </xf>
    <xf numFmtId="0" fontId="39" fillId="10" borderId="0" applyNumberFormat="0" applyBorder="0" applyAlignment="0" applyProtection="0">
      <alignment vertical="center"/>
    </xf>
    <xf numFmtId="0" fontId="44" fillId="5"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81" fillId="0" borderId="0" applyBorder="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81" fillId="0" borderId="0" applyBorder="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81" fillId="0" borderId="0" applyBorder="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81" fillId="0" borderId="0" applyBorder="0">
      <alignment vertical="center"/>
    </xf>
    <xf numFmtId="0" fontId="39" fillId="10" borderId="0" applyNumberFormat="0" applyBorder="0" applyAlignment="0" applyProtection="0">
      <alignment vertical="center"/>
    </xf>
    <xf numFmtId="0" fontId="44" fillId="5"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81" fillId="0" borderId="0">
      <alignment vertical="center"/>
    </xf>
    <xf numFmtId="0" fontId="39" fillId="10" borderId="0" applyNumberFormat="0" applyBorder="0" applyAlignment="0" applyProtection="0">
      <alignment vertical="center"/>
    </xf>
    <xf numFmtId="0" fontId="81" fillId="0" borderId="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81" fillId="0" borderId="0" applyBorder="0">
      <alignment vertical="center"/>
    </xf>
    <xf numFmtId="0" fontId="39" fillId="10" borderId="0" applyNumberFormat="0" applyBorder="0" applyAlignment="0" applyProtection="0">
      <alignment vertical="center"/>
    </xf>
    <xf numFmtId="0" fontId="81" fillId="0" borderId="0"/>
    <xf numFmtId="0" fontId="81" fillId="0" borderId="0" applyBorder="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81" fillId="0" borderId="0" applyBorder="0">
      <alignment vertical="center"/>
    </xf>
    <xf numFmtId="0" fontId="39" fillId="10" borderId="0" applyNumberFormat="0" applyBorder="0" applyAlignment="0" applyProtection="0">
      <alignment vertical="center"/>
    </xf>
    <xf numFmtId="0" fontId="39" fillId="5"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10" borderId="0" applyNumberFormat="0" applyBorder="0" applyAlignment="0" applyProtection="0">
      <alignment vertical="center"/>
    </xf>
    <xf numFmtId="0" fontId="39" fillId="24" borderId="0" applyNumberFormat="0" applyBorder="0" applyAlignment="0" applyProtection="0">
      <alignment vertical="center"/>
    </xf>
    <xf numFmtId="0" fontId="41" fillId="13" borderId="0" applyNumberFormat="0" applyBorder="0" applyAlignment="0" applyProtection="0">
      <alignment vertical="center"/>
    </xf>
    <xf numFmtId="0" fontId="81" fillId="0" borderId="0" applyBorder="0">
      <alignment vertical="center"/>
    </xf>
    <xf numFmtId="0" fontId="81" fillId="0" borderId="0">
      <alignment vertical="center"/>
    </xf>
    <xf numFmtId="0" fontId="39" fillId="24"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pplyBorder="0">
      <alignment vertical="center"/>
    </xf>
    <xf numFmtId="0" fontId="81" fillId="0" borderId="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26" borderId="0" applyNumberFormat="0" applyBorder="0" applyAlignment="0" applyProtection="0">
      <alignment vertical="center"/>
    </xf>
    <xf numFmtId="0" fontId="43" fillId="0" borderId="34" applyNumberFormat="0" applyFill="0" applyAlignment="0" applyProtection="0">
      <alignment vertical="center"/>
    </xf>
    <xf numFmtId="0" fontId="81" fillId="0" borderId="0" applyBorder="0">
      <alignment vertical="center"/>
    </xf>
    <xf numFmtId="0" fontId="39" fillId="26" borderId="0" applyNumberFormat="0" applyBorder="0" applyAlignment="0" applyProtection="0">
      <alignment vertical="center"/>
    </xf>
    <xf numFmtId="0" fontId="43" fillId="0" borderId="34" applyNumberFormat="0" applyFill="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pplyBorder="0">
      <alignment vertical="center"/>
    </xf>
    <xf numFmtId="0" fontId="39" fillId="0" borderId="0">
      <alignment vertical="center"/>
    </xf>
    <xf numFmtId="0" fontId="39" fillId="5" borderId="0" applyNumberFormat="0" applyBorder="0" applyAlignment="0" applyProtection="0">
      <alignment vertical="center"/>
    </xf>
    <xf numFmtId="0" fontId="39" fillId="0" borderId="0">
      <alignment vertical="center"/>
    </xf>
    <xf numFmtId="0" fontId="39" fillId="0" borderId="0">
      <alignment vertical="center"/>
    </xf>
    <xf numFmtId="0" fontId="39" fillId="5" borderId="0" applyNumberFormat="0" applyBorder="0" applyAlignment="0" applyProtection="0">
      <alignment vertical="center"/>
    </xf>
    <xf numFmtId="0" fontId="39" fillId="0" borderId="0">
      <alignment vertical="center"/>
    </xf>
    <xf numFmtId="0" fontId="81" fillId="0" borderId="0">
      <alignment vertical="center"/>
    </xf>
    <xf numFmtId="0" fontId="39" fillId="5" borderId="0" applyNumberFormat="0" applyBorder="0" applyAlignment="0" applyProtection="0">
      <alignment vertical="center"/>
    </xf>
    <xf numFmtId="0" fontId="39" fillId="0" borderId="0">
      <alignment vertical="center"/>
    </xf>
    <xf numFmtId="0" fontId="81" fillId="0" borderId="0">
      <alignment vertical="center"/>
    </xf>
    <xf numFmtId="0" fontId="39" fillId="5" borderId="0" applyNumberFormat="0" applyBorder="0" applyAlignment="0" applyProtection="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lignment vertical="center"/>
    </xf>
    <xf numFmtId="0" fontId="81" fillId="0" borderId="0" applyBorder="0">
      <alignment vertical="center"/>
    </xf>
    <xf numFmtId="0" fontId="39" fillId="0" borderId="0">
      <alignment vertical="center"/>
    </xf>
    <xf numFmtId="0" fontId="39" fillId="5" borderId="0" applyNumberFormat="0" applyBorder="0" applyAlignment="0" applyProtection="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5" borderId="0" applyNumberFormat="0" applyBorder="0" applyAlignment="0" applyProtection="0">
      <alignment vertical="center"/>
    </xf>
    <xf numFmtId="0" fontId="81" fillId="0" borderId="0"/>
    <xf numFmtId="0" fontId="81" fillId="0" borderId="0">
      <alignment vertical="center"/>
    </xf>
    <xf numFmtId="0" fontId="39" fillId="0" borderId="0">
      <alignment vertical="center"/>
    </xf>
    <xf numFmtId="0" fontId="39" fillId="5" borderId="0" applyNumberFormat="0" applyBorder="0" applyAlignment="0" applyProtection="0">
      <alignment vertical="center"/>
    </xf>
    <xf numFmtId="0" fontId="81" fillId="0" borderId="0">
      <alignment vertical="center"/>
    </xf>
    <xf numFmtId="0" fontId="39" fillId="0" borderId="0">
      <alignment vertical="center"/>
    </xf>
    <xf numFmtId="0" fontId="39" fillId="5"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39" fillId="0" borderId="0">
      <alignment vertical="center"/>
    </xf>
    <xf numFmtId="0" fontId="39" fillId="5" borderId="0" applyNumberFormat="0" applyBorder="0" applyAlignment="0" applyProtection="0">
      <alignment vertical="center"/>
    </xf>
    <xf numFmtId="0" fontId="81" fillId="0" borderId="0" applyBorder="0">
      <alignment vertical="center"/>
    </xf>
    <xf numFmtId="0" fontId="39" fillId="0" borderId="0">
      <alignment vertical="center"/>
    </xf>
    <xf numFmtId="0" fontId="39" fillId="5" borderId="0" applyNumberFormat="0" applyBorder="0" applyAlignment="0" applyProtection="0">
      <alignment vertical="center"/>
    </xf>
    <xf numFmtId="0" fontId="81" fillId="0" borderId="0"/>
    <xf numFmtId="0" fontId="81" fillId="0" borderId="0" applyBorder="0">
      <alignment vertical="center"/>
    </xf>
    <xf numFmtId="0" fontId="39" fillId="0" borderId="0">
      <alignment vertical="center"/>
    </xf>
    <xf numFmtId="0" fontId="39" fillId="5" borderId="0" applyNumberFormat="0" applyBorder="0" applyAlignment="0" applyProtection="0">
      <alignment vertical="center"/>
    </xf>
    <xf numFmtId="0" fontId="39" fillId="0" borderId="0">
      <alignment vertical="center"/>
    </xf>
    <xf numFmtId="0" fontId="39" fillId="5" borderId="0" applyNumberFormat="0" applyBorder="0" applyAlignment="0" applyProtection="0">
      <alignment vertical="center"/>
    </xf>
    <xf numFmtId="0" fontId="81" fillId="0" borderId="0" applyBorder="0">
      <alignment vertical="center"/>
    </xf>
    <xf numFmtId="0" fontId="39" fillId="0" borderId="0">
      <alignment vertical="center"/>
    </xf>
    <xf numFmtId="0" fontId="39" fillId="5"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5" borderId="0" applyNumberFormat="0" applyBorder="0" applyAlignment="0" applyProtection="0">
      <alignment vertical="center"/>
    </xf>
    <xf numFmtId="0" fontId="39" fillId="0" borderId="0">
      <alignment vertical="center"/>
    </xf>
    <xf numFmtId="0" fontId="39" fillId="5" borderId="0" applyNumberFormat="0" applyBorder="0" applyAlignment="0" applyProtection="0">
      <alignment vertical="center"/>
    </xf>
    <xf numFmtId="0" fontId="39" fillId="0" borderId="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pplyBorder="0">
      <alignment vertical="center"/>
    </xf>
    <xf numFmtId="0" fontId="81" fillId="0" borderId="0"/>
    <xf numFmtId="0" fontId="39" fillId="0" borderId="0">
      <alignment vertical="center"/>
    </xf>
    <xf numFmtId="0" fontId="39" fillId="5" borderId="0" applyNumberFormat="0" applyBorder="0" applyAlignment="0" applyProtection="0">
      <alignment vertical="center"/>
    </xf>
    <xf numFmtId="0" fontId="81" fillId="0" borderId="0"/>
    <xf numFmtId="0" fontId="81" fillId="0" borderId="0" applyBorder="0">
      <alignment vertical="center"/>
    </xf>
    <xf numFmtId="0" fontId="39" fillId="5" borderId="0" applyNumberFormat="0" applyBorder="0" applyAlignment="0" applyProtection="0">
      <alignment vertical="center"/>
    </xf>
    <xf numFmtId="0" fontId="81" fillId="0" borderId="0">
      <alignment vertical="center"/>
    </xf>
    <xf numFmtId="0" fontId="81" fillId="0" borderId="0" applyBorder="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lignment vertical="center"/>
    </xf>
    <xf numFmtId="0" fontId="39" fillId="0" borderId="0">
      <alignment vertical="center"/>
    </xf>
    <xf numFmtId="0" fontId="41" fillId="13" borderId="0" applyNumberFormat="0" applyBorder="0" applyAlignment="0" applyProtection="0">
      <alignment vertical="center"/>
    </xf>
    <xf numFmtId="0" fontId="39" fillId="5" borderId="0" applyNumberFormat="0" applyBorder="0" applyAlignment="0" applyProtection="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xf numFmtId="0" fontId="39" fillId="0" borderId="0">
      <alignment vertical="center"/>
    </xf>
    <xf numFmtId="0" fontId="39" fillId="5" borderId="0" applyNumberFormat="0" applyBorder="0" applyAlignment="0" applyProtection="0">
      <alignment vertical="center"/>
    </xf>
    <xf numFmtId="0" fontId="81" fillId="0" borderId="0">
      <alignment vertical="center"/>
    </xf>
    <xf numFmtId="0" fontId="81" fillId="0" borderId="0">
      <alignment vertical="center"/>
    </xf>
    <xf numFmtId="0" fontId="81" fillId="0" borderId="0" applyBorder="0">
      <alignment vertical="center"/>
    </xf>
    <xf numFmtId="0" fontId="41" fillId="13" borderId="0" applyNumberFormat="0" applyBorder="0" applyAlignment="0" applyProtection="0">
      <alignment vertical="center"/>
    </xf>
    <xf numFmtId="0" fontId="39" fillId="5" borderId="0" applyNumberFormat="0" applyBorder="0" applyAlignment="0" applyProtection="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lignment vertical="center"/>
    </xf>
    <xf numFmtId="0" fontId="39" fillId="0" borderId="0">
      <alignment vertical="center"/>
    </xf>
    <xf numFmtId="0" fontId="39" fillId="5" borderId="0" applyNumberFormat="0" applyBorder="0" applyAlignment="0" applyProtection="0">
      <alignment vertical="center"/>
    </xf>
    <xf numFmtId="0" fontId="81" fillId="0" borderId="0">
      <alignment vertical="center"/>
    </xf>
    <xf numFmtId="0" fontId="81" fillId="0" borderId="0" applyBorder="0">
      <alignment vertical="center"/>
    </xf>
    <xf numFmtId="0" fontId="39" fillId="5" borderId="0" applyNumberFormat="0" applyBorder="0" applyAlignment="0" applyProtection="0">
      <alignment vertical="center"/>
    </xf>
    <xf numFmtId="0" fontId="39" fillId="0" borderId="0">
      <alignment vertical="center"/>
    </xf>
    <xf numFmtId="0" fontId="81" fillId="0" borderId="0" applyBorder="0">
      <alignment vertical="center"/>
    </xf>
    <xf numFmtId="0" fontId="81" fillId="0" borderId="0">
      <alignment vertical="center"/>
    </xf>
    <xf numFmtId="0" fontId="39" fillId="5" borderId="0" applyNumberFormat="0" applyBorder="0" applyAlignment="0" applyProtection="0">
      <alignment vertical="center"/>
    </xf>
    <xf numFmtId="0" fontId="39" fillId="0" borderId="0">
      <alignment vertical="center"/>
    </xf>
    <xf numFmtId="0" fontId="81" fillId="0" borderId="0">
      <alignment vertical="center"/>
    </xf>
    <xf numFmtId="0" fontId="39" fillId="5"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pplyBorder="0">
      <alignment vertical="center"/>
    </xf>
    <xf numFmtId="0" fontId="39" fillId="0" borderId="0">
      <alignment vertical="center"/>
    </xf>
    <xf numFmtId="0" fontId="39" fillId="5" borderId="0" applyNumberFormat="0" applyBorder="0" applyAlignment="0" applyProtection="0">
      <alignment vertical="center"/>
    </xf>
    <xf numFmtId="0" fontId="81" fillId="0" borderId="0">
      <alignment vertical="center"/>
    </xf>
    <xf numFmtId="0" fontId="39" fillId="0" borderId="0">
      <alignment vertical="center"/>
    </xf>
    <xf numFmtId="0" fontId="39" fillId="5" borderId="0" applyNumberFormat="0" applyBorder="0" applyAlignment="0" applyProtection="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pplyBorder="0">
      <alignment vertical="center"/>
    </xf>
    <xf numFmtId="0" fontId="39" fillId="0" borderId="0">
      <alignment vertical="center"/>
    </xf>
    <xf numFmtId="0" fontId="39" fillId="5" borderId="0" applyNumberFormat="0" applyBorder="0" applyAlignment="0" applyProtection="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5" borderId="0" applyNumberFormat="0" applyBorder="0" applyAlignment="0" applyProtection="0">
      <alignment vertical="center"/>
    </xf>
    <xf numFmtId="0" fontId="39" fillId="0" borderId="0">
      <alignment vertical="center"/>
    </xf>
    <xf numFmtId="0" fontId="81" fillId="0" borderId="0" applyBorder="0">
      <alignment vertical="center"/>
    </xf>
    <xf numFmtId="0" fontId="39" fillId="5" borderId="0" applyNumberFormat="0" applyBorder="0" applyAlignment="0" applyProtection="0">
      <alignment vertical="center"/>
    </xf>
    <xf numFmtId="0" fontId="39" fillId="0" borderId="0">
      <alignment vertical="center"/>
    </xf>
    <xf numFmtId="0" fontId="81" fillId="0" borderId="0" applyBorder="0">
      <alignment vertical="center"/>
    </xf>
    <xf numFmtId="0" fontId="39" fillId="5" borderId="0" applyNumberFormat="0" applyBorder="0" applyAlignment="0" applyProtection="0">
      <alignment vertical="center"/>
    </xf>
    <xf numFmtId="0" fontId="39" fillId="0" borderId="0">
      <alignment vertical="center"/>
    </xf>
    <xf numFmtId="0" fontId="39" fillId="5" borderId="0" applyNumberFormat="0" applyBorder="0" applyAlignment="0" applyProtection="0">
      <alignment vertical="center"/>
    </xf>
    <xf numFmtId="0" fontId="39" fillId="0" borderId="0">
      <alignment vertical="center"/>
    </xf>
    <xf numFmtId="0" fontId="81" fillId="0" borderId="0" applyBorder="0">
      <alignment vertical="center"/>
    </xf>
    <xf numFmtId="0" fontId="39" fillId="5" borderId="0" applyNumberFormat="0" applyBorder="0" applyAlignment="0" applyProtection="0">
      <alignment vertical="center"/>
    </xf>
    <xf numFmtId="0" fontId="39" fillId="0" borderId="0">
      <alignment vertical="center"/>
    </xf>
    <xf numFmtId="0" fontId="81" fillId="0" borderId="0">
      <alignment vertical="center"/>
    </xf>
    <xf numFmtId="0" fontId="39" fillId="5" borderId="0" applyNumberFormat="0" applyBorder="0" applyAlignment="0" applyProtection="0">
      <alignment vertical="center"/>
    </xf>
    <xf numFmtId="0" fontId="39" fillId="0" borderId="0">
      <alignment vertical="center"/>
    </xf>
    <xf numFmtId="0" fontId="81" fillId="0" borderId="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5" borderId="0" applyNumberFormat="0" applyBorder="0" applyAlignment="0" applyProtection="0">
      <alignment vertical="center"/>
    </xf>
    <xf numFmtId="0" fontId="39" fillId="0" borderId="0">
      <alignment vertical="center"/>
    </xf>
    <xf numFmtId="0" fontId="39" fillId="5"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0" borderId="0">
      <alignment vertical="center"/>
    </xf>
    <xf numFmtId="0" fontId="39" fillId="5" borderId="0" applyNumberFormat="0" applyBorder="0" applyAlignment="0" applyProtection="0">
      <alignment vertical="center"/>
    </xf>
    <xf numFmtId="0" fontId="39" fillId="0" borderId="0">
      <alignment vertical="center"/>
    </xf>
    <xf numFmtId="0" fontId="81" fillId="0" borderId="0" applyBorder="0">
      <alignment vertical="center"/>
    </xf>
    <xf numFmtId="0" fontId="81" fillId="0" borderId="0">
      <alignment vertical="center"/>
    </xf>
    <xf numFmtId="0" fontId="39" fillId="5" borderId="0" applyNumberFormat="0" applyBorder="0" applyAlignment="0" applyProtection="0">
      <alignment vertical="center"/>
    </xf>
    <xf numFmtId="0" fontId="39" fillId="0" borderId="0">
      <alignment vertical="center"/>
    </xf>
    <xf numFmtId="0" fontId="81" fillId="0" borderId="0" applyBorder="0">
      <alignment vertical="center"/>
    </xf>
    <xf numFmtId="0" fontId="81" fillId="0" borderId="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39" fillId="0" borderId="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pplyBorder="0">
      <alignment vertical="center"/>
    </xf>
    <xf numFmtId="0" fontId="81" fillId="0" borderId="0"/>
    <xf numFmtId="0" fontId="81" fillId="0" borderId="0">
      <alignment vertical="center"/>
    </xf>
    <xf numFmtId="0" fontId="39" fillId="5" borderId="0" applyNumberFormat="0" applyBorder="0" applyAlignment="0" applyProtection="0">
      <alignment vertical="center"/>
    </xf>
    <xf numFmtId="0" fontId="81" fillId="0" borderId="0" applyBorder="0">
      <alignment vertical="center"/>
    </xf>
    <xf numFmtId="0" fontId="81" fillId="0" borderId="0"/>
    <xf numFmtId="0" fontId="81" fillId="0" borderId="0" applyBorder="0">
      <alignment vertical="center"/>
    </xf>
    <xf numFmtId="0" fontId="39" fillId="5" borderId="0" applyNumberFormat="0" applyBorder="0" applyAlignment="0" applyProtection="0">
      <alignment vertical="center"/>
    </xf>
    <xf numFmtId="0" fontId="81" fillId="0" borderId="0"/>
    <xf numFmtId="0" fontId="81" fillId="0" borderId="0" applyBorder="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0" borderId="0">
      <alignment vertical="center"/>
    </xf>
    <xf numFmtId="0" fontId="81" fillId="0" borderId="0"/>
    <xf numFmtId="0" fontId="81" fillId="0" borderId="0">
      <alignment vertical="center"/>
    </xf>
    <xf numFmtId="0" fontId="39" fillId="5" borderId="0" applyNumberFormat="0" applyBorder="0" applyAlignment="0" applyProtection="0">
      <alignment vertical="center"/>
    </xf>
    <xf numFmtId="0" fontId="39" fillId="0" borderId="0">
      <alignment vertical="center"/>
    </xf>
    <xf numFmtId="0" fontId="81" fillId="0" borderId="0"/>
    <xf numFmtId="0" fontId="81" fillId="0" borderId="0" applyBorder="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xf numFmtId="0" fontId="81" fillId="0" borderId="0" applyBorder="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xf numFmtId="0" fontId="81" fillId="0" borderId="0" applyBorder="0">
      <alignment vertical="center"/>
    </xf>
    <xf numFmtId="0" fontId="81" fillId="0" borderId="0">
      <alignment vertical="center"/>
    </xf>
    <xf numFmtId="0" fontId="39" fillId="5"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pplyBorder="0">
      <alignment vertical="center"/>
    </xf>
    <xf numFmtId="0" fontId="81" fillId="0" borderId="0"/>
    <xf numFmtId="0" fontId="81" fillId="0" borderId="0" applyBorder="0">
      <alignment vertical="center"/>
    </xf>
    <xf numFmtId="0" fontId="39" fillId="5" borderId="0" applyNumberFormat="0" applyBorder="0" applyAlignment="0" applyProtection="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5" borderId="0" applyNumberFormat="0" applyBorder="0" applyAlignment="0" applyProtection="0">
      <alignment vertical="center"/>
    </xf>
    <xf numFmtId="0" fontId="39" fillId="0" borderId="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0" borderId="0">
      <alignment vertical="center"/>
    </xf>
    <xf numFmtId="0" fontId="81" fillId="0" borderId="0" applyBorder="0">
      <alignment vertical="center"/>
    </xf>
    <xf numFmtId="0" fontId="81" fillId="0" borderId="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39" fillId="0" borderId="0">
      <alignment vertical="center"/>
    </xf>
    <xf numFmtId="0" fontId="39" fillId="5"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0" borderId="0">
      <alignment vertical="center"/>
    </xf>
    <xf numFmtId="0" fontId="39" fillId="5" borderId="0" applyNumberFormat="0" applyBorder="0" applyAlignment="0" applyProtection="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5" borderId="0" applyNumberFormat="0" applyBorder="0" applyAlignment="0" applyProtection="0">
      <alignment vertical="center"/>
    </xf>
    <xf numFmtId="0" fontId="39" fillId="0" borderId="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alignment vertical="center"/>
    </xf>
    <xf numFmtId="0" fontId="81" fillId="0" borderId="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39" fillId="0" borderId="0">
      <alignment vertical="center"/>
    </xf>
    <xf numFmtId="0" fontId="81" fillId="0" borderId="0"/>
    <xf numFmtId="0" fontId="81" fillId="0" borderId="0">
      <alignment vertical="center"/>
    </xf>
    <xf numFmtId="0" fontId="39" fillId="5"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lignment vertical="center"/>
    </xf>
    <xf numFmtId="0" fontId="39" fillId="0" borderId="0">
      <alignment vertical="center"/>
    </xf>
    <xf numFmtId="0" fontId="39" fillId="5" borderId="0" applyNumberFormat="0" applyBorder="0" applyAlignment="0" applyProtection="0">
      <alignment vertical="center"/>
    </xf>
    <xf numFmtId="0" fontId="81" fillId="0" borderId="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0" borderId="0">
      <alignment vertical="center"/>
    </xf>
    <xf numFmtId="0" fontId="81" fillId="0" borderId="0" applyBorder="0">
      <alignment vertical="center"/>
    </xf>
    <xf numFmtId="0" fontId="39" fillId="5" borderId="0" applyNumberFormat="0" applyBorder="0" applyAlignment="0" applyProtection="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alignment vertical="center"/>
    </xf>
    <xf numFmtId="0" fontId="81" fillId="0" borderId="0" applyBorder="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5" borderId="0" applyNumberFormat="0" applyBorder="0" applyAlignment="0" applyProtection="0">
      <alignment vertical="center"/>
    </xf>
    <xf numFmtId="0" fontId="39" fillId="0" borderId="0">
      <alignment vertical="center"/>
    </xf>
    <xf numFmtId="0" fontId="39" fillId="5" borderId="0" applyNumberFormat="0" applyBorder="0" applyAlignment="0" applyProtection="0">
      <alignment vertical="center"/>
    </xf>
    <xf numFmtId="0" fontId="39" fillId="0" borderId="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pplyBorder="0">
      <alignment vertical="center"/>
    </xf>
    <xf numFmtId="0" fontId="81" fillId="0" borderId="0">
      <alignment vertical="center"/>
    </xf>
    <xf numFmtId="0" fontId="39" fillId="5"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0" borderId="0">
      <alignment vertical="center"/>
    </xf>
    <xf numFmtId="0" fontId="39" fillId="5" borderId="0" applyNumberFormat="0" applyBorder="0" applyAlignment="0" applyProtection="0">
      <alignment vertical="center"/>
    </xf>
    <xf numFmtId="0" fontId="39" fillId="0" borderId="0">
      <alignment vertical="center"/>
    </xf>
    <xf numFmtId="0" fontId="81" fillId="0" borderId="0" applyBorder="0">
      <alignment vertical="center"/>
    </xf>
    <xf numFmtId="0" fontId="39" fillId="5" borderId="0" applyNumberFormat="0" applyBorder="0" applyAlignment="0" applyProtection="0">
      <alignment vertical="center"/>
    </xf>
    <xf numFmtId="0" fontId="39" fillId="0" borderId="0">
      <alignment vertical="center"/>
    </xf>
    <xf numFmtId="0" fontId="39" fillId="5" borderId="0" applyNumberFormat="0" applyBorder="0" applyAlignment="0" applyProtection="0">
      <alignment vertical="center"/>
    </xf>
    <xf numFmtId="0" fontId="81" fillId="0" borderId="0" applyBorder="0">
      <alignment vertical="center"/>
    </xf>
    <xf numFmtId="0" fontId="39" fillId="0" borderId="0">
      <alignment vertical="center"/>
    </xf>
    <xf numFmtId="0" fontId="39" fillId="5" borderId="0" applyNumberFormat="0" applyBorder="0" applyAlignment="0" applyProtection="0">
      <alignment vertical="center"/>
    </xf>
    <xf numFmtId="0" fontId="39" fillId="0" borderId="0">
      <alignment vertical="center"/>
    </xf>
    <xf numFmtId="0" fontId="39" fillId="5" borderId="0" applyNumberFormat="0" applyBorder="0" applyAlignment="0" applyProtection="0">
      <alignment vertical="center"/>
    </xf>
    <xf numFmtId="0" fontId="81" fillId="0" borderId="0">
      <alignment vertical="center"/>
    </xf>
    <xf numFmtId="0" fontId="39" fillId="0" borderId="0">
      <alignment vertical="center"/>
    </xf>
    <xf numFmtId="0" fontId="39" fillId="5" borderId="0" applyNumberFormat="0" applyBorder="0" applyAlignment="0" applyProtection="0">
      <alignment vertical="center"/>
    </xf>
    <xf numFmtId="0" fontId="39" fillId="0" borderId="0">
      <alignment vertical="center"/>
    </xf>
    <xf numFmtId="0" fontId="39" fillId="5" borderId="0" applyNumberFormat="0" applyBorder="0" applyAlignment="0" applyProtection="0">
      <alignment vertical="center"/>
    </xf>
    <xf numFmtId="0" fontId="81" fillId="0" borderId="0" applyBorder="0">
      <alignment vertical="center"/>
    </xf>
    <xf numFmtId="0" fontId="39" fillId="0" borderId="0">
      <alignment vertical="center"/>
    </xf>
    <xf numFmtId="0" fontId="39" fillId="5" borderId="0" applyNumberFormat="0" applyBorder="0" applyAlignment="0" applyProtection="0">
      <alignment vertical="center"/>
    </xf>
    <xf numFmtId="0" fontId="39" fillId="0" borderId="0">
      <alignment vertical="center"/>
    </xf>
    <xf numFmtId="0" fontId="39" fillId="5" borderId="0" applyNumberFormat="0" applyBorder="0" applyAlignment="0" applyProtection="0">
      <alignment vertical="center"/>
    </xf>
    <xf numFmtId="0" fontId="39" fillId="0" borderId="0">
      <alignment vertical="center"/>
    </xf>
    <xf numFmtId="0" fontId="39" fillId="5" borderId="0" applyNumberFormat="0" applyBorder="0" applyAlignment="0" applyProtection="0">
      <alignment vertical="center"/>
    </xf>
    <xf numFmtId="0" fontId="39" fillId="0" borderId="0">
      <alignment vertical="center"/>
    </xf>
    <xf numFmtId="0" fontId="39" fillId="5" borderId="0" applyNumberFormat="0" applyBorder="0" applyAlignment="0" applyProtection="0">
      <alignment vertical="center"/>
    </xf>
    <xf numFmtId="0" fontId="39" fillId="0" borderId="0">
      <alignment vertical="center"/>
    </xf>
    <xf numFmtId="0" fontId="81" fillId="0" borderId="0" applyBorder="0">
      <alignment vertical="center"/>
    </xf>
    <xf numFmtId="0" fontId="39" fillId="5" borderId="0" applyNumberFormat="0" applyBorder="0" applyAlignment="0" applyProtection="0">
      <alignment vertical="center"/>
    </xf>
    <xf numFmtId="0" fontId="39" fillId="0" borderId="0">
      <alignment vertical="center"/>
    </xf>
    <xf numFmtId="0" fontId="39" fillId="5" borderId="0" applyNumberFormat="0" applyBorder="0" applyAlignment="0" applyProtection="0">
      <alignment vertical="center"/>
    </xf>
    <xf numFmtId="0" fontId="81" fillId="0" borderId="0">
      <alignment vertical="center"/>
    </xf>
    <xf numFmtId="0" fontId="81" fillId="0" borderId="0" applyBorder="0">
      <alignment vertical="center"/>
    </xf>
    <xf numFmtId="0" fontId="39" fillId="0" borderId="0">
      <alignment vertical="center"/>
    </xf>
    <xf numFmtId="0" fontId="39" fillId="5" borderId="0" applyNumberFormat="0" applyBorder="0" applyAlignment="0" applyProtection="0">
      <alignment vertical="center"/>
    </xf>
    <xf numFmtId="0" fontId="39" fillId="0" borderId="0">
      <alignment vertical="center"/>
    </xf>
    <xf numFmtId="0" fontId="39" fillId="5" borderId="0" applyNumberFormat="0" applyBorder="0" applyAlignment="0" applyProtection="0">
      <alignment vertical="center"/>
    </xf>
    <xf numFmtId="0" fontId="39" fillId="0" borderId="0">
      <alignment vertical="center"/>
    </xf>
    <xf numFmtId="0" fontId="39" fillId="5" borderId="0" applyNumberFormat="0" applyBorder="0" applyAlignment="0" applyProtection="0">
      <alignment vertical="center"/>
    </xf>
    <xf numFmtId="0" fontId="39" fillId="0" borderId="0">
      <alignment vertical="center"/>
    </xf>
    <xf numFmtId="0" fontId="39" fillId="5" borderId="0" applyNumberFormat="0" applyBorder="0" applyAlignment="0" applyProtection="0">
      <alignment vertical="center"/>
    </xf>
    <xf numFmtId="0" fontId="81" fillId="0" borderId="0">
      <alignment vertical="center"/>
    </xf>
    <xf numFmtId="0" fontId="39" fillId="0" borderId="0">
      <alignment vertical="center"/>
    </xf>
    <xf numFmtId="0" fontId="39" fillId="5" borderId="0" applyNumberFormat="0" applyBorder="0" applyAlignment="0" applyProtection="0">
      <alignment vertical="center"/>
    </xf>
    <xf numFmtId="0" fontId="42" fillId="0" borderId="33" applyNumberFormat="0" applyFill="0" applyAlignment="0" applyProtection="0">
      <alignment vertical="center"/>
    </xf>
    <xf numFmtId="0" fontId="39" fillId="0" borderId="0">
      <alignment vertical="center"/>
    </xf>
    <xf numFmtId="0" fontId="39" fillId="5" borderId="0" applyNumberFormat="0" applyBorder="0" applyAlignment="0" applyProtection="0">
      <alignment vertical="center"/>
    </xf>
    <xf numFmtId="0" fontId="39" fillId="0" borderId="0">
      <alignment vertical="center"/>
    </xf>
    <xf numFmtId="0" fontId="39" fillId="5" borderId="0" applyNumberFormat="0" applyBorder="0" applyAlignment="0" applyProtection="0">
      <alignment vertical="center"/>
    </xf>
    <xf numFmtId="0" fontId="39" fillId="0" borderId="0">
      <alignment vertical="center"/>
    </xf>
    <xf numFmtId="0" fontId="39" fillId="5" borderId="0" applyNumberFormat="0" applyBorder="0" applyAlignment="0" applyProtection="0">
      <alignment vertical="center"/>
    </xf>
    <xf numFmtId="0" fontId="39" fillId="0" borderId="0">
      <alignment vertical="center"/>
    </xf>
    <xf numFmtId="0" fontId="39" fillId="5" borderId="0" applyNumberFormat="0" applyBorder="0" applyAlignment="0" applyProtection="0">
      <alignment vertical="center"/>
    </xf>
    <xf numFmtId="0" fontId="39" fillId="0" borderId="0">
      <alignment vertical="center"/>
    </xf>
    <xf numFmtId="0" fontId="39" fillId="5"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5" borderId="0" applyNumberFormat="0" applyBorder="0" applyAlignment="0" applyProtection="0">
      <alignment vertical="center"/>
    </xf>
    <xf numFmtId="0" fontId="39" fillId="0" borderId="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pplyBorder="0">
      <alignment vertical="center"/>
    </xf>
    <xf numFmtId="0" fontId="39" fillId="0" borderId="0">
      <alignment vertical="center"/>
    </xf>
    <xf numFmtId="0" fontId="39" fillId="5" borderId="0" applyNumberFormat="0" applyBorder="0" applyAlignment="0" applyProtection="0">
      <alignment vertical="center"/>
    </xf>
    <xf numFmtId="0" fontId="39" fillId="0" borderId="0">
      <alignment vertical="center"/>
    </xf>
    <xf numFmtId="0" fontId="81" fillId="0" borderId="0"/>
    <xf numFmtId="0" fontId="81" fillId="0" borderId="0" applyBorder="0">
      <alignment vertical="center"/>
    </xf>
    <xf numFmtId="0" fontId="39" fillId="5" borderId="0" applyNumberFormat="0" applyBorder="0" applyAlignment="0" applyProtection="0">
      <alignment vertical="center"/>
    </xf>
    <xf numFmtId="0" fontId="81" fillId="0" borderId="0"/>
    <xf numFmtId="0" fontId="39" fillId="0" borderId="0">
      <alignment vertical="center"/>
    </xf>
    <xf numFmtId="0" fontId="39" fillId="5" borderId="0" applyNumberFormat="0" applyBorder="0" applyAlignment="0" applyProtection="0">
      <alignment vertical="center"/>
    </xf>
    <xf numFmtId="0" fontId="81" fillId="0" borderId="0" applyBorder="0">
      <alignment vertical="center"/>
    </xf>
    <xf numFmtId="0" fontId="39" fillId="0" borderId="0">
      <alignment vertical="center"/>
    </xf>
    <xf numFmtId="0" fontId="39" fillId="5" borderId="0" applyNumberFormat="0" applyBorder="0" applyAlignment="0" applyProtection="0">
      <alignment vertical="center"/>
    </xf>
    <xf numFmtId="0" fontId="39" fillId="0" borderId="0">
      <alignment vertical="center"/>
    </xf>
    <xf numFmtId="0" fontId="39" fillId="5" borderId="0" applyNumberFormat="0" applyBorder="0" applyAlignment="0" applyProtection="0">
      <alignment vertical="center"/>
    </xf>
    <xf numFmtId="0" fontId="81" fillId="0" borderId="0"/>
    <xf numFmtId="0" fontId="39" fillId="0" borderId="0">
      <alignment vertical="center"/>
    </xf>
    <xf numFmtId="0" fontId="39" fillId="5" borderId="0" applyNumberFormat="0" applyBorder="0" applyAlignment="0" applyProtection="0">
      <alignment vertical="center"/>
    </xf>
    <xf numFmtId="0" fontId="39" fillId="0" borderId="0">
      <alignment vertical="center"/>
    </xf>
    <xf numFmtId="0" fontId="39" fillId="5" borderId="0" applyNumberFormat="0" applyBorder="0" applyAlignment="0" applyProtection="0">
      <alignment vertical="center"/>
    </xf>
    <xf numFmtId="0" fontId="81" fillId="0" borderId="0" applyBorder="0">
      <alignment vertical="center"/>
    </xf>
    <xf numFmtId="0" fontId="39" fillId="0" borderId="0">
      <alignment vertical="center"/>
    </xf>
    <xf numFmtId="0" fontId="39" fillId="5" borderId="0" applyNumberFormat="0" applyBorder="0" applyAlignment="0" applyProtection="0">
      <alignment vertical="center"/>
    </xf>
    <xf numFmtId="0" fontId="39" fillId="0" borderId="0">
      <alignment vertical="center"/>
    </xf>
    <xf numFmtId="0" fontId="39" fillId="5" borderId="0" applyNumberFormat="0" applyBorder="0" applyAlignment="0" applyProtection="0">
      <alignment vertical="center"/>
    </xf>
    <xf numFmtId="0" fontId="39" fillId="0" borderId="0">
      <alignment vertical="center"/>
    </xf>
    <xf numFmtId="0" fontId="81" fillId="0" borderId="0"/>
    <xf numFmtId="0" fontId="81" fillId="0" borderId="0" applyBorder="0">
      <alignment vertical="center"/>
    </xf>
    <xf numFmtId="0" fontId="39" fillId="5" borderId="0" applyNumberFormat="0" applyBorder="0" applyAlignment="0" applyProtection="0">
      <alignment vertical="center"/>
    </xf>
    <xf numFmtId="0" fontId="39" fillId="0" borderId="0">
      <alignment vertical="center"/>
    </xf>
    <xf numFmtId="0" fontId="39" fillId="5" borderId="0" applyNumberFormat="0" applyBorder="0" applyAlignment="0" applyProtection="0">
      <alignment vertical="center"/>
    </xf>
    <xf numFmtId="0" fontId="39" fillId="0" borderId="0">
      <alignment vertical="center"/>
    </xf>
    <xf numFmtId="0" fontId="39" fillId="5" borderId="0" applyNumberFormat="0" applyBorder="0" applyAlignment="0" applyProtection="0">
      <alignment vertical="center"/>
    </xf>
    <xf numFmtId="0" fontId="39" fillId="0" borderId="0">
      <alignment vertical="center"/>
    </xf>
    <xf numFmtId="0" fontId="39" fillId="5" borderId="0" applyNumberFormat="0" applyBorder="0" applyAlignment="0" applyProtection="0">
      <alignment vertical="center"/>
    </xf>
    <xf numFmtId="0" fontId="44" fillId="10" borderId="0" applyNumberFormat="0" applyBorder="0" applyAlignment="0" applyProtection="0">
      <alignment vertical="center"/>
    </xf>
    <xf numFmtId="0" fontId="81" fillId="0" borderId="0"/>
    <xf numFmtId="0" fontId="39" fillId="0" borderId="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44" fillId="10" borderId="0" applyNumberFormat="0" applyBorder="0" applyAlignment="0" applyProtection="0">
      <alignment vertical="center"/>
    </xf>
    <xf numFmtId="0" fontId="81" fillId="0" borderId="0">
      <alignment vertical="center"/>
    </xf>
    <xf numFmtId="0" fontId="81" fillId="0" borderId="0" applyBorder="0">
      <alignment vertical="center"/>
    </xf>
    <xf numFmtId="0" fontId="39" fillId="5" borderId="0" applyNumberFormat="0" applyBorder="0" applyAlignment="0" applyProtection="0">
      <alignment vertical="center"/>
    </xf>
    <xf numFmtId="0" fontId="39" fillId="0" borderId="0">
      <alignment vertical="center"/>
    </xf>
    <xf numFmtId="0" fontId="39" fillId="5" borderId="0" applyNumberFormat="0" applyBorder="0" applyAlignment="0" applyProtection="0">
      <alignment vertical="center"/>
    </xf>
    <xf numFmtId="0" fontId="44" fillId="10" borderId="0" applyNumberFormat="0" applyBorder="0" applyAlignment="0" applyProtection="0">
      <alignment vertical="center"/>
    </xf>
    <xf numFmtId="0" fontId="39" fillId="0" borderId="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0" borderId="0">
      <alignment vertical="center"/>
    </xf>
    <xf numFmtId="0" fontId="39" fillId="5" borderId="0" applyNumberFormat="0" applyBorder="0" applyAlignment="0" applyProtection="0">
      <alignment vertical="center"/>
    </xf>
    <xf numFmtId="0" fontId="39" fillId="0" borderId="0">
      <alignment vertical="center"/>
    </xf>
    <xf numFmtId="0" fontId="39" fillId="5" borderId="0" applyNumberFormat="0" applyBorder="0" applyAlignment="0" applyProtection="0">
      <alignment vertical="center"/>
    </xf>
    <xf numFmtId="0" fontId="39" fillId="0" borderId="0">
      <alignment vertical="center"/>
    </xf>
    <xf numFmtId="0" fontId="81" fillId="0" borderId="0" applyBorder="0">
      <alignment vertical="center"/>
    </xf>
    <xf numFmtId="0" fontId="39" fillId="5" borderId="0" applyNumberFormat="0" applyBorder="0" applyAlignment="0" applyProtection="0">
      <alignment vertical="center"/>
    </xf>
    <xf numFmtId="0" fontId="39" fillId="0" borderId="0">
      <alignment vertical="center"/>
    </xf>
    <xf numFmtId="0" fontId="39" fillId="5" borderId="0" applyNumberFormat="0" applyBorder="0" applyAlignment="0" applyProtection="0">
      <alignment vertical="center"/>
    </xf>
    <xf numFmtId="0" fontId="39" fillId="0" borderId="0">
      <alignment vertical="center"/>
    </xf>
    <xf numFmtId="0" fontId="81" fillId="0" borderId="0" applyBorder="0">
      <alignment vertical="center"/>
    </xf>
    <xf numFmtId="0" fontId="39" fillId="0" borderId="0">
      <alignment vertical="center"/>
    </xf>
    <xf numFmtId="0" fontId="39" fillId="5" borderId="0" applyNumberFormat="0" applyBorder="0" applyAlignment="0" applyProtection="0">
      <alignment vertical="center"/>
    </xf>
    <xf numFmtId="0" fontId="39" fillId="0" borderId="0">
      <alignment vertical="center"/>
    </xf>
    <xf numFmtId="0" fontId="39" fillId="5" borderId="0" applyNumberFormat="0" applyBorder="0" applyAlignment="0" applyProtection="0">
      <alignment vertical="center"/>
    </xf>
    <xf numFmtId="0" fontId="81" fillId="0" borderId="0">
      <alignment vertical="center"/>
    </xf>
    <xf numFmtId="0" fontId="39" fillId="0" borderId="0">
      <alignment vertical="center"/>
    </xf>
    <xf numFmtId="0" fontId="39" fillId="5" borderId="0" applyNumberFormat="0" applyBorder="0" applyAlignment="0" applyProtection="0">
      <alignment vertical="center"/>
    </xf>
    <xf numFmtId="0" fontId="39" fillId="0" borderId="0">
      <alignment vertical="center"/>
    </xf>
    <xf numFmtId="0" fontId="39" fillId="5" borderId="0" applyNumberFormat="0" applyBorder="0" applyAlignment="0" applyProtection="0">
      <alignment vertical="center"/>
    </xf>
    <xf numFmtId="0" fontId="81" fillId="0" borderId="0" applyBorder="0">
      <alignment vertical="center"/>
    </xf>
    <xf numFmtId="0" fontId="81" fillId="0" borderId="0"/>
    <xf numFmtId="0" fontId="39" fillId="0" borderId="0">
      <alignment vertical="center"/>
    </xf>
    <xf numFmtId="0" fontId="39" fillId="5" borderId="0" applyNumberFormat="0" applyBorder="0" applyAlignment="0" applyProtection="0">
      <alignment vertical="center"/>
    </xf>
    <xf numFmtId="0" fontId="81" fillId="0" borderId="0" applyBorder="0">
      <alignment vertical="center"/>
    </xf>
    <xf numFmtId="0" fontId="39" fillId="0" borderId="0">
      <alignment vertical="center"/>
    </xf>
    <xf numFmtId="0" fontId="39" fillId="5" borderId="0" applyNumberFormat="0" applyBorder="0" applyAlignment="0" applyProtection="0">
      <alignment vertical="center"/>
    </xf>
    <xf numFmtId="0" fontId="81" fillId="0" borderId="0" applyBorder="0">
      <alignment vertical="center"/>
    </xf>
    <xf numFmtId="0" fontId="39" fillId="0" borderId="0">
      <alignment vertical="center"/>
    </xf>
    <xf numFmtId="0" fontId="39" fillId="5" borderId="0" applyNumberFormat="0" applyBorder="0" applyAlignment="0" applyProtection="0">
      <alignment vertical="center"/>
    </xf>
    <xf numFmtId="0" fontId="81" fillId="0" borderId="0">
      <alignment vertical="center"/>
    </xf>
    <xf numFmtId="0" fontId="39" fillId="0" borderId="0">
      <alignment vertical="center"/>
    </xf>
    <xf numFmtId="0" fontId="39" fillId="5" borderId="0" applyNumberFormat="0" applyBorder="0" applyAlignment="0" applyProtection="0">
      <alignment vertical="center"/>
    </xf>
    <xf numFmtId="0" fontId="39" fillId="0" borderId="0">
      <alignment vertical="center"/>
    </xf>
    <xf numFmtId="0" fontId="39" fillId="5" borderId="0" applyNumberFormat="0" applyBorder="0" applyAlignment="0" applyProtection="0">
      <alignment vertical="center"/>
    </xf>
    <xf numFmtId="0" fontId="39" fillId="0" borderId="0">
      <alignment vertical="center"/>
    </xf>
    <xf numFmtId="0" fontId="39" fillId="5" borderId="0" applyNumberFormat="0" applyBorder="0" applyAlignment="0" applyProtection="0">
      <alignment vertical="center"/>
    </xf>
    <xf numFmtId="0" fontId="81" fillId="0" borderId="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0" borderId="0">
      <alignment vertical="center"/>
    </xf>
    <xf numFmtId="0" fontId="39" fillId="0" borderId="0">
      <alignment vertical="center"/>
    </xf>
    <xf numFmtId="0" fontId="39" fillId="5" borderId="0" applyNumberFormat="0" applyBorder="0" applyAlignment="0" applyProtection="0">
      <alignment vertical="center"/>
    </xf>
    <xf numFmtId="0" fontId="39" fillId="0" borderId="0">
      <alignment vertical="center"/>
    </xf>
    <xf numFmtId="0" fontId="81" fillId="0" borderId="0" applyBorder="0">
      <alignment vertical="center"/>
    </xf>
    <xf numFmtId="0" fontId="39" fillId="0" borderId="0">
      <alignment vertical="center"/>
    </xf>
    <xf numFmtId="0" fontId="39" fillId="5"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pplyBorder="0">
      <alignment vertical="center"/>
    </xf>
    <xf numFmtId="0" fontId="39" fillId="0" borderId="0">
      <alignment vertical="center"/>
    </xf>
    <xf numFmtId="0" fontId="39" fillId="5" borderId="0" applyNumberFormat="0" applyBorder="0" applyAlignment="0" applyProtection="0">
      <alignment vertical="center"/>
    </xf>
    <xf numFmtId="0" fontId="81" fillId="0" borderId="0" applyBorder="0">
      <alignment vertical="center"/>
    </xf>
    <xf numFmtId="0" fontId="39" fillId="0" borderId="0">
      <alignment vertical="center"/>
    </xf>
    <xf numFmtId="0" fontId="39" fillId="5" borderId="0" applyNumberFormat="0" applyBorder="0" applyAlignment="0" applyProtection="0">
      <alignment vertical="center"/>
    </xf>
    <xf numFmtId="0" fontId="81" fillId="0" borderId="0"/>
    <xf numFmtId="0" fontId="81" fillId="0" borderId="0" applyBorder="0">
      <alignment vertical="center"/>
    </xf>
    <xf numFmtId="0" fontId="39" fillId="5" borderId="0" applyNumberFormat="0" applyBorder="0" applyAlignment="0" applyProtection="0">
      <alignment vertical="center"/>
    </xf>
    <xf numFmtId="0" fontId="39" fillId="0" borderId="0">
      <alignment vertical="center"/>
    </xf>
    <xf numFmtId="0" fontId="39" fillId="5" borderId="0" applyNumberFormat="0" applyBorder="0" applyAlignment="0" applyProtection="0">
      <alignment vertical="center"/>
    </xf>
    <xf numFmtId="0" fontId="39" fillId="0" borderId="0">
      <alignment vertical="center"/>
    </xf>
    <xf numFmtId="0" fontId="39" fillId="5" borderId="0" applyNumberFormat="0" applyBorder="0" applyAlignment="0" applyProtection="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pplyBorder="0">
      <alignment vertical="center"/>
    </xf>
    <xf numFmtId="0" fontId="39" fillId="0" borderId="0">
      <alignment vertical="center"/>
    </xf>
    <xf numFmtId="0" fontId="39" fillId="5" borderId="0" applyNumberFormat="0" applyBorder="0" applyAlignment="0" applyProtection="0">
      <alignment vertical="center"/>
    </xf>
    <xf numFmtId="0" fontId="81" fillId="0" borderId="0">
      <alignment vertical="center"/>
    </xf>
    <xf numFmtId="0" fontId="39" fillId="0" borderId="0">
      <alignment vertical="center"/>
    </xf>
    <xf numFmtId="0" fontId="39" fillId="5" borderId="0" applyNumberFormat="0" applyBorder="0" applyAlignment="0" applyProtection="0">
      <alignment vertical="center"/>
    </xf>
    <xf numFmtId="0" fontId="39" fillId="0" borderId="0">
      <alignment vertical="center"/>
    </xf>
    <xf numFmtId="0" fontId="39" fillId="5" borderId="0" applyNumberFormat="0" applyBorder="0" applyAlignment="0" applyProtection="0">
      <alignment vertical="center"/>
    </xf>
    <xf numFmtId="0" fontId="81" fillId="0" borderId="0" applyBorder="0">
      <alignment vertical="center"/>
    </xf>
    <xf numFmtId="0" fontId="39" fillId="0" borderId="0">
      <alignment vertical="center"/>
    </xf>
    <xf numFmtId="0" fontId="39" fillId="5" borderId="0" applyNumberFormat="0" applyBorder="0" applyAlignment="0" applyProtection="0">
      <alignment vertical="center"/>
    </xf>
    <xf numFmtId="0" fontId="39" fillId="0" borderId="0">
      <alignment vertical="center"/>
    </xf>
    <xf numFmtId="0" fontId="39" fillId="5" borderId="0" applyNumberFormat="0" applyBorder="0" applyAlignment="0" applyProtection="0">
      <alignment vertical="center"/>
    </xf>
    <xf numFmtId="0" fontId="39" fillId="0" borderId="0">
      <alignment vertical="center"/>
    </xf>
    <xf numFmtId="0" fontId="39" fillId="5" borderId="0" applyNumberFormat="0" applyBorder="0" applyAlignment="0" applyProtection="0">
      <alignment vertical="center"/>
    </xf>
    <xf numFmtId="0" fontId="39" fillId="0" borderId="0">
      <alignment vertical="center"/>
    </xf>
    <xf numFmtId="0" fontId="39" fillId="0" borderId="0">
      <alignment vertical="center"/>
    </xf>
    <xf numFmtId="0" fontId="39" fillId="5" borderId="0" applyNumberFormat="0" applyBorder="0" applyAlignment="0" applyProtection="0">
      <alignment vertical="center"/>
    </xf>
    <xf numFmtId="0" fontId="39" fillId="0" borderId="0">
      <alignment vertical="center"/>
    </xf>
    <xf numFmtId="0" fontId="39" fillId="0" borderId="0">
      <alignment vertical="center"/>
    </xf>
    <xf numFmtId="0" fontId="39" fillId="5" borderId="0" applyNumberFormat="0" applyBorder="0" applyAlignment="0" applyProtection="0">
      <alignment vertical="center"/>
    </xf>
    <xf numFmtId="0" fontId="42" fillId="0" borderId="33" applyNumberFormat="0" applyFill="0" applyAlignment="0" applyProtection="0">
      <alignment vertical="center"/>
    </xf>
    <xf numFmtId="0" fontId="81" fillId="0" borderId="0" applyBorder="0">
      <alignment vertical="center"/>
    </xf>
    <xf numFmtId="0" fontId="39" fillId="0" borderId="0">
      <alignment vertical="center"/>
    </xf>
    <xf numFmtId="0" fontId="39" fillId="5" borderId="0" applyNumberFormat="0" applyBorder="0" applyAlignment="0" applyProtection="0">
      <alignment vertical="center"/>
    </xf>
    <xf numFmtId="0" fontId="39" fillId="0" borderId="0">
      <alignment vertical="center"/>
    </xf>
    <xf numFmtId="0" fontId="39" fillId="5" borderId="0" applyNumberFormat="0" applyBorder="0" applyAlignment="0" applyProtection="0">
      <alignment vertical="center"/>
    </xf>
    <xf numFmtId="0" fontId="81" fillId="0" borderId="0" applyBorder="0">
      <alignment vertical="center"/>
    </xf>
    <xf numFmtId="0" fontId="39" fillId="0" borderId="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42" fillId="0" borderId="33" applyNumberFormat="0" applyFill="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0" borderId="0">
      <alignment vertical="center"/>
    </xf>
    <xf numFmtId="0" fontId="39" fillId="5" borderId="0" applyNumberFormat="0" applyBorder="0" applyAlignment="0" applyProtection="0">
      <alignment vertical="center"/>
    </xf>
    <xf numFmtId="0" fontId="81" fillId="0" borderId="0" applyBorder="0">
      <alignment vertical="center"/>
    </xf>
    <xf numFmtId="0" fontId="39" fillId="0" borderId="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0" borderId="0">
      <alignment vertical="center"/>
    </xf>
    <xf numFmtId="0" fontId="39" fillId="5" borderId="0" applyNumberFormat="0" applyBorder="0" applyAlignment="0" applyProtection="0">
      <alignment vertical="center"/>
    </xf>
    <xf numFmtId="0" fontId="81" fillId="0" borderId="0"/>
    <xf numFmtId="0" fontId="39" fillId="0" borderId="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0" borderId="0">
      <alignment vertical="center"/>
    </xf>
    <xf numFmtId="0" fontId="81" fillId="0" borderId="0" applyBorder="0">
      <alignment vertical="center"/>
    </xf>
    <xf numFmtId="0" fontId="39" fillId="5" borderId="0" applyNumberFormat="0" applyBorder="0" applyAlignment="0" applyProtection="0">
      <alignment vertical="center"/>
    </xf>
    <xf numFmtId="0" fontId="39" fillId="0" borderId="0">
      <alignment vertical="center"/>
    </xf>
    <xf numFmtId="0" fontId="39" fillId="5" borderId="0" applyNumberFormat="0" applyBorder="0" applyAlignment="0" applyProtection="0">
      <alignment vertical="center"/>
    </xf>
    <xf numFmtId="0" fontId="39" fillId="0" borderId="0">
      <alignment vertical="center"/>
    </xf>
    <xf numFmtId="0" fontId="39" fillId="5" borderId="0" applyNumberFormat="0" applyBorder="0" applyAlignment="0" applyProtection="0">
      <alignment vertical="center"/>
    </xf>
    <xf numFmtId="0" fontId="81" fillId="0" borderId="0" applyBorder="0">
      <alignment vertical="center"/>
    </xf>
    <xf numFmtId="0" fontId="39" fillId="0" borderId="0">
      <alignment vertical="center"/>
    </xf>
    <xf numFmtId="0" fontId="39" fillId="5"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0" borderId="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xf numFmtId="0" fontId="39" fillId="0" borderId="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0" borderId="0">
      <alignment vertical="center"/>
    </xf>
    <xf numFmtId="0" fontId="39" fillId="5" borderId="0" applyNumberFormat="0" applyBorder="0" applyAlignment="0" applyProtection="0">
      <alignment vertical="center"/>
    </xf>
    <xf numFmtId="0" fontId="39" fillId="0" borderId="0">
      <alignment vertical="center"/>
    </xf>
    <xf numFmtId="0" fontId="39" fillId="5" borderId="0" applyNumberFormat="0" applyBorder="0" applyAlignment="0" applyProtection="0">
      <alignment vertical="center"/>
    </xf>
    <xf numFmtId="0" fontId="39" fillId="0" borderId="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0" borderId="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0" borderId="0">
      <alignment vertical="center"/>
    </xf>
    <xf numFmtId="0" fontId="39" fillId="5" borderId="0" applyNumberFormat="0" applyBorder="0" applyAlignment="0" applyProtection="0">
      <alignment vertical="center"/>
    </xf>
    <xf numFmtId="0" fontId="39" fillId="0" borderId="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0" borderId="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pplyBorder="0">
      <alignment vertical="center"/>
    </xf>
    <xf numFmtId="0" fontId="39" fillId="0" borderId="0">
      <alignment vertical="center"/>
    </xf>
    <xf numFmtId="0" fontId="39" fillId="5" borderId="0" applyNumberFormat="0" applyBorder="0" applyAlignment="0" applyProtection="0">
      <alignment vertical="center"/>
    </xf>
    <xf numFmtId="0" fontId="39" fillId="0" borderId="0">
      <alignment vertical="center"/>
    </xf>
    <xf numFmtId="0" fontId="39" fillId="5" borderId="0" applyNumberFormat="0" applyBorder="0" applyAlignment="0" applyProtection="0">
      <alignment vertical="center"/>
    </xf>
    <xf numFmtId="0" fontId="39" fillId="0" borderId="0">
      <alignment vertical="center"/>
    </xf>
    <xf numFmtId="0" fontId="39" fillId="5" borderId="0" applyNumberFormat="0" applyBorder="0" applyAlignment="0" applyProtection="0">
      <alignment vertical="center"/>
    </xf>
    <xf numFmtId="0" fontId="81" fillId="0" borderId="0" applyBorder="0">
      <alignment vertical="center"/>
    </xf>
    <xf numFmtId="0" fontId="39" fillId="0" borderId="0">
      <alignment vertical="center"/>
    </xf>
    <xf numFmtId="0" fontId="39" fillId="5" borderId="0" applyNumberFormat="0" applyBorder="0" applyAlignment="0" applyProtection="0">
      <alignment vertical="center"/>
    </xf>
    <xf numFmtId="0" fontId="39" fillId="0" borderId="0">
      <alignment vertical="center"/>
    </xf>
    <xf numFmtId="0" fontId="39" fillId="5" borderId="0" applyNumberFormat="0" applyBorder="0" applyAlignment="0" applyProtection="0">
      <alignment vertical="center"/>
    </xf>
    <xf numFmtId="0" fontId="39" fillId="0" borderId="0">
      <alignment vertical="center"/>
    </xf>
    <xf numFmtId="0" fontId="39" fillId="5" borderId="0" applyNumberFormat="0" applyBorder="0" applyAlignment="0" applyProtection="0">
      <alignment vertical="center"/>
    </xf>
    <xf numFmtId="0" fontId="39" fillId="0" borderId="0">
      <alignment vertical="center"/>
    </xf>
    <xf numFmtId="0" fontId="39" fillId="5" borderId="0" applyNumberFormat="0" applyBorder="0" applyAlignment="0" applyProtection="0">
      <alignment vertical="center"/>
    </xf>
    <xf numFmtId="0" fontId="39" fillId="0" borderId="0">
      <alignment vertical="center"/>
    </xf>
    <xf numFmtId="0" fontId="39" fillId="5" borderId="0" applyNumberFormat="0" applyBorder="0" applyAlignment="0" applyProtection="0">
      <alignment vertical="center"/>
    </xf>
    <xf numFmtId="0" fontId="81" fillId="0" borderId="0" applyBorder="0">
      <alignment vertical="center"/>
    </xf>
    <xf numFmtId="0" fontId="39" fillId="0" borderId="0">
      <alignment vertical="center"/>
    </xf>
    <xf numFmtId="0" fontId="39" fillId="5" borderId="0" applyNumberFormat="0" applyBorder="0" applyAlignment="0" applyProtection="0">
      <alignment vertical="center"/>
    </xf>
    <xf numFmtId="0" fontId="39" fillId="0" borderId="0">
      <alignment vertical="center"/>
    </xf>
    <xf numFmtId="0" fontId="39" fillId="5" borderId="0" applyNumberFormat="0" applyBorder="0" applyAlignment="0" applyProtection="0">
      <alignment vertical="center"/>
    </xf>
    <xf numFmtId="0" fontId="39" fillId="0" borderId="0">
      <alignment vertical="center"/>
    </xf>
    <xf numFmtId="0" fontId="39" fillId="5" borderId="0" applyNumberFormat="0" applyBorder="0" applyAlignment="0" applyProtection="0">
      <alignment vertical="center"/>
    </xf>
    <xf numFmtId="0" fontId="39" fillId="0" borderId="0">
      <alignment vertical="center"/>
    </xf>
    <xf numFmtId="0" fontId="39" fillId="5" borderId="0" applyNumberFormat="0" applyBorder="0" applyAlignment="0" applyProtection="0">
      <alignment vertical="center"/>
    </xf>
    <xf numFmtId="0" fontId="39" fillId="0" borderId="0">
      <alignment vertical="center"/>
    </xf>
    <xf numFmtId="0" fontId="39" fillId="5" borderId="0" applyNumberFormat="0" applyBorder="0" applyAlignment="0" applyProtection="0">
      <alignment vertical="center"/>
    </xf>
    <xf numFmtId="0" fontId="39" fillId="0" borderId="0">
      <alignment vertical="center"/>
    </xf>
    <xf numFmtId="0" fontId="39" fillId="5" borderId="0" applyNumberFormat="0" applyBorder="0" applyAlignment="0" applyProtection="0">
      <alignment vertical="center"/>
    </xf>
    <xf numFmtId="0" fontId="39" fillId="0" borderId="0">
      <alignment vertical="center"/>
    </xf>
    <xf numFmtId="0" fontId="39" fillId="5" borderId="0" applyNumberFormat="0" applyBorder="0" applyAlignment="0" applyProtection="0">
      <alignment vertical="center"/>
    </xf>
    <xf numFmtId="0" fontId="39" fillId="0" borderId="0">
      <alignment vertical="center"/>
    </xf>
    <xf numFmtId="0" fontId="39" fillId="5" borderId="0" applyNumberFormat="0" applyBorder="0" applyAlignment="0" applyProtection="0">
      <alignment vertical="center"/>
    </xf>
    <xf numFmtId="0" fontId="39" fillId="0" borderId="0">
      <alignment vertical="center"/>
    </xf>
    <xf numFmtId="0" fontId="39" fillId="5" borderId="0" applyNumberFormat="0" applyBorder="0" applyAlignment="0" applyProtection="0">
      <alignment vertical="center"/>
    </xf>
    <xf numFmtId="0" fontId="39" fillId="0" borderId="0">
      <alignment vertical="center"/>
    </xf>
    <xf numFmtId="0" fontId="39" fillId="5" borderId="0" applyNumberFormat="0" applyBorder="0" applyAlignment="0" applyProtection="0">
      <alignment vertical="center"/>
    </xf>
    <xf numFmtId="0" fontId="39" fillId="0" borderId="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81" fillId="0" borderId="0" applyBorder="0">
      <alignment vertical="center"/>
    </xf>
    <xf numFmtId="0" fontId="81" fillId="0" borderId="0">
      <alignment vertical="center"/>
    </xf>
    <xf numFmtId="0" fontId="39" fillId="0" borderId="0">
      <alignment vertical="center"/>
    </xf>
    <xf numFmtId="0" fontId="39" fillId="5" borderId="0" applyNumberFormat="0" applyBorder="0" applyAlignment="0" applyProtection="0">
      <alignment vertical="center"/>
    </xf>
    <xf numFmtId="0" fontId="81" fillId="0" borderId="0">
      <alignment vertical="center"/>
    </xf>
    <xf numFmtId="0" fontId="81" fillId="0" borderId="0">
      <alignment vertical="center"/>
    </xf>
    <xf numFmtId="0" fontId="39" fillId="0" borderId="0">
      <alignment vertical="center"/>
    </xf>
    <xf numFmtId="0" fontId="39" fillId="5" borderId="0" applyNumberFormat="0" applyBorder="0" applyAlignment="0" applyProtection="0">
      <alignment vertical="center"/>
    </xf>
    <xf numFmtId="0" fontId="81" fillId="0" borderId="0" applyBorder="0">
      <alignment vertical="center"/>
    </xf>
    <xf numFmtId="0" fontId="39" fillId="0" borderId="0">
      <alignment vertical="center"/>
    </xf>
    <xf numFmtId="0" fontId="39" fillId="5"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5" borderId="0" applyNumberFormat="0" applyBorder="0" applyAlignment="0" applyProtection="0">
      <alignment vertical="center"/>
    </xf>
    <xf numFmtId="0" fontId="39" fillId="0" borderId="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lignment vertical="center"/>
    </xf>
    <xf numFmtId="0" fontId="39" fillId="5" borderId="0" applyNumberFormat="0" applyBorder="0" applyAlignment="0" applyProtection="0">
      <alignment vertical="center"/>
    </xf>
    <xf numFmtId="0" fontId="39" fillId="0" borderId="0">
      <alignment vertical="center"/>
    </xf>
    <xf numFmtId="0" fontId="81" fillId="0" borderId="0" applyBorder="0">
      <alignment vertical="center"/>
    </xf>
    <xf numFmtId="0" fontId="39" fillId="5" borderId="0" applyNumberFormat="0" applyBorder="0" applyAlignment="0" applyProtection="0">
      <alignment vertical="center"/>
    </xf>
    <xf numFmtId="0" fontId="39" fillId="0" borderId="0">
      <alignment vertical="center"/>
    </xf>
    <xf numFmtId="0" fontId="81" fillId="0" borderId="0" applyBorder="0">
      <alignment vertical="center"/>
    </xf>
    <xf numFmtId="0" fontId="39" fillId="5" borderId="0" applyNumberFormat="0" applyBorder="0" applyAlignment="0" applyProtection="0">
      <alignment vertical="center"/>
    </xf>
    <xf numFmtId="0" fontId="39" fillId="5" borderId="0" applyNumberFormat="0" applyBorder="0" applyAlignment="0" applyProtection="0">
      <alignment vertical="center"/>
    </xf>
    <xf numFmtId="0" fontId="39" fillId="0" borderId="0">
      <alignment vertical="center"/>
    </xf>
    <xf numFmtId="0" fontId="81" fillId="0" borderId="0" applyBorder="0">
      <alignment vertical="center"/>
    </xf>
    <xf numFmtId="0" fontId="39" fillId="5" borderId="0" applyNumberFormat="0" applyBorder="0" applyAlignment="0" applyProtection="0">
      <alignment vertical="center"/>
    </xf>
    <xf numFmtId="0" fontId="39" fillId="0" borderId="0">
      <alignment vertical="center"/>
    </xf>
    <xf numFmtId="0" fontId="39" fillId="5" borderId="0" applyNumberFormat="0" applyBorder="0" applyAlignment="0" applyProtection="0">
      <alignment vertical="center"/>
    </xf>
    <xf numFmtId="9" fontId="81" fillId="0" borderId="0" applyFont="0" applyFill="0" applyBorder="0" applyAlignment="0" applyProtection="0"/>
    <xf numFmtId="0" fontId="39" fillId="0" borderId="0">
      <alignment vertical="center"/>
    </xf>
    <xf numFmtId="0" fontId="81" fillId="0" borderId="0" applyBorder="0">
      <alignment vertical="center"/>
    </xf>
    <xf numFmtId="0" fontId="39" fillId="5" borderId="0" applyNumberFormat="0" applyBorder="0" applyAlignment="0" applyProtection="0">
      <alignment vertical="center"/>
    </xf>
    <xf numFmtId="0" fontId="81" fillId="0" borderId="0" applyBorder="0">
      <alignment vertical="center"/>
    </xf>
    <xf numFmtId="0" fontId="39" fillId="5" borderId="0" applyNumberFormat="0" applyBorder="0" applyAlignment="0" applyProtection="0">
      <alignment vertical="center"/>
    </xf>
    <xf numFmtId="0" fontId="39" fillId="0" borderId="0">
      <alignment vertical="center"/>
    </xf>
    <xf numFmtId="0" fontId="81" fillId="0" borderId="0" applyBorder="0">
      <alignment vertical="center"/>
    </xf>
    <xf numFmtId="0" fontId="39" fillId="26"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26" borderId="0" applyNumberFormat="0" applyBorder="0" applyAlignment="0" applyProtection="0">
      <alignment vertical="center"/>
    </xf>
    <xf numFmtId="0" fontId="81" fillId="0" borderId="0" applyBorder="0">
      <alignment vertical="center"/>
    </xf>
    <xf numFmtId="0" fontId="44" fillId="4" borderId="0" applyNumberFormat="0" applyBorder="0" applyAlignment="0" applyProtection="0">
      <alignment vertical="center"/>
    </xf>
    <xf numFmtId="0" fontId="44" fillId="4" borderId="0" applyNumberFormat="0" applyBorder="0" applyAlignment="0" applyProtection="0">
      <alignment vertical="center"/>
    </xf>
    <xf numFmtId="0" fontId="44" fillId="4" borderId="0" applyNumberFormat="0" applyBorder="0" applyAlignment="0" applyProtection="0">
      <alignment vertical="center"/>
    </xf>
    <xf numFmtId="0" fontId="81" fillId="0" borderId="0" applyBorder="0">
      <alignment vertical="center"/>
    </xf>
    <xf numFmtId="0" fontId="44" fillId="4" borderId="0" applyNumberFormat="0" applyBorder="0" applyAlignment="0" applyProtection="0">
      <alignment vertical="center"/>
    </xf>
    <xf numFmtId="0" fontId="44" fillId="4" borderId="0" applyNumberFormat="0" applyBorder="0" applyAlignment="0" applyProtection="0">
      <alignment vertical="center"/>
    </xf>
    <xf numFmtId="0" fontId="44" fillId="4"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44" fillId="4" borderId="0" applyNumberFormat="0" applyBorder="0" applyAlignment="0" applyProtection="0">
      <alignment vertical="center"/>
    </xf>
    <xf numFmtId="0" fontId="44" fillId="4" borderId="0" applyNumberFormat="0" applyBorder="0" applyAlignment="0" applyProtection="0">
      <alignment vertical="center"/>
    </xf>
    <xf numFmtId="0" fontId="81" fillId="0" borderId="0" applyBorder="0">
      <alignment vertical="center"/>
    </xf>
    <xf numFmtId="0" fontId="44" fillId="4" borderId="0" applyNumberFormat="0" applyBorder="0" applyAlignment="0" applyProtection="0">
      <alignment vertical="center"/>
    </xf>
    <xf numFmtId="0" fontId="44" fillId="4" borderId="0" applyNumberFormat="0" applyBorder="0" applyAlignment="0" applyProtection="0">
      <alignment vertical="center"/>
    </xf>
    <xf numFmtId="0" fontId="44" fillId="4" borderId="0" applyNumberFormat="0" applyBorder="0" applyAlignment="0" applyProtection="0">
      <alignment vertical="center"/>
    </xf>
    <xf numFmtId="0" fontId="81" fillId="0" borderId="0">
      <alignment vertical="center"/>
    </xf>
    <xf numFmtId="0" fontId="81" fillId="0" borderId="0" applyBorder="0">
      <alignment vertical="center"/>
    </xf>
    <xf numFmtId="0" fontId="44" fillId="4" borderId="0" applyNumberFormat="0" applyBorder="0" applyAlignment="0" applyProtection="0">
      <alignment vertical="center"/>
    </xf>
    <xf numFmtId="0" fontId="81" fillId="0" borderId="0">
      <alignment vertical="center"/>
    </xf>
    <xf numFmtId="0" fontId="44" fillId="4" borderId="0" applyNumberFormat="0" applyBorder="0" applyAlignment="0" applyProtection="0">
      <alignment vertical="center"/>
    </xf>
    <xf numFmtId="0" fontId="81" fillId="0" borderId="0">
      <alignment vertical="center"/>
    </xf>
    <xf numFmtId="0" fontId="44" fillId="4" borderId="0" applyNumberFormat="0" applyBorder="0" applyAlignment="0" applyProtection="0">
      <alignment vertical="center"/>
    </xf>
    <xf numFmtId="0" fontId="81" fillId="0" borderId="0" applyBorder="0">
      <alignment vertical="center"/>
    </xf>
    <xf numFmtId="0" fontId="44" fillId="4" borderId="0" applyNumberFormat="0" applyBorder="0" applyAlignment="0" applyProtection="0">
      <alignment vertical="center"/>
    </xf>
    <xf numFmtId="0" fontId="81" fillId="0" borderId="0" applyBorder="0">
      <alignment vertical="center"/>
    </xf>
    <xf numFmtId="0" fontId="44" fillId="4" borderId="0" applyNumberFormat="0" applyBorder="0" applyAlignment="0" applyProtection="0">
      <alignment vertical="center"/>
    </xf>
    <xf numFmtId="0" fontId="81" fillId="0" borderId="0">
      <alignment vertical="center"/>
    </xf>
    <xf numFmtId="0" fontId="44" fillId="4" borderId="0" applyNumberFormat="0" applyBorder="0" applyAlignment="0" applyProtection="0">
      <alignment vertical="center"/>
    </xf>
    <xf numFmtId="0" fontId="81" fillId="0" borderId="0" applyBorder="0">
      <alignment vertical="center"/>
    </xf>
    <xf numFmtId="0" fontId="44" fillId="4" borderId="0" applyNumberFormat="0" applyBorder="0" applyAlignment="0" applyProtection="0">
      <alignment vertical="center"/>
    </xf>
    <xf numFmtId="0" fontId="44" fillId="4" borderId="0" applyNumberFormat="0" applyBorder="0" applyAlignment="0" applyProtection="0">
      <alignment vertical="center"/>
    </xf>
    <xf numFmtId="0" fontId="44" fillId="4" borderId="0" applyNumberFormat="0" applyBorder="0" applyAlignment="0" applyProtection="0">
      <alignment vertical="center"/>
    </xf>
    <xf numFmtId="0" fontId="44" fillId="4" borderId="0" applyNumberFormat="0" applyBorder="0" applyAlignment="0" applyProtection="0">
      <alignment vertical="center"/>
    </xf>
    <xf numFmtId="0" fontId="81" fillId="0" borderId="0">
      <alignment vertical="center"/>
    </xf>
    <xf numFmtId="0" fontId="44" fillId="4" borderId="0" applyNumberFormat="0" applyBorder="0" applyAlignment="0" applyProtection="0">
      <alignment vertical="center"/>
    </xf>
    <xf numFmtId="0" fontId="44" fillId="4"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44" fillId="4" borderId="0" applyNumberFormat="0" applyBorder="0" applyAlignment="0" applyProtection="0">
      <alignment vertical="center"/>
    </xf>
    <xf numFmtId="0" fontId="81" fillId="0" borderId="0">
      <alignment vertical="center"/>
    </xf>
    <xf numFmtId="0" fontId="81" fillId="0" borderId="0">
      <alignment vertical="center"/>
    </xf>
    <xf numFmtId="0" fontId="44" fillId="4" borderId="0" applyNumberFormat="0" applyBorder="0" applyAlignment="0" applyProtection="0">
      <alignment vertical="center"/>
    </xf>
    <xf numFmtId="0" fontId="81" fillId="0" borderId="0" applyBorder="0">
      <alignment vertical="center"/>
    </xf>
    <xf numFmtId="0" fontId="44" fillId="4" borderId="0" applyNumberFormat="0" applyBorder="0" applyAlignment="0" applyProtection="0">
      <alignment vertical="center"/>
    </xf>
    <xf numFmtId="0" fontId="44" fillId="4" borderId="0" applyNumberFormat="0" applyBorder="0" applyAlignment="0" applyProtection="0">
      <alignment vertical="center"/>
    </xf>
    <xf numFmtId="0" fontId="44" fillId="4" borderId="0" applyNumberFormat="0" applyBorder="0" applyAlignment="0" applyProtection="0">
      <alignment vertical="center"/>
    </xf>
    <xf numFmtId="0" fontId="44" fillId="4" borderId="0" applyNumberFormat="0" applyBorder="0" applyAlignment="0" applyProtection="0">
      <alignment vertical="center"/>
    </xf>
    <xf numFmtId="0" fontId="44" fillId="4" borderId="0" applyNumberFormat="0" applyBorder="0" applyAlignment="0" applyProtection="0">
      <alignment vertical="center"/>
    </xf>
    <xf numFmtId="0" fontId="44" fillId="4" borderId="0" applyNumberFormat="0" applyBorder="0" applyAlignment="0" applyProtection="0">
      <alignment vertical="center"/>
    </xf>
    <xf numFmtId="0" fontId="81" fillId="0" borderId="0" applyBorder="0">
      <alignment vertical="center"/>
    </xf>
    <xf numFmtId="0" fontId="44" fillId="4" borderId="0" applyNumberFormat="0" applyBorder="0" applyAlignment="0" applyProtection="0">
      <alignment vertical="center"/>
    </xf>
    <xf numFmtId="0" fontId="44" fillId="4" borderId="0" applyNumberFormat="0" applyBorder="0" applyAlignment="0" applyProtection="0">
      <alignment vertical="center"/>
    </xf>
    <xf numFmtId="0" fontId="44" fillId="4" borderId="0" applyNumberFormat="0" applyBorder="0" applyAlignment="0" applyProtection="0">
      <alignment vertical="center"/>
    </xf>
    <xf numFmtId="0" fontId="81" fillId="0" borderId="0">
      <alignment vertical="center"/>
    </xf>
    <xf numFmtId="0" fontId="44" fillId="4" borderId="0" applyNumberFormat="0" applyBorder="0" applyAlignment="0" applyProtection="0">
      <alignment vertical="center"/>
    </xf>
    <xf numFmtId="0" fontId="81" fillId="0" borderId="0" applyBorder="0">
      <alignment vertical="center"/>
    </xf>
    <xf numFmtId="0" fontId="44" fillId="4" borderId="0" applyNumberFormat="0" applyBorder="0" applyAlignment="0" applyProtection="0">
      <alignment vertical="center"/>
    </xf>
    <xf numFmtId="0" fontId="81" fillId="0" borderId="0" applyBorder="0">
      <alignment vertical="center"/>
    </xf>
    <xf numFmtId="0" fontId="44" fillId="4" borderId="0" applyNumberFormat="0" applyBorder="0" applyAlignment="0" applyProtection="0">
      <alignment vertical="center"/>
    </xf>
    <xf numFmtId="0" fontId="81" fillId="0" borderId="0" applyBorder="0">
      <alignment vertical="center"/>
    </xf>
    <xf numFmtId="0" fontId="44" fillId="4" borderId="0" applyNumberFormat="0" applyBorder="0" applyAlignment="0" applyProtection="0">
      <alignment vertical="center"/>
    </xf>
    <xf numFmtId="0" fontId="44" fillId="4" borderId="0" applyNumberFormat="0" applyBorder="0" applyAlignment="0" applyProtection="0">
      <alignment vertical="center"/>
    </xf>
    <xf numFmtId="0" fontId="44" fillId="4" borderId="0" applyNumberFormat="0" applyBorder="0" applyAlignment="0" applyProtection="0">
      <alignment vertical="center"/>
    </xf>
    <xf numFmtId="0" fontId="44" fillId="4" borderId="0" applyNumberFormat="0" applyBorder="0" applyAlignment="0" applyProtection="0">
      <alignment vertical="center"/>
    </xf>
    <xf numFmtId="0" fontId="44" fillId="4" borderId="0" applyNumberFormat="0" applyBorder="0" applyAlignment="0" applyProtection="0">
      <alignment vertical="center"/>
    </xf>
    <xf numFmtId="0" fontId="39" fillId="0" borderId="0">
      <alignment vertical="center"/>
    </xf>
    <xf numFmtId="0" fontId="39" fillId="0" borderId="0">
      <alignment vertical="center"/>
    </xf>
    <xf numFmtId="0" fontId="44" fillId="4" borderId="0" applyNumberFormat="0" applyBorder="0" applyAlignment="0" applyProtection="0">
      <alignment vertical="center"/>
    </xf>
    <xf numFmtId="0" fontId="81" fillId="0" borderId="0" applyBorder="0">
      <alignment vertical="center"/>
    </xf>
    <xf numFmtId="0" fontId="39" fillId="0" borderId="0">
      <alignment vertical="center"/>
    </xf>
    <xf numFmtId="0" fontId="44" fillId="4" borderId="0" applyNumberFormat="0" applyBorder="0" applyAlignment="0" applyProtection="0">
      <alignment vertical="center"/>
    </xf>
    <xf numFmtId="0" fontId="44" fillId="4" borderId="0" applyNumberFormat="0" applyBorder="0" applyAlignment="0" applyProtection="0">
      <alignment vertical="center"/>
    </xf>
    <xf numFmtId="0" fontId="39" fillId="0" borderId="0">
      <alignment vertical="center"/>
    </xf>
    <xf numFmtId="0" fontId="81" fillId="0" borderId="0" applyBorder="0">
      <alignment vertical="center"/>
    </xf>
    <xf numFmtId="0" fontId="44" fillId="4" borderId="0" applyNumberFormat="0" applyBorder="0" applyAlignment="0" applyProtection="0">
      <alignment vertical="center"/>
    </xf>
    <xf numFmtId="0" fontId="39" fillId="0" borderId="0">
      <alignment vertical="center"/>
    </xf>
    <xf numFmtId="0" fontId="44" fillId="4" borderId="0" applyNumberFormat="0" applyBorder="0" applyAlignment="0" applyProtection="0">
      <alignment vertical="center"/>
    </xf>
    <xf numFmtId="0" fontId="44" fillId="4" borderId="0" applyNumberFormat="0" applyBorder="0" applyAlignment="0" applyProtection="0">
      <alignment vertical="center"/>
    </xf>
    <xf numFmtId="0" fontId="81" fillId="0" borderId="0" applyBorder="0">
      <alignment vertical="center"/>
    </xf>
    <xf numFmtId="0" fontId="44" fillId="4" borderId="0" applyNumberFormat="0" applyBorder="0" applyAlignment="0" applyProtection="0">
      <alignment vertical="center"/>
    </xf>
    <xf numFmtId="0" fontId="44" fillId="4" borderId="0" applyNumberFormat="0" applyBorder="0" applyAlignment="0" applyProtection="0">
      <alignment vertical="center"/>
    </xf>
    <xf numFmtId="0" fontId="81" fillId="0" borderId="0" applyBorder="0">
      <alignment vertical="center"/>
    </xf>
    <xf numFmtId="0" fontId="44" fillId="4" borderId="0" applyNumberFormat="0" applyBorder="0" applyAlignment="0" applyProtection="0">
      <alignment vertical="center"/>
    </xf>
    <xf numFmtId="0" fontId="44" fillId="4" borderId="0" applyNumberFormat="0" applyBorder="0" applyAlignment="0" applyProtection="0">
      <alignment vertical="center"/>
    </xf>
    <xf numFmtId="0" fontId="44" fillId="4" borderId="0" applyNumberFormat="0" applyBorder="0" applyAlignment="0" applyProtection="0">
      <alignment vertical="center"/>
    </xf>
    <xf numFmtId="0" fontId="81" fillId="0" borderId="0">
      <alignment vertical="center"/>
    </xf>
    <xf numFmtId="0" fontId="44" fillId="4" borderId="0" applyNumberFormat="0" applyBorder="0" applyAlignment="0" applyProtection="0">
      <alignment vertical="center"/>
    </xf>
    <xf numFmtId="0" fontId="81" fillId="0" borderId="0" applyBorder="0">
      <alignment vertical="center"/>
    </xf>
    <xf numFmtId="0" fontId="57" fillId="0" borderId="0"/>
    <xf numFmtId="0" fontId="44" fillId="4" borderId="0" applyNumberFormat="0" applyBorder="0" applyAlignment="0" applyProtection="0">
      <alignment vertical="center"/>
    </xf>
    <xf numFmtId="0" fontId="81" fillId="0" borderId="0" applyBorder="0">
      <alignment vertical="center"/>
    </xf>
    <xf numFmtId="0" fontId="44" fillId="4" borderId="0" applyNumberFormat="0" applyBorder="0" applyAlignment="0" applyProtection="0">
      <alignment vertical="center"/>
    </xf>
    <xf numFmtId="0" fontId="44" fillId="4" borderId="0" applyNumberFormat="0" applyBorder="0" applyAlignment="0" applyProtection="0">
      <alignment vertical="center"/>
    </xf>
    <xf numFmtId="0" fontId="81" fillId="0" borderId="0" applyBorder="0">
      <alignment vertical="center"/>
    </xf>
    <xf numFmtId="0" fontId="44" fillId="4" borderId="0" applyNumberFormat="0" applyBorder="0" applyAlignment="0" applyProtection="0">
      <alignment vertical="center"/>
    </xf>
    <xf numFmtId="0" fontId="44" fillId="4"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44" fillId="4" borderId="0" applyNumberFormat="0" applyBorder="0" applyAlignment="0" applyProtection="0">
      <alignment vertical="center"/>
    </xf>
    <xf numFmtId="0" fontId="44" fillId="4" borderId="0" applyNumberFormat="0" applyBorder="0" applyAlignment="0" applyProtection="0">
      <alignment vertical="center"/>
    </xf>
    <xf numFmtId="0" fontId="44" fillId="4" borderId="0" applyNumberFormat="0" applyBorder="0" applyAlignment="0" applyProtection="0">
      <alignment vertical="center"/>
    </xf>
    <xf numFmtId="0" fontId="81" fillId="0" borderId="0" applyBorder="0">
      <alignment vertical="center"/>
    </xf>
    <xf numFmtId="0" fontId="81" fillId="0" borderId="0">
      <alignment vertical="center"/>
    </xf>
    <xf numFmtId="0" fontId="44" fillId="4" borderId="0" applyNumberFormat="0" applyBorder="0" applyAlignment="0" applyProtection="0">
      <alignment vertical="center"/>
    </xf>
    <xf numFmtId="0" fontId="44" fillId="4" borderId="0" applyNumberFormat="0" applyBorder="0" applyAlignment="0" applyProtection="0">
      <alignment vertical="center"/>
    </xf>
    <xf numFmtId="0" fontId="44" fillId="4" borderId="0" applyNumberFormat="0" applyBorder="0" applyAlignment="0" applyProtection="0">
      <alignment vertical="center"/>
    </xf>
    <xf numFmtId="0" fontId="44" fillId="4" borderId="0" applyNumberFormat="0" applyBorder="0" applyAlignment="0" applyProtection="0">
      <alignment vertical="center"/>
    </xf>
    <xf numFmtId="0" fontId="44" fillId="4" borderId="0" applyNumberFormat="0" applyBorder="0" applyAlignment="0" applyProtection="0">
      <alignment vertical="center"/>
    </xf>
    <xf numFmtId="0" fontId="81" fillId="0" borderId="0" applyBorder="0">
      <alignment vertical="center"/>
    </xf>
    <xf numFmtId="0" fontId="39" fillId="0" borderId="0">
      <alignment vertical="center"/>
    </xf>
    <xf numFmtId="0" fontId="81" fillId="0" borderId="0">
      <alignment vertical="center"/>
    </xf>
    <xf numFmtId="0" fontId="44" fillId="4" borderId="0" applyNumberFormat="0" applyBorder="0" applyAlignment="0" applyProtection="0">
      <alignment vertical="center"/>
    </xf>
    <xf numFmtId="0" fontId="81" fillId="0" borderId="0" applyBorder="0">
      <alignment vertical="center"/>
    </xf>
    <xf numFmtId="0" fontId="44" fillId="4" borderId="0" applyNumberFormat="0" applyBorder="0" applyAlignment="0" applyProtection="0">
      <alignment vertical="center"/>
    </xf>
    <xf numFmtId="0" fontId="81" fillId="0" borderId="0" applyBorder="0">
      <alignment vertical="center"/>
    </xf>
    <xf numFmtId="0" fontId="44" fillId="4" borderId="0" applyNumberFormat="0" applyBorder="0" applyAlignment="0" applyProtection="0">
      <alignment vertical="center"/>
    </xf>
    <xf numFmtId="0" fontId="44" fillId="4" borderId="0" applyNumberFormat="0" applyBorder="0" applyAlignment="0" applyProtection="0">
      <alignment vertical="center"/>
    </xf>
    <xf numFmtId="0" fontId="44" fillId="4" borderId="0" applyNumberFormat="0" applyBorder="0" applyAlignment="0" applyProtection="0">
      <alignment vertical="center"/>
    </xf>
    <xf numFmtId="0" fontId="81" fillId="0" borderId="0" applyBorder="0">
      <alignment vertical="center"/>
    </xf>
    <xf numFmtId="0" fontId="44" fillId="4" borderId="0" applyNumberFormat="0" applyBorder="0" applyAlignment="0" applyProtection="0">
      <alignment vertical="center"/>
    </xf>
    <xf numFmtId="0" fontId="44" fillId="4" borderId="0" applyNumberFormat="0" applyBorder="0" applyAlignment="0" applyProtection="0">
      <alignment vertical="center"/>
    </xf>
    <xf numFmtId="0" fontId="81" fillId="0" borderId="0" applyBorder="0">
      <alignment vertical="center"/>
    </xf>
    <xf numFmtId="0" fontId="44" fillId="4" borderId="0" applyNumberFormat="0" applyBorder="0" applyAlignment="0" applyProtection="0">
      <alignment vertical="center"/>
    </xf>
    <xf numFmtId="0" fontId="81" fillId="0" borderId="0" applyBorder="0">
      <alignment vertical="center"/>
    </xf>
    <xf numFmtId="0" fontId="81" fillId="0" borderId="0">
      <alignment vertical="center"/>
    </xf>
    <xf numFmtId="0" fontId="81" fillId="0" borderId="0" applyBorder="0">
      <alignment vertical="center"/>
    </xf>
    <xf numFmtId="0" fontId="44" fillId="4" borderId="0" applyNumberFormat="0" applyBorder="0" applyAlignment="0" applyProtection="0">
      <alignment vertical="center"/>
    </xf>
    <xf numFmtId="0" fontId="81" fillId="0" borderId="0" applyBorder="0">
      <alignment vertical="center"/>
    </xf>
    <xf numFmtId="0" fontId="44" fillId="4" borderId="0" applyNumberFormat="0" applyBorder="0" applyAlignment="0" applyProtection="0">
      <alignment vertical="center"/>
    </xf>
    <xf numFmtId="0" fontId="81" fillId="0" borderId="0" applyBorder="0">
      <alignment vertical="center"/>
    </xf>
    <xf numFmtId="0" fontId="44" fillId="4" borderId="0" applyNumberFormat="0" applyBorder="0" applyAlignment="0" applyProtection="0">
      <alignment vertical="center"/>
    </xf>
    <xf numFmtId="0" fontId="81" fillId="0" borderId="0" applyBorder="0">
      <alignment vertical="center"/>
    </xf>
    <xf numFmtId="0" fontId="44" fillId="30" borderId="0" applyNumberFormat="0" applyBorder="0" applyAlignment="0" applyProtection="0">
      <alignment vertical="center"/>
    </xf>
    <xf numFmtId="0" fontId="39" fillId="0" borderId="0">
      <alignment vertical="center"/>
    </xf>
    <xf numFmtId="0" fontId="44" fillId="30" borderId="0" applyNumberFormat="0" applyBorder="0" applyAlignment="0" applyProtection="0">
      <alignment vertical="center"/>
    </xf>
    <xf numFmtId="0" fontId="44" fillId="5" borderId="0" applyNumberFormat="0" applyBorder="0" applyAlignment="0" applyProtection="0">
      <alignment vertical="center"/>
    </xf>
    <xf numFmtId="0" fontId="81" fillId="0" borderId="0" applyBorder="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81" fillId="0" borderId="0">
      <alignment vertical="center"/>
    </xf>
    <xf numFmtId="0" fontId="44" fillId="5" borderId="0" applyNumberFormat="0" applyBorder="0" applyAlignment="0" applyProtection="0">
      <alignment vertical="center"/>
    </xf>
    <xf numFmtId="0" fontId="81" fillId="0" borderId="0">
      <alignment vertical="center"/>
    </xf>
    <xf numFmtId="0" fontId="44" fillId="5" borderId="0" applyNumberFormat="0" applyBorder="0" applyAlignment="0" applyProtection="0">
      <alignment vertical="center"/>
    </xf>
    <xf numFmtId="0" fontId="81" fillId="0" borderId="0">
      <alignment vertical="center"/>
    </xf>
    <xf numFmtId="0" fontId="44" fillId="5" borderId="0" applyNumberFormat="0" applyBorder="0" applyAlignment="0" applyProtection="0">
      <alignment vertical="center"/>
    </xf>
    <xf numFmtId="0" fontId="81" fillId="0" borderId="0" applyBorder="0">
      <alignment vertical="center"/>
    </xf>
    <xf numFmtId="0" fontId="44" fillId="5"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44" fillId="5" borderId="0" applyNumberFormat="0" applyBorder="0" applyAlignment="0" applyProtection="0">
      <alignment vertical="center"/>
    </xf>
    <xf numFmtId="0" fontId="81" fillId="0" borderId="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47" fillId="0" borderId="0"/>
    <xf numFmtId="0" fontId="44" fillId="5" borderId="0" applyNumberFormat="0" applyBorder="0" applyAlignment="0" applyProtection="0">
      <alignment vertical="center"/>
    </xf>
    <xf numFmtId="0" fontId="81" fillId="0" borderId="0" applyBorder="0">
      <alignment vertical="center"/>
    </xf>
    <xf numFmtId="0" fontId="44" fillId="5" borderId="0" applyNumberFormat="0" applyBorder="0" applyAlignment="0" applyProtection="0">
      <alignment vertical="center"/>
    </xf>
    <xf numFmtId="0" fontId="54" fillId="18" borderId="0" applyNumberFormat="0" applyBorder="0" applyAlignment="0" applyProtection="0">
      <alignment vertical="center"/>
    </xf>
    <xf numFmtId="0" fontId="44" fillId="5" borderId="0" applyNumberFormat="0" applyBorder="0" applyAlignment="0" applyProtection="0">
      <alignment vertical="center"/>
    </xf>
    <xf numFmtId="0" fontId="81" fillId="0" borderId="0" applyBorder="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81" fillId="0" borderId="0" applyBorder="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81" fillId="0" borderId="0">
      <alignment vertical="center"/>
    </xf>
    <xf numFmtId="0" fontId="44" fillId="5" borderId="0" applyNumberFormat="0" applyBorder="0" applyAlignment="0" applyProtection="0">
      <alignment vertical="center"/>
    </xf>
    <xf numFmtId="0" fontId="81" fillId="0" borderId="0" applyBorder="0">
      <alignment vertical="center"/>
    </xf>
    <xf numFmtId="0" fontId="44" fillId="5" borderId="0" applyNumberFormat="0" applyBorder="0" applyAlignment="0" applyProtection="0">
      <alignment vertical="center"/>
    </xf>
    <xf numFmtId="0" fontId="81" fillId="0" borderId="0">
      <alignment vertical="center"/>
    </xf>
    <xf numFmtId="0" fontId="44" fillId="5" borderId="0" applyNumberFormat="0" applyBorder="0" applyAlignment="0" applyProtection="0">
      <alignment vertical="center"/>
    </xf>
    <xf numFmtId="0" fontId="81" fillId="0" borderId="0">
      <alignment vertical="center"/>
    </xf>
    <xf numFmtId="0" fontId="44" fillId="5" borderId="0" applyNumberFormat="0" applyBorder="0" applyAlignment="0" applyProtection="0">
      <alignment vertical="center"/>
    </xf>
    <xf numFmtId="0" fontId="81" fillId="0" borderId="0">
      <alignment vertical="center"/>
    </xf>
    <xf numFmtId="0" fontId="81" fillId="0" borderId="0" applyBorder="0">
      <alignment vertical="center"/>
    </xf>
    <xf numFmtId="0" fontId="44" fillId="5" borderId="0" applyNumberFormat="0" applyBorder="0" applyAlignment="0" applyProtection="0">
      <alignment vertical="center"/>
    </xf>
    <xf numFmtId="0" fontId="81" fillId="0" borderId="0">
      <alignment vertical="center"/>
    </xf>
    <xf numFmtId="0" fontId="81" fillId="0" borderId="0" applyBorder="0">
      <alignment vertical="center"/>
    </xf>
    <xf numFmtId="0" fontId="44" fillId="5" borderId="0" applyNumberFormat="0" applyBorder="0" applyAlignment="0" applyProtection="0">
      <alignment vertical="center"/>
    </xf>
    <xf numFmtId="0" fontId="81" fillId="0" borderId="0" applyBorder="0">
      <alignment vertical="center"/>
    </xf>
    <xf numFmtId="0" fontId="44" fillId="5" borderId="0" applyNumberFormat="0" applyBorder="0" applyAlignment="0" applyProtection="0">
      <alignment vertical="center"/>
    </xf>
    <xf numFmtId="0" fontId="81" fillId="0" borderId="0" applyBorder="0">
      <alignment vertical="center"/>
    </xf>
    <xf numFmtId="0" fontId="44" fillId="5" borderId="0" applyNumberFormat="0" applyBorder="0" applyAlignment="0" applyProtection="0">
      <alignment vertical="center"/>
    </xf>
    <xf numFmtId="0" fontId="81" fillId="0" borderId="0" applyBorder="0">
      <alignment vertical="center"/>
    </xf>
    <xf numFmtId="0" fontId="44" fillId="5" borderId="0" applyNumberFormat="0" applyBorder="0" applyAlignment="0" applyProtection="0">
      <alignment vertical="center"/>
    </xf>
    <xf numFmtId="0" fontId="81" fillId="0" borderId="0" applyBorder="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81" fillId="0" borderId="0" applyBorder="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81" fillId="0" borderId="0">
      <alignment vertical="center"/>
    </xf>
    <xf numFmtId="0" fontId="81" fillId="0" borderId="0">
      <alignment vertical="center"/>
    </xf>
    <xf numFmtId="0" fontId="44" fillId="5" borderId="0" applyNumberFormat="0" applyBorder="0" applyAlignment="0" applyProtection="0">
      <alignment vertical="center"/>
    </xf>
    <xf numFmtId="0" fontId="81" fillId="0" borderId="0" applyBorder="0">
      <alignment vertical="center"/>
    </xf>
    <xf numFmtId="0" fontId="44" fillId="5" borderId="0" applyNumberFormat="0" applyBorder="0" applyAlignment="0" applyProtection="0">
      <alignment vertical="center"/>
    </xf>
    <xf numFmtId="0" fontId="81" fillId="0" borderId="0" applyBorder="0">
      <alignment vertical="center"/>
    </xf>
    <xf numFmtId="0" fontId="44" fillId="5" borderId="0" applyNumberFormat="0" applyBorder="0" applyAlignment="0" applyProtection="0">
      <alignment vertical="center"/>
    </xf>
    <xf numFmtId="0" fontId="81" fillId="0" borderId="0" applyBorder="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81" fillId="0" borderId="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81" fillId="0" borderId="0" applyBorder="0">
      <alignment vertical="center"/>
    </xf>
    <xf numFmtId="0" fontId="44" fillId="29" borderId="0" applyNumberFormat="0" applyBorder="0" applyAlignment="0" applyProtection="0">
      <alignment vertical="center"/>
    </xf>
    <xf numFmtId="0" fontId="44" fillId="5" borderId="0" applyNumberFormat="0" applyBorder="0" applyAlignment="0" applyProtection="0">
      <alignment vertical="center"/>
    </xf>
    <xf numFmtId="0" fontId="39" fillId="0" borderId="0">
      <alignment vertical="center"/>
    </xf>
    <xf numFmtId="0" fontId="81" fillId="0" borderId="0" applyBorder="0">
      <alignment vertical="center"/>
    </xf>
    <xf numFmtId="0" fontId="44" fillId="29" borderId="0" applyNumberFormat="0" applyBorder="0" applyAlignment="0" applyProtection="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44" fillId="3" borderId="0" applyNumberFormat="0" applyBorder="0" applyAlignment="0" applyProtection="0">
      <alignment vertical="center"/>
    </xf>
    <xf numFmtId="0" fontId="44" fillId="5" borderId="0" applyNumberFormat="0" applyBorder="0" applyAlignment="0" applyProtection="0">
      <alignment vertical="center"/>
    </xf>
    <xf numFmtId="0" fontId="81" fillId="0" borderId="0">
      <alignment vertical="center"/>
    </xf>
    <xf numFmtId="0" fontId="44" fillId="3" borderId="0" applyNumberFormat="0" applyBorder="0" applyAlignment="0" applyProtection="0">
      <alignment vertical="center"/>
    </xf>
    <xf numFmtId="0" fontId="44" fillId="5" borderId="0" applyNumberFormat="0" applyBorder="0" applyAlignment="0" applyProtection="0">
      <alignment vertical="center"/>
    </xf>
    <xf numFmtId="0" fontId="81" fillId="0" borderId="0">
      <alignment vertical="center"/>
    </xf>
    <xf numFmtId="0" fontId="81" fillId="0" borderId="0" applyBorder="0">
      <alignment vertical="center"/>
    </xf>
    <xf numFmtId="0" fontId="44" fillId="3" borderId="0" applyNumberFormat="0" applyBorder="0" applyAlignment="0" applyProtection="0">
      <alignment vertical="center"/>
    </xf>
    <xf numFmtId="0" fontId="44" fillId="5" borderId="0" applyNumberFormat="0" applyBorder="0" applyAlignment="0" applyProtection="0">
      <alignment vertical="center"/>
    </xf>
    <xf numFmtId="0" fontId="81" fillId="0" borderId="0">
      <alignment vertical="center"/>
    </xf>
    <xf numFmtId="0" fontId="44" fillId="5" borderId="0" applyNumberFormat="0" applyBorder="0" applyAlignment="0" applyProtection="0">
      <alignment vertical="center"/>
    </xf>
    <xf numFmtId="0" fontId="81" fillId="0" borderId="0">
      <alignment vertical="center"/>
    </xf>
    <xf numFmtId="0" fontId="44" fillId="5" borderId="0" applyNumberFormat="0" applyBorder="0" applyAlignment="0" applyProtection="0">
      <alignment vertical="center"/>
    </xf>
    <xf numFmtId="0" fontId="81" fillId="0" borderId="0">
      <alignment vertical="center"/>
    </xf>
    <xf numFmtId="0" fontId="44" fillId="5" borderId="0" applyNumberFormat="0" applyBorder="0" applyAlignment="0" applyProtection="0">
      <alignment vertical="center"/>
    </xf>
    <xf numFmtId="0" fontId="81" fillId="0" borderId="0" applyBorder="0">
      <alignment vertical="center"/>
    </xf>
    <xf numFmtId="0" fontId="44" fillId="5" borderId="0" applyNumberFormat="0" applyBorder="0" applyAlignment="0" applyProtection="0">
      <alignment vertical="center"/>
    </xf>
    <xf numFmtId="0" fontId="81" fillId="0" borderId="0" applyBorder="0">
      <alignment vertical="center"/>
    </xf>
    <xf numFmtId="0" fontId="44" fillId="5" borderId="0" applyNumberFormat="0" applyBorder="0" applyAlignment="0" applyProtection="0">
      <alignment vertical="center"/>
    </xf>
    <xf numFmtId="0" fontId="81" fillId="0" borderId="0" applyBorder="0">
      <alignment vertical="center"/>
    </xf>
    <xf numFmtId="0" fontId="44" fillId="3" borderId="0" applyNumberFormat="0" applyBorder="0" applyAlignment="0" applyProtection="0">
      <alignment vertical="center"/>
    </xf>
    <xf numFmtId="0" fontId="44" fillId="5" borderId="0" applyNumberFormat="0" applyBorder="0" applyAlignment="0" applyProtection="0">
      <alignment vertical="center"/>
    </xf>
    <xf numFmtId="0" fontId="81" fillId="0" borderId="0">
      <alignment vertical="center"/>
    </xf>
    <xf numFmtId="0" fontId="81" fillId="0" borderId="0">
      <alignment vertical="center"/>
    </xf>
    <xf numFmtId="0" fontId="81" fillId="0" borderId="0" applyBorder="0">
      <alignment vertical="center"/>
    </xf>
    <xf numFmtId="0" fontId="44" fillId="3" borderId="0" applyNumberFormat="0" applyBorder="0" applyAlignment="0" applyProtection="0">
      <alignment vertical="center"/>
    </xf>
    <xf numFmtId="0" fontId="44" fillId="5" borderId="0" applyNumberFormat="0" applyBorder="0" applyAlignment="0" applyProtection="0">
      <alignment vertical="center"/>
    </xf>
    <xf numFmtId="0" fontId="81" fillId="0" borderId="0" applyBorder="0">
      <alignment vertical="center"/>
    </xf>
    <xf numFmtId="0" fontId="81" fillId="0" borderId="0">
      <alignment vertical="center"/>
    </xf>
    <xf numFmtId="0" fontId="44" fillId="3" borderId="0" applyNumberFormat="0" applyBorder="0" applyAlignment="0" applyProtection="0">
      <alignment vertical="center"/>
    </xf>
    <xf numFmtId="0" fontId="44" fillId="5" borderId="0" applyNumberFormat="0" applyBorder="0" applyAlignment="0" applyProtection="0">
      <alignment vertical="center"/>
    </xf>
    <xf numFmtId="0" fontId="81" fillId="0" borderId="0" applyBorder="0">
      <alignment vertical="center"/>
    </xf>
    <xf numFmtId="0" fontId="81" fillId="0" borderId="0">
      <alignment vertical="center"/>
    </xf>
    <xf numFmtId="0" fontId="44" fillId="5" borderId="0" applyNumberFormat="0" applyBorder="0" applyAlignment="0" applyProtection="0">
      <alignment vertical="center"/>
    </xf>
    <xf numFmtId="0" fontId="81" fillId="0" borderId="0">
      <alignment vertical="center"/>
    </xf>
    <xf numFmtId="0" fontId="44" fillId="3" borderId="0" applyNumberFormat="0" applyBorder="0" applyAlignment="0" applyProtection="0">
      <alignment vertical="center"/>
    </xf>
    <xf numFmtId="0" fontId="44" fillId="5" borderId="0" applyNumberFormat="0" applyBorder="0" applyAlignment="0" applyProtection="0">
      <alignment vertical="center"/>
    </xf>
    <xf numFmtId="0" fontId="81" fillId="0" borderId="0" applyBorder="0">
      <alignment vertical="center"/>
    </xf>
    <xf numFmtId="0" fontId="81" fillId="0" borderId="0">
      <alignment vertical="center"/>
    </xf>
    <xf numFmtId="0" fontId="44" fillId="5" borderId="0" applyNumberFormat="0" applyBorder="0" applyAlignment="0" applyProtection="0">
      <alignment vertical="center"/>
    </xf>
    <xf numFmtId="0" fontId="81" fillId="0" borderId="0" applyBorder="0">
      <alignment vertical="center"/>
    </xf>
    <xf numFmtId="0" fontId="44" fillId="3" borderId="0" applyNumberFormat="0" applyBorder="0" applyAlignment="0" applyProtection="0">
      <alignment vertical="center"/>
    </xf>
    <xf numFmtId="0" fontId="44" fillId="5" borderId="0" applyNumberFormat="0" applyBorder="0" applyAlignment="0" applyProtection="0">
      <alignment vertical="center"/>
    </xf>
    <xf numFmtId="0" fontId="81" fillId="0" borderId="0">
      <alignment vertical="center"/>
    </xf>
    <xf numFmtId="0" fontId="81" fillId="0" borderId="0" applyBorder="0">
      <alignment vertical="center"/>
    </xf>
    <xf numFmtId="0" fontId="44" fillId="3" borderId="0" applyNumberFormat="0" applyBorder="0" applyAlignment="0" applyProtection="0">
      <alignment vertical="center"/>
    </xf>
    <xf numFmtId="0" fontId="44" fillId="5" borderId="0" applyNumberFormat="0" applyBorder="0" applyAlignment="0" applyProtection="0">
      <alignment vertical="center"/>
    </xf>
    <xf numFmtId="0" fontId="81" fillId="0" borderId="0">
      <alignment vertical="center"/>
    </xf>
    <xf numFmtId="0" fontId="81" fillId="0" borderId="0">
      <alignment vertical="center"/>
    </xf>
    <xf numFmtId="0" fontId="44" fillId="5" borderId="0" applyNumberFormat="0" applyBorder="0" applyAlignment="0" applyProtection="0">
      <alignment vertical="center"/>
    </xf>
    <xf numFmtId="0" fontId="81" fillId="0" borderId="0">
      <alignment vertical="center"/>
    </xf>
    <xf numFmtId="0" fontId="44" fillId="5" borderId="0" applyNumberFormat="0" applyBorder="0" applyAlignment="0" applyProtection="0">
      <alignment vertical="center"/>
    </xf>
    <xf numFmtId="0" fontId="81" fillId="0" borderId="0" applyBorder="0">
      <alignment vertical="center"/>
    </xf>
    <xf numFmtId="0" fontId="81" fillId="0" borderId="0">
      <alignment vertical="center"/>
    </xf>
    <xf numFmtId="0" fontId="81" fillId="0" borderId="0">
      <alignment vertical="center"/>
    </xf>
    <xf numFmtId="0" fontId="44" fillId="5" borderId="0" applyNumberFormat="0" applyBorder="0" applyAlignment="0" applyProtection="0">
      <alignment vertical="center"/>
    </xf>
    <xf numFmtId="0" fontId="81" fillId="0" borderId="0" applyBorder="0">
      <alignment vertical="center"/>
    </xf>
    <xf numFmtId="0" fontId="44" fillId="5" borderId="0" applyNumberFormat="0" applyBorder="0" applyAlignment="0" applyProtection="0">
      <alignment vertical="center"/>
    </xf>
    <xf numFmtId="0" fontId="81" fillId="0" borderId="0" applyBorder="0">
      <alignment vertical="center"/>
    </xf>
    <xf numFmtId="0" fontId="44" fillId="5" borderId="0" applyNumberFormat="0" applyBorder="0" applyAlignment="0" applyProtection="0">
      <alignment vertical="center"/>
    </xf>
    <xf numFmtId="0" fontId="81" fillId="0" borderId="0">
      <alignment vertical="center"/>
    </xf>
    <xf numFmtId="0" fontId="44" fillId="3" borderId="0" applyNumberFormat="0" applyBorder="0" applyAlignment="0" applyProtection="0">
      <alignment vertical="center"/>
    </xf>
    <xf numFmtId="0" fontId="81" fillId="0" borderId="0" applyBorder="0">
      <alignment vertical="center"/>
    </xf>
    <xf numFmtId="0" fontId="44" fillId="5" borderId="0" applyNumberFormat="0" applyBorder="0" applyAlignment="0" applyProtection="0">
      <alignment vertical="center"/>
    </xf>
    <xf numFmtId="0" fontId="81" fillId="0" borderId="0">
      <alignment vertical="center"/>
    </xf>
    <xf numFmtId="0" fontId="81" fillId="0" borderId="0" applyBorder="0">
      <alignment vertical="center"/>
    </xf>
    <xf numFmtId="0" fontId="44" fillId="3" borderId="0" applyNumberFormat="0" applyBorder="0" applyAlignment="0" applyProtection="0">
      <alignment vertical="center"/>
    </xf>
    <xf numFmtId="0" fontId="44" fillId="5" borderId="0" applyNumberFormat="0" applyBorder="0" applyAlignment="0" applyProtection="0">
      <alignment vertical="center"/>
    </xf>
    <xf numFmtId="0" fontId="81" fillId="0" borderId="0">
      <alignment vertical="center"/>
    </xf>
    <xf numFmtId="0" fontId="44" fillId="3" borderId="0" applyNumberFormat="0" applyBorder="0" applyAlignment="0" applyProtection="0">
      <alignment vertical="center"/>
    </xf>
    <xf numFmtId="0" fontId="44" fillId="5" borderId="0" applyNumberFormat="0" applyBorder="0" applyAlignment="0" applyProtection="0">
      <alignment vertical="center"/>
    </xf>
    <xf numFmtId="0" fontId="81" fillId="0" borderId="0">
      <alignment vertical="center"/>
    </xf>
    <xf numFmtId="0" fontId="81" fillId="0" borderId="0">
      <alignment vertical="center"/>
    </xf>
    <xf numFmtId="0" fontId="44" fillId="5" borderId="0" applyNumberFormat="0" applyBorder="0" applyAlignment="0" applyProtection="0">
      <alignment vertical="center"/>
    </xf>
    <xf numFmtId="0" fontId="81" fillId="0" borderId="0">
      <alignment vertical="center"/>
    </xf>
    <xf numFmtId="0" fontId="81" fillId="0" borderId="0" applyBorder="0">
      <alignment vertical="center"/>
    </xf>
    <xf numFmtId="0" fontId="44" fillId="3" borderId="0" applyNumberFormat="0" applyBorder="0" applyAlignment="0" applyProtection="0">
      <alignment vertical="center"/>
    </xf>
    <xf numFmtId="0" fontId="44" fillId="5" borderId="0" applyNumberFormat="0" applyBorder="0" applyAlignment="0" applyProtection="0">
      <alignment vertical="center"/>
    </xf>
    <xf numFmtId="0" fontId="81" fillId="0" borderId="0" applyBorder="0">
      <alignment vertical="center"/>
    </xf>
    <xf numFmtId="0" fontId="44" fillId="7" borderId="0" applyNumberFormat="0" applyBorder="0" applyAlignment="0" applyProtection="0">
      <alignment vertical="center"/>
    </xf>
    <xf numFmtId="0" fontId="81" fillId="0" borderId="0"/>
    <xf numFmtId="0" fontId="44" fillId="5" borderId="0" applyNumberFormat="0" applyBorder="0" applyAlignment="0" applyProtection="0">
      <alignment vertical="center"/>
    </xf>
    <xf numFmtId="0" fontId="81" fillId="0" borderId="0">
      <alignment vertical="center"/>
    </xf>
    <xf numFmtId="0" fontId="81" fillId="0" borderId="0" applyBorder="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48" fillId="0" borderId="0" applyNumberFormat="0" applyFill="0" applyBorder="0" applyAlignment="0" applyProtection="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81" fillId="0" borderId="0" applyBorder="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44" fillId="16" borderId="0" applyNumberFormat="0" applyBorder="0" applyAlignment="0" applyProtection="0">
      <alignment vertical="center"/>
    </xf>
    <xf numFmtId="0" fontId="81" fillId="0" borderId="0" applyBorder="0">
      <alignment vertical="center"/>
    </xf>
    <xf numFmtId="0" fontId="44" fillId="16" borderId="0" applyNumberFormat="0" applyBorder="0" applyAlignment="0" applyProtection="0">
      <alignment vertical="center"/>
    </xf>
    <xf numFmtId="0" fontId="81" fillId="0" borderId="0" applyBorder="0">
      <alignment vertical="center"/>
    </xf>
    <xf numFmtId="0" fontId="44" fillId="3" borderId="0" applyNumberFormat="0" applyBorder="0" applyAlignment="0" applyProtection="0">
      <alignment vertical="center"/>
    </xf>
    <xf numFmtId="0" fontId="44" fillId="3" borderId="0" applyNumberFormat="0" applyBorder="0" applyAlignment="0" applyProtection="0">
      <alignment vertical="center"/>
    </xf>
    <xf numFmtId="0" fontId="37" fillId="0" borderId="0">
      <alignment vertical="center"/>
    </xf>
    <xf numFmtId="0" fontId="44" fillId="3" borderId="0" applyNumberFormat="0" applyBorder="0" applyAlignment="0" applyProtection="0">
      <alignment vertical="center"/>
    </xf>
    <xf numFmtId="0" fontId="37" fillId="0" borderId="0">
      <alignment vertical="center"/>
    </xf>
    <xf numFmtId="0" fontId="81" fillId="0" borderId="0">
      <alignment vertical="center"/>
    </xf>
    <xf numFmtId="0" fontId="39" fillId="0" borderId="0">
      <alignment vertical="center"/>
    </xf>
    <xf numFmtId="0" fontId="44" fillId="3" borderId="0" applyNumberFormat="0" applyBorder="0" applyAlignment="0" applyProtection="0">
      <alignment vertical="center"/>
    </xf>
    <xf numFmtId="0" fontId="47" fillId="0" borderId="0" applyBorder="0">
      <alignment vertical="center"/>
    </xf>
    <xf numFmtId="0" fontId="50" fillId="10" borderId="37" applyNumberFormat="0" applyAlignment="0" applyProtection="0">
      <alignment vertical="center"/>
    </xf>
    <xf numFmtId="0" fontId="81" fillId="0" borderId="0">
      <alignment vertical="center"/>
    </xf>
    <xf numFmtId="0" fontId="81" fillId="0" borderId="0" applyBorder="0">
      <alignment vertical="center"/>
    </xf>
    <xf numFmtId="0" fontId="44" fillId="3" borderId="0" applyNumberFormat="0" applyBorder="0" applyAlignment="0" applyProtection="0">
      <alignment vertical="center"/>
    </xf>
    <xf numFmtId="0" fontId="44" fillId="3" borderId="0" applyNumberFormat="0" applyBorder="0" applyAlignment="0" applyProtection="0">
      <alignment vertical="center"/>
    </xf>
    <xf numFmtId="0" fontId="44" fillId="3" borderId="0" applyNumberFormat="0" applyBorder="0" applyAlignment="0" applyProtection="0">
      <alignment vertical="center"/>
    </xf>
    <xf numFmtId="0" fontId="44" fillId="3" borderId="0" applyNumberFormat="0" applyBorder="0" applyAlignment="0" applyProtection="0">
      <alignment vertical="center"/>
    </xf>
    <xf numFmtId="0" fontId="44" fillId="3" borderId="0" applyNumberFormat="0" applyBorder="0" applyAlignment="0" applyProtection="0">
      <alignment vertical="center"/>
    </xf>
    <xf numFmtId="0" fontId="44" fillId="3" borderId="0" applyNumberFormat="0" applyBorder="0" applyAlignment="0" applyProtection="0">
      <alignment vertical="center"/>
    </xf>
    <xf numFmtId="0" fontId="44" fillId="3" borderId="0" applyNumberFormat="0" applyBorder="0" applyAlignment="0" applyProtection="0">
      <alignment vertical="center"/>
    </xf>
    <xf numFmtId="0" fontId="81" fillId="0" borderId="0">
      <alignment vertical="center"/>
    </xf>
    <xf numFmtId="0" fontId="47" fillId="0" borderId="0" applyBorder="0">
      <alignment vertical="center"/>
    </xf>
    <xf numFmtId="0" fontId="44" fillId="3" borderId="0" applyNumberFormat="0" applyBorder="0" applyAlignment="0" applyProtection="0">
      <alignment vertical="center"/>
    </xf>
    <xf numFmtId="0" fontId="81" fillId="0" borderId="0">
      <alignment vertical="center"/>
    </xf>
    <xf numFmtId="0" fontId="44" fillId="3" borderId="0" applyNumberFormat="0" applyBorder="0" applyAlignment="0" applyProtection="0">
      <alignment vertical="center"/>
    </xf>
    <xf numFmtId="0" fontId="81" fillId="0" borderId="0">
      <alignment vertical="center"/>
    </xf>
    <xf numFmtId="0" fontId="44" fillId="3" borderId="0" applyNumberFormat="0" applyBorder="0" applyAlignment="0" applyProtection="0">
      <alignment vertical="center"/>
    </xf>
    <xf numFmtId="0" fontId="81" fillId="0" borderId="0" applyBorder="0">
      <alignment vertical="center"/>
    </xf>
    <xf numFmtId="0" fontId="44" fillId="3"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44" fillId="3" borderId="0" applyNumberFormat="0" applyBorder="0" applyAlignment="0" applyProtection="0">
      <alignment vertical="center"/>
    </xf>
    <xf numFmtId="0" fontId="81" fillId="0" borderId="0">
      <alignment vertical="center"/>
    </xf>
    <xf numFmtId="0" fontId="44" fillId="3" borderId="0" applyNumberFormat="0" applyBorder="0" applyAlignment="0" applyProtection="0">
      <alignment vertical="center"/>
    </xf>
    <xf numFmtId="0" fontId="81" fillId="0" borderId="0">
      <alignment vertical="center"/>
    </xf>
    <xf numFmtId="0" fontId="37" fillId="0" borderId="0">
      <alignment vertical="center"/>
    </xf>
    <xf numFmtId="0" fontId="81" fillId="0" borderId="0" applyBorder="0">
      <alignment vertical="center"/>
    </xf>
    <xf numFmtId="0" fontId="39" fillId="0" borderId="0">
      <alignment vertical="center"/>
    </xf>
    <xf numFmtId="0" fontId="44" fillId="3" borderId="0" applyNumberFormat="0" applyBorder="0" applyAlignment="0" applyProtection="0">
      <alignment vertical="center"/>
    </xf>
    <xf numFmtId="0" fontId="81" fillId="0" borderId="0">
      <alignment vertical="center"/>
    </xf>
    <xf numFmtId="0" fontId="37" fillId="0" borderId="0">
      <alignment vertical="center"/>
    </xf>
    <xf numFmtId="0" fontId="81" fillId="0" borderId="0" applyBorder="0">
      <alignment vertical="center"/>
    </xf>
    <xf numFmtId="0" fontId="39" fillId="0" borderId="0">
      <alignment vertical="center"/>
    </xf>
    <xf numFmtId="0" fontId="44" fillId="3" borderId="0" applyNumberFormat="0" applyBorder="0" applyAlignment="0" applyProtection="0">
      <alignment vertical="center"/>
    </xf>
    <xf numFmtId="0" fontId="81" fillId="0" borderId="0" applyBorder="0">
      <alignment vertical="center"/>
    </xf>
    <xf numFmtId="0" fontId="47" fillId="0" borderId="0" applyBorder="0">
      <alignment vertical="center"/>
    </xf>
    <xf numFmtId="0" fontId="44" fillId="3" borderId="0" applyNumberFormat="0" applyBorder="0" applyAlignment="0" applyProtection="0">
      <alignment vertical="center"/>
    </xf>
    <xf numFmtId="0" fontId="44" fillId="3" borderId="0" applyNumberFormat="0" applyBorder="0" applyAlignment="0" applyProtection="0">
      <alignment vertical="center"/>
    </xf>
    <xf numFmtId="0" fontId="81" fillId="0" borderId="0">
      <alignment vertical="center"/>
    </xf>
    <xf numFmtId="0" fontId="44" fillId="3" borderId="0" applyNumberFormat="0" applyBorder="0" applyAlignment="0" applyProtection="0">
      <alignment vertical="center"/>
    </xf>
    <xf numFmtId="0" fontId="44" fillId="3" borderId="0" applyNumberFormat="0" applyBorder="0" applyAlignment="0" applyProtection="0">
      <alignment vertical="center"/>
    </xf>
    <xf numFmtId="0" fontId="81" fillId="0" borderId="0"/>
    <xf numFmtId="0" fontId="81" fillId="0" borderId="0">
      <alignment vertical="center"/>
    </xf>
    <xf numFmtId="0" fontId="44" fillId="3" borderId="0" applyNumberFormat="0" applyBorder="0" applyAlignment="0" applyProtection="0">
      <alignment vertical="center"/>
    </xf>
    <xf numFmtId="0" fontId="44" fillId="3" borderId="0" applyNumberFormat="0" applyBorder="0" applyAlignment="0" applyProtection="0">
      <alignment vertical="center"/>
    </xf>
    <xf numFmtId="0" fontId="44" fillId="5" borderId="0" applyNumberFormat="0" applyBorder="0" applyAlignment="0" applyProtection="0">
      <alignment vertical="center"/>
    </xf>
    <xf numFmtId="0" fontId="44" fillId="3" borderId="0" applyNumberFormat="0" applyBorder="0" applyAlignment="0" applyProtection="0">
      <alignment vertical="center"/>
    </xf>
    <xf numFmtId="0" fontId="44" fillId="3" borderId="0" applyNumberFormat="0" applyBorder="0" applyAlignment="0" applyProtection="0">
      <alignment vertical="center"/>
    </xf>
    <xf numFmtId="0" fontId="44" fillId="3" borderId="0" applyNumberFormat="0" applyBorder="0" applyAlignment="0" applyProtection="0">
      <alignment vertical="center"/>
    </xf>
    <xf numFmtId="0" fontId="44" fillId="3" borderId="0" applyNumberFormat="0" applyBorder="0" applyAlignment="0" applyProtection="0">
      <alignment vertical="center"/>
    </xf>
    <xf numFmtId="0" fontId="44" fillId="3" borderId="0" applyNumberFormat="0" applyBorder="0" applyAlignment="0" applyProtection="0">
      <alignment vertical="center"/>
    </xf>
    <xf numFmtId="0" fontId="44" fillId="3" borderId="0" applyNumberFormat="0" applyBorder="0" applyAlignment="0" applyProtection="0">
      <alignment vertical="center"/>
    </xf>
    <xf numFmtId="0" fontId="44" fillId="3" borderId="0" applyNumberFormat="0" applyBorder="0" applyAlignment="0" applyProtection="0">
      <alignment vertical="center"/>
    </xf>
    <xf numFmtId="0" fontId="81" fillId="0" borderId="0">
      <alignment vertical="center"/>
    </xf>
    <xf numFmtId="0" fontId="81" fillId="0" borderId="0" applyBorder="0">
      <alignment vertical="center"/>
    </xf>
    <xf numFmtId="0" fontId="47" fillId="0" borderId="0" applyBorder="0">
      <alignment vertical="center"/>
    </xf>
    <xf numFmtId="0" fontId="44" fillId="3"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47" fillId="0" borderId="0" applyBorder="0">
      <alignment vertical="center"/>
    </xf>
    <xf numFmtId="0" fontId="44" fillId="3" borderId="0" applyNumberFormat="0" applyBorder="0" applyAlignment="0" applyProtection="0">
      <alignment vertical="center"/>
    </xf>
    <xf numFmtId="0" fontId="81" fillId="0" borderId="0" applyBorder="0">
      <alignment vertical="center"/>
    </xf>
    <xf numFmtId="0" fontId="44" fillId="3" borderId="0" applyNumberFormat="0" applyBorder="0" applyAlignment="0" applyProtection="0">
      <alignment vertical="center"/>
    </xf>
    <xf numFmtId="0" fontId="44" fillId="3" borderId="0" applyNumberFormat="0" applyBorder="0" applyAlignment="0" applyProtection="0">
      <alignment vertical="center"/>
    </xf>
    <xf numFmtId="0" fontId="81" fillId="0" borderId="0">
      <alignment vertical="center"/>
    </xf>
    <xf numFmtId="0" fontId="81" fillId="0" borderId="0" applyBorder="0">
      <alignment vertical="center"/>
    </xf>
    <xf numFmtId="0" fontId="81" fillId="0" borderId="0">
      <alignment vertical="center"/>
    </xf>
    <xf numFmtId="0" fontId="47" fillId="0" borderId="0" applyBorder="0">
      <alignment vertical="center"/>
    </xf>
    <xf numFmtId="0" fontId="81" fillId="0" borderId="0" applyBorder="0">
      <alignment vertical="center"/>
    </xf>
    <xf numFmtId="0" fontId="44" fillId="3" borderId="0" applyNumberFormat="0" applyBorder="0" applyAlignment="0" applyProtection="0">
      <alignment vertical="center"/>
    </xf>
    <xf numFmtId="0" fontId="81" fillId="0" borderId="0"/>
    <xf numFmtId="0" fontId="81" fillId="0" borderId="0" applyBorder="0">
      <alignment vertical="center"/>
    </xf>
    <xf numFmtId="0" fontId="44" fillId="3" borderId="0" applyNumberFormat="0" applyBorder="0" applyAlignment="0" applyProtection="0">
      <alignment vertical="center"/>
    </xf>
    <xf numFmtId="0" fontId="81" fillId="0" borderId="0" applyBorder="0">
      <alignment vertical="center"/>
    </xf>
    <xf numFmtId="0" fontId="44" fillId="3" borderId="0" applyNumberFormat="0" applyBorder="0" applyAlignment="0" applyProtection="0">
      <alignment vertical="center"/>
    </xf>
    <xf numFmtId="0" fontId="44" fillId="3" borderId="0" applyNumberFormat="0" applyBorder="0" applyAlignment="0" applyProtection="0">
      <alignment vertical="center"/>
    </xf>
    <xf numFmtId="0" fontId="81" fillId="0" borderId="0">
      <alignment vertical="center"/>
    </xf>
    <xf numFmtId="0" fontId="81" fillId="0" borderId="0">
      <alignment vertical="center"/>
    </xf>
    <xf numFmtId="0" fontId="44" fillId="3" borderId="0" applyNumberFormat="0" applyBorder="0" applyAlignment="0" applyProtection="0">
      <alignment vertical="center"/>
    </xf>
    <xf numFmtId="0" fontId="81" fillId="0" borderId="0" applyBorder="0">
      <alignment vertical="center"/>
    </xf>
    <xf numFmtId="0" fontId="44" fillId="3" borderId="0" applyNumberFormat="0" applyBorder="0" applyAlignment="0" applyProtection="0">
      <alignment vertical="center"/>
    </xf>
    <xf numFmtId="0" fontId="81" fillId="0" borderId="0" applyBorder="0">
      <alignment vertical="center"/>
    </xf>
    <xf numFmtId="0" fontId="44" fillId="3"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44" fillId="3" borderId="0" applyNumberFormat="0" applyBorder="0" applyAlignment="0" applyProtection="0">
      <alignment vertical="center"/>
    </xf>
    <xf numFmtId="0" fontId="81" fillId="0" borderId="0" applyBorder="0">
      <alignment vertical="center"/>
    </xf>
    <xf numFmtId="0" fontId="44" fillId="3" borderId="0" applyNumberFormat="0" applyBorder="0" applyAlignment="0" applyProtection="0">
      <alignment vertical="center"/>
    </xf>
    <xf numFmtId="0" fontId="48" fillId="0" borderId="39" applyNumberFormat="0" applyFill="0" applyAlignment="0" applyProtection="0">
      <alignment vertical="center"/>
    </xf>
    <xf numFmtId="0" fontId="81" fillId="0" borderId="0" applyBorder="0">
      <alignment vertical="center"/>
    </xf>
    <xf numFmtId="0" fontId="81" fillId="0" borderId="0" applyBorder="0">
      <alignment vertical="center"/>
    </xf>
    <xf numFmtId="0" fontId="44" fillId="3" borderId="0" applyNumberFormat="0" applyBorder="0" applyAlignment="0" applyProtection="0">
      <alignment vertical="center"/>
    </xf>
    <xf numFmtId="0" fontId="81" fillId="0" borderId="0" applyBorder="0">
      <alignment vertical="center"/>
    </xf>
    <xf numFmtId="0" fontId="44" fillId="29" borderId="0" applyNumberFormat="0" applyBorder="0" applyAlignment="0" applyProtection="0">
      <alignment vertical="center"/>
    </xf>
    <xf numFmtId="0" fontId="44" fillId="3" borderId="0" applyNumberFormat="0" applyBorder="0" applyAlignment="0" applyProtection="0">
      <alignment vertical="center"/>
    </xf>
    <xf numFmtId="0" fontId="81" fillId="0" borderId="0">
      <alignment vertical="center"/>
    </xf>
    <xf numFmtId="0" fontId="39" fillId="0" borderId="0">
      <alignment vertical="center"/>
    </xf>
    <xf numFmtId="0" fontId="81" fillId="0" borderId="0" applyBorder="0">
      <alignment vertical="center"/>
    </xf>
    <xf numFmtId="0" fontId="44" fillId="3"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44" fillId="3" borderId="0" applyNumberFormat="0" applyBorder="0" applyAlignment="0" applyProtection="0">
      <alignment vertical="center"/>
    </xf>
    <xf numFmtId="0" fontId="37" fillId="0" borderId="0">
      <alignment vertical="center"/>
    </xf>
    <xf numFmtId="0" fontId="44" fillId="3" borderId="0" applyNumberFormat="0" applyBorder="0" applyAlignment="0" applyProtection="0">
      <alignment vertical="center"/>
    </xf>
    <xf numFmtId="0" fontId="37" fillId="0" borderId="0">
      <alignment vertical="center"/>
    </xf>
    <xf numFmtId="0" fontId="81" fillId="0" borderId="0" applyBorder="0">
      <alignment vertical="center"/>
    </xf>
    <xf numFmtId="0" fontId="81" fillId="0" borderId="0" applyBorder="0">
      <alignment vertical="center"/>
    </xf>
    <xf numFmtId="0" fontId="44" fillId="3" borderId="0" applyNumberFormat="0" applyBorder="0" applyAlignment="0" applyProtection="0">
      <alignment vertical="center"/>
    </xf>
    <xf numFmtId="0" fontId="47" fillId="0" borderId="0" applyBorder="0">
      <alignment vertical="center"/>
    </xf>
    <xf numFmtId="0" fontId="44" fillId="3" borderId="0" applyNumberFormat="0" applyBorder="0" applyAlignment="0" applyProtection="0">
      <alignment vertical="center"/>
    </xf>
    <xf numFmtId="0" fontId="44" fillId="3" borderId="0" applyNumberFormat="0" applyBorder="0" applyAlignment="0" applyProtection="0">
      <alignment vertical="center"/>
    </xf>
    <xf numFmtId="0" fontId="44" fillId="3" borderId="0" applyNumberFormat="0" applyBorder="0" applyAlignment="0" applyProtection="0">
      <alignment vertical="center"/>
    </xf>
    <xf numFmtId="0" fontId="44" fillId="3" borderId="0" applyNumberFormat="0" applyBorder="0" applyAlignment="0" applyProtection="0">
      <alignment vertical="center"/>
    </xf>
    <xf numFmtId="0" fontId="44" fillId="3" borderId="0" applyNumberFormat="0" applyBorder="0" applyAlignment="0" applyProtection="0">
      <alignment vertical="center"/>
    </xf>
    <xf numFmtId="0" fontId="44" fillId="3" borderId="0" applyNumberFormat="0" applyBorder="0" applyAlignment="0" applyProtection="0">
      <alignment vertical="center"/>
    </xf>
    <xf numFmtId="0" fontId="44" fillId="3" borderId="0" applyNumberFormat="0" applyBorder="0" applyAlignment="0" applyProtection="0">
      <alignment vertical="center"/>
    </xf>
    <xf numFmtId="0" fontId="48" fillId="0" borderId="39" applyNumberFormat="0" applyFill="0" applyAlignment="0" applyProtection="0">
      <alignment vertical="center"/>
    </xf>
    <xf numFmtId="0" fontId="81" fillId="0" borderId="0">
      <alignment vertical="center"/>
    </xf>
    <xf numFmtId="0" fontId="47" fillId="0" borderId="0" applyBorder="0">
      <alignment vertical="center"/>
    </xf>
    <xf numFmtId="0" fontId="44" fillId="3" borderId="0" applyNumberFormat="0" applyBorder="0" applyAlignment="0" applyProtection="0">
      <alignment vertical="center"/>
    </xf>
    <xf numFmtId="0" fontId="81" fillId="0" borderId="0" applyBorder="0">
      <alignment vertical="center"/>
    </xf>
    <xf numFmtId="0" fontId="44" fillId="3" borderId="0" applyNumberFormat="0" applyBorder="0" applyAlignment="0" applyProtection="0">
      <alignment vertical="center"/>
    </xf>
    <xf numFmtId="0" fontId="81" fillId="0" borderId="0" applyBorder="0">
      <alignment vertical="center"/>
    </xf>
    <xf numFmtId="0" fontId="44" fillId="3" borderId="0" applyNumberFormat="0" applyBorder="0" applyAlignment="0" applyProtection="0">
      <alignment vertical="center"/>
    </xf>
    <xf numFmtId="0" fontId="44" fillId="3" borderId="0" applyNumberFormat="0" applyBorder="0" applyAlignment="0" applyProtection="0">
      <alignment vertical="center"/>
    </xf>
    <xf numFmtId="0" fontId="81" fillId="0" borderId="0" applyBorder="0">
      <alignment vertical="center"/>
    </xf>
    <xf numFmtId="0" fontId="44" fillId="3" borderId="0" applyNumberFormat="0" applyBorder="0" applyAlignment="0" applyProtection="0">
      <alignment vertical="center"/>
    </xf>
    <xf numFmtId="0" fontId="44" fillId="3" borderId="0" applyNumberFormat="0" applyBorder="0" applyAlignment="0" applyProtection="0">
      <alignment vertical="center"/>
    </xf>
    <xf numFmtId="0" fontId="81" fillId="0" borderId="0">
      <alignment vertical="center"/>
    </xf>
    <xf numFmtId="0" fontId="37" fillId="0" borderId="0">
      <alignment vertical="center"/>
    </xf>
    <xf numFmtId="0" fontId="81" fillId="0" borderId="0" applyBorder="0">
      <alignment vertical="center"/>
    </xf>
    <xf numFmtId="0" fontId="44" fillId="3" borderId="0" applyNumberFormat="0" applyBorder="0" applyAlignment="0" applyProtection="0">
      <alignment vertical="center"/>
    </xf>
    <xf numFmtId="0" fontId="81" fillId="0" borderId="0" applyBorder="0">
      <alignment vertical="center"/>
    </xf>
    <xf numFmtId="0" fontId="37" fillId="0" borderId="0">
      <alignment vertical="center"/>
    </xf>
    <xf numFmtId="0" fontId="44" fillId="3" borderId="0" applyNumberFormat="0" applyBorder="0" applyAlignment="0" applyProtection="0">
      <alignment vertical="center"/>
    </xf>
    <xf numFmtId="0" fontId="47" fillId="0" borderId="0" applyBorder="0">
      <alignment vertical="center"/>
    </xf>
    <xf numFmtId="0" fontId="44" fillId="3" borderId="0" applyNumberFormat="0" applyBorder="0" applyAlignment="0" applyProtection="0">
      <alignment vertical="center"/>
    </xf>
    <xf numFmtId="0" fontId="48" fillId="0" borderId="39" applyNumberFormat="0" applyFill="0" applyAlignment="0" applyProtection="0">
      <alignment vertical="center"/>
    </xf>
    <xf numFmtId="0" fontId="81" fillId="0" borderId="0" applyBorder="0">
      <alignment vertical="center"/>
    </xf>
    <xf numFmtId="0" fontId="47" fillId="0" borderId="0" applyBorder="0">
      <alignment vertical="center"/>
    </xf>
    <xf numFmtId="0" fontId="44" fillId="3" borderId="0" applyNumberFormat="0" applyBorder="0" applyAlignment="0" applyProtection="0">
      <alignment vertical="center"/>
    </xf>
    <xf numFmtId="0" fontId="47" fillId="0" borderId="0" applyBorder="0">
      <alignment vertical="center"/>
    </xf>
    <xf numFmtId="0" fontId="44" fillId="3" borderId="0" applyNumberFormat="0" applyBorder="0" applyAlignment="0" applyProtection="0">
      <alignment vertical="center"/>
    </xf>
    <xf numFmtId="0" fontId="81" fillId="0" borderId="0" applyBorder="0">
      <alignment vertical="center"/>
    </xf>
    <xf numFmtId="0" fontId="44" fillId="3" borderId="0" applyNumberFormat="0" applyBorder="0" applyAlignment="0" applyProtection="0">
      <alignment vertical="center"/>
    </xf>
    <xf numFmtId="0" fontId="81" fillId="0" borderId="0" applyBorder="0">
      <alignment vertical="center"/>
    </xf>
    <xf numFmtId="0" fontId="47" fillId="0" borderId="0" applyBorder="0">
      <alignment vertical="center"/>
    </xf>
    <xf numFmtId="0" fontId="44" fillId="3" borderId="0" applyNumberFormat="0" applyBorder="0" applyAlignment="0" applyProtection="0">
      <alignment vertical="center"/>
    </xf>
    <xf numFmtId="0" fontId="44" fillId="3" borderId="0" applyNumberFormat="0" applyBorder="0" applyAlignment="0" applyProtection="0">
      <alignment vertical="center"/>
    </xf>
    <xf numFmtId="0" fontId="81" fillId="0" borderId="0" applyBorder="0">
      <alignment vertical="center"/>
    </xf>
    <xf numFmtId="0" fontId="44" fillId="3" borderId="0" applyNumberFormat="0" applyBorder="0" applyAlignment="0" applyProtection="0">
      <alignment vertical="center"/>
    </xf>
    <xf numFmtId="0" fontId="48" fillId="0" borderId="0" applyNumberFormat="0" applyFill="0" applyBorder="0" applyAlignment="0" applyProtection="0">
      <alignment vertical="center"/>
    </xf>
    <xf numFmtId="0" fontId="81" fillId="0" borderId="0">
      <alignment vertical="center"/>
    </xf>
    <xf numFmtId="0" fontId="44" fillId="3" borderId="0" applyNumberFormat="0" applyBorder="0" applyAlignment="0" applyProtection="0">
      <alignment vertical="center"/>
    </xf>
    <xf numFmtId="0" fontId="44" fillId="3"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44" fillId="7" borderId="0" applyNumberFormat="0" applyBorder="0" applyAlignment="0" applyProtection="0">
      <alignment vertical="center"/>
    </xf>
    <xf numFmtId="0" fontId="81" fillId="0" borderId="0" applyBorder="0">
      <alignment vertical="center"/>
    </xf>
    <xf numFmtId="0" fontId="44" fillId="5" borderId="0" applyNumberFormat="0" applyBorder="0" applyAlignment="0" applyProtection="0">
      <alignment vertical="center"/>
    </xf>
    <xf numFmtId="0" fontId="81" fillId="0" borderId="0" applyBorder="0">
      <alignment vertical="center"/>
    </xf>
    <xf numFmtId="0" fontId="44" fillId="5" borderId="0" applyNumberFormat="0" applyBorder="0" applyAlignment="0" applyProtection="0">
      <alignment vertical="center"/>
    </xf>
    <xf numFmtId="0" fontId="81" fillId="0" borderId="0">
      <alignment vertical="center"/>
    </xf>
    <xf numFmtId="0" fontId="81" fillId="0" borderId="0" applyBorder="0">
      <alignment vertical="center"/>
    </xf>
    <xf numFmtId="0" fontId="44" fillId="5" borderId="0" applyNumberFormat="0" applyBorder="0" applyAlignment="0" applyProtection="0">
      <alignment vertical="center"/>
    </xf>
    <xf numFmtId="0" fontId="81" fillId="0" borderId="0" applyBorder="0">
      <alignment vertical="center"/>
    </xf>
    <xf numFmtId="0" fontId="44" fillId="5" borderId="0" applyNumberFormat="0" applyBorder="0" applyAlignment="0" applyProtection="0">
      <alignment vertical="center"/>
    </xf>
    <xf numFmtId="0" fontId="81" fillId="0" borderId="0">
      <alignment vertical="center"/>
    </xf>
    <xf numFmtId="0" fontId="44" fillId="5" borderId="0" applyNumberFormat="0" applyBorder="0" applyAlignment="0" applyProtection="0">
      <alignment vertical="center"/>
    </xf>
    <xf numFmtId="0" fontId="81" fillId="0" borderId="0" applyBorder="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81" fillId="0" borderId="0" applyBorder="0">
      <alignment vertical="center"/>
    </xf>
    <xf numFmtId="0" fontId="44" fillId="5" borderId="0" applyNumberFormat="0" applyBorder="0" applyAlignment="0" applyProtection="0">
      <alignment vertical="center"/>
    </xf>
    <xf numFmtId="0" fontId="81" fillId="0" borderId="0">
      <alignment vertical="center"/>
    </xf>
    <xf numFmtId="0" fontId="81" fillId="0" borderId="0">
      <alignment vertical="center"/>
    </xf>
    <xf numFmtId="0" fontId="44" fillId="5" borderId="0" applyNumberFormat="0" applyBorder="0" applyAlignment="0" applyProtection="0">
      <alignment vertical="center"/>
    </xf>
    <xf numFmtId="0" fontId="81" fillId="0" borderId="0">
      <alignment vertical="center"/>
    </xf>
    <xf numFmtId="0" fontId="81" fillId="0" borderId="0">
      <alignment vertical="center"/>
    </xf>
    <xf numFmtId="0" fontId="81" fillId="0" borderId="0">
      <alignment vertical="center"/>
    </xf>
    <xf numFmtId="0" fontId="44" fillId="5" borderId="0" applyNumberFormat="0" applyBorder="0" applyAlignment="0" applyProtection="0">
      <alignment vertical="center"/>
    </xf>
    <xf numFmtId="0" fontId="81" fillId="0" borderId="0">
      <alignment vertical="center"/>
    </xf>
    <xf numFmtId="0" fontId="81" fillId="0" borderId="0">
      <alignment vertical="center"/>
    </xf>
    <xf numFmtId="0" fontId="44" fillId="5"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44" fillId="5"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44" fillId="5" borderId="0" applyNumberFormat="0" applyBorder="0" applyAlignment="0" applyProtection="0">
      <alignment vertical="center"/>
    </xf>
    <xf numFmtId="0" fontId="81" fillId="0" borderId="0">
      <alignment vertical="center"/>
    </xf>
    <xf numFmtId="0" fontId="81" fillId="0" borderId="0">
      <alignment vertical="center"/>
    </xf>
    <xf numFmtId="0" fontId="44" fillId="5" borderId="0" applyNumberFormat="0" applyBorder="0" applyAlignment="0" applyProtection="0">
      <alignment vertical="center"/>
    </xf>
    <xf numFmtId="0" fontId="81" fillId="0" borderId="0"/>
    <xf numFmtId="0" fontId="81" fillId="0" borderId="0">
      <alignment vertical="center"/>
    </xf>
    <xf numFmtId="0" fontId="81" fillId="0" borderId="0" applyBorder="0">
      <alignment vertical="center"/>
    </xf>
    <xf numFmtId="0" fontId="81" fillId="0" borderId="0" applyBorder="0">
      <alignment vertical="center"/>
    </xf>
    <xf numFmtId="0" fontId="44" fillId="5"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81" fillId="0" borderId="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81" fillId="0" borderId="0" applyBorder="0">
      <alignment vertical="center"/>
    </xf>
    <xf numFmtId="0" fontId="44" fillId="5" borderId="0" applyNumberFormat="0" applyBorder="0" applyAlignment="0" applyProtection="0">
      <alignment vertical="center"/>
    </xf>
    <xf numFmtId="0" fontId="81" fillId="0" borderId="0">
      <alignment vertical="center"/>
    </xf>
    <xf numFmtId="0" fontId="81" fillId="0" borderId="0">
      <alignment vertical="center"/>
    </xf>
    <xf numFmtId="0" fontId="44" fillId="5"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44" fillId="5" borderId="0" applyNumberFormat="0" applyBorder="0" applyAlignment="0" applyProtection="0">
      <alignment vertical="center"/>
    </xf>
    <xf numFmtId="0" fontId="81" fillId="0" borderId="0">
      <alignment vertical="center"/>
    </xf>
    <xf numFmtId="0" fontId="81" fillId="0" borderId="0" applyBorder="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81" fillId="0" borderId="0">
      <alignment vertical="center"/>
    </xf>
    <xf numFmtId="0" fontId="81" fillId="0" borderId="0" applyBorder="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81" fillId="0" borderId="0">
      <alignment vertical="center"/>
    </xf>
    <xf numFmtId="0" fontId="44" fillId="5"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44" fillId="5" borderId="0" applyNumberFormat="0" applyBorder="0" applyAlignment="0" applyProtection="0">
      <alignment vertical="center"/>
    </xf>
    <xf numFmtId="0" fontId="81" fillId="0" borderId="0" applyBorder="0">
      <alignment vertical="center"/>
    </xf>
    <xf numFmtId="0" fontId="44" fillId="5" borderId="0" applyNumberFormat="0" applyBorder="0" applyAlignment="0" applyProtection="0">
      <alignment vertical="center"/>
    </xf>
    <xf numFmtId="0" fontId="81" fillId="0" borderId="0">
      <alignment vertical="center"/>
    </xf>
    <xf numFmtId="0" fontId="44" fillId="5" borderId="0" applyNumberFormat="0" applyBorder="0" applyAlignment="0" applyProtection="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44" fillId="5"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lignment vertical="center"/>
    </xf>
    <xf numFmtId="0" fontId="44" fillId="5"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44" fillId="5" borderId="0" applyNumberFormat="0" applyBorder="0" applyAlignment="0" applyProtection="0">
      <alignment vertical="center"/>
    </xf>
    <xf numFmtId="0" fontId="81" fillId="0" borderId="0" applyBorder="0">
      <alignment vertical="center"/>
    </xf>
    <xf numFmtId="0" fontId="81" fillId="0" borderId="0">
      <alignment vertical="center"/>
    </xf>
    <xf numFmtId="0" fontId="81" fillId="0" borderId="0" applyBorder="0">
      <alignment vertical="center"/>
    </xf>
    <xf numFmtId="0" fontId="44" fillId="5" borderId="0" applyNumberFormat="0" applyBorder="0" applyAlignment="0" applyProtection="0">
      <alignment vertical="center"/>
    </xf>
    <xf numFmtId="0" fontId="81" fillId="0" borderId="0" applyBorder="0">
      <alignment vertical="center"/>
    </xf>
    <xf numFmtId="0" fontId="44" fillId="5" borderId="0" applyNumberFormat="0" applyBorder="0" applyAlignment="0" applyProtection="0">
      <alignment vertical="center"/>
    </xf>
    <xf numFmtId="0" fontId="81" fillId="0" borderId="0"/>
    <xf numFmtId="0" fontId="81" fillId="0" borderId="0" applyBorder="0">
      <alignment vertical="center"/>
    </xf>
    <xf numFmtId="0" fontId="44" fillId="5" borderId="0" applyNumberFormat="0" applyBorder="0" applyAlignment="0" applyProtection="0">
      <alignment vertical="center"/>
    </xf>
    <xf numFmtId="0" fontId="81" fillId="0" borderId="0"/>
    <xf numFmtId="0" fontId="44" fillId="5" borderId="0" applyNumberFormat="0" applyBorder="0" applyAlignment="0" applyProtection="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44" fillId="5" borderId="0" applyNumberFormat="0" applyBorder="0" applyAlignment="0" applyProtection="0">
      <alignment vertical="center"/>
    </xf>
    <xf numFmtId="0" fontId="81" fillId="0" borderId="0">
      <alignment vertical="center"/>
    </xf>
    <xf numFmtId="0" fontId="81" fillId="0" borderId="0" applyBorder="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81" fillId="0" borderId="0" applyBorder="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81" fillId="0" borderId="0" applyBorder="0">
      <alignment vertical="center"/>
    </xf>
    <xf numFmtId="0" fontId="44" fillId="5" borderId="0" applyNumberFormat="0" applyBorder="0" applyAlignment="0" applyProtection="0">
      <alignment vertical="center"/>
    </xf>
    <xf numFmtId="0" fontId="48" fillId="0" borderId="39" applyNumberFormat="0" applyFill="0" applyAlignment="0" applyProtection="0">
      <alignment vertical="center"/>
    </xf>
    <xf numFmtId="0" fontId="81" fillId="0" borderId="0">
      <alignment vertical="center"/>
    </xf>
    <xf numFmtId="0" fontId="81" fillId="0" borderId="0">
      <alignment vertical="center"/>
    </xf>
    <xf numFmtId="0" fontId="44" fillId="5"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44" fillId="5"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81" fillId="0" borderId="0">
      <alignment vertical="center"/>
    </xf>
    <xf numFmtId="0" fontId="81" fillId="0" borderId="0" applyBorder="0">
      <alignment vertical="center"/>
    </xf>
    <xf numFmtId="0" fontId="44" fillId="5" borderId="0" applyNumberFormat="0" applyBorder="0" applyAlignment="0" applyProtection="0">
      <alignment vertical="center"/>
    </xf>
    <xf numFmtId="0" fontId="81" fillId="0" borderId="0" applyBorder="0">
      <alignment vertical="center"/>
    </xf>
    <xf numFmtId="0" fontId="44" fillId="5" borderId="0" applyNumberFormat="0" applyBorder="0" applyAlignment="0" applyProtection="0">
      <alignment vertical="center"/>
    </xf>
    <xf numFmtId="0" fontId="81" fillId="0" borderId="0" applyBorder="0">
      <alignment vertical="center"/>
    </xf>
    <xf numFmtId="0" fontId="44" fillId="5" borderId="0" applyNumberFormat="0" applyBorder="0" applyAlignment="0" applyProtection="0">
      <alignment vertical="center"/>
    </xf>
    <xf numFmtId="0" fontId="48" fillId="0" borderId="39" applyNumberFormat="0" applyFill="0" applyAlignment="0" applyProtection="0">
      <alignment vertical="center"/>
    </xf>
    <xf numFmtId="0" fontId="81" fillId="0" borderId="0" applyBorder="0">
      <alignment vertical="center"/>
    </xf>
    <xf numFmtId="0" fontId="81" fillId="0" borderId="0">
      <alignment vertical="center"/>
    </xf>
    <xf numFmtId="0" fontId="44" fillId="5" borderId="0" applyNumberFormat="0" applyBorder="0" applyAlignment="0" applyProtection="0">
      <alignment vertical="center"/>
    </xf>
    <xf numFmtId="0" fontId="81" fillId="0" borderId="0" applyBorder="0">
      <alignment vertical="center"/>
    </xf>
    <xf numFmtId="0" fontId="44" fillId="5" borderId="0" applyNumberFormat="0" applyBorder="0" applyAlignment="0" applyProtection="0">
      <alignment vertical="center"/>
    </xf>
    <xf numFmtId="0" fontId="81" fillId="0" borderId="0" applyBorder="0">
      <alignment vertical="center"/>
    </xf>
    <xf numFmtId="0" fontId="44" fillId="5" borderId="0" applyNumberFormat="0" applyBorder="0" applyAlignment="0" applyProtection="0">
      <alignment vertical="center"/>
    </xf>
    <xf numFmtId="0" fontId="81" fillId="0" borderId="0" applyBorder="0">
      <alignment vertical="center"/>
    </xf>
    <xf numFmtId="0" fontId="44" fillId="5" borderId="0" applyNumberFormat="0" applyBorder="0" applyAlignment="0" applyProtection="0">
      <alignment vertical="center"/>
    </xf>
    <xf numFmtId="0" fontId="81" fillId="0" borderId="0" applyBorder="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81" fillId="0" borderId="0">
      <alignment vertical="center"/>
    </xf>
    <xf numFmtId="0" fontId="81" fillId="0" borderId="0" applyBorder="0">
      <alignment vertical="center"/>
    </xf>
    <xf numFmtId="0" fontId="44" fillId="5" borderId="0" applyNumberFormat="0" applyBorder="0" applyAlignment="0" applyProtection="0">
      <alignment vertical="center"/>
    </xf>
    <xf numFmtId="0" fontId="81" fillId="0" borderId="0" applyBorder="0">
      <alignment vertical="center"/>
    </xf>
    <xf numFmtId="0" fontId="81" fillId="0" borderId="0">
      <alignment vertical="center"/>
    </xf>
    <xf numFmtId="0" fontId="44" fillId="5" borderId="0" applyNumberFormat="0" applyBorder="0" applyAlignment="0" applyProtection="0">
      <alignment vertical="center"/>
    </xf>
    <xf numFmtId="0" fontId="81" fillId="0" borderId="0"/>
    <xf numFmtId="0" fontId="81" fillId="0" borderId="0" applyBorder="0">
      <alignment vertical="center"/>
    </xf>
    <xf numFmtId="0" fontId="44" fillId="5" borderId="0" applyNumberFormat="0" applyBorder="0" applyAlignment="0" applyProtection="0">
      <alignment vertical="center"/>
    </xf>
    <xf numFmtId="0" fontId="81" fillId="0" borderId="0"/>
    <xf numFmtId="0" fontId="81" fillId="0" borderId="0" applyBorder="0">
      <alignment vertical="center"/>
    </xf>
    <xf numFmtId="0" fontId="81" fillId="0" borderId="0" applyBorder="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41" fillId="13" borderId="0" applyNumberFormat="0" applyBorder="0" applyAlignment="0" applyProtection="0">
      <alignment vertical="center"/>
    </xf>
    <xf numFmtId="0" fontId="81" fillId="0" borderId="0" applyBorder="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81" fillId="0" borderId="0" applyBorder="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44" fillId="31" borderId="0" applyNumberFormat="0" applyBorder="0" applyAlignment="0" applyProtection="0">
      <alignment vertical="center"/>
    </xf>
    <xf numFmtId="0" fontId="44" fillId="31" borderId="0" applyNumberFormat="0" applyBorder="0" applyAlignment="0" applyProtection="0">
      <alignment vertical="center"/>
    </xf>
    <xf numFmtId="0" fontId="81" fillId="0" borderId="0" applyBorder="0">
      <alignment vertical="center"/>
    </xf>
    <xf numFmtId="0" fontId="44" fillId="10" borderId="0" applyNumberFormat="0" applyBorder="0" applyAlignment="0" applyProtection="0">
      <alignment vertical="center"/>
    </xf>
    <xf numFmtId="0" fontId="44" fillId="10" borderId="0" applyNumberFormat="0" applyBorder="0" applyAlignment="0" applyProtection="0">
      <alignment vertical="center"/>
    </xf>
    <xf numFmtId="0" fontId="81" fillId="0" borderId="0" applyBorder="0">
      <alignment vertical="center"/>
    </xf>
    <xf numFmtId="0" fontId="44" fillId="10" borderId="0" applyNumberFormat="0" applyBorder="0" applyAlignment="0" applyProtection="0">
      <alignment vertical="center"/>
    </xf>
    <xf numFmtId="0" fontId="81" fillId="0" borderId="0">
      <alignment vertical="center"/>
    </xf>
    <xf numFmtId="0" fontId="44" fillId="10" borderId="0" applyNumberFormat="0" applyBorder="0" applyAlignment="0" applyProtection="0">
      <alignment vertical="center"/>
    </xf>
    <xf numFmtId="0" fontId="81" fillId="0" borderId="0" applyBorder="0">
      <alignment vertical="center"/>
    </xf>
    <xf numFmtId="0" fontId="81" fillId="0" borderId="0">
      <alignment vertical="center"/>
    </xf>
    <xf numFmtId="0" fontId="81" fillId="0" borderId="0" applyBorder="0">
      <alignment vertical="center"/>
    </xf>
    <xf numFmtId="0" fontId="44" fillId="10" borderId="0" applyNumberFormat="0" applyBorder="0" applyAlignment="0" applyProtection="0">
      <alignment vertical="center"/>
    </xf>
    <xf numFmtId="0" fontId="81" fillId="0" borderId="0" applyBorder="0">
      <alignment vertical="center"/>
    </xf>
    <xf numFmtId="0" fontId="44" fillId="10" borderId="0" applyNumberFormat="0" applyBorder="0" applyAlignment="0" applyProtection="0">
      <alignment vertical="center"/>
    </xf>
    <xf numFmtId="0" fontId="44" fillId="10" borderId="0" applyNumberFormat="0" applyBorder="0" applyAlignment="0" applyProtection="0">
      <alignment vertical="center"/>
    </xf>
    <xf numFmtId="0" fontId="81" fillId="0" borderId="0">
      <alignment vertical="center"/>
    </xf>
    <xf numFmtId="0" fontId="44" fillId="10" borderId="0" applyNumberFormat="0" applyBorder="0" applyAlignment="0" applyProtection="0">
      <alignment vertical="center"/>
    </xf>
    <xf numFmtId="0" fontId="44" fillId="10" borderId="0" applyNumberFormat="0" applyBorder="0" applyAlignment="0" applyProtection="0">
      <alignment vertical="center"/>
    </xf>
    <xf numFmtId="0" fontId="81" fillId="0" borderId="0" applyBorder="0">
      <alignment vertical="center"/>
    </xf>
    <xf numFmtId="0" fontId="44" fillId="10" borderId="0" applyNumberFormat="0" applyBorder="0" applyAlignment="0" applyProtection="0">
      <alignment vertical="center"/>
    </xf>
    <xf numFmtId="0" fontId="44" fillId="10"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44" fillId="10" borderId="0" applyNumberFormat="0" applyBorder="0" applyAlignment="0" applyProtection="0">
      <alignment vertical="center"/>
    </xf>
    <xf numFmtId="0" fontId="81" fillId="0" borderId="0" applyBorder="0">
      <alignment vertical="center"/>
    </xf>
    <xf numFmtId="0" fontId="44" fillId="10" borderId="0" applyNumberFormat="0" applyBorder="0" applyAlignment="0" applyProtection="0">
      <alignment vertical="center"/>
    </xf>
    <xf numFmtId="0" fontId="81" fillId="0" borderId="0" applyBorder="0">
      <alignment vertical="center"/>
    </xf>
    <xf numFmtId="0" fontId="44" fillId="10" borderId="0" applyNumberFormat="0" applyBorder="0" applyAlignment="0" applyProtection="0">
      <alignment vertical="center"/>
    </xf>
    <xf numFmtId="0" fontId="44" fillId="10" borderId="0" applyNumberFormat="0" applyBorder="0" applyAlignment="0" applyProtection="0">
      <alignment vertical="center"/>
    </xf>
    <xf numFmtId="0" fontId="44" fillId="10" borderId="0" applyNumberFormat="0" applyBorder="0" applyAlignment="0" applyProtection="0">
      <alignment vertical="center"/>
    </xf>
    <xf numFmtId="0" fontId="44" fillId="10" borderId="0" applyNumberFormat="0" applyBorder="0" applyAlignment="0" applyProtection="0">
      <alignment vertical="center"/>
    </xf>
    <xf numFmtId="0" fontId="81" fillId="0" borderId="0"/>
    <xf numFmtId="0" fontId="81" fillId="0" borderId="0" applyBorder="0">
      <alignment vertical="center"/>
    </xf>
    <xf numFmtId="0" fontId="81" fillId="0" borderId="0" applyBorder="0">
      <alignment vertical="center"/>
    </xf>
    <xf numFmtId="0" fontId="44" fillId="10"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44" fillId="10" borderId="0" applyNumberFormat="0" applyBorder="0" applyAlignment="0" applyProtection="0">
      <alignment vertical="center"/>
    </xf>
    <xf numFmtId="0" fontId="81" fillId="0" borderId="0" applyBorder="0">
      <alignment vertical="center"/>
    </xf>
    <xf numFmtId="0" fontId="44" fillId="10" borderId="0" applyNumberFormat="0" applyBorder="0" applyAlignment="0" applyProtection="0">
      <alignment vertical="center"/>
    </xf>
    <xf numFmtId="0" fontId="81" fillId="0" borderId="0" applyBorder="0">
      <alignment vertical="center"/>
    </xf>
    <xf numFmtId="0" fontId="44" fillId="10" borderId="0" applyNumberFormat="0" applyBorder="0" applyAlignment="0" applyProtection="0">
      <alignment vertical="center"/>
    </xf>
    <xf numFmtId="0" fontId="44" fillId="10" borderId="0" applyNumberFormat="0" applyBorder="0" applyAlignment="0" applyProtection="0">
      <alignment vertical="center"/>
    </xf>
    <xf numFmtId="0" fontId="44" fillId="10" borderId="0" applyNumberFormat="0" applyBorder="0" applyAlignment="0" applyProtection="0">
      <alignment vertical="center"/>
    </xf>
    <xf numFmtId="0" fontId="44" fillId="10" borderId="0" applyNumberFormat="0" applyBorder="0" applyAlignment="0" applyProtection="0">
      <alignment vertical="center"/>
    </xf>
    <xf numFmtId="0" fontId="44" fillId="10" borderId="0" applyNumberFormat="0" applyBorder="0" applyAlignment="0" applyProtection="0">
      <alignment vertical="center"/>
    </xf>
    <xf numFmtId="0" fontId="44" fillId="10" borderId="0" applyNumberFormat="0" applyBorder="0" applyAlignment="0" applyProtection="0">
      <alignment vertical="center"/>
    </xf>
    <xf numFmtId="0" fontId="81" fillId="0" borderId="0">
      <alignment vertical="center"/>
    </xf>
    <xf numFmtId="0" fontId="44" fillId="10" borderId="0" applyNumberFormat="0" applyBorder="0" applyAlignment="0" applyProtection="0">
      <alignment vertical="center"/>
    </xf>
    <xf numFmtId="0" fontId="81" fillId="0" borderId="0">
      <alignment vertical="center"/>
    </xf>
    <xf numFmtId="0" fontId="44" fillId="10" borderId="0" applyNumberFormat="0" applyBorder="0" applyAlignment="0" applyProtection="0">
      <alignment vertical="center"/>
    </xf>
    <xf numFmtId="0" fontId="81" fillId="0" borderId="0" applyBorder="0">
      <alignment vertical="center"/>
    </xf>
    <xf numFmtId="0" fontId="44" fillId="10" borderId="0" applyNumberFormat="0" applyBorder="0" applyAlignment="0" applyProtection="0">
      <alignment vertical="center"/>
    </xf>
    <xf numFmtId="0" fontId="44" fillId="10" borderId="0" applyNumberFormat="0" applyBorder="0" applyAlignment="0" applyProtection="0">
      <alignment vertical="center"/>
    </xf>
    <xf numFmtId="0" fontId="81" fillId="0" borderId="0" applyBorder="0">
      <alignment vertical="center"/>
    </xf>
    <xf numFmtId="0" fontId="44" fillId="10" borderId="0" applyNumberFormat="0" applyBorder="0" applyAlignment="0" applyProtection="0">
      <alignment vertical="center"/>
    </xf>
    <xf numFmtId="0" fontId="44" fillId="10" borderId="0" applyNumberFormat="0" applyBorder="0" applyAlignment="0" applyProtection="0">
      <alignment vertical="center"/>
    </xf>
    <xf numFmtId="0" fontId="44" fillId="10" borderId="0" applyNumberFormat="0" applyBorder="0" applyAlignment="0" applyProtection="0">
      <alignment vertical="center"/>
    </xf>
    <xf numFmtId="0" fontId="81" fillId="0" borderId="0" applyBorder="0">
      <alignment vertical="center"/>
    </xf>
    <xf numFmtId="0" fontId="44" fillId="10"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44" fillId="10" borderId="0" applyNumberFormat="0" applyBorder="0" applyAlignment="0" applyProtection="0">
      <alignment vertical="center"/>
    </xf>
    <xf numFmtId="0" fontId="81" fillId="0" borderId="0">
      <alignment vertical="center"/>
    </xf>
    <xf numFmtId="0" fontId="44" fillId="10" borderId="0" applyNumberFormat="0" applyBorder="0" applyAlignment="0" applyProtection="0">
      <alignment vertical="center"/>
    </xf>
    <xf numFmtId="0" fontId="81" fillId="0" borderId="0" applyBorder="0">
      <alignment vertical="center"/>
    </xf>
    <xf numFmtId="0" fontId="44" fillId="10" borderId="0" applyNumberFormat="0" applyBorder="0" applyAlignment="0" applyProtection="0">
      <alignment vertical="center"/>
    </xf>
    <xf numFmtId="0" fontId="81" fillId="0" borderId="0" applyBorder="0">
      <alignment vertical="center"/>
    </xf>
    <xf numFmtId="0" fontId="44" fillId="10" borderId="0" applyNumberFormat="0" applyBorder="0" applyAlignment="0" applyProtection="0">
      <alignment vertical="center"/>
    </xf>
    <xf numFmtId="0" fontId="81" fillId="0" borderId="0">
      <alignment vertical="center"/>
    </xf>
    <xf numFmtId="0" fontId="81" fillId="0" borderId="0" applyBorder="0">
      <alignment vertical="center"/>
    </xf>
    <xf numFmtId="0" fontId="81" fillId="0" borderId="0">
      <alignment vertical="center"/>
    </xf>
    <xf numFmtId="0" fontId="44" fillId="10" borderId="0" applyNumberFormat="0" applyBorder="0" applyAlignment="0" applyProtection="0">
      <alignment vertical="center"/>
    </xf>
    <xf numFmtId="0" fontId="44" fillId="10" borderId="0" applyNumberFormat="0" applyBorder="0" applyAlignment="0" applyProtection="0">
      <alignment vertical="center"/>
    </xf>
    <xf numFmtId="0" fontId="81" fillId="0" borderId="0" applyBorder="0">
      <alignment vertical="center"/>
    </xf>
    <xf numFmtId="0" fontId="44" fillId="10" borderId="0" applyNumberFormat="0" applyBorder="0" applyAlignment="0" applyProtection="0">
      <alignment vertical="center"/>
    </xf>
    <xf numFmtId="0" fontId="44" fillId="10" borderId="0" applyNumberFormat="0" applyBorder="0" applyAlignment="0" applyProtection="0">
      <alignment vertical="center"/>
    </xf>
    <xf numFmtId="0" fontId="44" fillId="10" borderId="0" applyNumberFormat="0" applyBorder="0" applyAlignment="0" applyProtection="0">
      <alignment vertical="center"/>
    </xf>
    <xf numFmtId="0" fontId="44" fillId="10" borderId="0" applyNumberFormat="0" applyBorder="0" applyAlignment="0" applyProtection="0">
      <alignment vertical="center"/>
    </xf>
    <xf numFmtId="0" fontId="44" fillId="10" borderId="0" applyNumberFormat="0" applyBorder="0" applyAlignment="0" applyProtection="0">
      <alignment vertical="center"/>
    </xf>
    <xf numFmtId="0" fontId="81" fillId="0" borderId="0" applyBorder="0">
      <alignment vertical="center"/>
    </xf>
    <xf numFmtId="0" fontId="81" fillId="0" borderId="0">
      <alignment vertical="center"/>
    </xf>
    <xf numFmtId="0" fontId="44" fillId="10" borderId="0" applyNumberFormat="0" applyBorder="0" applyAlignment="0" applyProtection="0">
      <alignment vertical="center"/>
    </xf>
    <xf numFmtId="0" fontId="81" fillId="0" borderId="0">
      <alignment vertical="center"/>
    </xf>
    <xf numFmtId="0" fontId="44" fillId="10" borderId="0" applyNumberFormat="0" applyBorder="0" applyAlignment="0" applyProtection="0">
      <alignment vertical="center"/>
    </xf>
    <xf numFmtId="0" fontId="44" fillId="10" borderId="0" applyNumberFormat="0" applyBorder="0" applyAlignment="0" applyProtection="0">
      <alignment vertical="center"/>
    </xf>
    <xf numFmtId="0" fontId="81" fillId="0" borderId="0"/>
    <xf numFmtId="0" fontId="81" fillId="0" borderId="0">
      <alignment vertical="center"/>
    </xf>
    <xf numFmtId="0" fontId="44" fillId="10" borderId="0" applyNumberFormat="0" applyBorder="0" applyAlignment="0" applyProtection="0">
      <alignment vertical="center"/>
    </xf>
    <xf numFmtId="0" fontId="81" fillId="0" borderId="0">
      <alignment vertical="center"/>
    </xf>
    <xf numFmtId="0" fontId="44" fillId="10" borderId="0" applyNumberFormat="0" applyBorder="0" applyAlignment="0" applyProtection="0">
      <alignment vertical="center"/>
    </xf>
    <xf numFmtId="0" fontId="81" fillId="0" borderId="0" applyBorder="0">
      <alignment vertical="center"/>
    </xf>
    <xf numFmtId="0" fontId="44" fillId="10" borderId="0" applyNumberFormat="0" applyBorder="0" applyAlignment="0" applyProtection="0">
      <alignment vertical="center"/>
    </xf>
    <xf numFmtId="0" fontId="44" fillId="10"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44" fillId="10" borderId="0" applyNumberFormat="0" applyBorder="0" applyAlignment="0" applyProtection="0">
      <alignment vertical="center"/>
    </xf>
    <xf numFmtId="0" fontId="44" fillId="10" borderId="0" applyNumberFormat="0" applyBorder="0" applyAlignment="0" applyProtection="0">
      <alignment vertical="center"/>
    </xf>
    <xf numFmtId="0" fontId="81" fillId="0" borderId="0"/>
    <xf numFmtId="0" fontId="44" fillId="10" borderId="0" applyNumberFormat="0" applyBorder="0" applyAlignment="0" applyProtection="0">
      <alignment vertical="center"/>
    </xf>
    <xf numFmtId="0" fontId="81" fillId="0" borderId="0"/>
    <xf numFmtId="0" fontId="44" fillId="10" borderId="0" applyNumberFormat="0" applyBorder="0" applyAlignment="0" applyProtection="0">
      <alignment vertical="center"/>
    </xf>
    <xf numFmtId="0" fontId="44" fillId="10" borderId="0" applyNumberFormat="0" applyBorder="0" applyAlignment="0" applyProtection="0">
      <alignment vertical="center"/>
    </xf>
    <xf numFmtId="0" fontId="81" fillId="0" borderId="0" applyBorder="0">
      <alignment vertical="center"/>
    </xf>
    <xf numFmtId="0" fontId="44" fillId="10" borderId="0" applyNumberFormat="0" applyBorder="0" applyAlignment="0" applyProtection="0">
      <alignment vertical="center"/>
    </xf>
    <xf numFmtId="0" fontId="81" fillId="0" borderId="0" applyBorder="0">
      <alignment vertical="center"/>
    </xf>
    <xf numFmtId="0" fontId="44" fillId="10" borderId="0" applyNumberFormat="0" applyBorder="0" applyAlignment="0" applyProtection="0">
      <alignment vertical="center"/>
    </xf>
    <xf numFmtId="0" fontId="81" fillId="0" borderId="0" applyBorder="0">
      <alignment vertical="center"/>
    </xf>
    <xf numFmtId="0" fontId="44" fillId="10" borderId="0" applyNumberFormat="0" applyBorder="0" applyAlignment="0" applyProtection="0">
      <alignment vertical="center"/>
    </xf>
    <xf numFmtId="0" fontId="81" fillId="0" borderId="0" applyBorder="0">
      <alignment vertical="center"/>
    </xf>
    <xf numFmtId="0" fontId="44" fillId="10" borderId="0" applyNumberFormat="0" applyBorder="0" applyAlignment="0" applyProtection="0">
      <alignment vertical="center"/>
    </xf>
    <xf numFmtId="0" fontId="81" fillId="0" borderId="0">
      <alignment vertical="center"/>
    </xf>
    <xf numFmtId="0" fontId="44" fillId="10" borderId="0" applyNumberFormat="0" applyBorder="0" applyAlignment="0" applyProtection="0">
      <alignment vertical="center"/>
    </xf>
    <xf numFmtId="0" fontId="44" fillId="10" borderId="0" applyNumberFormat="0" applyBorder="0" applyAlignment="0" applyProtection="0">
      <alignment vertical="center"/>
    </xf>
    <xf numFmtId="0" fontId="81" fillId="0" borderId="0" applyBorder="0">
      <alignment vertical="center"/>
    </xf>
    <xf numFmtId="0" fontId="44" fillId="10"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44" fillId="10" borderId="0" applyNumberFormat="0" applyBorder="0" applyAlignment="0" applyProtection="0">
      <alignment vertical="center"/>
    </xf>
    <xf numFmtId="0" fontId="44" fillId="10" borderId="0" applyNumberFormat="0" applyBorder="0" applyAlignment="0" applyProtection="0">
      <alignment vertical="center"/>
    </xf>
    <xf numFmtId="0" fontId="81" fillId="0" borderId="0" applyBorder="0">
      <alignment vertical="center"/>
    </xf>
    <xf numFmtId="0" fontId="44" fillId="10" borderId="0" applyNumberFormat="0" applyBorder="0" applyAlignment="0" applyProtection="0">
      <alignment vertical="center"/>
    </xf>
    <xf numFmtId="0" fontId="44" fillId="10" borderId="0" applyNumberFormat="0" applyBorder="0" applyAlignment="0" applyProtection="0">
      <alignment vertical="center"/>
    </xf>
    <xf numFmtId="0" fontId="44" fillId="10" borderId="0" applyNumberFormat="0" applyBorder="0" applyAlignment="0" applyProtection="0">
      <alignment vertical="center"/>
    </xf>
    <xf numFmtId="0" fontId="44" fillId="10" borderId="0" applyNumberFormat="0" applyBorder="0" applyAlignment="0" applyProtection="0">
      <alignment vertical="center"/>
    </xf>
    <xf numFmtId="0" fontId="81" fillId="0" borderId="0">
      <alignment vertical="center"/>
    </xf>
    <xf numFmtId="0" fontId="44" fillId="10"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44" fillId="10" borderId="0" applyNumberFormat="0" applyBorder="0" applyAlignment="0" applyProtection="0">
      <alignment vertical="center"/>
    </xf>
    <xf numFmtId="0" fontId="81" fillId="0" borderId="0">
      <alignment vertical="center"/>
    </xf>
    <xf numFmtId="0" fontId="44" fillId="10" borderId="0" applyNumberFormat="0" applyBorder="0" applyAlignment="0" applyProtection="0">
      <alignment vertical="center"/>
    </xf>
    <xf numFmtId="0" fontId="44" fillId="10" borderId="0" applyNumberFormat="0" applyBorder="0" applyAlignment="0" applyProtection="0">
      <alignment vertical="center"/>
    </xf>
    <xf numFmtId="0" fontId="44" fillId="10" borderId="0" applyNumberFormat="0" applyBorder="0" applyAlignment="0" applyProtection="0">
      <alignment vertical="center"/>
    </xf>
    <xf numFmtId="0" fontId="44" fillId="10" borderId="0" applyNumberFormat="0" applyBorder="0" applyAlignment="0" applyProtection="0">
      <alignment vertical="center"/>
    </xf>
    <xf numFmtId="0" fontId="44" fillId="10" borderId="0" applyNumberFormat="0" applyBorder="0" applyAlignment="0" applyProtection="0">
      <alignment vertical="center"/>
    </xf>
    <xf numFmtId="0" fontId="44" fillId="10" borderId="0" applyNumberFormat="0" applyBorder="0" applyAlignment="0" applyProtection="0">
      <alignment vertical="center"/>
    </xf>
    <xf numFmtId="0" fontId="81" fillId="0" borderId="0" applyBorder="0">
      <alignment vertical="center"/>
    </xf>
    <xf numFmtId="0" fontId="44" fillId="10" borderId="0" applyNumberFormat="0" applyBorder="0" applyAlignment="0" applyProtection="0">
      <alignment vertical="center"/>
    </xf>
    <xf numFmtId="0" fontId="44" fillId="10" borderId="0" applyNumberFormat="0" applyBorder="0" applyAlignment="0" applyProtection="0">
      <alignment vertical="center"/>
    </xf>
    <xf numFmtId="0" fontId="81" fillId="0" borderId="0" applyBorder="0">
      <alignment vertical="center"/>
    </xf>
    <xf numFmtId="0" fontId="44" fillId="10" borderId="0" applyNumberFormat="0" applyBorder="0" applyAlignment="0" applyProtection="0">
      <alignment vertical="center"/>
    </xf>
    <xf numFmtId="0" fontId="44" fillId="10" borderId="0" applyNumberFormat="0" applyBorder="0" applyAlignment="0" applyProtection="0">
      <alignment vertical="center"/>
    </xf>
    <xf numFmtId="0" fontId="81" fillId="0" borderId="0"/>
    <xf numFmtId="0" fontId="44" fillId="10" borderId="0" applyNumberFormat="0" applyBorder="0" applyAlignment="0" applyProtection="0">
      <alignment vertical="center"/>
    </xf>
    <xf numFmtId="0" fontId="44" fillId="10" borderId="0" applyNumberFormat="0" applyBorder="0" applyAlignment="0" applyProtection="0">
      <alignment vertical="center"/>
    </xf>
    <xf numFmtId="0" fontId="81" fillId="0" borderId="0">
      <alignment vertical="center"/>
    </xf>
    <xf numFmtId="0" fontId="44" fillId="10" borderId="0" applyNumberFormat="0" applyBorder="0" applyAlignment="0" applyProtection="0">
      <alignment vertical="center"/>
    </xf>
    <xf numFmtId="0" fontId="44" fillId="10" borderId="0" applyNumberFormat="0" applyBorder="0" applyAlignment="0" applyProtection="0">
      <alignment vertical="center"/>
    </xf>
    <xf numFmtId="0" fontId="81" fillId="0" borderId="0" applyBorder="0">
      <alignment vertical="center"/>
    </xf>
    <xf numFmtId="0" fontId="44" fillId="10" borderId="0" applyNumberFormat="0" applyBorder="0" applyAlignment="0" applyProtection="0">
      <alignment vertical="center"/>
    </xf>
    <xf numFmtId="0" fontId="44" fillId="10" borderId="0" applyNumberFormat="0" applyBorder="0" applyAlignment="0" applyProtection="0">
      <alignment vertical="center"/>
    </xf>
    <xf numFmtId="0" fontId="44" fillId="10" borderId="0" applyNumberFormat="0" applyBorder="0" applyAlignment="0" applyProtection="0">
      <alignment vertical="center"/>
    </xf>
    <xf numFmtId="0" fontId="44" fillId="10" borderId="0" applyNumberFormat="0" applyBorder="0" applyAlignment="0" applyProtection="0">
      <alignment vertical="center"/>
    </xf>
    <xf numFmtId="0" fontId="44" fillId="10" borderId="0" applyNumberFormat="0" applyBorder="0" applyAlignment="0" applyProtection="0">
      <alignment vertical="center"/>
    </xf>
    <xf numFmtId="0" fontId="44" fillId="10" borderId="0" applyNumberFormat="0" applyBorder="0" applyAlignment="0" applyProtection="0">
      <alignment vertical="center"/>
    </xf>
    <xf numFmtId="0" fontId="44" fillId="10" borderId="0" applyNumberFormat="0" applyBorder="0" applyAlignment="0" applyProtection="0">
      <alignment vertical="center"/>
    </xf>
    <xf numFmtId="0" fontId="44" fillId="10" borderId="0" applyNumberFormat="0" applyBorder="0" applyAlignment="0" applyProtection="0">
      <alignment vertical="center"/>
    </xf>
    <xf numFmtId="0" fontId="44" fillId="32" borderId="0" applyNumberFormat="0" applyBorder="0" applyAlignment="0" applyProtection="0">
      <alignment vertical="center"/>
    </xf>
    <xf numFmtId="0" fontId="44" fillId="32" borderId="0" applyNumberFormat="0" applyBorder="0" applyAlignment="0" applyProtection="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81" fillId="0" borderId="0" applyBorder="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81" fillId="0" borderId="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81" fillId="0" borderId="0">
      <alignment vertical="center"/>
    </xf>
    <xf numFmtId="0" fontId="81" fillId="0" borderId="0" applyBorder="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81" fillId="0" borderId="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81" fillId="0" borderId="0" applyBorder="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81" fillId="0" borderId="0" applyBorder="0">
      <alignment vertical="center"/>
    </xf>
    <xf numFmtId="0" fontId="44" fillId="5" borderId="0" applyNumberFormat="0" applyBorder="0" applyAlignment="0" applyProtection="0">
      <alignment vertical="center"/>
    </xf>
    <xf numFmtId="0" fontId="81" fillId="0" borderId="0" applyBorder="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81" fillId="0" borderId="0"/>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81" fillId="0" borderId="0">
      <alignment vertical="center"/>
    </xf>
    <xf numFmtId="0" fontId="81" fillId="0" borderId="0" applyBorder="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81" fillId="0" borderId="0">
      <alignment vertical="center"/>
    </xf>
    <xf numFmtId="0" fontId="44" fillId="5" borderId="0" applyNumberFormat="0" applyBorder="0" applyAlignment="0" applyProtection="0">
      <alignment vertical="center"/>
    </xf>
    <xf numFmtId="0" fontId="81" fillId="0" borderId="0" applyBorder="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81" fillId="0" borderId="0"/>
    <xf numFmtId="0" fontId="44" fillId="5" borderId="0" applyNumberFormat="0" applyBorder="0" applyAlignment="0" applyProtection="0">
      <alignment vertical="center"/>
    </xf>
    <xf numFmtId="0" fontId="81" fillId="0" borderId="0"/>
    <xf numFmtId="0" fontId="44" fillId="5" borderId="0" applyNumberFormat="0" applyBorder="0" applyAlignment="0" applyProtection="0">
      <alignment vertical="center"/>
    </xf>
    <xf numFmtId="0" fontId="81" fillId="0" borderId="0"/>
    <xf numFmtId="0" fontId="81" fillId="0" borderId="0" applyBorder="0">
      <alignment vertical="center"/>
    </xf>
    <xf numFmtId="0" fontId="81" fillId="0" borderId="0">
      <alignment vertical="center"/>
    </xf>
    <xf numFmtId="0" fontId="44" fillId="5" borderId="0" applyNumberFormat="0" applyBorder="0" applyAlignment="0" applyProtection="0">
      <alignment vertical="center"/>
    </xf>
    <xf numFmtId="0" fontId="81" fillId="0" borderId="0" applyBorder="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81" fillId="0" borderId="0">
      <alignment vertical="center"/>
    </xf>
    <xf numFmtId="0" fontId="44" fillId="5"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44" fillId="5" borderId="0" applyNumberFormat="0" applyBorder="0" applyAlignment="0" applyProtection="0">
      <alignment vertical="center"/>
    </xf>
    <xf numFmtId="0" fontId="81" fillId="0" borderId="0">
      <alignment vertical="center"/>
    </xf>
    <xf numFmtId="0" fontId="44" fillId="5" borderId="0" applyNumberFormat="0" applyBorder="0" applyAlignment="0" applyProtection="0">
      <alignment vertical="center"/>
    </xf>
    <xf numFmtId="0" fontId="81" fillId="0" borderId="0" applyBorder="0">
      <alignment vertical="center"/>
    </xf>
    <xf numFmtId="0" fontId="81" fillId="0" borderId="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81" fillId="0" borderId="0">
      <alignment vertical="center"/>
    </xf>
    <xf numFmtId="0" fontId="44" fillId="5" borderId="0" applyNumberFormat="0" applyBorder="0" applyAlignment="0" applyProtection="0">
      <alignment vertical="center"/>
    </xf>
    <xf numFmtId="0" fontId="81" fillId="0" borderId="0" applyBorder="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81" fillId="0" borderId="0" applyBorder="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81" fillId="0" borderId="0"/>
    <xf numFmtId="0" fontId="81" fillId="0" borderId="0" applyBorder="0">
      <alignment vertical="center"/>
    </xf>
    <xf numFmtId="0" fontId="44" fillId="5" borderId="0" applyNumberFormat="0" applyBorder="0" applyAlignment="0" applyProtection="0">
      <alignment vertical="center"/>
    </xf>
    <xf numFmtId="0" fontId="81" fillId="0" borderId="0"/>
    <xf numFmtId="0" fontId="81" fillId="0" borderId="0" applyBorder="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44" fillId="5" borderId="0" applyNumberFormat="0" applyBorder="0" applyAlignment="0" applyProtection="0">
      <alignment vertical="center"/>
    </xf>
    <xf numFmtId="0" fontId="44" fillId="28" borderId="0" applyNumberFormat="0" applyBorder="0" applyAlignment="0" applyProtection="0">
      <alignment vertical="center"/>
    </xf>
    <xf numFmtId="0" fontId="44" fillId="28" borderId="0" applyNumberFormat="0" applyBorder="0" applyAlignment="0" applyProtection="0">
      <alignment vertical="center"/>
    </xf>
    <xf numFmtId="9" fontId="81" fillId="0" borderId="0" applyFont="0" applyFill="0" applyBorder="0" applyAlignment="0" applyProtection="0">
      <alignment vertical="center"/>
    </xf>
    <xf numFmtId="0" fontId="81" fillId="0" borderId="0" applyBorder="0">
      <alignment vertical="center"/>
    </xf>
    <xf numFmtId="9" fontId="81" fillId="0" borderId="0" applyFont="0" applyFill="0" applyBorder="0" applyAlignment="0" applyProtection="0"/>
    <xf numFmtId="0" fontId="81" fillId="0" borderId="0">
      <alignment vertical="center"/>
    </xf>
    <xf numFmtId="0" fontId="39" fillId="0" borderId="0">
      <alignment vertical="center"/>
    </xf>
    <xf numFmtId="9" fontId="81" fillId="0" borderId="0" applyFont="0" applyFill="0" applyBorder="0" applyAlignment="0" applyProtection="0"/>
    <xf numFmtId="0" fontId="81" fillId="0" borderId="0">
      <alignment vertical="center"/>
    </xf>
    <xf numFmtId="0" fontId="39" fillId="0" borderId="0">
      <alignment vertical="center"/>
    </xf>
    <xf numFmtId="9" fontId="81" fillId="0" borderId="0" applyFont="0" applyFill="0" applyBorder="0" applyAlignment="0" applyProtection="0"/>
    <xf numFmtId="0" fontId="81" fillId="0" borderId="0">
      <alignment vertical="center"/>
    </xf>
    <xf numFmtId="0" fontId="81" fillId="0" borderId="0"/>
    <xf numFmtId="0" fontId="39" fillId="0" borderId="0">
      <alignment vertical="center"/>
    </xf>
    <xf numFmtId="9" fontId="81" fillId="0" borderId="0" applyFont="0" applyFill="0" applyBorder="0" applyAlignment="0" applyProtection="0"/>
    <xf numFmtId="0" fontId="81" fillId="0" borderId="0" applyBorder="0">
      <alignment vertical="center"/>
    </xf>
    <xf numFmtId="0" fontId="42" fillId="0" borderId="33" applyNumberFormat="0" applyFill="0" applyAlignment="0" applyProtection="0">
      <alignment vertical="center"/>
    </xf>
    <xf numFmtId="0" fontId="81" fillId="0" borderId="0" applyBorder="0">
      <alignment vertical="center"/>
    </xf>
    <xf numFmtId="0" fontId="44" fillId="26" borderId="0" applyNumberFormat="0" applyBorder="0" applyAlignment="0" applyProtection="0">
      <alignment vertical="center"/>
    </xf>
    <xf numFmtId="0" fontId="81" fillId="0" borderId="0" applyBorder="0">
      <alignment vertical="center"/>
    </xf>
    <xf numFmtId="9" fontId="81" fillId="0" borderId="0" applyFont="0" applyFill="0" applyBorder="0" applyAlignment="0" applyProtection="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9" fontId="81" fillId="0" borderId="0" applyFont="0" applyFill="0" applyBorder="0" applyAlignment="0" applyProtection="0"/>
    <xf numFmtId="9" fontId="81" fillId="0" borderId="0" applyFont="0" applyFill="0" applyBorder="0" applyAlignment="0" applyProtection="0"/>
    <xf numFmtId="0" fontId="81" fillId="0" borderId="0" applyBorder="0">
      <alignment vertical="center"/>
    </xf>
    <xf numFmtId="0" fontId="81" fillId="0" borderId="0"/>
    <xf numFmtId="0" fontId="81" fillId="0" borderId="0" applyBorder="0">
      <alignment vertical="center"/>
    </xf>
    <xf numFmtId="9" fontId="81" fillId="0" borderId="0" applyFont="0" applyFill="0" applyBorder="0" applyAlignment="0" applyProtection="0"/>
    <xf numFmtId="9" fontId="81" fillId="0" borderId="0" applyFont="0" applyFill="0" applyBorder="0" applyAlignment="0" applyProtection="0"/>
    <xf numFmtId="0" fontId="42" fillId="0" borderId="33" applyNumberFormat="0" applyFill="0" applyAlignment="0" applyProtection="0">
      <alignment vertical="center"/>
    </xf>
    <xf numFmtId="9" fontId="81" fillId="0" borderId="0" applyFont="0" applyFill="0" applyBorder="0" applyAlignment="0" applyProtection="0"/>
    <xf numFmtId="0" fontId="81" fillId="0" borderId="0" applyBorder="0">
      <alignment vertical="center"/>
    </xf>
    <xf numFmtId="0" fontId="81" fillId="0" borderId="0" applyBorder="0">
      <alignment vertical="center"/>
    </xf>
    <xf numFmtId="9" fontId="81" fillId="0" borderId="0" applyFont="0" applyFill="0" applyBorder="0" applyAlignment="0" applyProtection="0"/>
    <xf numFmtId="9" fontId="81" fillId="0" borderId="0" applyFont="0" applyFill="0" applyBorder="0" applyAlignment="0" applyProtection="0"/>
    <xf numFmtId="0" fontId="81" fillId="0" borderId="0"/>
    <xf numFmtId="0" fontId="81" fillId="0" borderId="0" applyBorder="0">
      <alignment vertical="center"/>
    </xf>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9" fontId="81" fillId="0" borderId="0" applyFont="0" applyFill="0" applyBorder="0" applyAlignment="0" applyProtection="0"/>
    <xf numFmtId="0" fontId="81" fillId="0" borderId="0">
      <alignment vertical="center"/>
    </xf>
    <xf numFmtId="0" fontId="39" fillId="0" borderId="0">
      <alignment vertical="center"/>
    </xf>
    <xf numFmtId="9" fontId="81" fillId="0" borderId="0" applyFont="0" applyFill="0" applyBorder="0" applyAlignment="0" applyProtection="0"/>
    <xf numFmtId="0" fontId="81" fillId="0" borderId="0">
      <alignment vertical="center"/>
    </xf>
    <xf numFmtId="0" fontId="39" fillId="0" borderId="0">
      <alignment vertical="center"/>
    </xf>
    <xf numFmtId="9" fontId="81" fillId="0" borderId="0" applyFont="0" applyFill="0" applyBorder="0" applyAlignment="0" applyProtection="0"/>
    <xf numFmtId="0" fontId="81" fillId="0" borderId="0" applyBorder="0">
      <alignment vertical="center"/>
    </xf>
    <xf numFmtId="0" fontId="81" fillId="0" borderId="0" applyBorder="0">
      <alignment vertical="center"/>
    </xf>
    <xf numFmtId="9" fontId="81" fillId="0" borderId="0" applyFont="0" applyFill="0" applyBorder="0" applyAlignment="0" applyProtection="0"/>
    <xf numFmtId="0" fontId="42" fillId="0" borderId="33" applyNumberFormat="0" applyFill="0" applyAlignment="0" applyProtection="0">
      <alignment vertical="center"/>
    </xf>
    <xf numFmtId="9" fontId="81" fillId="0" borderId="0" applyFont="0" applyFill="0" applyBorder="0" applyAlignment="0" applyProtection="0"/>
    <xf numFmtId="9" fontId="81" fillId="0" borderId="0" applyFont="0" applyFill="0" applyBorder="0" applyAlignment="0" applyProtection="0"/>
    <xf numFmtId="0" fontId="81" fillId="0" borderId="0"/>
    <xf numFmtId="0" fontId="81" fillId="0" borderId="0">
      <alignment vertical="center"/>
    </xf>
    <xf numFmtId="9" fontId="81" fillId="0" borderId="0" applyFont="0" applyFill="0" applyBorder="0" applyAlignment="0" applyProtection="0"/>
    <xf numFmtId="0" fontId="81" fillId="0" borderId="0">
      <alignment vertical="center"/>
    </xf>
    <xf numFmtId="9" fontId="81" fillId="0" borderId="0" applyFont="0" applyFill="0" applyBorder="0" applyAlignment="0" applyProtection="0"/>
    <xf numFmtId="0" fontId="81" fillId="0" borderId="0" applyBorder="0">
      <alignment vertical="center"/>
    </xf>
    <xf numFmtId="0" fontId="81" fillId="0" borderId="0" applyBorder="0">
      <alignment vertical="center"/>
    </xf>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0" fontId="81" fillId="0" borderId="0">
      <alignment vertical="center"/>
    </xf>
    <xf numFmtId="9" fontId="81" fillId="0" borderId="0" applyFont="0" applyFill="0" applyBorder="0" applyAlignment="0" applyProtection="0"/>
    <xf numFmtId="0" fontId="81" fillId="0" borderId="0" applyBorder="0">
      <alignment vertical="center"/>
    </xf>
    <xf numFmtId="0" fontId="81" fillId="0" borderId="0" applyBorder="0">
      <alignment vertical="center"/>
    </xf>
    <xf numFmtId="9" fontId="81" fillId="0" borderId="0" applyFont="0" applyFill="0" applyBorder="0" applyAlignment="0" applyProtection="0"/>
    <xf numFmtId="9" fontId="81" fillId="0" borderId="0" applyFont="0" applyFill="0" applyBorder="0" applyAlignment="0" applyProtection="0"/>
    <xf numFmtId="0" fontId="81" fillId="0" borderId="0" applyBorder="0">
      <alignment vertical="center"/>
    </xf>
    <xf numFmtId="0" fontId="81" fillId="0" borderId="0" applyBorder="0">
      <alignment vertical="center"/>
    </xf>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0" fontId="81" fillId="0" borderId="0" applyBorder="0">
      <alignment vertical="center"/>
    </xf>
    <xf numFmtId="9" fontId="81" fillId="0" borderId="0" applyFont="0" applyFill="0" applyBorder="0" applyAlignment="0" applyProtection="0"/>
    <xf numFmtId="9" fontId="81" fillId="0" borderId="0" applyFont="0" applyFill="0" applyBorder="0" applyAlignment="0" applyProtection="0"/>
    <xf numFmtId="0" fontId="81" fillId="0" borderId="0"/>
    <xf numFmtId="0" fontId="81" fillId="0" borderId="0">
      <alignment vertical="center"/>
    </xf>
    <xf numFmtId="0" fontId="81" fillId="0" borderId="0" applyBorder="0">
      <alignment vertical="center"/>
    </xf>
    <xf numFmtId="9" fontId="81" fillId="0" borderId="0" applyFont="0" applyFill="0" applyBorder="0" applyAlignment="0" applyProtection="0"/>
    <xf numFmtId="0" fontId="81" fillId="0" borderId="0"/>
    <xf numFmtId="0" fontId="81" fillId="0" borderId="0">
      <alignment vertical="center"/>
    </xf>
    <xf numFmtId="0" fontId="44" fillId="26" borderId="0" applyNumberFormat="0" applyBorder="0" applyAlignment="0" applyProtection="0">
      <alignment vertical="center"/>
    </xf>
    <xf numFmtId="9" fontId="81" fillId="0" borderId="0" applyFont="0" applyFill="0" applyBorder="0" applyAlignment="0" applyProtection="0"/>
    <xf numFmtId="0" fontId="81" fillId="0" borderId="0"/>
    <xf numFmtId="0" fontId="81" fillId="0" borderId="0">
      <alignment vertical="center"/>
    </xf>
    <xf numFmtId="9" fontId="81" fillId="0" borderId="0" applyFont="0" applyFill="0" applyBorder="0" applyAlignment="0" applyProtection="0"/>
    <xf numFmtId="0" fontId="81" fillId="0" borderId="0" applyBorder="0">
      <alignment vertical="center"/>
    </xf>
    <xf numFmtId="0" fontId="81" fillId="0" borderId="0">
      <alignment vertical="center"/>
    </xf>
    <xf numFmtId="0" fontId="39" fillId="0" borderId="0">
      <alignment vertical="center"/>
    </xf>
    <xf numFmtId="9" fontId="81" fillId="0" borderId="0" applyFont="0" applyFill="0" applyBorder="0" applyAlignment="0" applyProtection="0"/>
    <xf numFmtId="0" fontId="81" fillId="0" borderId="0" applyBorder="0">
      <alignment vertical="center"/>
    </xf>
    <xf numFmtId="0" fontId="81" fillId="0" borderId="0" applyBorder="0">
      <alignment vertical="center"/>
    </xf>
    <xf numFmtId="9" fontId="81" fillId="0" borderId="0" applyFont="0" applyFill="0" applyBorder="0" applyAlignment="0" applyProtection="0"/>
    <xf numFmtId="0" fontId="81" fillId="0" borderId="0" applyBorder="0">
      <alignment vertical="center"/>
    </xf>
    <xf numFmtId="9" fontId="81" fillId="0" borderId="0" applyFont="0" applyFill="0" applyBorder="0" applyAlignment="0" applyProtection="0"/>
    <xf numFmtId="9" fontId="81" fillId="0" borderId="0" applyFont="0" applyFill="0" applyBorder="0" applyAlignment="0" applyProtection="0"/>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0" fontId="81" fillId="0" borderId="0" applyBorder="0">
      <alignment vertical="center"/>
    </xf>
    <xf numFmtId="0" fontId="81" fillId="0" borderId="0" applyBorder="0">
      <alignment vertical="center"/>
    </xf>
    <xf numFmtId="0" fontId="81" fillId="0" borderId="0" applyBorder="0">
      <alignment vertical="center"/>
    </xf>
    <xf numFmtId="9" fontId="81" fillId="0" borderId="0" applyFont="0" applyFill="0" applyBorder="0" applyAlignment="0" applyProtection="0"/>
    <xf numFmtId="9" fontId="81" fillId="0" borderId="0" applyFont="0" applyFill="0" applyBorder="0" applyAlignment="0" applyProtection="0"/>
    <xf numFmtId="0" fontId="81" fillId="0" borderId="0" applyBorder="0">
      <alignment vertical="center"/>
    </xf>
    <xf numFmtId="0" fontId="81" fillId="0" borderId="0" applyBorder="0">
      <alignment vertical="center"/>
    </xf>
    <xf numFmtId="9" fontId="81" fillId="0" borderId="0" applyFont="0" applyFill="0" applyBorder="0" applyAlignment="0" applyProtection="0"/>
    <xf numFmtId="0" fontId="81" fillId="0" borderId="0" applyBorder="0">
      <alignment vertical="center"/>
    </xf>
    <xf numFmtId="9" fontId="81" fillId="0" borderId="0" applyFont="0" applyFill="0" applyBorder="0" applyAlignment="0" applyProtection="0"/>
    <xf numFmtId="9" fontId="37" fillId="0" borderId="0" applyFont="0" applyFill="0" applyBorder="0" applyAlignment="0" applyProtection="0">
      <alignment vertical="center"/>
    </xf>
    <xf numFmtId="9" fontId="81" fillId="0" borderId="0" applyFont="0" applyFill="0" applyBorder="0" applyAlignment="0" applyProtection="0"/>
    <xf numFmtId="0" fontId="81" fillId="0" borderId="0">
      <alignment vertical="center"/>
    </xf>
    <xf numFmtId="0" fontId="39" fillId="0" borderId="0">
      <alignment vertical="center"/>
    </xf>
    <xf numFmtId="9" fontId="81" fillId="0" borderId="0" applyFont="0" applyFill="0" applyBorder="0" applyAlignment="0" applyProtection="0"/>
    <xf numFmtId="0" fontId="81" fillId="0" borderId="0">
      <alignment vertical="center"/>
    </xf>
    <xf numFmtId="0" fontId="39" fillId="0" borderId="0">
      <alignment vertical="center"/>
    </xf>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alignment vertical="center"/>
    </xf>
    <xf numFmtId="0" fontId="81" fillId="0" borderId="0" applyBorder="0">
      <alignment vertical="center"/>
    </xf>
    <xf numFmtId="0" fontId="81" fillId="0" borderId="0" applyBorder="0">
      <alignment vertical="center"/>
    </xf>
    <xf numFmtId="9" fontId="81" fillId="0" borderId="0" applyFont="0" applyFill="0" applyBorder="0" applyAlignment="0" applyProtection="0">
      <alignment vertical="center"/>
    </xf>
    <xf numFmtId="0" fontId="81" fillId="0" borderId="0">
      <alignment vertical="center"/>
    </xf>
    <xf numFmtId="9" fontId="81" fillId="0" borderId="0" applyFont="0" applyFill="0" applyBorder="0" applyAlignment="0" applyProtection="0"/>
    <xf numFmtId="0" fontId="81" fillId="0" borderId="0" applyBorder="0">
      <alignment vertical="center"/>
    </xf>
    <xf numFmtId="0" fontId="81" fillId="0" borderId="0" applyBorder="0">
      <alignment vertical="center"/>
    </xf>
    <xf numFmtId="9" fontId="81" fillId="0" borderId="0" applyFont="0" applyFill="0" applyBorder="0" applyAlignment="0" applyProtection="0"/>
    <xf numFmtId="0" fontId="81" fillId="0" borderId="0" applyBorder="0">
      <alignment vertical="center"/>
    </xf>
    <xf numFmtId="9" fontId="81" fillId="0" borderId="0" applyFont="0" applyFill="0" applyBorder="0" applyAlignment="0" applyProtection="0">
      <alignment vertical="center"/>
    </xf>
    <xf numFmtId="0" fontId="42" fillId="0" borderId="33" applyNumberFormat="0" applyFill="0" applyAlignment="0" applyProtection="0">
      <alignment vertical="center"/>
    </xf>
    <xf numFmtId="0" fontId="81" fillId="0" borderId="0">
      <alignment vertical="center"/>
    </xf>
    <xf numFmtId="0" fontId="42" fillId="0" borderId="33" applyNumberFormat="0" applyFill="0" applyAlignment="0" applyProtection="0">
      <alignment vertical="center"/>
    </xf>
    <xf numFmtId="0" fontId="81" fillId="0" borderId="0" applyBorder="0">
      <alignment vertical="center"/>
    </xf>
    <xf numFmtId="0" fontId="42" fillId="0" borderId="33" applyNumberFormat="0" applyFill="0" applyAlignment="0" applyProtection="0">
      <alignment vertical="center"/>
    </xf>
    <xf numFmtId="0" fontId="42" fillId="0" borderId="33" applyNumberFormat="0" applyFill="0" applyAlignment="0" applyProtection="0">
      <alignment vertical="center"/>
    </xf>
    <xf numFmtId="0" fontId="42" fillId="0" borderId="33" applyNumberFormat="0" applyFill="0" applyAlignment="0" applyProtection="0">
      <alignment vertical="center"/>
    </xf>
    <xf numFmtId="0" fontId="81" fillId="0" borderId="0" applyBorder="0">
      <alignment vertical="center"/>
    </xf>
    <xf numFmtId="0" fontId="42" fillId="0" borderId="33" applyNumberFormat="0" applyFill="0" applyAlignment="0" applyProtection="0">
      <alignment vertical="center"/>
    </xf>
    <xf numFmtId="0" fontId="81" fillId="0" borderId="0">
      <alignment vertical="center"/>
    </xf>
    <xf numFmtId="0" fontId="42" fillId="0" borderId="33" applyNumberFormat="0" applyFill="0" applyAlignment="0" applyProtection="0">
      <alignment vertical="center"/>
    </xf>
    <xf numFmtId="0" fontId="81" fillId="0" borderId="0" applyBorder="0">
      <alignment vertical="center"/>
    </xf>
    <xf numFmtId="0" fontId="42" fillId="0" borderId="33" applyNumberFormat="0" applyFill="0" applyAlignment="0" applyProtection="0">
      <alignment vertical="center"/>
    </xf>
    <xf numFmtId="0" fontId="81" fillId="0" borderId="0">
      <alignment vertical="center"/>
    </xf>
    <xf numFmtId="0" fontId="42" fillId="0" borderId="33" applyNumberFormat="0" applyFill="0" applyAlignment="0" applyProtection="0">
      <alignment vertical="center"/>
    </xf>
    <xf numFmtId="0" fontId="42" fillId="0" borderId="33" applyNumberFormat="0" applyFill="0" applyAlignment="0" applyProtection="0">
      <alignment vertical="center"/>
    </xf>
    <xf numFmtId="0" fontId="81" fillId="0" borderId="0">
      <alignment vertical="center"/>
    </xf>
    <xf numFmtId="0" fontId="42" fillId="0" borderId="33" applyNumberFormat="0" applyFill="0" applyAlignment="0" applyProtection="0">
      <alignment vertical="center"/>
    </xf>
    <xf numFmtId="0" fontId="42" fillId="0" borderId="33" applyNumberFormat="0" applyFill="0" applyAlignment="0" applyProtection="0">
      <alignment vertical="center"/>
    </xf>
    <xf numFmtId="0" fontId="81" fillId="0" borderId="0" applyBorder="0">
      <alignment vertical="center"/>
    </xf>
    <xf numFmtId="0" fontId="42" fillId="0" borderId="33" applyNumberFormat="0" applyFill="0" applyAlignment="0" applyProtection="0">
      <alignment vertical="center"/>
    </xf>
    <xf numFmtId="0" fontId="42" fillId="0" borderId="33" applyNumberFormat="0" applyFill="0" applyAlignment="0" applyProtection="0">
      <alignment vertical="center"/>
    </xf>
    <xf numFmtId="0" fontId="42" fillId="0" borderId="33" applyNumberFormat="0" applyFill="0" applyAlignment="0" applyProtection="0">
      <alignment vertical="center"/>
    </xf>
    <xf numFmtId="0" fontId="42" fillId="0" borderId="33" applyNumberFormat="0" applyFill="0" applyAlignment="0" applyProtection="0">
      <alignment vertical="center"/>
    </xf>
    <xf numFmtId="0" fontId="81" fillId="0" borderId="0">
      <alignment vertical="center"/>
    </xf>
    <xf numFmtId="0" fontId="42" fillId="0" borderId="33" applyNumberFormat="0" applyFill="0" applyAlignment="0" applyProtection="0">
      <alignment vertical="center"/>
    </xf>
    <xf numFmtId="0" fontId="81" fillId="0" borderId="0" applyBorder="0">
      <alignment vertical="center"/>
    </xf>
    <xf numFmtId="0" fontId="42" fillId="0" borderId="33" applyNumberFormat="0" applyFill="0" applyAlignment="0" applyProtection="0">
      <alignment vertical="center"/>
    </xf>
    <xf numFmtId="0" fontId="81" fillId="0" borderId="0">
      <alignment vertical="center"/>
    </xf>
    <xf numFmtId="0" fontId="81" fillId="0" borderId="0" applyBorder="0">
      <alignment vertical="center"/>
    </xf>
    <xf numFmtId="0" fontId="81" fillId="0" borderId="0" applyBorder="0">
      <alignment vertical="center"/>
    </xf>
    <xf numFmtId="0" fontId="42" fillId="0" borderId="33" applyNumberFormat="0" applyFill="0" applyAlignment="0" applyProtection="0">
      <alignment vertical="center"/>
    </xf>
    <xf numFmtId="0" fontId="81" fillId="0" borderId="0">
      <alignment vertical="center"/>
    </xf>
    <xf numFmtId="0" fontId="42" fillId="0" borderId="33" applyNumberFormat="0" applyFill="0" applyAlignment="0" applyProtection="0">
      <alignment vertical="center"/>
    </xf>
    <xf numFmtId="0" fontId="81" fillId="0" borderId="0">
      <alignment vertical="center"/>
    </xf>
    <xf numFmtId="0" fontId="42" fillId="0" borderId="33" applyNumberFormat="0" applyFill="0" applyAlignment="0" applyProtection="0">
      <alignment vertical="center"/>
    </xf>
    <xf numFmtId="0" fontId="81" fillId="0" borderId="0">
      <alignment vertical="center"/>
    </xf>
    <xf numFmtId="0" fontId="81" fillId="0" borderId="0">
      <alignment vertical="center"/>
    </xf>
    <xf numFmtId="0" fontId="42" fillId="0" borderId="33" applyNumberFormat="0" applyFill="0" applyAlignment="0" applyProtection="0">
      <alignment vertical="center"/>
    </xf>
    <xf numFmtId="0" fontId="81" fillId="0" borderId="0">
      <alignment vertical="center"/>
    </xf>
    <xf numFmtId="0" fontId="81" fillId="0" borderId="0" applyBorder="0">
      <alignment vertical="center"/>
    </xf>
    <xf numFmtId="0" fontId="42" fillId="0" borderId="33" applyNumberFormat="0" applyFill="0" applyAlignment="0" applyProtection="0">
      <alignment vertical="center"/>
    </xf>
    <xf numFmtId="0" fontId="81" fillId="0" borderId="0" applyBorder="0">
      <alignment vertical="center"/>
    </xf>
    <xf numFmtId="0" fontId="42" fillId="0" borderId="33" applyNumberFormat="0" applyFill="0" applyAlignment="0" applyProtection="0">
      <alignment vertical="center"/>
    </xf>
    <xf numFmtId="0" fontId="81" fillId="0" borderId="0" applyBorder="0">
      <alignment vertical="center"/>
    </xf>
    <xf numFmtId="0" fontId="42" fillId="0" borderId="33" applyNumberFormat="0" applyFill="0" applyAlignment="0" applyProtection="0">
      <alignment vertical="center"/>
    </xf>
    <xf numFmtId="0" fontId="81" fillId="0" borderId="0">
      <alignment vertical="center"/>
    </xf>
    <xf numFmtId="0" fontId="42" fillId="0" borderId="33" applyNumberFormat="0" applyFill="0" applyAlignment="0" applyProtection="0">
      <alignment vertical="center"/>
    </xf>
    <xf numFmtId="0" fontId="39" fillId="0" borderId="0">
      <alignment vertical="center"/>
    </xf>
    <xf numFmtId="0" fontId="42" fillId="0" borderId="33" applyNumberFormat="0" applyFill="0" applyAlignment="0" applyProtection="0">
      <alignment vertical="center"/>
    </xf>
    <xf numFmtId="0" fontId="81" fillId="0" borderId="0" applyBorder="0">
      <alignment vertical="center"/>
    </xf>
    <xf numFmtId="0" fontId="42" fillId="0" borderId="33" applyNumberFormat="0" applyFill="0" applyAlignment="0" applyProtection="0">
      <alignment vertical="center"/>
    </xf>
    <xf numFmtId="0" fontId="81" fillId="0" borderId="0" applyBorder="0">
      <alignment vertical="center"/>
    </xf>
    <xf numFmtId="0" fontId="81" fillId="0" borderId="0" applyBorder="0">
      <alignment vertical="center"/>
    </xf>
    <xf numFmtId="0" fontId="42" fillId="0" borderId="33" applyNumberFormat="0" applyFill="0" applyAlignment="0" applyProtection="0">
      <alignment vertical="center"/>
    </xf>
    <xf numFmtId="0" fontId="42" fillId="0" borderId="33" applyNumberFormat="0" applyFill="0" applyAlignment="0" applyProtection="0">
      <alignment vertical="center"/>
    </xf>
    <xf numFmtId="0" fontId="42" fillId="0" borderId="33" applyNumberFormat="0" applyFill="0" applyAlignment="0" applyProtection="0">
      <alignment vertical="center"/>
    </xf>
    <xf numFmtId="0" fontId="81" fillId="0" borderId="0" applyBorder="0">
      <alignment vertical="center"/>
    </xf>
    <xf numFmtId="0" fontId="42" fillId="0" borderId="33" applyNumberFormat="0" applyFill="0" applyAlignment="0" applyProtection="0">
      <alignment vertical="center"/>
    </xf>
    <xf numFmtId="0" fontId="81" fillId="0" borderId="0" applyBorder="0">
      <alignment vertical="center"/>
    </xf>
    <xf numFmtId="0" fontId="42" fillId="0" borderId="33" applyNumberFormat="0" applyFill="0" applyAlignment="0" applyProtection="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42" fillId="0" borderId="33" applyNumberFormat="0" applyFill="0" applyAlignment="0" applyProtection="0">
      <alignment vertical="center"/>
    </xf>
    <xf numFmtId="0" fontId="81" fillId="0" borderId="0" applyBorder="0">
      <alignment vertical="center"/>
    </xf>
    <xf numFmtId="0" fontId="42" fillId="0" borderId="33" applyNumberFormat="0" applyFill="0" applyAlignment="0" applyProtection="0">
      <alignment vertical="center"/>
    </xf>
    <xf numFmtId="0" fontId="81" fillId="0" borderId="0">
      <alignment vertical="center"/>
    </xf>
    <xf numFmtId="0" fontId="42" fillId="0" borderId="33" applyNumberFormat="0" applyFill="0" applyAlignment="0" applyProtection="0">
      <alignment vertical="center"/>
    </xf>
    <xf numFmtId="0" fontId="81" fillId="0" borderId="0" applyBorder="0">
      <alignment vertical="center"/>
    </xf>
    <xf numFmtId="0" fontId="42" fillId="0" borderId="33" applyNumberFormat="0" applyFill="0" applyAlignment="0" applyProtection="0">
      <alignment vertical="center"/>
    </xf>
    <xf numFmtId="0" fontId="81" fillId="0" borderId="0"/>
    <xf numFmtId="0" fontId="81" fillId="0" borderId="0" applyBorder="0">
      <alignment vertical="center"/>
    </xf>
    <xf numFmtId="0" fontId="42" fillId="0" borderId="33" applyNumberFormat="0" applyFill="0" applyAlignment="0" applyProtection="0">
      <alignment vertical="center"/>
    </xf>
    <xf numFmtId="0" fontId="42" fillId="0" borderId="33" applyNumberFormat="0" applyFill="0" applyAlignment="0" applyProtection="0">
      <alignment vertical="center"/>
    </xf>
    <xf numFmtId="0" fontId="42" fillId="0" borderId="33" applyNumberFormat="0" applyFill="0" applyAlignment="0" applyProtection="0">
      <alignment vertical="center"/>
    </xf>
    <xf numFmtId="0" fontId="42" fillId="0" borderId="33" applyNumberFormat="0" applyFill="0" applyAlignment="0" applyProtection="0">
      <alignment vertical="center"/>
    </xf>
    <xf numFmtId="0" fontId="42" fillId="0" borderId="33" applyNumberFormat="0" applyFill="0" applyAlignment="0" applyProtection="0">
      <alignment vertical="center"/>
    </xf>
    <xf numFmtId="0" fontId="42" fillId="0" borderId="33" applyNumberFormat="0" applyFill="0" applyAlignment="0" applyProtection="0">
      <alignment vertical="center"/>
    </xf>
    <xf numFmtId="0" fontId="81" fillId="0" borderId="0">
      <alignment vertical="center"/>
    </xf>
    <xf numFmtId="0" fontId="81" fillId="0" borderId="0" applyBorder="0">
      <alignment vertical="center"/>
    </xf>
    <xf numFmtId="0" fontId="42" fillId="0" borderId="33" applyNumberFormat="0" applyFill="0" applyAlignment="0" applyProtection="0">
      <alignment vertical="center"/>
    </xf>
    <xf numFmtId="0" fontId="42" fillId="0" borderId="33" applyNumberFormat="0" applyFill="0" applyAlignment="0" applyProtection="0">
      <alignment vertical="center"/>
    </xf>
    <xf numFmtId="0" fontId="42" fillId="0" borderId="33" applyNumberFormat="0" applyFill="0" applyAlignment="0" applyProtection="0">
      <alignment vertical="center"/>
    </xf>
    <xf numFmtId="0" fontId="42" fillId="0" borderId="33" applyNumberFormat="0" applyFill="0" applyAlignment="0" applyProtection="0">
      <alignment vertical="center"/>
    </xf>
    <xf numFmtId="0" fontId="42" fillId="0" borderId="33" applyNumberFormat="0" applyFill="0" applyAlignment="0" applyProtection="0">
      <alignment vertical="center"/>
    </xf>
    <xf numFmtId="0" fontId="39" fillId="0" borderId="0">
      <alignment vertical="center"/>
    </xf>
    <xf numFmtId="0" fontId="81" fillId="0" borderId="0" applyBorder="0">
      <alignment vertical="center"/>
    </xf>
    <xf numFmtId="0" fontId="42" fillId="0" borderId="33" applyNumberFormat="0" applyFill="0" applyAlignment="0" applyProtection="0">
      <alignment vertical="center"/>
    </xf>
    <xf numFmtId="0" fontId="81" fillId="0" borderId="0" applyBorder="0">
      <alignment vertical="center"/>
    </xf>
    <xf numFmtId="0" fontId="42" fillId="0" borderId="33" applyNumberFormat="0" applyFill="0" applyAlignment="0" applyProtection="0">
      <alignment vertical="center"/>
    </xf>
    <xf numFmtId="0" fontId="81" fillId="0" borderId="0" applyBorder="0">
      <alignment vertical="center"/>
    </xf>
    <xf numFmtId="0" fontId="42" fillId="0" borderId="33" applyNumberFormat="0" applyFill="0" applyAlignment="0" applyProtection="0">
      <alignment vertical="center"/>
    </xf>
    <xf numFmtId="0" fontId="42" fillId="0" borderId="33" applyNumberFormat="0" applyFill="0" applyAlignment="0" applyProtection="0">
      <alignment vertical="center"/>
    </xf>
    <xf numFmtId="0" fontId="81" fillId="0" borderId="0">
      <alignment vertical="center"/>
    </xf>
    <xf numFmtId="0" fontId="81" fillId="0" borderId="0"/>
    <xf numFmtId="0" fontId="42" fillId="0" borderId="33" applyNumberFormat="0" applyFill="0" applyAlignment="0" applyProtection="0">
      <alignment vertical="center"/>
    </xf>
    <xf numFmtId="0" fontId="81" fillId="0" borderId="0">
      <alignment vertical="center"/>
    </xf>
    <xf numFmtId="0" fontId="81" fillId="0" borderId="0" applyBorder="0">
      <alignment vertical="center"/>
    </xf>
    <xf numFmtId="0" fontId="42" fillId="0" borderId="33" applyNumberFormat="0" applyFill="0" applyAlignment="0" applyProtection="0">
      <alignment vertical="center"/>
    </xf>
    <xf numFmtId="0" fontId="81" fillId="0" borderId="0" applyBorder="0">
      <alignment vertical="center"/>
    </xf>
    <xf numFmtId="0" fontId="42" fillId="0" borderId="33" applyNumberFormat="0" applyFill="0" applyAlignment="0" applyProtection="0">
      <alignment vertical="center"/>
    </xf>
    <xf numFmtId="0" fontId="39" fillId="0" borderId="0">
      <alignment vertical="center"/>
    </xf>
    <xf numFmtId="0" fontId="81" fillId="0" borderId="0" applyBorder="0">
      <alignment vertical="center"/>
    </xf>
    <xf numFmtId="0" fontId="42" fillId="0" borderId="33" applyNumberFormat="0" applyFill="0" applyAlignment="0" applyProtection="0">
      <alignment vertical="center"/>
    </xf>
    <xf numFmtId="0" fontId="39" fillId="0" borderId="0">
      <alignment vertical="center"/>
    </xf>
    <xf numFmtId="0" fontId="42" fillId="0" borderId="33" applyNumberFormat="0" applyFill="0" applyAlignment="0" applyProtection="0">
      <alignment vertical="center"/>
    </xf>
    <xf numFmtId="0" fontId="81" fillId="0" borderId="0" applyBorder="0">
      <alignment vertical="center"/>
    </xf>
    <xf numFmtId="0" fontId="81" fillId="0" borderId="0" applyBorder="0">
      <alignment vertical="center"/>
    </xf>
    <xf numFmtId="0" fontId="42" fillId="0" borderId="33" applyNumberFormat="0" applyFill="0" applyAlignment="0" applyProtection="0">
      <alignment vertical="center"/>
    </xf>
    <xf numFmtId="0" fontId="81" fillId="0" borderId="0" applyBorder="0">
      <alignment vertical="center"/>
    </xf>
    <xf numFmtId="0" fontId="42" fillId="0" borderId="33" applyNumberFormat="0" applyFill="0" applyAlignment="0" applyProtection="0">
      <alignment vertical="center"/>
    </xf>
    <xf numFmtId="0" fontId="81" fillId="0" borderId="0" applyBorder="0">
      <alignment vertical="center"/>
    </xf>
    <xf numFmtId="0" fontId="39" fillId="0" borderId="0">
      <alignment vertical="center"/>
    </xf>
    <xf numFmtId="0" fontId="42" fillId="0" borderId="33" applyNumberFormat="0" applyFill="0" applyAlignment="0" applyProtection="0">
      <alignment vertical="center"/>
    </xf>
    <xf numFmtId="0" fontId="81" fillId="0" borderId="0" applyBorder="0">
      <alignment vertical="center"/>
    </xf>
    <xf numFmtId="0" fontId="42" fillId="0" borderId="33" applyNumberFormat="0" applyFill="0" applyAlignment="0" applyProtection="0">
      <alignment vertical="center"/>
    </xf>
    <xf numFmtId="0" fontId="42" fillId="0" borderId="33" applyNumberFormat="0" applyFill="0" applyAlignment="0" applyProtection="0">
      <alignment vertical="center"/>
    </xf>
    <xf numFmtId="0" fontId="39" fillId="0" borderId="0">
      <alignment vertical="center"/>
    </xf>
    <xf numFmtId="0" fontId="81" fillId="0" borderId="0" applyBorder="0">
      <alignment vertical="center"/>
    </xf>
    <xf numFmtId="0" fontId="42" fillId="0" borderId="33" applyNumberFormat="0" applyFill="0" applyAlignment="0" applyProtection="0">
      <alignment vertical="center"/>
    </xf>
    <xf numFmtId="0" fontId="39" fillId="0" borderId="0">
      <alignment vertical="center"/>
    </xf>
    <xf numFmtId="0" fontId="42" fillId="0" borderId="33" applyNumberFormat="0" applyFill="0" applyAlignment="0" applyProtection="0">
      <alignment vertical="center"/>
    </xf>
    <xf numFmtId="0" fontId="42" fillId="0" borderId="33" applyNumberFormat="0" applyFill="0" applyAlignment="0" applyProtection="0">
      <alignment vertical="center"/>
    </xf>
    <xf numFmtId="0" fontId="42" fillId="0" borderId="33" applyNumberFormat="0" applyFill="0" applyAlignment="0" applyProtection="0">
      <alignment vertical="center"/>
    </xf>
    <xf numFmtId="0" fontId="81" fillId="0" borderId="0" applyBorder="0">
      <alignment vertical="center"/>
    </xf>
    <xf numFmtId="0" fontId="81" fillId="0" borderId="0">
      <alignment vertical="center"/>
    </xf>
    <xf numFmtId="0" fontId="42" fillId="0" borderId="33" applyNumberFormat="0" applyFill="0" applyAlignment="0" applyProtection="0">
      <alignment vertical="center"/>
    </xf>
    <xf numFmtId="0" fontId="81" fillId="0" borderId="0" applyBorder="0">
      <alignment vertical="center"/>
    </xf>
    <xf numFmtId="0" fontId="42" fillId="0" borderId="33" applyNumberFormat="0" applyFill="0" applyAlignment="0" applyProtection="0">
      <alignment vertical="center"/>
    </xf>
    <xf numFmtId="0" fontId="42" fillId="0" borderId="33" applyNumberFormat="0" applyFill="0" applyAlignment="0" applyProtection="0">
      <alignment vertical="center"/>
    </xf>
    <xf numFmtId="0" fontId="42" fillId="0" borderId="33" applyNumberFormat="0" applyFill="0" applyAlignment="0" applyProtection="0">
      <alignment vertical="center"/>
    </xf>
    <xf numFmtId="0" fontId="42" fillId="0" borderId="33" applyNumberFormat="0" applyFill="0" applyAlignment="0" applyProtection="0">
      <alignment vertical="center"/>
    </xf>
    <xf numFmtId="0" fontId="81" fillId="0" borderId="0" applyBorder="0">
      <alignment vertical="center"/>
    </xf>
    <xf numFmtId="0" fontId="81" fillId="0" borderId="0" applyBorder="0">
      <alignment vertical="center"/>
    </xf>
    <xf numFmtId="0" fontId="42" fillId="0" borderId="33" applyNumberFormat="0" applyFill="0" applyAlignment="0" applyProtection="0">
      <alignment vertical="center"/>
    </xf>
    <xf numFmtId="0" fontId="42" fillId="0" borderId="33" applyNumberFormat="0" applyFill="0" applyAlignment="0" applyProtection="0">
      <alignment vertical="center"/>
    </xf>
    <xf numFmtId="0" fontId="81" fillId="0" borderId="0" applyBorder="0">
      <alignment vertical="center"/>
    </xf>
    <xf numFmtId="0" fontId="81" fillId="0" borderId="0" applyBorder="0">
      <alignment vertical="center"/>
    </xf>
    <xf numFmtId="0" fontId="42" fillId="0" borderId="33" applyNumberFormat="0" applyFill="0" applyAlignment="0" applyProtection="0">
      <alignment vertical="center"/>
    </xf>
    <xf numFmtId="0" fontId="42" fillId="0" borderId="33" applyNumberFormat="0" applyFill="0" applyAlignment="0" applyProtection="0">
      <alignment vertical="center"/>
    </xf>
    <xf numFmtId="0" fontId="81" fillId="0" borderId="0" applyBorder="0">
      <alignment vertical="center"/>
    </xf>
    <xf numFmtId="0" fontId="42" fillId="0" borderId="33" applyNumberFormat="0" applyFill="0" applyAlignment="0" applyProtection="0">
      <alignment vertical="center"/>
    </xf>
    <xf numFmtId="0" fontId="81" fillId="0" borderId="0">
      <alignment vertical="center"/>
    </xf>
    <xf numFmtId="0" fontId="81" fillId="0" borderId="0" applyBorder="0">
      <alignment vertical="center"/>
    </xf>
    <xf numFmtId="0" fontId="42" fillId="0" borderId="33" applyNumberFormat="0" applyFill="0" applyAlignment="0" applyProtection="0">
      <alignment vertical="center"/>
    </xf>
    <xf numFmtId="0" fontId="81" fillId="0" borderId="0" applyBorder="0">
      <alignment vertical="center"/>
    </xf>
    <xf numFmtId="0" fontId="42" fillId="0" borderId="33" applyNumberFormat="0" applyFill="0" applyAlignment="0" applyProtection="0">
      <alignment vertical="center"/>
    </xf>
    <xf numFmtId="0" fontId="81" fillId="0" borderId="0" applyBorder="0">
      <alignment vertical="center"/>
    </xf>
    <xf numFmtId="0" fontId="42" fillId="0" borderId="33" applyNumberFormat="0" applyFill="0" applyAlignment="0" applyProtection="0">
      <alignment vertical="center"/>
    </xf>
    <xf numFmtId="0" fontId="81" fillId="0" borderId="0">
      <alignment vertical="center"/>
    </xf>
    <xf numFmtId="0" fontId="81" fillId="0" borderId="0">
      <alignment vertical="center"/>
    </xf>
    <xf numFmtId="0" fontId="42" fillId="0" borderId="33" applyNumberFormat="0" applyFill="0" applyAlignment="0" applyProtection="0">
      <alignment vertical="center"/>
    </xf>
    <xf numFmtId="0" fontId="39" fillId="0" borderId="0">
      <alignment vertical="center"/>
    </xf>
    <xf numFmtId="0" fontId="42" fillId="0" borderId="33" applyNumberFormat="0" applyFill="0" applyAlignment="0" applyProtection="0">
      <alignment vertical="center"/>
    </xf>
    <xf numFmtId="0" fontId="81" fillId="0" borderId="0" applyBorder="0">
      <alignment vertical="center"/>
    </xf>
    <xf numFmtId="0" fontId="81" fillId="0" borderId="0" applyBorder="0">
      <alignment vertical="center"/>
    </xf>
    <xf numFmtId="0" fontId="42" fillId="0" borderId="33" applyNumberFormat="0" applyFill="0" applyAlignment="0" applyProtection="0">
      <alignment vertical="center"/>
    </xf>
    <xf numFmtId="0" fontId="42" fillId="0" borderId="33" applyNumberFormat="0" applyFill="0" applyAlignment="0" applyProtection="0">
      <alignment vertical="center"/>
    </xf>
    <xf numFmtId="0" fontId="81" fillId="0" borderId="0">
      <alignment vertical="center"/>
    </xf>
    <xf numFmtId="0" fontId="42" fillId="0" borderId="33" applyNumberFormat="0" applyFill="0" applyAlignment="0" applyProtection="0">
      <alignment vertical="center"/>
    </xf>
    <xf numFmtId="0" fontId="81" fillId="0" borderId="0">
      <alignment vertical="center"/>
    </xf>
    <xf numFmtId="0" fontId="42" fillId="0" borderId="33" applyNumberFormat="0" applyFill="0" applyAlignment="0" applyProtection="0">
      <alignment vertical="center"/>
    </xf>
    <xf numFmtId="0" fontId="81" fillId="0" borderId="0" applyBorder="0">
      <alignment vertical="center"/>
    </xf>
    <xf numFmtId="0" fontId="42" fillId="0" borderId="33" applyNumberFormat="0" applyFill="0" applyAlignment="0" applyProtection="0">
      <alignment vertical="center"/>
    </xf>
    <xf numFmtId="0" fontId="43" fillId="0" borderId="34" applyNumberFormat="0" applyFill="0" applyAlignment="0" applyProtection="0">
      <alignment vertical="center"/>
    </xf>
    <xf numFmtId="0" fontId="81" fillId="0" borderId="0" applyBorder="0">
      <alignment vertical="center"/>
    </xf>
    <xf numFmtId="0" fontId="43" fillId="0" borderId="34" applyNumberFormat="0" applyFill="0" applyAlignment="0" applyProtection="0">
      <alignment vertical="center"/>
    </xf>
    <xf numFmtId="0" fontId="43" fillId="0" borderId="34" applyNumberFormat="0" applyFill="0" applyAlignment="0" applyProtection="0">
      <alignment vertical="center"/>
    </xf>
    <xf numFmtId="0" fontId="43" fillId="0" borderId="34" applyNumberFormat="0" applyFill="0" applyAlignment="0" applyProtection="0">
      <alignment vertical="center"/>
    </xf>
    <xf numFmtId="0" fontId="43" fillId="0" borderId="34" applyNumberFormat="0" applyFill="0" applyAlignment="0" applyProtection="0">
      <alignment vertical="center"/>
    </xf>
    <xf numFmtId="0" fontId="81" fillId="0" borderId="0"/>
    <xf numFmtId="0" fontId="43" fillId="0" borderId="34" applyNumberFormat="0" applyFill="0" applyAlignment="0" applyProtection="0">
      <alignment vertical="center"/>
    </xf>
    <xf numFmtId="0" fontId="43" fillId="0" borderId="34" applyNumberFormat="0" applyFill="0" applyAlignment="0" applyProtection="0">
      <alignment vertical="center"/>
    </xf>
    <xf numFmtId="0" fontId="81" fillId="0" borderId="0">
      <alignment vertical="center"/>
    </xf>
    <xf numFmtId="0" fontId="43" fillId="0" borderId="34" applyNumberFormat="0" applyFill="0" applyAlignment="0" applyProtection="0">
      <alignment vertical="center"/>
    </xf>
    <xf numFmtId="0" fontId="81" fillId="0" borderId="0" applyBorder="0">
      <alignment vertical="center"/>
    </xf>
    <xf numFmtId="0" fontId="81" fillId="0" borderId="0" applyBorder="0">
      <alignment vertical="center"/>
    </xf>
    <xf numFmtId="0" fontId="43" fillId="0" borderId="34" applyNumberFormat="0" applyFill="0" applyAlignment="0" applyProtection="0">
      <alignment vertical="center"/>
    </xf>
    <xf numFmtId="0" fontId="81" fillId="0" borderId="0" applyBorder="0">
      <alignment vertical="center"/>
    </xf>
    <xf numFmtId="0" fontId="43" fillId="0" borderId="34" applyNumberFormat="0" applyFill="0" applyAlignment="0" applyProtection="0">
      <alignment vertical="center"/>
    </xf>
    <xf numFmtId="0" fontId="43" fillId="0" borderId="34" applyNumberFormat="0" applyFill="0" applyAlignment="0" applyProtection="0">
      <alignment vertical="center"/>
    </xf>
    <xf numFmtId="0" fontId="43" fillId="0" borderId="34" applyNumberFormat="0" applyFill="0" applyAlignment="0" applyProtection="0">
      <alignment vertical="center"/>
    </xf>
    <xf numFmtId="0" fontId="43" fillId="0" borderId="34" applyNumberFormat="0" applyFill="0" applyAlignment="0" applyProtection="0">
      <alignment vertical="center"/>
    </xf>
    <xf numFmtId="0" fontId="81" fillId="0" borderId="0" applyBorder="0">
      <alignment vertical="center"/>
    </xf>
    <xf numFmtId="0" fontId="39" fillId="0" borderId="0">
      <alignment vertical="center"/>
    </xf>
    <xf numFmtId="0" fontId="43" fillId="0" borderId="34" applyNumberFormat="0" applyFill="0" applyAlignment="0" applyProtection="0">
      <alignment vertical="center"/>
    </xf>
    <xf numFmtId="0" fontId="43" fillId="0" borderId="34" applyNumberFormat="0" applyFill="0" applyAlignment="0" applyProtection="0">
      <alignment vertical="center"/>
    </xf>
    <xf numFmtId="0" fontId="43" fillId="0" borderId="34" applyNumberFormat="0" applyFill="0" applyAlignment="0" applyProtection="0">
      <alignment vertical="center"/>
    </xf>
    <xf numFmtId="0" fontId="81" fillId="0" borderId="0" applyBorder="0">
      <alignment vertical="center"/>
    </xf>
    <xf numFmtId="0" fontId="43" fillId="0" borderId="34" applyNumberFormat="0" applyFill="0" applyAlignment="0" applyProtection="0">
      <alignment vertical="center"/>
    </xf>
    <xf numFmtId="0" fontId="43" fillId="0" borderId="34" applyNumberFormat="0" applyFill="0" applyAlignment="0" applyProtection="0">
      <alignment vertical="center"/>
    </xf>
    <xf numFmtId="0" fontId="81" fillId="0" borderId="0" applyBorder="0">
      <alignment vertical="center"/>
    </xf>
    <xf numFmtId="0" fontId="43" fillId="0" borderId="34" applyNumberFormat="0" applyFill="0" applyAlignment="0" applyProtection="0">
      <alignment vertical="center"/>
    </xf>
    <xf numFmtId="0" fontId="43" fillId="0" borderId="34" applyNumberFormat="0" applyFill="0" applyAlignment="0" applyProtection="0">
      <alignment vertical="center"/>
    </xf>
    <xf numFmtId="0" fontId="81" fillId="0" borderId="0" applyBorder="0">
      <alignment vertical="center"/>
    </xf>
    <xf numFmtId="0" fontId="81" fillId="0" borderId="0" applyBorder="0">
      <alignment vertical="center"/>
    </xf>
    <xf numFmtId="0" fontId="43" fillId="0" borderId="34" applyNumberFormat="0" applyFill="0" applyAlignment="0" applyProtection="0">
      <alignment vertical="center"/>
    </xf>
    <xf numFmtId="0" fontId="81" fillId="0" borderId="0"/>
    <xf numFmtId="0" fontId="81" fillId="0" borderId="0">
      <alignment vertical="center"/>
    </xf>
    <xf numFmtId="0" fontId="43" fillId="0" borderId="34" applyNumberFormat="0" applyFill="0" applyAlignment="0" applyProtection="0">
      <alignment vertical="center"/>
    </xf>
    <xf numFmtId="0" fontId="81" fillId="0" borderId="0"/>
    <xf numFmtId="0" fontId="81" fillId="0" borderId="0">
      <alignment vertical="center"/>
    </xf>
    <xf numFmtId="0" fontId="43" fillId="0" borderId="34" applyNumberFormat="0" applyFill="0" applyAlignment="0" applyProtection="0">
      <alignment vertical="center"/>
    </xf>
    <xf numFmtId="0" fontId="81" fillId="0" borderId="0"/>
    <xf numFmtId="0" fontId="81" fillId="0" borderId="0">
      <alignment vertical="center"/>
    </xf>
    <xf numFmtId="0" fontId="81" fillId="0" borderId="0" applyBorder="0">
      <alignment vertical="center"/>
    </xf>
    <xf numFmtId="0" fontId="43" fillId="0" borderId="34" applyNumberFormat="0" applyFill="0" applyAlignment="0" applyProtection="0">
      <alignment vertical="center"/>
    </xf>
    <xf numFmtId="0" fontId="81" fillId="0" borderId="0"/>
    <xf numFmtId="0" fontId="81" fillId="0" borderId="0" applyBorder="0">
      <alignment vertical="center"/>
    </xf>
    <xf numFmtId="0" fontId="81" fillId="0" borderId="0">
      <alignment vertical="center"/>
    </xf>
    <xf numFmtId="0" fontId="43" fillId="0" borderId="34" applyNumberFormat="0" applyFill="0" applyAlignment="0" applyProtection="0">
      <alignment vertical="center"/>
    </xf>
    <xf numFmtId="0" fontId="81" fillId="0" borderId="0" applyBorder="0">
      <alignment vertical="center"/>
    </xf>
    <xf numFmtId="0" fontId="81" fillId="0" borderId="0" applyBorder="0">
      <alignment vertical="center"/>
    </xf>
    <xf numFmtId="0" fontId="43" fillId="0" borderId="34" applyNumberFormat="0" applyFill="0" applyAlignment="0" applyProtection="0">
      <alignment vertical="center"/>
    </xf>
    <xf numFmtId="0" fontId="81" fillId="0" borderId="0" applyBorder="0">
      <alignment vertical="center"/>
    </xf>
    <xf numFmtId="0" fontId="43" fillId="0" borderId="34" applyNumberFormat="0" applyFill="0" applyAlignment="0" applyProtection="0">
      <alignment vertical="center"/>
    </xf>
    <xf numFmtId="0" fontId="43" fillId="0" borderId="34" applyNumberFormat="0" applyFill="0" applyAlignment="0" applyProtection="0">
      <alignment vertical="center"/>
    </xf>
    <xf numFmtId="0" fontId="81" fillId="0" borderId="0" applyBorder="0">
      <alignment vertical="center"/>
    </xf>
    <xf numFmtId="0" fontId="43" fillId="0" borderId="34" applyNumberFormat="0" applyFill="0" applyAlignment="0" applyProtection="0">
      <alignment vertical="center"/>
    </xf>
    <xf numFmtId="0" fontId="81" fillId="0" borderId="0">
      <alignment vertical="center"/>
    </xf>
    <xf numFmtId="0" fontId="81" fillId="0" borderId="0" applyBorder="0">
      <alignment vertical="center"/>
    </xf>
    <xf numFmtId="0" fontId="43" fillId="0" borderId="34" applyNumberFormat="0" applyFill="0" applyAlignment="0" applyProtection="0">
      <alignment vertical="center"/>
    </xf>
    <xf numFmtId="0" fontId="81" fillId="0" borderId="0">
      <alignment vertical="center"/>
    </xf>
    <xf numFmtId="0" fontId="81" fillId="0" borderId="0">
      <alignment vertical="center"/>
    </xf>
    <xf numFmtId="0" fontId="43" fillId="0" borderId="34" applyNumberFormat="0" applyFill="0" applyAlignment="0" applyProtection="0">
      <alignment vertical="center"/>
    </xf>
    <xf numFmtId="0" fontId="81" fillId="0" borderId="0" applyBorder="0">
      <alignment vertical="center"/>
    </xf>
    <xf numFmtId="0" fontId="43" fillId="0" borderId="34" applyNumberFormat="0" applyFill="0" applyAlignment="0" applyProtection="0">
      <alignment vertical="center"/>
    </xf>
    <xf numFmtId="0" fontId="43" fillId="0" borderId="34" applyNumberFormat="0" applyFill="0" applyAlignment="0" applyProtection="0">
      <alignment vertical="center"/>
    </xf>
    <xf numFmtId="0" fontId="81" fillId="0" borderId="0" applyBorder="0">
      <alignment vertical="center"/>
    </xf>
    <xf numFmtId="0" fontId="81" fillId="0" borderId="0"/>
    <xf numFmtId="0" fontId="43" fillId="0" borderId="34" applyNumberFormat="0" applyFill="0" applyAlignment="0" applyProtection="0">
      <alignment vertical="center"/>
    </xf>
    <xf numFmtId="0" fontId="43" fillId="0" borderId="34" applyNumberFormat="0" applyFill="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43" fillId="0" borderId="34" applyNumberFormat="0" applyFill="0" applyAlignment="0" applyProtection="0">
      <alignment vertical="center"/>
    </xf>
    <xf numFmtId="0" fontId="81" fillId="0" borderId="0">
      <alignment vertical="center"/>
    </xf>
    <xf numFmtId="0" fontId="43" fillId="0" borderId="34" applyNumberFormat="0" applyFill="0" applyAlignment="0" applyProtection="0">
      <alignment vertical="center"/>
    </xf>
    <xf numFmtId="0" fontId="81" fillId="0" borderId="0" applyBorder="0">
      <alignment vertical="center"/>
    </xf>
    <xf numFmtId="0" fontId="43" fillId="0" borderId="34" applyNumberFormat="0" applyFill="0" applyAlignment="0" applyProtection="0">
      <alignment vertical="center"/>
    </xf>
    <xf numFmtId="0" fontId="43" fillId="0" borderId="34" applyNumberFormat="0" applyFill="0" applyAlignment="0" applyProtection="0">
      <alignment vertical="center"/>
    </xf>
    <xf numFmtId="0" fontId="81" fillId="0" borderId="0" applyBorder="0">
      <alignment vertical="center"/>
    </xf>
    <xf numFmtId="0" fontId="43" fillId="0" borderId="34" applyNumberFormat="0" applyFill="0" applyAlignment="0" applyProtection="0">
      <alignment vertical="center"/>
    </xf>
    <xf numFmtId="0" fontId="43" fillId="0" borderId="34" applyNumberFormat="0" applyFill="0" applyAlignment="0" applyProtection="0">
      <alignment vertical="center"/>
    </xf>
    <xf numFmtId="0" fontId="43" fillId="0" borderId="34" applyNumberFormat="0" applyFill="0" applyAlignment="0" applyProtection="0">
      <alignment vertical="center"/>
    </xf>
    <xf numFmtId="0" fontId="43" fillId="0" borderId="34" applyNumberFormat="0" applyFill="0" applyAlignment="0" applyProtection="0">
      <alignment vertical="center"/>
    </xf>
    <xf numFmtId="0" fontId="43" fillId="0" borderId="34" applyNumberFormat="0" applyFill="0" applyAlignment="0" applyProtection="0">
      <alignment vertical="center"/>
    </xf>
    <xf numFmtId="0" fontId="43" fillId="0" borderId="34" applyNumberFormat="0" applyFill="0" applyAlignment="0" applyProtection="0">
      <alignment vertical="center"/>
    </xf>
    <xf numFmtId="0" fontId="43" fillId="0" borderId="34" applyNumberFormat="0" applyFill="0" applyAlignment="0" applyProtection="0">
      <alignment vertical="center"/>
    </xf>
    <xf numFmtId="0" fontId="43" fillId="0" borderId="34" applyNumberFormat="0" applyFill="0" applyAlignment="0" applyProtection="0">
      <alignment vertical="center"/>
    </xf>
    <xf numFmtId="0" fontId="43" fillId="0" borderId="34" applyNumberFormat="0" applyFill="0" applyAlignment="0" applyProtection="0">
      <alignment vertical="center"/>
    </xf>
    <xf numFmtId="0" fontId="43" fillId="0" borderId="34" applyNumberFormat="0" applyFill="0" applyAlignment="0" applyProtection="0">
      <alignment vertical="center"/>
    </xf>
    <xf numFmtId="0" fontId="43" fillId="0" borderId="34" applyNumberFormat="0" applyFill="0" applyAlignment="0" applyProtection="0">
      <alignment vertical="center"/>
    </xf>
    <xf numFmtId="0" fontId="43" fillId="0" borderId="34" applyNumberFormat="0" applyFill="0" applyAlignment="0" applyProtection="0">
      <alignment vertical="center"/>
    </xf>
    <xf numFmtId="0" fontId="43" fillId="0" borderId="34" applyNumberFormat="0" applyFill="0" applyAlignment="0" applyProtection="0">
      <alignment vertical="center"/>
    </xf>
    <xf numFmtId="0" fontId="43" fillId="0" borderId="34" applyNumberFormat="0" applyFill="0" applyAlignment="0" applyProtection="0">
      <alignment vertical="center"/>
    </xf>
    <xf numFmtId="0" fontId="43" fillId="0" borderId="34" applyNumberFormat="0" applyFill="0" applyAlignment="0" applyProtection="0">
      <alignment vertical="center"/>
    </xf>
    <xf numFmtId="0" fontId="43" fillId="0" borderId="34" applyNumberFormat="0" applyFill="0" applyAlignment="0" applyProtection="0">
      <alignment vertical="center"/>
    </xf>
    <xf numFmtId="0" fontId="81" fillId="0" borderId="0" applyBorder="0">
      <alignment vertical="center"/>
    </xf>
    <xf numFmtId="0" fontId="81" fillId="0" borderId="0">
      <alignment vertical="center"/>
    </xf>
    <xf numFmtId="0" fontId="43" fillId="0" borderId="34" applyNumberFormat="0" applyFill="0" applyAlignment="0" applyProtection="0">
      <alignment vertical="center"/>
    </xf>
    <xf numFmtId="0" fontId="81" fillId="0" borderId="0" applyBorder="0">
      <alignment vertical="center"/>
    </xf>
    <xf numFmtId="0" fontId="43" fillId="0" borderId="34" applyNumberFormat="0" applyFill="0" applyAlignment="0" applyProtection="0">
      <alignment vertical="center"/>
    </xf>
    <xf numFmtId="0" fontId="43" fillId="0" borderId="34" applyNumberFormat="0" applyFill="0" applyAlignment="0" applyProtection="0">
      <alignment vertical="center"/>
    </xf>
    <xf numFmtId="0" fontId="43" fillId="0" borderId="34" applyNumberFormat="0" applyFill="0" applyAlignment="0" applyProtection="0">
      <alignment vertical="center"/>
    </xf>
    <xf numFmtId="0" fontId="43" fillId="0" borderId="34" applyNumberFormat="0" applyFill="0" applyAlignment="0" applyProtection="0">
      <alignment vertical="center"/>
    </xf>
    <xf numFmtId="0" fontId="81" fillId="0" borderId="0" applyBorder="0">
      <alignment vertical="center"/>
    </xf>
    <xf numFmtId="0" fontId="43" fillId="0" borderId="34" applyNumberFormat="0" applyFill="0" applyAlignment="0" applyProtection="0">
      <alignment vertical="center"/>
    </xf>
    <xf numFmtId="0" fontId="81" fillId="0" borderId="0" applyBorder="0">
      <alignment vertical="center"/>
    </xf>
    <xf numFmtId="0" fontId="43" fillId="0" borderId="34" applyNumberFormat="0" applyFill="0" applyAlignment="0" applyProtection="0">
      <alignment vertical="center"/>
    </xf>
    <xf numFmtId="0" fontId="43" fillId="0" borderId="34" applyNumberFormat="0" applyFill="0" applyAlignment="0" applyProtection="0">
      <alignment vertical="center"/>
    </xf>
    <xf numFmtId="0" fontId="43" fillId="0" borderId="34" applyNumberFormat="0" applyFill="0" applyAlignment="0" applyProtection="0">
      <alignment vertical="center"/>
    </xf>
    <xf numFmtId="0" fontId="43" fillId="0" borderId="34" applyNumberFormat="0" applyFill="0" applyAlignment="0" applyProtection="0">
      <alignment vertical="center"/>
    </xf>
    <xf numFmtId="0" fontId="43" fillId="0" borderId="34" applyNumberFormat="0" applyFill="0" applyAlignment="0" applyProtection="0">
      <alignment vertical="center"/>
    </xf>
    <xf numFmtId="0" fontId="43" fillId="0" borderId="34" applyNumberFormat="0" applyFill="0" applyAlignment="0" applyProtection="0">
      <alignment vertical="center"/>
    </xf>
    <xf numFmtId="0" fontId="81" fillId="0" borderId="0" applyBorder="0">
      <alignment vertical="center"/>
    </xf>
    <xf numFmtId="0" fontId="43" fillId="0" borderId="34" applyNumberFormat="0" applyFill="0" applyAlignment="0" applyProtection="0">
      <alignment vertical="center"/>
    </xf>
    <xf numFmtId="0" fontId="43" fillId="0" borderId="34" applyNumberFormat="0" applyFill="0" applyAlignment="0" applyProtection="0">
      <alignment vertical="center"/>
    </xf>
    <xf numFmtId="0" fontId="43" fillId="0" borderId="34" applyNumberFormat="0" applyFill="0" applyAlignment="0" applyProtection="0">
      <alignment vertical="center"/>
    </xf>
    <xf numFmtId="0" fontId="43" fillId="0" borderId="34" applyNumberFormat="0" applyFill="0" applyAlignment="0" applyProtection="0">
      <alignment vertical="center"/>
    </xf>
    <xf numFmtId="0" fontId="43" fillId="0" borderId="34" applyNumberFormat="0" applyFill="0" applyAlignment="0" applyProtection="0">
      <alignment vertical="center"/>
    </xf>
    <xf numFmtId="0" fontId="81" fillId="0" borderId="0" applyBorder="0">
      <alignment vertical="center"/>
    </xf>
    <xf numFmtId="0" fontId="43" fillId="0" borderId="34" applyNumberFormat="0" applyFill="0" applyAlignment="0" applyProtection="0">
      <alignment vertical="center"/>
    </xf>
    <xf numFmtId="0" fontId="43" fillId="0" borderId="34" applyNumberFormat="0" applyFill="0" applyAlignment="0" applyProtection="0">
      <alignment vertical="center"/>
    </xf>
    <xf numFmtId="0" fontId="81" fillId="0" borderId="0" applyBorder="0">
      <alignment vertical="center"/>
    </xf>
    <xf numFmtId="0" fontId="43" fillId="0" borderId="34" applyNumberFormat="0" applyFill="0" applyAlignment="0" applyProtection="0">
      <alignment vertical="center"/>
    </xf>
    <xf numFmtId="0" fontId="43" fillId="0" borderId="34" applyNumberFormat="0" applyFill="0" applyAlignment="0" applyProtection="0">
      <alignment vertical="center"/>
    </xf>
    <xf numFmtId="0" fontId="43" fillId="0" borderId="34" applyNumberFormat="0" applyFill="0" applyAlignment="0" applyProtection="0">
      <alignment vertical="center"/>
    </xf>
    <xf numFmtId="0" fontId="81" fillId="0" borderId="0" applyBorder="0">
      <alignment vertical="center"/>
    </xf>
    <xf numFmtId="0" fontId="43" fillId="0" borderId="34" applyNumberFormat="0" applyFill="0" applyAlignment="0" applyProtection="0">
      <alignment vertical="center"/>
    </xf>
    <xf numFmtId="0" fontId="43" fillId="0" borderId="34" applyNumberFormat="0" applyFill="0" applyAlignment="0" applyProtection="0">
      <alignment vertical="center"/>
    </xf>
    <xf numFmtId="0" fontId="43" fillId="0" borderId="34" applyNumberFormat="0" applyFill="0" applyAlignment="0" applyProtection="0">
      <alignment vertical="center"/>
    </xf>
    <xf numFmtId="0" fontId="43" fillId="0" borderId="34" applyNumberFormat="0" applyFill="0" applyAlignment="0" applyProtection="0">
      <alignment vertical="center"/>
    </xf>
    <xf numFmtId="0" fontId="43" fillId="0" borderId="34" applyNumberFormat="0" applyFill="0" applyAlignment="0" applyProtection="0">
      <alignment vertical="center"/>
    </xf>
    <xf numFmtId="0" fontId="43" fillId="0" borderId="34" applyNumberFormat="0" applyFill="0" applyAlignment="0" applyProtection="0">
      <alignment vertical="center"/>
    </xf>
    <xf numFmtId="0" fontId="81" fillId="0" borderId="0">
      <alignment vertical="center"/>
    </xf>
    <xf numFmtId="0" fontId="81" fillId="0" borderId="0" applyBorder="0">
      <alignment vertical="center"/>
    </xf>
    <xf numFmtId="0" fontId="43" fillId="0" borderId="34" applyNumberFormat="0" applyFill="0" applyAlignment="0" applyProtection="0">
      <alignment vertical="center"/>
    </xf>
    <xf numFmtId="0" fontId="43" fillId="0" borderId="34" applyNumberFormat="0" applyFill="0" applyAlignment="0" applyProtection="0">
      <alignment vertical="center"/>
    </xf>
    <xf numFmtId="0" fontId="81" fillId="0" borderId="0" applyBorder="0">
      <alignment vertical="center"/>
    </xf>
    <xf numFmtId="0" fontId="43" fillId="0" borderId="34" applyNumberFormat="0" applyFill="0" applyAlignment="0" applyProtection="0">
      <alignment vertical="center"/>
    </xf>
    <xf numFmtId="0" fontId="81" fillId="0" borderId="0" applyBorder="0">
      <alignment vertical="center"/>
    </xf>
    <xf numFmtId="0" fontId="43" fillId="0" borderId="34" applyNumberFormat="0" applyFill="0" applyAlignment="0" applyProtection="0">
      <alignment vertical="center"/>
    </xf>
    <xf numFmtId="0" fontId="43" fillId="0" borderId="34" applyNumberFormat="0" applyFill="0" applyAlignment="0" applyProtection="0">
      <alignment vertical="center"/>
    </xf>
    <xf numFmtId="0" fontId="81" fillId="0" borderId="0" applyBorder="0">
      <alignment vertical="center"/>
    </xf>
    <xf numFmtId="0" fontId="43" fillId="0" borderId="34" applyNumberFormat="0" applyFill="0" applyAlignment="0" applyProtection="0">
      <alignment vertical="center"/>
    </xf>
    <xf numFmtId="0" fontId="81" fillId="0" borderId="0" applyBorder="0">
      <alignment vertical="center"/>
    </xf>
    <xf numFmtId="0" fontId="43" fillId="0" borderId="34" applyNumberFormat="0" applyFill="0" applyAlignment="0" applyProtection="0">
      <alignment vertical="center"/>
    </xf>
    <xf numFmtId="0" fontId="43" fillId="0" borderId="34" applyNumberFormat="0" applyFill="0" applyAlignment="0" applyProtection="0">
      <alignment vertical="center"/>
    </xf>
    <xf numFmtId="0" fontId="81" fillId="0" borderId="0">
      <alignment vertical="center"/>
    </xf>
    <xf numFmtId="0" fontId="43" fillId="0" borderId="34" applyNumberFormat="0" applyFill="0" applyAlignment="0" applyProtection="0">
      <alignment vertical="center"/>
    </xf>
    <xf numFmtId="0" fontId="43" fillId="0" borderId="34" applyNumberFormat="0" applyFill="0" applyAlignment="0" applyProtection="0">
      <alignment vertical="center"/>
    </xf>
    <xf numFmtId="0" fontId="39" fillId="0" borderId="0">
      <alignment vertical="center"/>
    </xf>
    <xf numFmtId="0" fontId="48" fillId="0" borderId="39" applyNumberFormat="0" applyFill="0" applyAlignment="0" applyProtection="0">
      <alignment vertical="center"/>
    </xf>
    <xf numFmtId="0" fontId="81" fillId="0" borderId="0" applyBorder="0">
      <alignment vertical="center"/>
    </xf>
    <xf numFmtId="0" fontId="48" fillId="0" borderId="39" applyNumberFormat="0" applyFill="0" applyAlignment="0" applyProtection="0">
      <alignment vertical="center"/>
    </xf>
    <xf numFmtId="0" fontId="81" fillId="0" borderId="0" applyBorder="0">
      <alignment vertical="center"/>
    </xf>
    <xf numFmtId="0" fontId="48" fillId="0" borderId="39" applyNumberFormat="0" applyFill="0" applyAlignment="0" applyProtection="0">
      <alignment vertical="center"/>
    </xf>
    <xf numFmtId="0" fontId="81" fillId="0" borderId="0" applyBorder="0">
      <alignment vertical="center"/>
    </xf>
    <xf numFmtId="0" fontId="48" fillId="0" borderId="39" applyNumberFormat="0" applyFill="0" applyAlignment="0" applyProtection="0">
      <alignment vertical="center"/>
    </xf>
    <xf numFmtId="0" fontId="48" fillId="0" borderId="39" applyNumberFormat="0" applyFill="0" applyAlignment="0" applyProtection="0">
      <alignment vertical="center"/>
    </xf>
    <xf numFmtId="0" fontId="81" fillId="0" borderId="0">
      <alignment vertical="center"/>
    </xf>
    <xf numFmtId="0" fontId="48" fillId="0" borderId="39" applyNumberFormat="0" applyFill="0" applyAlignment="0" applyProtection="0">
      <alignment vertical="center"/>
    </xf>
    <xf numFmtId="0" fontId="81" fillId="0" borderId="0">
      <alignment vertical="center"/>
    </xf>
    <xf numFmtId="0" fontId="48" fillId="0" borderId="39" applyNumberFormat="0" applyFill="0" applyAlignment="0" applyProtection="0">
      <alignment vertical="center"/>
    </xf>
    <xf numFmtId="0" fontId="81" fillId="0" borderId="0" applyBorder="0">
      <alignment vertical="center"/>
    </xf>
    <xf numFmtId="0" fontId="48" fillId="0" borderId="39" applyNumberFormat="0" applyFill="0" applyAlignment="0" applyProtection="0">
      <alignment vertical="center"/>
    </xf>
    <xf numFmtId="0" fontId="81" fillId="0" borderId="0">
      <alignment vertical="center"/>
    </xf>
    <xf numFmtId="0" fontId="48" fillId="0" borderId="39" applyNumberFormat="0" applyFill="0" applyAlignment="0" applyProtection="0">
      <alignment vertical="center"/>
    </xf>
    <xf numFmtId="0" fontId="48" fillId="0" borderId="39" applyNumberFormat="0" applyFill="0" applyAlignment="0" applyProtection="0">
      <alignment vertical="center"/>
    </xf>
    <xf numFmtId="0" fontId="81" fillId="0" borderId="0" applyBorder="0">
      <alignment vertical="center"/>
    </xf>
    <xf numFmtId="0" fontId="48" fillId="0" borderId="39" applyNumberFormat="0" applyFill="0" applyAlignment="0" applyProtection="0">
      <alignment vertical="center"/>
    </xf>
    <xf numFmtId="0" fontId="48" fillId="0" borderId="39" applyNumberFormat="0" applyFill="0" applyAlignment="0" applyProtection="0">
      <alignment vertical="center"/>
    </xf>
    <xf numFmtId="0" fontId="81" fillId="0" borderId="0" applyBorder="0">
      <alignment vertical="center"/>
    </xf>
    <xf numFmtId="0" fontId="48" fillId="0" borderId="39" applyNumberFormat="0" applyFill="0" applyAlignment="0" applyProtection="0">
      <alignment vertical="center"/>
    </xf>
    <xf numFmtId="0" fontId="48" fillId="0" borderId="39" applyNumberFormat="0" applyFill="0" applyAlignment="0" applyProtection="0">
      <alignment vertical="center"/>
    </xf>
    <xf numFmtId="0" fontId="48" fillId="0" borderId="39" applyNumberFormat="0" applyFill="0" applyAlignment="0" applyProtection="0">
      <alignment vertical="center"/>
    </xf>
    <xf numFmtId="0" fontId="81" fillId="0" borderId="0" applyBorder="0">
      <alignment vertical="center"/>
    </xf>
    <xf numFmtId="0" fontId="48" fillId="0" borderId="39" applyNumberFormat="0" applyFill="0" applyAlignment="0" applyProtection="0">
      <alignment vertical="center"/>
    </xf>
    <xf numFmtId="0" fontId="45" fillId="14" borderId="0" applyNumberFormat="0" applyBorder="0" applyAlignment="0" applyProtection="0">
      <alignment vertical="center"/>
    </xf>
    <xf numFmtId="0" fontId="48" fillId="0" borderId="39" applyNumberFormat="0" applyFill="0" applyAlignment="0" applyProtection="0">
      <alignment vertical="center"/>
    </xf>
    <xf numFmtId="0" fontId="81" fillId="0" borderId="0" applyBorder="0">
      <alignment vertical="center"/>
    </xf>
    <xf numFmtId="0" fontId="48" fillId="0" borderId="39" applyNumberFormat="0" applyFill="0" applyAlignment="0" applyProtection="0">
      <alignment vertical="center"/>
    </xf>
    <xf numFmtId="0" fontId="48" fillId="0" borderId="39" applyNumberFormat="0" applyFill="0" applyAlignment="0" applyProtection="0">
      <alignment vertical="center"/>
    </xf>
    <xf numFmtId="0" fontId="48" fillId="0" borderId="39" applyNumberFormat="0" applyFill="0" applyAlignment="0" applyProtection="0">
      <alignment vertical="center"/>
    </xf>
    <xf numFmtId="0" fontId="48" fillId="0" borderId="39" applyNumberFormat="0" applyFill="0" applyAlignment="0" applyProtection="0">
      <alignment vertical="center"/>
    </xf>
    <xf numFmtId="0" fontId="48" fillId="0" borderId="39" applyNumberFormat="0" applyFill="0" applyAlignment="0" applyProtection="0">
      <alignment vertical="center"/>
    </xf>
    <xf numFmtId="0" fontId="48" fillId="0" borderId="39" applyNumberFormat="0" applyFill="0" applyAlignment="0" applyProtection="0">
      <alignment vertical="center"/>
    </xf>
    <xf numFmtId="0" fontId="81" fillId="0" borderId="0">
      <alignment vertical="center"/>
    </xf>
    <xf numFmtId="0" fontId="48" fillId="0" borderId="39" applyNumberFormat="0" applyFill="0" applyAlignment="0" applyProtection="0">
      <alignment vertical="center"/>
    </xf>
    <xf numFmtId="0" fontId="81" fillId="0" borderId="0">
      <alignment vertical="center"/>
    </xf>
    <xf numFmtId="0" fontId="48" fillId="0" borderId="39" applyNumberFormat="0" applyFill="0" applyAlignment="0" applyProtection="0">
      <alignment vertical="center"/>
    </xf>
    <xf numFmtId="0" fontId="48" fillId="0" borderId="39" applyNumberFormat="0" applyFill="0" applyAlignment="0" applyProtection="0">
      <alignment vertical="center"/>
    </xf>
    <xf numFmtId="0" fontId="81" fillId="0" borderId="0" applyBorder="0">
      <alignment vertical="center"/>
    </xf>
    <xf numFmtId="0" fontId="48" fillId="0" borderId="39" applyNumberFormat="0" applyFill="0" applyAlignment="0" applyProtection="0">
      <alignment vertical="center"/>
    </xf>
    <xf numFmtId="0" fontId="48" fillId="0" borderId="39" applyNumberFormat="0" applyFill="0" applyAlignment="0" applyProtection="0">
      <alignment vertical="center"/>
    </xf>
    <xf numFmtId="0" fontId="48" fillId="0" borderId="39" applyNumberFormat="0" applyFill="0" applyAlignment="0" applyProtection="0">
      <alignment vertical="center"/>
    </xf>
    <xf numFmtId="0" fontId="48" fillId="0" borderId="39" applyNumberFormat="0" applyFill="0" applyAlignment="0" applyProtection="0">
      <alignment vertical="center"/>
    </xf>
    <xf numFmtId="0" fontId="81" fillId="0" borderId="0"/>
    <xf numFmtId="0" fontId="48" fillId="0" borderId="39" applyNumberFormat="0" applyFill="0" applyAlignment="0" applyProtection="0">
      <alignment vertical="center"/>
    </xf>
    <xf numFmtId="0" fontId="81" fillId="0" borderId="0"/>
    <xf numFmtId="0" fontId="81" fillId="0" borderId="0" applyBorder="0">
      <alignment vertical="center"/>
    </xf>
    <xf numFmtId="0" fontId="48" fillId="0" borderId="39" applyNumberFormat="0" applyFill="0" applyAlignment="0" applyProtection="0">
      <alignment vertical="center"/>
    </xf>
    <xf numFmtId="0" fontId="81" fillId="0" borderId="0" applyBorder="0">
      <alignment vertical="center"/>
    </xf>
    <xf numFmtId="0" fontId="48" fillId="0" borderId="39" applyNumberFormat="0" applyFill="0" applyAlignment="0" applyProtection="0">
      <alignment vertical="center"/>
    </xf>
    <xf numFmtId="0" fontId="81" fillId="0" borderId="0" applyBorder="0">
      <alignment vertical="center"/>
    </xf>
    <xf numFmtId="0" fontId="48" fillId="0" borderId="39" applyNumberFormat="0" applyFill="0" applyAlignment="0" applyProtection="0">
      <alignment vertical="center"/>
    </xf>
    <xf numFmtId="0" fontId="48" fillId="0" borderId="39" applyNumberFormat="0" applyFill="0" applyAlignment="0" applyProtection="0">
      <alignment vertical="center"/>
    </xf>
    <xf numFmtId="0" fontId="81" fillId="0" borderId="0" applyBorder="0">
      <alignment vertical="center"/>
    </xf>
    <xf numFmtId="0" fontId="48" fillId="0" borderId="39" applyNumberFormat="0" applyFill="0" applyAlignment="0" applyProtection="0">
      <alignment vertical="center"/>
    </xf>
    <xf numFmtId="0" fontId="48" fillId="0" borderId="39" applyNumberFormat="0" applyFill="0" applyAlignment="0" applyProtection="0">
      <alignment vertical="center"/>
    </xf>
    <xf numFmtId="0" fontId="81" fillId="0" borderId="0"/>
    <xf numFmtId="0" fontId="48" fillId="0" borderId="39" applyNumberFormat="0" applyFill="0" applyAlignment="0" applyProtection="0">
      <alignment vertical="center"/>
    </xf>
    <xf numFmtId="0" fontId="81" fillId="0" borderId="0"/>
    <xf numFmtId="0" fontId="81" fillId="0" borderId="0" applyBorder="0">
      <alignment vertical="center"/>
    </xf>
    <xf numFmtId="0" fontId="48" fillId="0" borderId="39" applyNumberFormat="0" applyFill="0" applyAlignment="0" applyProtection="0">
      <alignment vertical="center"/>
    </xf>
    <xf numFmtId="0" fontId="81" fillId="0" borderId="0" applyBorder="0">
      <alignment vertical="center"/>
    </xf>
    <xf numFmtId="0" fontId="48" fillId="0" borderId="39" applyNumberFormat="0" applyFill="0" applyAlignment="0" applyProtection="0">
      <alignment vertical="center"/>
    </xf>
    <xf numFmtId="0" fontId="48" fillId="0" borderId="39" applyNumberFormat="0" applyFill="0" applyAlignment="0" applyProtection="0">
      <alignment vertical="center"/>
    </xf>
    <xf numFmtId="0" fontId="81" fillId="0" borderId="0"/>
    <xf numFmtId="0" fontId="81" fillId="0" borderId="0" applyBorder="0">
      <alignment vertical="center"/>
    </xf>
    <xf numFmtId="0" fontId="48" fillId="0" borderId="39" applyNumberFormat="0" applyFill="0" applyAlignment="0" applyProtection="0">
      <alignment vertical="center"/>
    </xf>
    <xf numFmtId="0" fontId="81" fillId="0" borderId="0"/>
    <xf numFmtId="0" fontId="81" fillId="0" borderId="0">
      <alignment vertical="center"/>
    </xf>
    <xf numFmtId="0" fontId="48" fillId="0" borderId="39" applyNumberFormat="0" applyFill="0" applyAlignment="0" applyProtection="0">
      <alignment vertical="center"/>
    </xf>
    <xf numFmtId="0" fontId="48" fillId="0" borderId="39" applyNumberFormat="0" applyFill="0" applyAlignment="0" applyProtection="0">
      <alignment vertical="center"/>
    </xf>
    <xf numFmtId="0" fontId="48" fillId="0" borderId="39" applyNumberFormat="0" applyFill="0" applyAlignment="0" applyProtection="0">
      <alignment vertical="center"/>
    </xf>
    <xf numFmtId="0" fontId="81" fillId="0" borderId="0" applyBorder="0">
      <alignment vertical="center"/>
    </xf>
    <xf numFmtId="0" fontId="48" fillId="0" borderId="39" applyNumberFormat="0" applyFill="0" applyAlignment="0" applyProtection="0">
      <alignment vertical="center"/>
    </xf>
    <xf numFmtId="0" fontId="81" fillId="0" borderId="0"/>
    <xf numFmtId="0" fontId="81" fillId="0" borderId="0" applyBorder="0">
      <alignment vertical="center"/>
    </xf>
    <xf numFmtId="0" fontId="48" fillId="0" borderId="39" applyNumberFormat="0" applyFill="0" applyAlignment="0" applyProtection="0">
      <alignment vertical="center"/>
    </xf>
    <xf numFmtId="0" fontId="81" fillId="0" borderId="0" applyBorder="0">
      <alignment vertical="center"/>
    </xf>
    <xf numFmtId="0" fontId="48" fillId="0" borderId="39" applyNumberFormat="0" applyFill="0" applyAlignment="0" applyProtection="0">
      <alignment vertical="center"/>
    </xf>
    <xf numFmtId="0" fontId="81" fillId="0" borderId="0" applyBorder="0">
      <alignment vertical="center"/>
    </xf>
    <xf numFmtId="0" fontId="48" fillId="0" borderId="39" applyNumberFormat="0" applyFill="0" applyAlignment="0" applyProtection="0">
      <alignment vertical="center"/>
    </xf>
    <xf numFmtId="0" fontId="81" fillId="0" borderId="0" applyBorder="0">
      <alignment vertical="center"/>
    </xf>
    <xf numFmtId="0" fontId="81" fillId="0" borderId="0" applyBorder="0">
      <alignment vertical="center"/>
    </xf>
    <xf numFmtId="0" fontId="48" fillId="0" borderId="39" applyNumberFormat="0" applyFill="0" applyAlignment="0" applyProtection="0">
      <alignment vertical="center"/>
    </xf>
    <xf numFmtId="0" fontId="48" fillId="0" borderId="39" applyNumberFormat="0" applyFill="0" applyAlignment="0" applyProtection="0">
      <alignment vertical="center"/>
    </xf>
    <xf numFmtId="0" fontId="48" fillId="0" borderId="39" applyNumberFormat="0" applyFill="0" applyAlignment="0" applyProtection="0">
      <alignment vertical="center"/>
    </xf>
    <xf numFmtId="0" fontId="48" fillId="0" borderId="39" applyNumberFormat="0" applyFill="0" applyAlignment="0" applyProtection="0">
      <alignment vertical="center"/>
    </xf>
    <xf numFmtId="0" fontId="48" fillId="0" borderId="39" applyNumberFormat="0" applyFill="0" applyAlignment="0" applyProtection="0">
      <alignment vertical="center"/>
    </xf>
    <xf numFmtId="0" fontId="48" fillId="0" borderId="39" applyNumberFormat="0" applyFill="0" applyAlignment="0" applyProtection="0">
      <alignment vertical="center"/>
    </xf>
    <xf numFmtId="0" fontId="48" fillId="0" borderId="39" applyNumberFormat="0" applyFill="0" applyAlignment="0" applyProtection="0">
      <alignment vertical="center"/>
    </xf>
    <xf numFmtId="0" fontId="48" fillId="0" borderId="39" applyNumberFormat="0" applyFill="0" applyAlignment="0" applyProtection="0">
      <alignment vertical="center"/>
    </xf>
    <xf numFmtId="0" fontId="48" fillId="0" borderId="39" applyNumberFormat="0" applyFill="0" applyAlignment="0" applyProtection="0">
      <alignment vertical="center"/>
    </xf>
    <xf numFmtId="0" fontId="81" fillId="0" borderId="0">
      <alignment vertical="center"/>
    </xf>
    <xf numFmtId="0" fontId="81" fillId="0" borderId="0">
      <alignment vertical="center"/>
    </xf>
    <xf numFmtId="0" fontId="48" fillId="0" borderId="39" applyNumberFormat="0" applyFill="0" applyAlignment="0" applyProtection="0">
      <alignment vertical="center"/>
    </xf>
    <xf numFmtId="0" fontId="81" fillId="0" borderId="0">
      <alignment vertical="center"/>
    </xf>
    <xf numFmtId="0" fontId="81" fillId="0" borderId="0">
      <alignment vertical="center"/>
    </xf>
    <xf numFmtId="0" fontId="48" fillId="0" borderId="39" applyNumberFormat="0" applyFill="0" applyAlignment="0" applyProtection="0">
      <alignment vertical="center"/>
    </xf>
    <xf numFmtId="0" fontId="81" fillId="0" borderId="0">
      <alignment vertical="center"/>
    </xf>
    <xf numFmtId="0" fontId="81" fillId="0" borderId="0" applyBorder="0">
      <alignment vertical="center"/>
    </xf>
    <xf numFmtId="0" fontId="48" fillId="0" borderId="39" applyNumberFormat="0" applyFill="0" applyAlignment="0" applyProtection="0">
      <alignment vertical="center"/>
    </xf>
    <xf numFmtId="0" fontId="81" fillId="0" borderId="0" applyBorder="0">
      <alignment vertical="center"/>
    </xf>
    <xf numFmtId="0" fontId="48" fillId="0" borderId="39" applyNumberFormat="0" applyFill="0" applyAlignment="0" applyProtection="0">
      <alignment vertical="center"/>
    </xf>
    <xf numFmtId="0" fontId="81" fillId="0" borderId="0" applyBorder="0">
      <alignment vertical="center"/>
    </xf>
    <xf numFmtId="0" fontId="81" fillId="0" borderId="0">
      <alignment vertical="center"/>
    </xf>
    <xf numFmtId="0" fontId="48" fillId="0" borderId="39" applyNumberFormat="0" applyFill="0" applyAlignment="0" applyProtection="0">
      <alignment vertical="center"/>
    </xf>
    <xf numFmtId="0" fontId="81" fillId="0" borderId="0">
      <alignment vertical="center"/>
    </xf>
    <xf numFmtId="0" fontId="48" fillId="0" borderId="39" applyNumberFormat="0" applyFill="0" applyAlignment="0" applyProtection="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48" fillId="0" borderId="39" applyNumberFormat="0" applyFill="0" applyAlignment="0" applyProtection="0">
      <alignment vertical="center"/>
    </xf>
    <xf numFmtId="0" fontId="81" fillId="0" borderId="0" applyBorder="0">
      <alignment vertical="center"/>
    </xf>
    <xf numFmtId="0" fontId="48" fillId="0" borderId="39" applyNumberFormat="0" applyFill="0" applyAlignment="0" applyProtection="0">
      <alignment vertical="center"/>
    </xf>
    <xf numFmtId="0" fontId="81" fillId="0" borderId="0" applyBorder="0">
      <alignment vertical="center"/>
    </xf>
    <xf numFmtId="0" fontId="48" fillId="0" borderId="39" applyNumberFormat="0" applyFill="0" applyAlignment="0" applyProtection="0">
      <alignment vertical="center"/>
    </xf>
    <xf numFmtId="0" fontId="48" fillId="0" borderId="39" applyNumberFormat="0" applyFill="0" applyAlignment="0" applyProtection="0">
      <alignment vertical="center"/>
    </xf>
    <xf numFmtId="0" fontId="48" fillId="0" borderId="39" applyNumberFormat="0" applyFill="0" applyAlignment="0" applyProtection="0">
      <alignment vertical="center"/>
    </xf>
    <xf numFmtId="0" fontId="81" fillId="0" borderId="0" applyBorder="0">
      <alignment vertical="center"/>
    </xf>
    <xf numFmtId="0" fontId="81" fillId="0" borderId="0" applyBorder="0">
      <alignment vertical="center"/>
    </xf>
    <xf numFmtId="0" fontId="48" fillId="0" borderId="39" applyNumberFormat="0" applyFill="0" applyAlignment="0" applyProtection="0">
      <alignment vertical="center"/>
    </xf>
    <xf numFmtId="0" fontId="81" fillId="0" borderId="0"/>
    <xf numFmtId="0" fontId="48" fillId="0" borderId="39" applyNumberFormat="0" applyFill="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48" fillId="0" borderId="39" applyNumberFormat="0" applyFill="0" applyAlignment="0" applyProtection="0">
      <alignment vertical="center"/>
    </xf>
    <xf numFmtId="0" fontId="81" fillId="0" borderId="0" applyBorder="0">
      <alignment vertical="center"/>
    </xf>
    <xf numFmtId="0" fontId="81" fillId="0" borderId="0">
      <alignment vertical="center"/>
    </xf>
    <xf numFmtId="0" fontId="48" fillId="0" borderId="39" applyNumberFormat="0" applyFill="0" applyAlignment="0" applyProtection="0">
      <alignment vertical="center"/>
    </xf>
    <xf numFmtId="0" fontId="81" fillId="0" borderId="0" applyBorder="0">
      <alignment vertical="center"/>
    </xf>
    <xf numFmtId="0" fontId="81" fillId="0" borderId="0" applyBorder="0">
      <alignment vertical="center"/>
    </xf>
    <xf numFmtId="0" fontId="48" fillId="0" borderId="39" applyNumberFormat="0" applyFill="0" applyAlignment="0" applyProtection="0">
      <alignment vertical="center"/>
    </xf>
    <xf numFmtId="0" fontId="48" fillId="0" borderId="39" applyNumberFormat="0" applyFill="0" applyAlignment="0" applyProtection="0">
      <alignment vertical="center"/>
    </xf>
    <xf numFmtId="0" fontId="48" fillId="0" borderId="39" applyNumberFormat="0" applyFill="0" applyAlignment="0" applyProtection="0">
      <alignment vertical="center"/>
    </xf>
    <xf numFmtId="0" fontId="48" fillId="0" borderId="39" applyNumberFormat="0" applyFill="0" applyAlignment="0" applyProtection="0">
      <alignment vertical="center"/>
    </xf>
    <xf numFmtId="0" fontId="48" fillId="0" borderId="39" applyNumberFormat="0" applyFill="0" applyAlignment="0" applyProtection="0">
      <alignment vertical="center"/>
    </xf>
    <xf numFmtId="0" fontId="48" fillId="0" borderId="39" applyNumberFormat="0" applyFill="0" applyAlignment="0" applyProtection="0">
      <alignment vertical="center"/>
    </xf>
    <xf numFmtId="0" fontId="48" fillId="0" borderId="39" applyNumberFormat="0" applyFill="0" applyAlignment="0" applyProtection="0">
      <alignment vertical="center"/>
    </xf>
    <xf numFmtId="0" fontId="81" fillId="0" borderId="0" applyBorder="0">
      <alignment vertical="center"/>
    </xf>
    <xf numFmtId="0" fontId="48" fillId="0" borderId="39" applyNumberFormat="0" applyFill="0" applyAlignment="0" applyProtection="0">
      <alignment vertical="center"/>
    </xf>
    <xf numFmtId="0" fontId="81" fillId="0" borderId="0" applyBorder="0">
      <alignment vertical="center"/>
    </xf>
    <xf numFmtId="0" fontId="48" fillId="0" borderId="39" applyNumberFormat="0" applyFill="0" applyAlignment="0" applyProtection="0">
      <alignment vertical="center"/>
    </xf>
    <xf numFmtId="0" fontId="81" fillId="0" borderId="0">
      <alignment vertical="center"/>
    </xf>
    <xf numFmtId="0" fontId="81" fillId="0" borderId="0" applyBorder="0">
      <alignment vertical="center"/>
    </xf>
    <xf numFmtId="0" fontId="48" fillId="0" borderId="39" applyNumberFormat="0" applyFill="0" applyAlignment="0" applyProtection="0">
      <alignment vertical="center"/>
    </xf>
    <xf numFmtId="0" fontId="81" fillId="0" borderId="0" applyBorder="0">
      <alignment vertical="center"/>
    </xf>
    <xf numFmtId="0" fontId="48" fillId="0" borderId="39" applyNumberFormat="0" applyFill="0" applyAlignment="0" applyProtection="0">
      <alignment vertical="center"/>
    </xf>
    <xf numFmtId="0" fontId="48" fillId="0" borderId="39" applyNumberFormat="0" applyFill="0" applyAlignment="0" applyProtection="0">
      <alignment vertical="center"/>
    </xf>
    <xf numFmtId="0" fontId="81" fillId="0" borderId="0" applyBorder="0">
      <alignment vertical="center"/>
    </xf>
    <xf numFmtId="0" fontId="48" fillId="0" borderId="39" applyNumberFormat="0" applyFill="0" applyAlignment="0" applyProtection="0">
      <alignment vertical="center"/>
    </xf>
    <xf numFmtId="0" fontId="48" fillId="0" borderId="39" applyNumberFormat="0" applyFill="0" applyAlignment="0" applyProtection="0">
      <alignment vertical="center"/>
    </xf>
    <xf numFmtId="0" fontId="81" fillId="0" borderId="0" applyBorder="0">
      <alignment vertical="center"/>
    </xf>
    <xf numFmtId="0" fontId="48" fillId="0" borderId="39" applyNumberFormat="0" applyFill="0" applyAlignment="0" applyProtection="0">
      <alignment vertical="center"/>
    </xf>
    <xf numFmtId="0" fontId="48" fillId="0" borderId="39" applyNumberFormat="0" applyFill="0" applyAlignment="0" applyProtection="0">
      <alignment vertical="center"/>
    </xf>
    <xf numFmtId="0" fontId="81" fillId="0" borderId="0" applyBorder="0">
      <alignment vertical="center"/>
    </xf>
    <xf numFmtId="0" fontId="81" fillId="0" borderId="0">
      <alignment vertical="center"/>
    </xf>
    <xf numFmtId="0" fontId="48" fillId="0" borderId="39" applyNumberFormat="0" applyFill="0" applyAlignment="0" applyProtection="0">
      <alignment vertical="center"/>
    </xf>
    <xf numFmtId="0" fontId="48" fillId="0" borderId="39" applyNumberFormat="0" applyFill="0" applyAlignment="0" applyProtection="0">
      <alignment vertical="center"/>
    </xf>
    <xf numFmtId="0" fontId="48" fillId="0" borderId="0" applyNumberFormat="0" applyFill="0" applyBorder="0" applyAlignment="0" applyProtection="0">
      <alignment vertical="center"/>
    </xf>
    <xf numFmtId="0" fontId="81" fillId="0" borderId="0">
      <alignment vertical="center"/>
    </xf>
    <xf numFmtId="0" fontId="48" fillId="0" borderId="0" applyNumberFormat="0" applyFill="0" applyBorder="0" applyAlignment="0" applyProtection="0">
      <alignment vertical="center"/>
    </xf>
    <xf numFmtId="0" fontId="81" fillId="0" borderId="0">
      <alignment vertical="center"/>
    </xf>
    <xf numFmtId="0" fontId="48" fillId="0" borderId="0" applyNumberFormat="0" applyFill="0" applyBorder="0" applyAlignment="0" applyProtection="0">
      <alignment vertical="center"/>
    </xf>
    <xf numFmtId="0" fontId="81" fillId="0" borderId="0">
      <alignment vertical="center"/>
    </xf>
    <xf numFmtId="0" fontId="48" fillId="0" borderId="0" applyNumberFormat="0" applyFill="0" applyBorder="0" applyAlignment="0" applyProtection="0">
      <alignment vertical="center"/>
    </xf>
    <xf numFmtId="0" fontId="81" fillId="0" borderId="0">
      <alignment vertical="center"/>
    </xf>
    <xf numFmtId="0" fontId="81" fillId="0" borderId="0" applyBorder="0">
      <alignment vertical="center"/>
    </xf>
    <xf numFmtId="0" fontId="48" fillId="0" borderId="0" applyNumberFormat="0" applyFill="0" applyBorder="0" applyAlignment="0" applyProtection="0">
      <alignment vertical="center"/>
    </xf>
    <xf numFmtId="0" fontId="81" fillId="0" borderId="0">
      <alignment vertical="center"/>
    </xf>
    <xf numFmtId="0" fontId="48" fillId="0" borderId="0" applyNumberFormat="0" applyFill="0" applyBorder="0" applyAlignment="0" applyProtection="0">
      <alignment vertical="center"/>
    </xf>
    <xf numFmtId="0" fontId="81" fillId="0" borderId="0">
      <alignment vertical="center"/>
    </xf>
    <xf numFmtId="0" fontId="48" fillId="0" borderId="0" applyNumberFormat="0" applyFill="0" applyBorder="0" applyAlignment="0" applyProtection="0">
      <alignment vertical="center"/>
    </xf>
    <xf numFmtId="0" fontId="81" fillId="0" borderId="0">
      <alignment vertical="center"/>
    </xf>
    <xf numFmtId="0" fontId="48" fillId="0" borderId="0" applyNumberFormat="0" applyFill="0" applyBorder="0" applyAlignment="0" applyProtection="0">
      <alignment vertical="center"/>
    </xf>
    <xf numFmtId="0" fontId="81" fillId="0" borderId="0" applyBorder="0">
      <alignment vertical="center"/>
    </xf>
    <xf numFmtId="0" fontId="48" fillId="0" borderId="0" applyNumberFormat="0" applyFill="0" applyBorder="0" applyAlignment="0" applyProtection="0">
      <alignment vertical="center"/>
    </xf>
    <xf numFmtId="0" fontId="81" fillId="0" borderId="0" applyBorder="0">
      <alignment vertical="center"/>
    </xf>
    <xf numFmtId="0" fontId="48" fillId="0" borderId="0" applyNumberFormat="0" applyFill="0" applyBorder="0" applyAlignment="0" applyProtection="0">
      <alignment vertical="center"/>
    </xf>
    <xf numFmtId="0" fontId="81" fillId="0" borderId="0">
      <alignment vertical="center"/>
    </xf>
    <xf numFmtId="0" fontId="48" fillId="0" borderId="0" applyNumberFormat="0" applyFill="0" applyBorder="0" applyAlignment="0" applyProtection="0">
      <alignment vertical="center"/>
    </xf>
    <xf numFmtId="0" fontId="81" fillId="0" borderId="0">
      <alignment vertical="center"/>
    </xf>
    <xf numFmtId="0" fontId="81" fillId="0" borderId="0" applyBorder="0">
      <alignment vertical="center"/>
    </xf>
    <xf numFmtId="0" fontId="48" fillId="0" borderId="0" applyNumberFormat="0" applyFill="0" applyBorder="0" applyAlignment="0" applyProtection="0">
      <alignment vertical="center"/>
    </xf>
    <xf numFmtId="0" fontId="81" fillId="0" borderId="0">
      <alignment vertical="center"/>
    </xf>
    <xf numFmtId="0" fontId="48" fillId="0" borderId="0" applyNumberFormat="0" applyFill="0" applyBorder="0" applyAlignment="0" applyProtection="0">
      <alignment vertical="center"/>
    </xf>
    <xf numFmtId="0" fontId="81" fillId="0" borderId="0">
      <alignment vertical="center"/>
    </xf>
    <xf numFmtId="0" fontId="48" fillId="0" borderId="0" applyNumberFormat="0" applyFill="0" applyBorder="0" applyAlignment="0" applyProtection="0">
      <alignment vertical="center"/>
    </xf>
    <xf numFmtId="0" fontId="81" fillId="0" borderId="0">
      <alignment vertical="center"/>
    </xf>
    <xf numFmtId="0" fontId="48" fillId="0" borderId="0" applyNumberFormat="0" applyFill="0" applyBorder="0" applyAlignment="0" applyProtection="0">
      <alignment vertical="center"/>
    </xf>
    <xf numFmtId="0" fontId="81" fillId="0" borderId="0" applyBorder="0">
      <alignment vertical="center"/>
    </xf>
    <xf numFmtId="0" fontId="48" fillId="0" borderId="0" applyNumberFormat="0" applyFill="0" applyBorder="0" applyAlignment="0" applyProtection="0">
      <alignment vertical="center"/>
    </xf>
    <xf numFmtId="0" fontId="81" fillId="0" borderId="0" applyBorder="0">
      <alignment vertical="center"/>
    </xf>
    <xf numFmtId="0" fontId="81" fillId="0" borderId="0">
      <alignment vertical="center"/>
    </xf>
    <xf numFmtId="0" fontId="48" fillId="0" borderId="0" applyNumberFormat="0" applyFill="0" applyBorder="0" applyAlignment="0" applyProtection="0">
      <alignment vertical="center"/>
    </xf>
    <xf numFmtId="0" fontId="81" fillId="0" borderId="0" applyBorder="0">
      <alignment vertical="center"/>
    </xf>
    <xf numFmtId="0" fontId="48" fillId="0" borderId="0" applyNumberFormat="0" applyFill="0" applyBorder="0" applyAlignment="0" applyProtection="0">
      <alignment vertical="center"/>
    </xf>
    <xf numFmtId="0" fontId="81" fillId="0" borderId="0">
      <alignment vertical="center"/>
    </xf>
    <xf numFmtId="0" fontId="81" fillId="0" borderId="0">
      <alignment vertical="center"/>
    </xf>
    <xf numFmtId="0" fontId="48" fillId="0" borderId="0" applyNumberFormat="0" applyFill="0" applyBorder="0" applyAlignment="0" applyProtection="0">
      <alignment vertical="center"/>
    </xf>
    <xf numFmtId="0" fontId="81" fillId="0" borderId="0">
      <alignment vertical="center"/>
    </xf>
    <xf numFmtId="0" fontId="81" fillId="0" borderId="0">
      <alignment vertical="center"/>
    </xf>
    <xf numFmtId="0" fontId="48" fillId="0" borderId="0" applyNumberFormat="0" applyFill="0" applyBorder="0" applyAlignment="0" applyProtection="0">
      <alignment vertical="center"/>
    </xf>
    <xf numFmtId="0" fontId="81" fillId="0" borderId="0">
      <alignment vertical="center"/>
    </xf>
    <xf numFmtId="0" fontId="81" fillId="0" borderId="0" applyBorder="0">
      <alignment vertical="center"/>
    </xf>
    <xf numFmtId="0" fontId="48" fillId="0" borderId="0" applyNumberFormat="0" applyFill="0" applyBorder="0" applyAlignment="0" applyProtection="0">
      <alignment vertical="center"/>
    </xf>
    <xf numFmtId="0" fontId="81" fillId="0" borderId="0" applyBorder="0">
      <alignment vertical="center"/>
    </xf>
    <xf numFmtId="0" fontId="48" fillId="0" borderId="0" applyNumberFormat="0" applyFill="0" applyBorder="0" applyAlignment="0" applyProtection="0">
      <alignment vertical="center"/>
    </xf>
    <xf numFmtId="0" fontId="81" fillId="0" borderId="0" applyBorder="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81" fillId="0" borderId="0">
      <alignment vertical="center"/>
    </xf>
    <xf numFmtId="0" fontId="81" fillId="0" borderId="0" applyBorder="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81" fillId="0" borderId="0">
      <alignment vertical="center"/>
    </xf>
    <xf numFmtId="0" fontId="81" fillId="0" borderId="0" applyBorder="0">
      <alignment vertical="center"/>
    </xf>
    <xf numFmtId="0" fontId="48" fillId="0" borderId="0" applyNumberFormat="0" applyFill="0" applyBorder="0" applyAlignment="0" applyProtection="0">
      <alignment vertical="center"/>
    </xf>
    <xf numFmtId="0" fontId="81" fillId="0" borderId="0" applyBorder="0">
      <alignment vertical="center"/>
    </xf>
    <xf numFmtId="0" fontId="48" fillId="0" borderId="0" applyNumberFormat="0" applyFill="0" applyBorder="0" applyAlignment="0" applyProtection="0">
      <alignment vertical="center"/>
    </xf>
    <xf numFmtId="0" fontId="81" fillId="0" borderId="0" applyBorder="0">
      <alignment vertical="center"/>
    </xf>
    <xf numFmtId="0" fontId="81" fillId="0" borderId="0" applyBorder="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81" fillId="0" borderId="0">
      <alignment vertical="center"/>
    </xf>
    <xf numFmtId="0" fontId="48" fillId="0" borderId="0" applyNumberFormat="0" applyFill="0" applyBorder="0" applyAlignment="0" applyProtection="0">
      <alignment vertical="center"/>
    </xf>
    <xf numFmtId="0" fontId="81" fillId="0" borderId="0" applyBorder="0">
      <alignment vertical="center"/>
    </xf>
    <xf numFmtId="0" fontId="48" fillId="0" borderId="0" applyNumberFormat="0" applyFill="0" applyBorder="0" applyAlignment="0" applyProtection="0">
      <alignment vertical="center"/>
    </xf>
    <xf numFmtId="0" fontId="81" fillId="0" borderId="0">
      <alignment vertical="center"/>
    </xf>
    <xf numFmtId="0" fontId="81" fillId="0" borderId="0">
      <alignment vertical="center"/>
    </xf>
    <xf numFmtId="0" fontId="48" fillId="0" borderId="0" applyNumberFormat="0" applyFill="0" applyBorder="0" applyAlignment="0" applyProtection="0">
      <alignment vertical="center"/>
    </xf>
    <xf numFmtId="0" fontId="81" fillId="0" borderId="0">
      <alignment vertical="center"/>
    </xf>
    <xf numFmtId="0" fontId="81" fillId="0" borderId="0">
      <alignment vertical="center"/>
    </xf>
    <xf numFmtId="0" fontId="48" fillId="0" borderId="0" applyNumberFormat="0" applyFill="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48" fillId="0" borderId="0" applyNumberFormat="0" applyFill="0" applyBorder="0" applyAlignment="0" applyProtection="0">
      <alignment vertical="center"/>
    </xf>
    <xf numFmtId="0" fontId="81" fillId="0" borderId="0" applyBorder="0">
      <alignment vertical="center"/>
    </xf>
    <xf numFmtId="0" fontId="81" fillId="0" borderId="0" applyBorder="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81" fillId="0" borderId="0" applyBorder="0">
      <alignment vertical="center"/>
    </xf>
    <xf numFmtId="0" fontId="81" fillId="0" borderId="0" applyBorder="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81" fillId="0" borderId="0">
      <alignment vertical="center"/>
    </xf>
    <xf numFmtId="0" fontId="81" fillId="0" borderId="0" applyBorder="0">
      <alignment vertical="center"/>
    </xf>
    <xf numFmtId="0" fontId="48" fillId="0" borderId="0" applyNumberFormat="0" applyFill="0" applyBorder="0" applyAlignment="0" applyProtection="0">
      <alignment vertical="center"/>
    </xf>
    <xf numFmtId="0" fontId="81" fillId="0" borderId="0">
      <alignment vertical="center"/>
    </xf>
    <xf numFmtId="0" fontId="81" fillId="0" borderId="0" applyBorder="0">
      <alignment vertical="center"/>
    </xf>
    <xf numFmtId="0" fontId="81" fillId="0" borderId="0">
      <alignment vertical="center"/>
    </xf>
    <xf numFmtId="0" fontId="48" fillId="0" borderId="0" applyNumberFormat="0" applyFill="0" applyBorder="0" applyAlignment="0" applyProtection="0">
      <alignment vertical="center"/>
    </xf>
    <xf numFmtId="0" fontId="81" fillId="0" borderId="0" applyBorder="0">
      <alignment vertical="center"/>
    </xf>
    <xf numFmtId="0" fontId="81" fillId="0" borderId="0">
      <alignment vertical="center"/>
    </xf>
    <xf numFmtId="0" fontId="48" fillId="0" borderId="0" applyNumberFormat="0" applyFill="0" applyBorder="0" applyAlignment="0" applyProtection="0">
      <alignment vertical="center"/>
    </xf>
    <xf numFmtId="0" fontId="81" fillId="0" borderId="0" applyBorder="0">
      <alignment vertical="center"/>
    </xf>
    <xf numFmtId="0" fontId="81" fillId="0" borderId="0">
      <alignment vertical="center"/>
    </xf>
    <xf numFmtId="0" fontId="81" fillId="0" borderId="0">
      <alignment vertical="center"/>
    </xf>
    <xf numFmtId="0" fontId="48" fillId="0" borderId="0" applyNumberFormat="0" applyFill="0" applyBorder="0" applyAlignment="0" applyProtection="0">
      <alignment vertical="center"/>
    </xf>
    <xf numFmtId="0" fontId="81" fillId="0" borderId="0">
      <alignment vertical="center"/>
    </xf>
    <xf numFmtId="0" fontId="81" fillId="0" borderId="0">
      <alignment vertical="center"/>
    </xf>
    <xf numFmtId="0" fontId="81" fillId="0" borderId="0" applyBorder="0">
      <alignment vertical="center"/>
    </xf>
    <xf numFmtId="0" fontId="48" fillId="0" borderId="0" applyNumberFormat="0" applyFill="0" applyBorder="0" applyAlignment="0" applyProtection="0">
      <alignment vertical="center"/>
    </xf>
    <xf numFmtId="0" fontId="81" fillId="0" borderId="0">
      <alignment vertical="center"/>
    </xf>
    <xf numFmtId="0" fontId="81" fillId="0" borderId="0" applyBorder="0">
      <alignment vertical="center"/>
    </xf>
    <xf numFmtId="0" fontId="48" fillId="0" borderId="0" applyNumberFormat="0" applyFill="0" applyBorder="0" applyAlignment="0" applyProtection="0">
      <alignment vertical="center"/>
    </xf>
    <xf numFmtId="0" fontId="81" fillId="0" borderId="0" applyBorder="0">
      <alignment vertical="center"/>
    </xf>
    <xf numFmtId="0" fontId="48" fillId="0" borderId="0" applyNumberFormat="0" applyFill="0" applyBorder="0" applyAlignment="0" applyProtection="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48" fillId="0" borderId="0" applyNumberFormat="0" applyFill="0" applyBorder="0" applyAlignment="0" applyProtection="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48" fillId="0" borderId="0" applyNumberFormat="0" applyFill="0" applyBorder="0" applyAlignment="0" applyProtection="0">
      <alignment vertical="center"/>
    </xf>
    <xf numFmtId="0" fontId="81" fillId="0" borderId="0">
      <alignment vertical="center"/>
    </xf>
    <xf numFmtId="0" fontId="81" fillId="0" borderId="0" applyBorder="0">
      <alignment vertical="center"/>
    </xf>
    <xf numFmtId="0" fontId="81" fillId="0" borderId="0">
      <alignment vertical="center"/>
    </xf>
    <xf numFmtId="0" fontId="48" fillId="0" borderId="0" applyNumberFormat="0" applyFill="0" applyBorder="0" applyAlignment="0" applyProtection="0">
      <alignment vertical="center"/>
    </xf>
    <xf numFmtId="0" fontId="81" fillId="0" borderId="0">
      <alignment vertical="center"/>
    </xf>
    <xf numFmtId="0" fontId="81" fillId="0" borderId="0">
      <alignment vertical="center"/>
    </xf>
    <xf numFmtId="0" fontId="48" fillId="0" borderId="0" applyNumberFormat="0" applyFill="0" applyBorder="0" applyAlignment="0" applyProtection="0">
      <alignment vertical="center"/>
    </xf>
    <xf numFmtId="0" fontId="81" fillId="0" borderId="0">
      <alignment vertical="center"/>
    </xf>
    <xf numFmtId="0" fontId="81" fillId="0" borderId="0">
      <alignment vertical="center"/>
    </xf>
    <xf numFmtId="0" fontId="81" fillId="0" borderId="0" applyBorder="0">
      <alignment vertical="center"/>
    </xf>
    <xf numFmtId="0" fontId="48" fillId="0" borderId="0" applyNumberFormat="0" applyFill="0" applyBorder="0" applyAlignment="0" applyProtection="0">
      <alignment vertical="center"/>
    </xf>
    <xf numFmtId="0" fontId="81" fillId="0" borderId="0" applyBorder="0">
      <alignment vertical="center"/>
    </xf>
    <xf numFmtId="0" fontId="81" fillId="0" borderId="0" applyBorder="0">
      <alignment vertical="center"/>
    </xf>
    <xf numFmtId="0" fontId="81" fillId="0" borderId="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81" fillId="0" borderId="0">
      <alignment vertical="center"/>
    </xf>
    <xf numFmtId="0" fontId="81" fillId="0" borderId="0">
      <alignment vertical="center"/>
    </xf>
    <xf numFmtId="0" fontId="81" fillId="0" borderId="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81" fillId="0" borderId="0"/>
    <xf numFmtId="0" fontId="81" fillId="0" borderId="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81" fillId="0" borderId="0" applyBorder="0">
      <alignment vertical="center"/>
    </xf>
    <xf numFmtId="0" fontId="48" fillId="0" borderId="0" applyNumberFormat="0" applyFill="0" applyBorder="0" applyAlignment="0" applyProtection="0">
      <alignment vertical="center"/>
    </xf>
    <xf numFmtId="0" fontId="81" fillId="0" borderId="0"/>
    <xf numFmtId="0" fontId="81" fillId="0" borderId="0">
      <alignment vertical="center"/>
    </xf>
    <xf numFmtId="0" fontId="48" fillId="0" borderId="0" applyNumberFormat="0" applyFill="0" applyBorder="0" applyAlignment="0" applyProtection="0">
      <alignment vertical="center"/>
    </xf>
    <xf numFmtId="0" fontId="81" fillId="0" borderId="0">
      <alignment vertical="center"/>
    </xf>
    <xf numFmtId="0" fontId="48" fillId="0" borderId="0" applyNumberFormat="0" applyFill="0" applyBorder="0" applyAlignment="0" applyProtection="0">
      <alignment vertical="center"/>
    </xf>
    <xf numFmtId="0" fontId="81" fillId="0" borderId="0">
      <alignment vertical="center"/>
    </xf>
    <xf numFmtId="0" fontId="48" fillId="0" borderId="0" applyNumberFormat="0" applyFill="0" applyBorder="0" applyAlignment="0" applyProtection="0">
      <alignment vertical="center"/>
    </xf>
    <xf numFmtId="0" fontId="81" fillId="0" borderId="0">
      <alignment vertical="center"/>
    </xf>
    <xf numFmtId="0" fontId="48" fillId="0" borderId="0" applyNumberFormat="0" applyFill="0" applyBorder="0" applyAlignment="0" applyProtection="0">
      <alignment vertical="center"/>
    </xf>
    <xf numFmtId="0" fontId="81" fillId="0" borderId="0" applyBorder="0">
      <alignment vertical="center"/>
    </xf>
    <xf numFmtId="0" fontId="48" fillId="0" borderId="0" applyNumberFormat="0" applyFill="0" applyBorder="0" applyAlignment="0" applyProtection="0">
      <alignment vertical="center"/>
    </xf>
    <xf numFmtId="0" fontId="81" fillId="0" borderId="0">
      <alignment vertical="center"/>
    </xf>
    <xf numFmtId="0" fontId="48" fillId="0" borderId="0" applyNumberFormat="0" applyFill="0" applyBorder="0" applyAlignment="0" applyProtection="0">
      <alignment vertical="center"/>
    </xf>
    <xf numFmtId="0" fontId="81" fillId="0" borderId="0" applyBorder="0">
      <alignment vertical="center"/>
    </xf>
    <xf numFmtId="0" fontId="81" fillId="0" borderId="0">
      <alignment vertical="center"/>
    </xf>
    <xf numFmtId="0" fontId="48" fillId="0" borderId="0" applyNumberFormat="0" applyFill="0" applyBorder="0" applyAlignment="0" applyProtection="0">
      <alignment vertical="center"/>
    </xf>
    <xf numFmtId="0" fontId="81" fillId="0" borderId="0">
      <alignment vertical="center"/>
    </xf>
    <xf numFmtId="0" fontId="48" fillId="0" borderId="0" applyNumberFormat="0" applyFill="0" applyBorder="0" applyAlignment="0" applyProtection="0">
      <alignment vertical="center"/>
    </xf>
    <xf numFmtId="0" fontId="81" fillId="0" borderId="0">
      <alignment vertical="center"/>
    </xf>
    <xf numFmtId="0" fontId="81" fillId="0" borderId="0">
      <alignment vertical="center"/>
    </xf>
    <xf numFmtId="0" fontId="48" fillId="0" borderId="0" applyNumberFormat="0" applyFill="0" applyBorder="0" applyAlignment="0" applyProtection="0">
      <alignment vertical="center"/>
    </xf>
    <xf numFmtId="0" fontId="81" fillId="0" borderId="0">
      <alignment vertical="center"/>
    </xf>
    <xf numFmtId="0" fontId="81" fillId="0" borderId="0">
      <alignment vertical="center"/>
    </xf>
    <xf numFmtId="0" fontId="81" fillId="0" borderId="0" applyBorder="0">
      <alignment vertical="center"/>
    </xf>
    <xf numFmtId="0" fontId="48" fillId="0" borderId="0" applyNumberFormat="0" applyFill="0" applyBorder="0" applyAlignment="0" applyProtection="0">
      <alignment vertical="center"/>
    </xf>
    <xf numFmtId="0" fontId="81" fillId="0" borderId="0" applyBorder="0">
      <alignment vertical="center"/>
    </xf>
    <xf numFmtId="0" fontId="81" fillId="0" borderId="0" applyBorder="0">
      <alignment vertical="center"/>
    </xf>
    <xf numFmtId="0" fontId="48" fillId="0" borderId="0" applyNumberFormat="0" applyFill="0" applyBorder="0" applyAlignment="0" applyProtection="0">
      <alignment vertical="center"/>
    </xf>
    <xf numFmtId="0" fontId="81" fillId="0" borderId="0">
      <alignment vertical="center"/>
    </xf>
    <xf numFmtId="0" fontId="81" fillId="0" borderId="0">
      <alignment vertical="center"/>
    </xf>
    <xf numFmtId="0" fontId="81" fillId="0" borderId="0" applyBorder="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81" fillId="0" borderId="0">
      <alignment vertical="center"/>
    </xf>
    <xf numFmtId="0" fontId="48" fillId="0" borderId="0" applyNumberFormat="0" applyFill="0" applyBorder="0" applyAlignment="0" applyProtection="0">
      <alignment vertical="center"/>
    </xf>
    <xf numFmtId="0" fontId="81" fillId="0" borderId="0">
      <alignment vertical="center"/>
    </xf>
    <xf numFmtId="0" fontId="48" fillId="0" borderId="0" applyNumberFormat="0" applyFill="0" applyBorder="0" applyAlignment="0" applyProtection="0">
      <alignment vertical="center"/>
    </xf>
    <xf numFmtId="0" fontId="81" fillId="0" borderId="0">
      <alignment vertical="center"/>
    </xf>
    <xf numFmtId="0" fontId="48" fillId="0" borderId="0" applyNumberFormat="0" applyFill="0" applyBorder="0" applyAlignment="0" applyProtection="0">
      <alignment vertical="center"/>
    </xf>
    <xf numFmtId="0" fontId="81" fillId="0" borderId="0">
      <alignment vertical="center"/>
    </xf>
    <xf numFmtId="0" fontId="48" fillId="0" borderId="0" applyNumberFormat="0" applyFill="0" applyBorder="0" applyAlignment="0" applyProtection="0">
      <alignment vertical="center"/>
    </xf>
    <xf numFmtId="0" fontId="81" fillId="0" borderId="0" applyBorder="0">
      <alignment vertical="center"/>
    </xf>
    <xf numFmtId="0" fontId="81" fillId="0" borderId="0">
      <alignment vertical="center"/>
    </xf>
    <xf numFmtId="0" fontId="48" fillId="0" borderId="0" applyNumberFormat="0" applyFill="0" applyBorder="0" applyAlignment="0" applyProtection="0">
      <alignment vertical="center"/>
    </xf>
    <xf numFmtId="0" fontId="81" fillId="0" borderId="0">
      <alignment vertical="center"/>
    </xf>
    <xf numFmtId="0" fontId="81" fillId="0" borderId="0" applyBorder="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81" fillId="0" borderId="0">
      <alignment vertical="center"/>
    </xf>
    <xf numFmtId="0" fontId="81" fillId="0" borderId="0"/>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81" fillId="0" borderId="0">
      <alignment vertical="center"/>
    </xf>
    <xf numFmtId="0" fontId="81" fillId="0" borderId="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81" fillId="0" borderId="0" applyBorder="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81" fillId="0" borderId="0">
      <alignment vertical="center"/>
    </xf>
    <xf numFmtId="0" fontId="81" fillId="0" borderId="0" applyBorder="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81" fillId="0" borderId="0">
      <alignment vertical="center"/>
    </xf>
    <xf numFmtId="0" fontId="81" fillId="0" borderId="0" applyBorder="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81" fillId="0" borderId="0">
      <alignment vertical="center"/>
    </xf>
    <xf numFmtId="0" fontId="48" fillId="0" borderId="0" applyNumberFormat="0" applyFill="0" applyBorder="0" applyAlignment="0" applyProtection="0">
      <alignment vertical="center"/>
    </xf>
    <xf numFmtId="0" fontId="81" fillId="0" borderId="0" applyBorder="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81" fillId="0" borderId="0">
      <alignment vertical="center"/>
    </xf>
    <xf numFmtId="0" fontId="81" fillId="0" borderId="0" applyBorder="0">
      <alignment vertical="center"/>
    </xf>
    <xf numFmtId="0" fontId="58" fillId="0" borderId="0" applyNumberFormat="0" applyFill="0" applyBorder="0" applyAlignment="0" applyProtection="0">
      <alignment vertical="center"/>
    </xf>
    <xf numFmtId="0" fontId="81" fillId="0" borderId="0">
      <alignment vertical="center"/>
    </xf>
    <xf numFmtId="0" fontId="59" fillId="0" borderId="0" applyNumberFormat="0" applyFill="0" applyBorder="0" applyAlignment="0" applyProtection="0">
      <alignment vertical="center"/>
    </xf>
    <xf numFmtId="0" fontId="81" fillId="0" borderId="0">
      <alignment vertical="center"/>
    </xf>
    <xf numFmtId="0" fontId="41" fillId="13" borderId="0" applyNumberFormat="0" applyBorder="0" applyAlignment="0" applyProtection="0">
      <alignment vertical="center"/>
    </xf>
    <xf numFmtId="0" fontId="41" fillId="13" borderId="0" applyNumberFormat="0" applyBorder="0" applyAlignment="0" applyProtection="0">
      <alignment vertical="center"/>
    </xf>
    <xf numFmtId="0" fontId="41" fillId="13" borderId="0" applyNumberFormat="0" applyBorder="0" applyAlignment="0" applyProtection="0">
      <alignment vertical="center"/>
    </xf>
    <xf numFmtId="0" fontId="81" fillId="0" borderId="0" applyBorder="0">
      <alignment vertical="center"/>
    </xf>
    <xf numFmtId="0" fontId="41" fillId="13" borderId="0" applyNumberFormat="0" applyBorder="0" applyAlignment="0" applyProtection="0">
      <alignment vertical="center"/>
    </xf>
    <xf numFmtId="0" fontId="81" fillId="0" borderId="0" applyBorder="0">
      <alignment vertical="center"/>
    </xf>
    <xf numFmtId="0" fontId="81" fillId="0" borderId="0">
      <alignment vertical="center"/>
    </xf>
    <xf numFmtId="0" fontId="81" fillId="0" borderId="0">
      <alignment vertical="center"/>
    </xf>
    <xf numFmtId="0" fontId="41" fillId="13" borderId="0" applyNumberFormat="0" applyBorder="0" applyAlignment="0" applyProtection="0">
      <alignment vertical="center"/>
    </xf>
    <xf numFmtId="0" fontId="81" fillId="0" borderId="0" applyBorder="0">
      <alignment vertical="center"/>
    </xf>
    <xf numFmtId="0" fontId="81" fillId="0" borderId="0">
      <alignment vertical="center"/>
    </xf>
    <xf numFmtId="0" fontId="41" fillId="13" borderId="0" applyNumberFormat="0" applyBorder="0" applyAlignment="0" applyProtection="0">
      <alignment vertical="center"/>
    </xf>
    <xf numFmtId="0" fontId="81" fillId="0" borderId="0" applyBorder="0">
      <alignment vertical="center"/>
    </xf>
    <xf numFmtId="0" fontId="41" fillId="13" borderId="0" applyNumberFormat="0" applyBorder="0" applyAlignment="0" applyProtection="0">
      <alignment vertical="center"/>
    </xf>
    <xf numFmtId="0" fontId="81" fillId="0" borderId="0" applyBorder="0">
      <alignment vertical="center"/>
    </xf>
    <xf numFmtId="0" fontId="41" fillId="13" borderId="0" applyNumberFormat="0" applyBorder="0" applyAlignment="0" applyProtection="0">
      <alignment vertical="center"/>
    </xf>
    <xf numFmtId="0" fontId="41" fillId="13" borderId="0" applyNumberFormat="0" applyBorder="0" applyAlignment="0" applyProtection="0">
      <alignment vertical="center"/>
    </xf>
    <xf numFmtId="0" fontId="81" fillId="0" borderId="0" applyBorder="0">
      <alignment vertical="center"/>
    </xf>
    <xf numFmtId="0" fontId="41" fillId="13" borderId="0" applyNumberFormat="0" applyBorder="0" applyAlignment="0" applyProtection="0">
      <alignment vertical="center"/>
    </xf>
    <xf numFmtId="0" fontId="41" fillId="13" borderId="0" applyNumberFormat="0" applyBorder="0" applyAlignment="0" applyProtection="0">
      <alignment vertical="center"/>
    </xf>
    <xf numFmtId="0" fontId="81" fillId="0" borderId="0"/>
    <xf numFmtId="0" fontId="81" fillId="0" borderId="0">
      <alignment vertical="center"/>
    </xf>
    <xf numFmtId="0" fontId="81" fillId="0" borderId="0" applyBorder="0">
      <alignment vertical="center"/>
    </xf>
    <xf numFmtId="0" fontId="41" fillId="13" borderId="0" applyNumberFormat="0" applyBorder="0" applyAlignment="0" applyProtection="0">
      <alignment vertical="center"/>
    </xf>
    <xf numFmtId="0" fontId="81" fillId="0" borderId="0"/>
    <xf numFmtId="0" fontId="81" fillId="0" borderId="0">
      <alignment vertical="center"/>
    </xf>
    <xf numFmtId="0" fontId="41" fillId="13"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41" fillId="13" borderId="0" applyNumberFormat="0" applyBorder="0" applyAlignment="0" applyProtection="0">
      <alignment vertical="center"/>
    </xf>
    <xf numFmtId="0" fontId="81" fillId="0" borderId="0" applyBorder="0">
      <alignment vertical="center"/>
    </xf>
    <xf numFmtId="0" fontId="41" fillId="13" borderId="0" applyNumberFormat="0" applyBorder="0" applyAlignment="0" applyProtection="0">
      <alignment vertical="center"/>
    </xf>
    <xf numFmtId="0" fontId="81" fillId="0" borderId="0">
      <alignment vertical="center"/>
    </xf>
    <xf numFmtId="0" fontId="81" fillId="0" borderId="0" applyBorder="0">
      <alignment vertical="center"/>
    </xf>
    <xf numFmtId="0" fontId="81" fillId="0" borderId="0">
      <alignment vertical="center"/>
    </xf>
    <xf numFmtId="0" fontId="41" fillId="13" borderId="0" applyNumberFormat="0" applyBorder="0" applyAlignment="0" applyProtection="0">
      <alignment vertical="center"/>
    </xf>
    <xf numFmtId="0" fontId="81" fillId="0" borderId="0" applyBorder="0">
      <alignment vertical="center"/>
    </xf>
    <xf numFmtId="0" fontId="41" fillId="13" borderId="0" applyNumberFormat="0" applyBorder="0" applyAlignment="0" applyProtection="0">
      <alignment vertical="center"/>
    </xf>
    <xf numFmtId="0" fontId="81" fillId="0" borderId="0">
      <alignment vertical="center"/>
    </xf>
    <xf numFmtId="0" fontId="81" fillId="0" borderId="0">
      <alignment vertical="center"/>
    </xf>
    <xf numFmtId="0" fontId="81" fillId="0" borderId="0" applyBorder="0">
      <alignment vertical="center"/>
    </xf>
    <xf numFmtId="0" fontId="41" fillId="13" borderId="0" applyNumberFormat="0" applyBorder="0" applyAlignment="0" applyProtection="0">
      <alignment vertical="center"/>
    </xf>
    <xf numFmtId="0" fontId="81" fillId="0" borderId="0"/>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41" fillId="13" borderId="0" applyNumberFormat="0" applyBorder="0" applyAlignment="0" applyProtection="0">
      <alignment vertical="center"/>
    </xf>
    <xf numFmtId="0" fontId="81" fillId="0" borderId="0"/>
    <xf numFmtId="0" fontId="81" fillId="0" borderId="0">
      <alignment vertical="center"/>
    </xf>
    <xf numFmtId="0" fontId="81" fillId="0" borderId="0">
      <alignment vertical="center"/>
    </xf>
    <xf numFmtId="0" fontId="41" fillId="13"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41" fillId="13" borderId="0" applyNumberFormat="0" applyBorder="0" applyAlignment="0" applyProtection="0">
      <alignment vertical="center"/>
    </xf>
    <xf numFmtId="0" fontId="41" fillId="13" borderId="0" applyNumberFormat="0" applyBorder="0" applyAlignment="0" applyProtection="0">
      <alignment vertical="center"/>
    </xf>
    <xf numFmtId="0" fontId="41" fillId="13" borderId="0" applyNumberFormat="0" applyBorder="0" applyAlignment="0" applyProtection="0">
      <alignment vertical="center"/>
    </xf>
    <xf numFmtId="0" fontId="41" fillId="13" borderId="0" applyNumberFormat="0" applyBorder="0" applyAlignment="0" applyProtection="0">
      <alignment vertical="center"/>
    </xf>
    <xf numFmtId="0" fontId="41" fillId="13"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41" fillId="13" borderId="0" applyNumberFormat="0" applyBorder="0" applyAlignment="0" applyProtection="0">
      <alignment vertical="center"/>
    </xf>
    <xf numFmtId="0" fontId="41" fillId="13"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41" fillId="13" borderId="0" applyNumberFormat="0" applyBorder="0" applyAlignment="0" applyProtection="0">
      <alignment vertical="center"/>
    </xf>
    <xf numFmtId="0" fontId="81" fillId="0" borderId="0" applyBorder="0">
      <alignment vertical="center"/>
    </xf>
    <xf numFmtId="0" fontId="41" fillId="13" borderId="0" applyNumberFormat="0" applyBorder="0" applyAlignment="0" applyProtection="0">
      <alignment vertical="center"/>
    </xf>
    <xf numFmtId="0" fontId="81" fillId="0" borderId="0" applyBorder="0">
      <alignment vertical="center"/>
    </xf>
    <xf numFmtId="0" fontId="41" fillId="13" borderId="0" applyNumberFormat="0" applyBorder="0" applyAlignment="0" applyProtection="0">
      <alignment vertical="center"/>
    </xf>
    <xf numFmtId="0" fontId="81" fillId="0" borderId="0" applyBorder="0">
      <alignment vertical="center"/>
    </xf>
    <xf numFmtId="0" fontId="81" fillId="0" borderId="0"/>
    <xf numFmtId="0" fontId="41" fillId="13" borderId="0" applyNumberFormat="0" applyBorder="0" applyAlignment="0" applyProtection="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41" fillId="13" borderId="0" applyNumberFormat="0" applyBorder="0" applyAlignment="0" applyProtection="0">
      <alignment vertical="center"/>
    </xf>
    <xf numFmtId="0" fontId="81" fillId="0" borderId="0" applyBorder="0">
      <alignment vertical="center"/>
    </xf>
    <xf numFmtId="0" fontId="81" fillId="0" borderId="0">
      <alignment vertical="center"/>
    </xf>
    <xf numFmtId="0" fontId="81" fillId="0" borderId="0" applyBorder="0">
      <alignment vertical="center"/>
    </xf>
    <xf numFmtId="0" fontId="41" fillId="13" borderId="0" applyNumberFormat="0" applyBorder="0" applyAlignment="0" applyProtection="0">
      <alignment vertical="center"/>
    </xf>
    <xf numFmtId="0" fontId="81" fillId="0" borderId="0" applyBorder="0">
      <alignment vertical="center"/>
    </xf>
    <xf numFmtId="0" fontId="41" fillId="13" borderId="0" applyNumberFormat="0" applyBorder="0" applyAlignment="0" applyProtection="0">
      <alignment vertical="center"/>
    </xf>
    <xf numFmtId="0" fontId="81" fillId="0" borderId="0" applyBorder="0">
      <alignment vertical="center"/>
    </xf>
    <xf numFmtId="0" fontId="41" fillId="13" borderId="0" applyNumberFormat="0" applyBorder="0" applyAlignment="0" applyProtection="0">
      <alignment vertical="center"/>
    </xf>
    <xf numFmtId="0" fontId="81" fillId="0" borderId="0" applyBorder="0">
      <alignment vertical="center"/>
    </xf>
    <xf numFmtId="0" fontId="41" fillId="13"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41" fillId="13" borderId="0" applyNumberFormat="0" applyBorder="0" applyAlignment="0" applyProtection="0">
      <alignment vertical="center"/>
    </xf>
    <xf numFmtId="0" fontId="41" fillId="13" borderId="0" applyNumberFormat="0" applyBorder="0" applyAlignment="0" applyProtection="0">
      <alignment vertical="center"/>
    </xf>
    <xf numFmtId="0" fontId="81" fillId="0" borderId="0"/>
    <xf numFmtId="0" fontId="81" fillId="0" borderId="0">
      <alignment vertical="center"/>
    </xf>
    <xf numFmtId="0" fontId="81" fillId="0" borderId="0" applyBorder="0">
      <alignment vertical="center"/>
    </xf>
    <xf numFmtId="0" fontId="41" fillId="13" borderId="0" applyNumberFormat="0" applyBorder="0" applyAlignment="0" applyProtection="0">
      <alignment vertical="center"/>
    </xf>
    <xf numFmtId="0" fontId="81" fillId="0" borderId="0"/>
    <xf numFmtId="0" fontId="81" fillId="0" borderId="0" applyBorder="0">
      <alignment vertical="center"/>
    </xf>
    <xf numFmtId="0" fontId="41" fillId="13"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41" fillId="13" borderId="0" applyNumberFormat="0" applyBorder="0" applyAlignment="0" applyProtection="0">
      <alignment vertical="center"/>
    </xf>
    <xf numFmtId="0" fontId="41" fillId="13" borderId="0" applyNumberFormat="0" applyBorder="0" applyAlignment="0" applyProtection="0">
      <alignment vertical="center"/>
    </xf>
    <xf numFmtId="0" fontId="81" fillId="0" borderId="0">
      <alignment vertical="center"/>
    </xf>
    <xf numFmtId="0" fontId="81" fillId="0" borderId="0" applyBorder="0">
      <alignment vertical="center"/>
    </xf>
    <xf numFmtId="0" fontId="41" fillId="13" borderId="0" applyNumberFormat="0" applyBorder="0" applyAlignment="0" applyProtection="0">
      <alignment vertical="center"/>
    </xf>
    <xf numFmtId="0" fontId="81" fillId="0" borderId="0" applyBorder="0">
      <alignment vertical="center"/>
    </xf>
    <xf numFmtId="0" fontId="41" fillId="13"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41" fillId="13" borderId="0" applyNumberFormat="0" applyBorder="0" applyAlignment="0" applyProtection="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41" fillId="13" borderId="0" applyNumberFormat="0" applyBorder="0" applyAlignment="0" applyProtection="0">
      <alignment vertical="center"/>
    </xf>
    <xf numFmtId="0" fontId="81" fillId="0" borderId="0"/>
    <xf numFmtId="0" fontId="81" fillId="0" borderId="0" applyBorder="0">
      <alignment vertical="center"/>
    </xf>
    <xf numFmtId="0" fontId="81" fillId="0" borderId="0">
      <alignment vertical="center"/>
    </xf>
    <xf numFmtId="0" fontId="41" fillId="13" borderId="0" applyNumberFormat="0" applyBorder="0" applyAlignment="0" applyProtection="0">
      <alignment vertical="center"/>
    </xf>
    <xf numFmtId="0" fontId="41" fillId="13" borderId="0" applyNumberFormat="0" applyBorder="0" applyAlignment="0" applyProtection="0">
      <alignment vertical="center"/>
    </xf>
    <xf numFmtId="0" fontId="81" fillId="0" borderId="0">
      <alignment vertical="center"/>
    </xf>
    <xf numFmtId="0" fontId="81" fillId="0" borderId="0" applyBorder="0">
      <alignment vertical="center"/>
    </xf>
    <xf numFmtId="0" fontId="41" fillId="13" borderId="0" applyNumberFormat="0" applyBorder="0" applyAlignment="0" applyProtection="0">
      <alignment vertical="center"/>
    </xf>
    <xf numFmtId="0" fontId="81" fillId="0" borderId="0" applyBorder="0">
      <alignment vertical="center"/>
    </xf>
    <xf numFmtId="0" fontId="41" fillId="13" borderId="0" applyNumberFormat="0" applyBorder="0" applyAlignment="0" applyProtection="0">
      <alignment vertical="center"/>
    </xf>
    <xf numFmtId="0" fontId="81" fillId="0" borderId="0"/>
    <xf numFmtId="0" fontId="81" fillId="0" borderId="0" applyBorder="0">
      <alignment vertical="center"/>
    </xf>
    <xf numFmtId="0" fontId="81" fillId="0" borderId="0" applyBorder="0">
      <alignment vertical="center"/>
    </xf>
    <xf numFmtId="0" fontId="41" fillId="13"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41" fillId="13" borderId="0" applyNumberFormat="0" applyBorder="0" applyAlignment="0" applyProtection="0">
      <alignment vertical="center"/>
    </xf>
    <xf numFmtId="0" fontId="81" fillId="0" borderId="0"/>
    <xf numFmtId="0" fontId="41" fillId="13"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41" fillId="13" borderId="0" applyNumberFormat="0" applyBorder="0" applyAlignment="0" applyProtection="0">
      <alignment vertical="center"/>
    </xf>
    <xf numFmtId="0" fontId="81" fillId="0" borderId="0"/>
    <xf numFmtId="0" fontId="81" fillId="0" borderId="0" applyBorder="0">
      <alignment vertical="center"/>
    </xf>
    <xf numFmtId="0" fontId="39" fillId="0" borderId="0">
      <alignment vertical="center"/>
    </xf>
    <xf numFmtId="0" fontId="41" fillId="13" borderId="0" applyNumberFormat="0" applyBorder="0" applyAlignment="0" applyProtection="0">
      <alignment vertical="center"/>
    </xf>
    <xf numFmtId="0" fontId="41" fillId="13" borderId="0" applyNumberFormat="0" applyBorder="0" applyAlignment="0" applyProtection="0">
      <alignment vertical="center"/>
    </xf>
    <xf numFmtId="0" fontId="41" fillId="13" borderId="0" applyNumberFormat="0" applyBorder="0" applyAlignment="0" applyProtection="0">
      <alignment vertical="center"/>
    </xf>
    <xf numFmtId="0" fontId="81" fillId="0" borderId="0" applyBorder="0">
      <alignment vertical="center"/>
    </xf>
    <xf numFmtId="0" fontId="81" fillId="0" borderId="0">
      <alignment vertical="center"/>
    </xf>
    <xf numFmtId="0" fontId="81" fillId="0" borderId="0" applyBorder="0">
      <alignment vertical="center"/>
    </xf>
    <xf numFmtId="0" fontId="41" fillId="13" borderId="0" applyNumberFormat="0" applyBorder="0" applyAlignment="0" applyProtection="0">
      <alignment vertical="center"/>
    </xf>
    <xf numFmtId="0" fontId="81" fillId="0" borderId="0" applyBorder="0">
      <alignment vertical="center"/>
    </xf>
    <xf numFmtId="0" fontId="81" fillId="0" borderId="0">
      <alignment vertical="center"/>
    </xf>
    <xf numFmtId="0" fontId="81" fillId="0" borderId="0" applyBorder="0">
      <alignment vertical="center"/>
    </xf>
    <xf numFmtId="0" fontId="41" fillId="13" borderId="0" applyNumberFormat="0" applyBorder="0" applyAlignment="0" applyProtection="0">
      <alignment vertical="center"/>
    </xf>
    <xf numFmtId="0" fontId="81" fillId="0" borderId="0" applyBorder="0">
      <alignment vertical="center"/>
    </xf>
    <xf numFmtId="0" fontId="41" fillId="13"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41" fillId="13" borderId="0" applyNumberFormat="0" applyBorder="0" applyAlignment="0" applyProtection="0">
      <alignment vertical="center"/>
    </xf>
    <xf numFmtId="0" fontId="81" fillId="0" borderId="0">
      <alignment vertical="center"/>
    </xf>
    <xf numFmtId="0" fontId="81" fillId="0" borderId="0">
      <alignment vertical="center"/>
    </xf>
    <xf numFmtId="0" fontId="81" fillId="0" borderId="0"/>
    <xf numFmtId="0" fontId="81" fillId="0" borderId="0" applyBorder="0">
      <alignment vertical="center"/>
    </xf>
    <xf numFmtId="0" fontId="41" fillId="13" borderId="0" applyNumberFormat="0" applyBorder="0" applyAlignment="0" applyProtection="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41" fillId="13"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lignment vertical="center"/>
    </xf>
    <xf numFmtId="0" fontId="41" fillId="13" borderId="0" applyNumberFormat="0" applyBorder="0" applyAlignment="0" applyProtection="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41" fillId="13" borderId="0" applyNumberFormat="0" applyBorder="0" applyAlignment="0" applyProtection="0">
      <alignment vertical="center"/>
    </xf>
    <xf numFmtId="0" fontId="81" fillId="0" borderId="0">
      <alignment vertical="center"/>
    </xf>
    <xf numFmtId="0" fontId="81" fillId="0" borderId="0">
      <alignment vertical="center"/>
    </xf>
    <xf numFmtId="0" fontId="41" fillId="13"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41" fillId="13" borderId="0" applyNumberFormat="0" applyBorder="0" applyAlignment="0" applyProtection="0">
      <alignment vertical="center"/>
    </xf>
    <xf numFmtId="0" fontId="81" fillId="0" borderId="0">
      <alignment vertical="center"/>
    </xf>
    <xf numFmtId="0" fontId="81" fillId="0" borderId="0"/>
    <xf numFmtId="0" fontId="81" fillId="0" borderId="0">
      <alignment vertical="center"/>
    </xf>
    <xf numFmtId="0" fontId="81" fillId="0" borderId="0" applyBorder="0">
      <alignment vertical="center"/>
    </xf>
    <xf numFmtId="0" fontId="81" fillId="0" borderId="0" applyBorder="0">
      <alignment vertical="center"/>
    </xf>
    <xf numFmtId="0" fontId="41" fillId="13" borderId="0" applyNumberFormat="0" applyBorder="0" applyAlignment="0" applyProtection="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41" fillId="13" borderId="0" applyNumberFormat="0" applyBorder="0" applyAlignment="0" applyProtection="0">
      <alignment vertical="center"/>
    </xf>
    <xf numFmtId="0" fontId="81" fillId="0" borderId="0" applyBorder="0">
      <alignment vertical="center"/>
    </xf>
    <xf numFmtId="0" fontId="81" fillId="0" borderId="0">
      <alignment vertical="center"/>
    </xf>
    <xf numFmtId="0" fontId="41" fillId="13" borderId="0" applyNumberFormat="0" applyBorder="0" applyAlignment="0" applyProtection="0">
      <alignment vertical="center"/>
    </xf>
    <xf numFmtId="0" fontId="81" fillId="0" borderId="0">
      <alignment vertical="center"/>
    </xf>
    <xf numFmtId="0" fontId="81" fillId="0" borderId="0"/>
    <xf numFmtId="0" fontId="81" fillId="0" borderId="0" applyBorder="0">
      <alignment vertical="center"/>
    </xf>
    <xf numFmtId="0" fontId="81" fillId="0" borderId="0">
      <alignment vertical="center"/>
    </xf>
    <xf numFmtId="0" fontId="41" fillId="13"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41" fillId="13" borderId="0" applyNumberFormat="0" applyBorder="0" applyAlignment="0" applyProtection="0">
      <alignment vertical="center"/>
    </xf>
    <xf numFmtId="0" fontId="41" fillId="13"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41" fillId="13" borderId="0" applyNumberFormat="0" applyBorder="0" applyAlignment="0" applyProtection="0">
      <alignment vertical="center"/>
    </xf>
    <xf numFmtId="0" fontId="81" fillId="0" borderId="0"/>
    <xf numFmtId="0" fontId="81" fillId="0" borderId="0">
      <alignment vertical="center"/>
    </xf>
    <xf numFmtId="0" fontId="41" fillId="13" borderId="0" applyNumberFormat="0" applyBorder="0" applyAlignment="0" applyProtection="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41" fillId="13" borderId="0" applyNumberFormat="0" applyBorder="0" applyAlignment="0" applyProtection="0">
      <alignment vertical="center"/>
    </xf>
    <xf numFmtId="0" fontId="81" fillId="0" borderId="0"/>
    <xf numFmtId="0" fontId="81" fillId="0" borderId="0" applyBorder="0">
      <alignment vertical="center"/>
    </xf>
    <xf numFmtId="0" fontId="41" fillId="13" borderId="0" applyNumberFormat="0" applyBorder="0" applyAlignment="0" applyProtection="0">
      <alignment vertical="center"/>
    </xf>
    <xf numFmtId="0" fontId="81" fillId="0" borderId="0" applyBorder="0">
      <alignment vertical="center"/>
    </xf>
    <xf numFmtId="0" fontId="81" fillId="0" borderId="0">
      <alignment vertical="center"/>
    </xf>
    <xf numFmtId="0" fontId="81" fillId="0" borderId="0" applyBorder="0">
      <alignment vertical="center"/>
    </xf>
    <xf numFmtId="0" fontId="41" fillId="13" borderId="0" applyNumberFormat="0" applyBorder="0" applyAlignment="0" applyProtection="0">
      <alignment vertical="center"/>
    </xf>
    <xf numFmtId="0" fontId="41" fillId="13" borderId="0" applyNumberFormat="0" applyBorder="0" applyAlignment="0" applyProtection="0">
      <alignment vertical="center"/>
    </xf>
    <xf numFmtId="0" fontId="81" fillId="0" borderId="0">
      <alignment vertical="center"/>
    </xf>
    <xf numFmtId="0" fontId="81" fillId="0" borderId="0">
      <alignment vertical="center"/>
    </xf>
    <xf numFmtId="0" fontId="81" fillId="0" borderId="0" applyBorder="0">
      <alignment vertical="center"/>
    </xf>
    <xf numFmtId="0" fontId="41" fillId="13" borderId="0" applyNumberFormat="0" applyBorder="0" applyAlignment="0" applyProtection="0">
      <alignment vertical="center"/>
    </xf>
    <xf numFmtId="0" fontId="81" fillId="0" borderId="0" applyBorder="0">
      <alignment vertical="center"/>
    </xf>
    <xf numFmtId="0" fontId="41" fillId="13"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41" fillId="13" borderId="0" applyNumberFormat="0" applyBorder="0" applyAlignment="0" applyProtection="0">
      <alignment vertical="center"/>
    </xf>
    <xf numFmtId="0" fontId="41" fillId="13" borderId="0" applyNumberFormat="0" applyBorder="0" applyAlignment="0" applyProtection="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41" fillId="13" borderId="0" applyNumberFormat="0" applyBorder="0" applyAlignment="0" applyProtection="0">
      <alignment vertical="center"/>
    </xf>
    <xf numFmtId="0" fontId="41" fillId="13" borderId="0" applyNumberFormat="0" applyBorder="0" applyAlignment="0" applyProtection="0">
      <alignment vertical="center"/>
    </xf>
    <xf numFmtId="0" fontId="81" fillId="0" borderId="0" applyBorder="0">
      <alignment vertical="center"/>
    </xf>
    <xf numFmtId="0" fontId="41" fillId="13" borderId="0" applyNumberFormat="0" applyBorder="0" applyAlignment="0" applyProtection="0">
      <alignment vertical="center"/>
    </xf>
    <xf numFmtId="0" fontId="41" fillId="13" borderId="0" applyNumberFormat="0" applyBorder="0" applyAlignment="0" applyProtection="0">
      <alignment vertical="center"/>
    </xf>
    <xf numFmtId="0" fontId="41" fillId="13" borderId="0" applyNumberFormat="0" applyBorder="0" applyAlignment="0" applyProtection="0">
      <alignment vertical="center"/>
    </xf>
    <xf numFmtId="0" fontId="41" fillId="13" borderId="0" applyNumberFormat="0" applyBorder="0" applyAlignment="0" applyProtection="0">
      <alignment vertical="center"/>
    </xf>
    <xf numFmtId="0" fontId="45" fillId="14" borderId="0" applyNumberFormat="0" applyBorder="0" applyAlignment="0" applyProtection="0">
      <alignment vertical="center"/>
    </xf>
    <xf numFmtId="0" fontId="45" fillId="14" borderId="0" applyNumberFormat="0" applyBorder="0" applyAlignment="0" applyProtection="0">
      <alignment vertical="center"/>
    </xf>
    <xf numFmtId="0" fontId="45" fillId="14" borderId="0" applyNumberFormat="0" applyBorder="0" applyAlignment="0" applyProtection="0">
      <alignment vertical="center"/>
    </xf>
    <xf numFmtId="0" fontId="45" fillId="14"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45" fillId="14" borderId="0" applyNumberFormat="0" applyBorder="0" applyAlignment="0" applyProtection="0">
      <alignment vertical="center"/>
    </xf>
    <xf numFmtId="0" fontId="81" fillId="0" borderId="0" applyBorder="0">
      <alignment vertical="center"/>
    </xf>
    <xf numFmtId="0" fontId="45" fillId="14" borderId="0" applyNumberFormat="0" applyBorder="0" applyAlignment="0" applyProtection="0">
      <alignment vertical="center"/>
    </xf>
    <xf numFmtId="0" fontId="45" fillId="14" borderId="0" applyNumberFormat="0" applyBorder="0" applyAlignment="0" applyProtection="0">
      <alignment vertical="center"/>
    </xf>
    <xf numFmtId="0" fontId="45" fillId="14" borderId="0" applyNumberFormat="0" applyBorder="0" applyAlignment="0" applyProtection="0">
      <alignment vertical="center"/>
    </xf>
    <xf numFmtId="0" fontId="45" fillId="14" borderId="0" applyNumberFormat="0" applyBorder="0" applyAlignment="0" applyProtection="0">
      <alignment vertical="center"/>
    </xf>
    <xf numFmtId="0" fontId="45" fillId="14" borderId="0" applyNumberFormat="0" applyBorder="0" applyAlignment="0" applyProtection="0">
      <alignment vertical="center"/>
    </xf>
    <xf numFmtId="0" fontId="81" fillId="0" borderId="0" applyBorder="0">
      <alignment vertical="center"/>
    </xf>
    <xf numFmtId="0" fontId="45" fillId="14" borderId="0" applyNumberFormat="0" applyBorder="0" applyAlignment="0" applyProtection="0">
      <alignment vertical="center"/>
    </xf>
    <xf numFmtId="0" fontId="81" fillId="0" borderId="0" applyBorder="0">
      <alignment vertical="center"/>
    </xf>
    <xf numFmtId="0" fontId="45" fillId="14" borderId="0" applyNumberFormat="0" applyBorder="0" applyAlignment="0" applyProtection="0">
      <alignment vertical="center"/>
    </xf>
    <xf numFmtId="0" fontId="45" fillId="14" borderId="0" applyNumberFormat="0" applyBorder="0" applyAlignment="0" applyProtection="0">
      <alignment vertical="center"/>
    </xf>
    <xf numFmtId="0" fontId="45" fillId="14" borderId="0" applyNumberFormat="0" applyBorder="0" applyAlignment="0" applyProtection="0">
      <alignment vertical="center"/>
    </xf>
    <xf numFmtId="0" fontId="41" fillId="13" borderId="0" applyNumberFormat="0" applyBorder="0" applyAlignment="0" applyProtection="0">
      <alignment vertical="center"/>
    </xf>
    <xf numFmtId="0" fontId="41" fillId="13" borderId="0" applyNumberFormat="0" applyBorder="0" applyAlignment="0" applyProtection="0">
      <alignment vertical="center"/>
    </xf>
    <xf numFmtId="0" fontId="81" fillId="0" borderId="0"/>
    <xf numFmtId="0" fontId="41" fillId="13" borderId="0" applyNumberFormat="0" applyBorder="0" applyAlignment="0" applyProtection="0">
      <alignment vertical="center"/>
    </xf>
    <xf numFmtId="0" fontId="81" fillId="0" borderId="0">
      <alignment vertical="center"/>
    </xf>
    <xf numFmtId="0" fontId="81" fillId="0" borderId="0"/>
    <xf numFmtId="0" fontId="81" fillId="0" borderId="0" applyBorder="0">
      <alignment vertical="center"/>
    </xf>
    <xf numFmtId="0" fontId="81" fillId="0" borderId="0">
      <alignment vertical="center"/>
    </xf>
    <xf numFmtId="0" fontId="41" fillId="13" borderId="0" applyNumberFormat="0" applyBorder="0" applyAlignment="0" applyProtection="0">
      <alignment vertical="center"/>
    </xf>
    <xf numFmtId="0" fontId="81" fillId="0" borderId="0" applyBorder="0">
      <alignment vertical="center"/>
    </xf>
    <xf numFmtId="0" fontId="81" fillId="0" borderId="0">
      <alignment vertical="center"/>
    </xf>
    <xf numFmtId="0" fontId="41" fillId="13" borderId="0" applyNumberFormat="0" applyBorder="0" applyAlignment="0" applyProtection="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41" fillId="13" borderId="0" applyNumberFormat="0" applyBorder="0" applyAlignment="0" applyProtection="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xf numFmtId="0" fontId="81" fillId="0" borderId="0"/>
    <xf numFmtId="0" fontId="81" fillId="0" borderId="0"/>
    <xf numFmtId="0" fontId="81" fillId="0" borderId="0"/>
    <xf numFmtId="0" fontId="81" fillId="0" borderId="0">
      <alignment vertical="center"/>
    </xf>
    <xf numFmtId="0" fontId="39" fillId="0" borderId="0">
      <alignment vertical="center"/>
    </xf>
    <xf numFmtId="0" fontId="81" fillId="0" borderId="0" applyBorder="0">
      <alignment vertical="center"/>
    </xf>
    <xf numFmtId="0" fontId="81" fillId="0" borderId="0"/>
    <xf numFmtId="0" fontId="81" fillId="0" borderId="0"/>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xf numFmtId="0" fontId="81" fillId="0" borderId="0"/>
    <xf numFmtId="0" fontId="81" fillId="0" borderId="0"/>
    <xf numFmtId="0" fontId="81" fillId="0" borderId="0" applyBorder="0">
      <alignment vertical="center"/>
    </xf>
    <xf numFmtId="0" fontId="81" fillId="0" borderId="0"/>
    <xf numFmtId="0" fontId="81" fillId="0" borderId="0"/>
    <xf numFmtId="0" fontId="81" fillId="0" borderId="0"/>
    <xf numFmtId="0" fontId="81" fillId="0" borderId="0">
      <alignment vertical="center"/>
    </xf>
    <xf numFmtId="0" fontId="81" fillId="0" borderId="0"/>
    <xf numFmtId="0" fontId="81" fillId="0" borderId="0"/>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xf numFmtId="0" fontId="81" fillId="0" borderId="0" applyBorder="0">
      <alignment vertical="center"/>
    </xf>
    <xf numFmtId="0" fontId="81" fillId="0" borderId="0" applyBorder="0">
      <alignment vertical="center"/>
    </xf>
    <xf numFmtId="0" fontId="81" fillId="0" borderId="0"/>
    <xf numFmtId="0" fontId="81" fillId="0" borderId="0"/>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39" fillId="0" borderId="0">
      <alignment vertical="center"/>
    </xf>
    <xf numFmtId="0" fontId="81" fillId="0" borderId="0"/>
    <xf numFmtId="0" fontId="81" fillId="0" borderId="0">
      <alignment vertical="center"/>
    </xf>
    <xf numFmtId="0" fontId="39" fillId="0" borderId="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xf numFmtId="0" fontId="81" fillId="0" borderId="0">
      <alignment vertical="center"/>
    </xf>
    <xf numFmtId="0" fontId="81" fillId="0" borderId="0"/>
    <xf numFmtId="0" fontId="81" fillId="0" borderId="0" applyBorder="0">
      <alignment vertical="center"/>
    </xf>
    <xf numFmtId="0" fontId="81" fillId="0" borderId="0">
      <alignment vertical="center"/>
    </xf>
    <xf numFmtId="0" fontId="81" fillId="0" borderId="0"/>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applyBorder="0">
      <alignment vertical="center"/>
    </xf>
    <xf numFmtId="0" fontId="81" fillId="0" borderId="0"/>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xf numFmtId="0" fontId="39" fillId="0" borderId="0">
      <alignment vertical="center"/>
    </xf>
    <xf numFmtId="0" fontId="81" fillId="0" borderId="0"/>
    <xf numFmtId="0" fontId="81" fillId="0" borderId="0">
      <alignment vertical="center"/>
    </xf>
    <xf numFmtId="0" fontId="81" fillId="0" borderId="0"/>
    <xf numFmtId="0" fontId="81" fillId="0" borderId="0" applyBorder="0">
      <alignment vertical="center"/>
    </xf>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alignment vertical="center"/>
    </xf>
    <xf numFmtId="0" fontId="81" fillId="0" borderId="0"/>
    <xf numFmtId="0" fontId="81" fillId="0" borderId="0">
      <alignment vertical="center"/>
    </xf>
    <xf numFmtId="0" fontId="81" fillId="0" borderId="0"/>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lignment vertical="center"/>
    </xf>
    <xf numFmtId="0" fontId="81" fillId="0" borderId="0"/>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xf numFmtId="0" fontId="81" fillId="0" borderId="0">
      <alignment vertical="center"/>
    </xf>
    <xf numFmtId="0" fontId="39" fillId="0" borderId="0">
      <alignment vertical="center"/>
    </xf>
    <xf numFmtId="0" fontId="81" fillId="0" borderId="0"/>
    <xf numFmtId="0" fontId="81" fillId="0" borderId="0">
      <alignment vertical="center"/>
    </xf>
    <xf numFmtId="0" fontId="39" fillId="0" borderId="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lignment vertical="center"/>
    </xf>
    <xf numFmtId="0" fontId="39" fillId="0" borderId="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xf numFmtId="0" fontId="81" fillId="0" borderId="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39" fillId="0" borderId="0">
      <alignment vertical="center"/>
    </xf>
    <xf numFmtId="0" fontId="81" fillId="0" borderId="0"/>
    <xf numFmtId="0" fontId="81" fillId="0" borderId="0">
      <alignment vertical="center"/>
    </xf>
    <xf numFmtId="0" fontId="81" fillId="0" borderId="0"/>
    <xf numFmtId="0" fontId="81" fillId="0" borderId="0">
      <alignment vertical="center"/>
    </xf>
    <xf numFmtId="0" fontId="81" fillId="0" borderId="0"/>
    <xf numFmtId="0" fontId="81" fillId="0" borderId="0" applyBorder="0">
      <alignment vertical="center"/>
    </xf>
    <xf numFmtId="0" fontId="81" fillId="0" borderId="0"/>
    <xf numFmtId="0" fontId="81" fillId="0" borderId="0"/>
    <xf numFmtId="0" fontId="81" fillId="0" borderId="0" applyBorder="0">
      <alignment vertical="center"/>
    </xf>
    <xf numFmtId="0" fontId="81" fillId="0" borderId="0" applyBorder="0">
      <alignment vertical="center"/>
    </xf>
    <xf numFmtId="0" fontId="81" fillId="0" borderId="0"/>
    <xf numFmtId="0" fontId="81" fillId="0" borderId="0"/>
    <xf numFmtId="0" fontId="81" fillId="0" borderId="0"/>
    <xf numFmtId="0" fontId="81" fillId="0" borderId="0"/>
    <xf numFmtId="0" fontId="81" fillId="0" borderId="0" applyBorder="0">
      <alignment vertical="center"/>
    </xf>
    <xf numFmtId="0" fontId="81" fillId="0" borderId="0" applyBorder="0">
      <alignment vertical="center"/>
    </xf>
    <xf numFmtId="0" fontId="39" fillId="0" borderId="0">
      <alignment vertical="center"/>
    </xf>
    <xf numFmtId="0" fontId="81" fillId="0" borderId="0"/>
    <xf numFmtId="0" fontId="81" fillId="0" borderId="0" applyBorder="0">
      <alignment vertical="center"/>
    </xf>
    <xf numFmtId="0" fontId="81" fillId="0" borderId="0"/>
    <xf numFmtId="0" fontId="81" fillId="0" borderId="0"/>
    <xf numFmtId="0" fontId="81" fillId="0" borderId="0"/>
    <xf numFmtId="0" fontId="81" fillId="0" borderId="0"/>
    <xf numFmtId="0" fontId="81" fillId="0" borderId="0"/>
    <xf numFmtId="0" fontId="81" fillId="0" borderId="0" applyBorder="0">
      <alignment vertical="center"/>
    </xf>
    <xf numFmtId="0" fontId="81" fillId="0" borderId="0"/>
    <xf numFmtId="0" fontId="81" fillId="0" borderId="0"/>
    <xf numFmtId="0" fontId="81" fillId="0" borderId="0"/>
    <xf numFmtId="0" fontId="81" fillId="0" borderId="0"/>
    <xf numFmtId="0" fontId="39" fillId="0" borderId="0">
      <alignment vertical="center"/>
    </xf>
    <xf numFmtId="0" fontId="81" fillId="0" borderId="0"/>
    <xf numFmtId="0" fontId="81" fillId="0" borderId="0"/>
    <xf numFmtId="0" fontId="81" fillId="0" borderId="0"/>
    <xf numFmtId="0" fontId="81" fillId="0" borderId="0"/>
    <xf numFmtId="0" fontId="81" fillId="0" borderId="0"/>
    <xf numFmtId="0" fontId="81" fillId="0" borderId="0">
      <alignment vertical="center"/>
    </xf>
    <xf numFmtId="0" fontId="81" fillId="0" borderId="0"/>
    <xf numFmtId="0" fontId="81" fillId="0" borderId="0"/>
    <xf numFmtId="0" fontId="81" fillId="0" borderId="0"/>
    <xf numFmtId="0" fontId="81" fillId="0" borderId="0" applyBorder="0">
      <alignment vertical="center"/>
    </xf>
    <xf numFmtId="0" fontId="81" fillId="0" borderId="0"/>
    <xf numFmtId="0" fontId="81" fillId="0" borderId="0"/>
    <xf numFmtId="0" fontId="81" fillId="0" borderId="0"/>
    <xf numFmtId="0" fontId="81" fillId="0" borderId="0">
      <alignment vertical="center"/>
    </xf>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alignment vertical="center"/>
    </xf>
    <xf numFmtId="0" fontId="81" fillId="0" borderId="0"/>
    <xf numFmtId="0" fontId="81" fillId="0" borderId="0"/>
    <xf numFmtId="0" fontId="81" fillId="0" borderId="0">
      <alignment vertical="center"/>
    </xf>
    <xf numFmtId="0" fontId="81" fillId="0" borderId="0"/>
    <xf numFmtId="0" fontId="81" fillId="0" borderId="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xf numFmtId="0" fontId="81" fillId="0" borderId="0">
      <alignment vertical="center"/>
    </xf>
    <xf numFmtId="0" fontId="81" fillId="0" borderId="0"/>
    <xf numFmtId="0" fontId="81" fillId="0" borderId="0" applyBorder="0">
      <alignment vertical="center"/>
    </xf>
    <xf numFmtId="0" fontId="81" fillId="0" borderId="0" applyBorder="0">
      <alignment vertical="center"/>
    </xf>
    <xf numFmtId="0" fontId="39" fillId="0" borderId="0">
      <alignment vertical="center"/>
    </xf>
    <xf numFmtId="0" fontId="81" fillId="0" borderId="0"/>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39" fillId="0" borderId="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39" fillId="0" borderId="0">
      <alignment vertical="center"/>
    </xf>
    <xf numFmtId="0" fontId="81" fillId="0" borderId="0"/>
    <xf numFmtId="0" fontId="81" fillId="0" borderId="0">
      <alignment vertical="center"/>
    </xf>
    <xf numFmtId="0" fontId="81" fillId="0" borderId="0" applyBorder="0">
      <alignment vertical="center"/>
    </xf>
    <xf numFmtId="0" fontId="81" fillId="0" borderId="0"/>
    <xf numFmtId="0" fontId="81" fillId="0" borderId="0">
      <alignment vertical="center"/>
    </xf>
    <xf numFmtId="0" fontId="81" fillId="0" borderId="0"/>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xf numFmtId="0" fontId="81" fillId="0" borderId="0"/>
    <xf numFmtId="0" fontId="81" fillId="0" borderId="0"/>
    <xf numFmtId="0" fontId="81" fillId="0" borderId="0">
      <alignment vertical="center"/>
    </xf>
    <xf numFmtId="0" fontId="81" fillId="0" borderId="0"/>
    <xf numFmtId="0" fontId="81" fillId="0" borderId="0">
      <alignment vertical="center"/>
    </xf>
    <xf numFmtId="0" fontId="44" fillId="28" borderId="0" applyNumberFormat="0" applyBorder="0" applyAlignment="0" applyProtection="0">
      <alignment vertical="center"/>
    </xf>
    <xf numFmtId="0" fontId="81" fillId="0" borderId="0"/>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pplyBorder="0">
      <alignment vertical="center"/>
    </xf>
    <xf numFmtId="0" fontId="81" fillId="0" borderId="0"/>
    <xf numFmtId="0" fontId="81" fillId="0" borderId="0">
      <alignment vertical="center"/>
    </xf>
    <xf numFmtId="0" fontId="81" fillId="0" borderId="0"/>
    <xf numFmtId="0" fontId="81" fillId="0" borderId="0">
      <alignment vertical="center"/>
    </xf>
    <xf numFmtId="0" fontId="81" fillId="0" borderId="0" applyBorder="0">
      <alignment vertical="center"/>
    </xf>
    <xf numFmtId="0" fontId="81" fillId="0" borderId="0" applyBorder="0">
      <alignment vertical="center"/>
    </xf>
    <xf numFmtId="0" fontId="81" fillId="0" borderId="0"/>
    <xf numFmtId="0" fontId="81" fillId="0" borderId="0"/>
    <xf numFmtId="0" fontId="81" fillId="0" borderId="0" applyBorder="0">
      <alignment vertical="center"/>
    </xf>
    <xf numFmtId="0" fontId="81" fillId="0" borderId="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lignment vertical="center"/>
    </xf>
    <xf numFmtId="0" fontId="39" fillId="0" borderId="0">
      <alignment vertical="center"/>
    </xf>
    <xf numFmtId="0" fontId="81" fillId="0" borderId="0"/>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xf numFmtId="0" fontId="81" fillId="0" borderId="0" applyBorder="0">
      <alignment vertical="center"/>
    </xf>
    <xf numFmtId="0" fontId="81" fillId="0" borderId="0" applyBorder="0">
      <alignment vertical="center"/>
    </xf>
    <xf numFmtId="0" fontId="81" fillId="0" borderId="0"/>
    <xf numFmtId="0" fontId="81" fillId="0" borderId="0"/>
    <xf numFmtId="0" fontId="81" fillId="0" borderId="0" applyBorder="0">
      <alignment vertical="center"/>
    </xf>
    <xf numFmtId="0" fontId="81" fillId="0" borderId="0" applyBorder="0">
      <alignment vertical="center"/>
    </xf>
    <xf numFmtId="0" fontId="81" fillId="0" borderId="0"/>
    <xf numFmtId="0" fontId="81" fillId="0" borderId="0"/>
    <xf numFmtId="0" fontId="81" fillId="0" borderId="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xf numFmtId="0" fontId="81" fillId="0" borderId="0">
      <alignment vertical="center"/>
    </xf>
    <xf numFmtId="0" fontId="81" fillId="0" borderId="0">
      <alignment vertical="center"/>
    </xf>
    <xf numFmtId="0" fontId="81" fillId="0" borderId="0"/>
    <xf numFmtId="0" fontId="81" fillId="0" borderId="0" applyBorder="0">
      <alignment vertical="center"/>
    </xf>
    <xf numFmtId="0" fontId="81" fillId="0" borderId="0" applyBorder="0">
      <alignment vertical="center"/>
    </xf>
    <xf numFmtId="0" fontId="81" fillId="0" borderId="0"/>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alignment vertical="center"/>
    </xf>
    <xf numFmtId="0" fontId="81" fillId="0" borderId="0"/>
    <xf numFmtId="0" fontId="81" fillId="0" borderId="0"/>
    <xf numFmtId="0" fontId="81" fillId="0" borderId="0">
      <alignment vertical="center"/>
    </xf>
    <xf numFmtId="0" fontId="81" fillId="0" borderId="0"/>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xf numFmtId="0" fontId="81" fillId="0" borderId="0"/>
    <xf numFmtId="0" fontId="81" fillId="0" borderId="0" applyBorder="0">
      <alignment vertical="center"/>
    </xf>
    <xf numFmtId="0" fontId="81" fillId="0" borderId="0">
      <alignment vertical="center"/>
    </xf>
    <xf numFmtId="0" fontId="39" fillId="0" borderId="0">
      <alignment vertical="center"/>
    </xf>
    <xf numFmtId="0" fontId="81" fillId="0" borderId="0"/>
    <xf numFmtId="0" fontId="81" fillId="0" borderId="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xf numFmtId="0" fontId="39" fillId="0" borderId="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xf numFmtId="0" fontId="81" fillId="0" borderId="0"/>
    <xf numFmtId="0" fontId="81" fillId="0" borderId="0">
      <alignment vertical="center"/>
    </xf>
    <xf numFmtId="0" fontId="81" fillId="0" borderId="0"/>
    <xf numFmtId="0" fontId="81" fillId="0" borderId="0" applyBorder="0">
      <alignment vertical="center"/>
    </xf>
    <xf numFmtId="0" fontId="81" fillId="0" borderId="0">
      <alignment vertical="center"/>
    </xf>
    <xf numFmtId="0" fontId="81" fillId="0" borderId="0"/>
    <xf numFmtId="0" fontId="81" fillId="0" borderId="0"/>
    <xf numFmtId="0" fontId="81" fillId="0" borderId="0"/>
    <xf numFmtId="0" fontId="81" fillId="0" borderId="0"/>
    <xf numFmtId="0" fontId="81" fillId="0" borderId="0" applyBorder="0">
      <alignment vertical="center"/>
    </xf>
    <xf numFmtId="0" fontId="81" fillId="0" borderId="0"/>
    <xf numFmtId="0" fontId="81" fillId="0" borderId="0"/>
    <xf numFmtId="0" fontId="81" fillId="0" borderId="0"/>
    <xf numFmtId="0" fontId="81" fillId="0" borderId="0"/>
    <xf numFmtId="0" fontId="81" fillId="0" borderId="0"/>
    <xf numFmtId="0" fontId="81" fillId="0" borderId="0" applyBorder="0">
      <alignment vertical="center"/>
    </xf>
    <xf numFmtId="0" fontId="81" fillId="0" borderId="0"/>
    <xf numFmtId="0" fontId="81" fillId="0" borderId="0"/>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xf numFmtId="0" fontId="81" fillId="0" borderId="0"/>
    <xf numFmtId="0" fontId="81" fillId="0" borderId="0"/>
    <xf numFmtId="0" fontId="81" fillId="0" borderId="0"/>
    <xf numFmtId="0" fontId="81" fillId="0" borderId="0">
      <alignment vertical="center"/>
    </xf>
    <xf numFmtId="0" fontId="81" fillId="0" borderId="0"/>
    <xf numFmtId="0" fontId="81" fillId="0" borderId="0">
      <alignment vertical="center"/>
    </xf>
    <xf numFmtId="0" fontId="81" fillId="0" borderId="0"/>
    <xf numFmtId="0" fontId="81" fillId="0" borderId="0">
      <alignment vertical="center"/>
    </xf>
    <xf numFmtId="0" fontId="81" fillId="0" borderId="0"/>
    <xf numFmtId="0" fontId="81" fillId="0" borderId="0"/>
    <xf numFmtId="0" fontId="81" fillId="0" borderId="0" applyBorder="0">
      <alignment vertical="center"/>
    </xf>
    <xf numFmtId="0" fontId="81" fillId="0" borderId="0"/>
    <xf numFmtId="0" fontId="81" fillId="0" borderId="0">
      <alignment vertical="center"/>
    </xf>
    <xf numFmtId="0" fontId="81" fillId="0" borderId="0"/>
    <xf numFmtId="0" fontId="81" fillId="0" borderId="0">
      <alignment vertical="center"/>
    </xf>
    <xf numFmtId="0" fontId="81" fillId="0" borderId="0"/>
    <xf numFmtId="0" fontId="81" fillId="0" borderId="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xf numFmtId="0" fontId="81" fillId="0" borderId="0">
      <alignment vertical="center"/>
    </xf>
    <xf numFmtId="0" fontId="39" fillId="0" borderId="0">
      <alignment vertical="center"/>
    </xf>
    <xf numFmtId="0" fontId="81" fillId="0" borderId="0"/>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pplyBorder="0">
      <alignment vertical="center"/>
    </xf>
    <xf numFmtId="0" fontId="81" fillId="0" borderId="0">
      <alignment vertical="center"/>
    </xf>
    <xf numFmtId="0" fontId="81" fillId="0" borderId="0"/>
    <xf numFmtId="0" fontId="81" fillId="0" borderId="0" applyBorder="0">
      <alignment vertical="center"/>
    </xf>
    <xf numFmtId="0" fontId="81" fillId="0" borderId="0"/>
    <xf numFmtId="0" fontId="81" fillId="0" borderId="0"/>
    <xf numFmtId="0" fontId="81" fillId="0" borderId="0"/>
    <xf numFmtId="0" fontId="81" fillId="0" borderId="0"/>
    <xf numFmtId="0" fontId="81" fillId="0" borderId="0">
      <alignment vertical="center"/>
    </xf>
    <xf numFmtId="0" fontId="81" fillId="0" borderId="0"/>
    <xf numFmtId="0" fontId="81" fillId="0" borderId="0" applyBorder="0">
      <alignment vertical="center"/>
    </xf>
    <xf numFmtId="0" fontId="81" fillId="0" borderId="0" applyBorder="0">
      <alignment vertical="center"/>
    </xf>
    <xf numFmtId="0" fontId="81" fillId="0" borderId="0"/>
    <xf numFmtId="0" fontId="81" fillId="0" borderId="0"/>
    <xf numFmtId="0" fontId="81" fillId="0" borderId="0"/>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xf numFmtId="0" fontId="81" fillId="0" borderId="0"/>
    <xf numFmtId="0" fontId="81" fillId="0" borderId="0"/>
    <xf numFmtId="0" fontId="39" fillId="0" borderId="0">
      <alignment vertical="center"/>
    </xf>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39" fillId="0" borderId="0">
      <alignment vertical="center"/>
    </xf>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alignment vertical="center"/>
    </xf>
    <xf numFmtId="0" fontId="81" fillId="0" borderId="0"/>
    <xf numFmtId="0" fontId="81" fillId="0" borderId="0" applyBorder="0">
      <alignment vertical="center"/>
    </xf>
    <xf numFmtId="0" fontId="81" fillId="0" borderId="0"/>
    <xf numFmtId="0" fontId="81" fillId="0" borderId="0"/>
    <xf numFmtId="0" fontId="81" fillId="0" borderId="0" applyBorder="0">
      <alignment vertical="center"/>
    </xf>
    <xf numFmtId="0" fontId="81" fillId="0" borderId="0"/>
    <xf numFmtId="0" fontId="81" fillId="0" borderId="0"/>
    <xf numFmtId="0" fontId="81" fillId="0" borderId="0"/>
    <xf numFmtId="0" fontId="81" fillId="0" borderId="0">
      <alignment vertical="center"/>
    </xf>
    <xf numFmtId="0" fontId="81" fillId="0" borderId="0" applyBorder="0">
      <alignment vertical="center"/>
    </xf>
    <xf numFmtId="0" fontId="81" fillId="0" borderId="0"/>
    <xf numFmtId="0" fontId="81" fillId="0" borderId="0"/>
    <xf numFmtId="0" fontId="81" fillId="0" borderId="0">
      <alignment vertical="center"/>
    </xf>
    <xf numFmtId="0" fontId="81" fillId="0" borderId="0"/>
    <xf numFmtId="0" fontId="81" fillId="0" borderId="0" applyBorder="0">
      <alignment vertical="center"/>
    </xf>
    <xf numFmtId="0" fontId="81" fillId="0" borderId="0"/>
    <xf numFmtId="0" fontId="81" fillId="0" borderId="0">
      <alignment vertical="center"/>
    </xf>
    <xf numFmtId="0" fontId="81" fillId="0" borderId="0"/>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xf numFmtId="0" fontId="81" fillId="0" borderId="0"/>
    <xf numFmtId="0" fontId="81" fillId="0" borderId="0">
      <alignment vertical="center"/>
    </xf>
    <xf numFmtId="0" fontId="81" fillId="0" borderId="0"/>
    <xf numFmtId="0" fontId="81" fillId="0" borderId="0" applyBorder="0">
      <alignment vertical="center"/>
    </xf>
    <xf numFmtId="0" fontId="81" fillId="0" borderId="0"/>
    <xf numFmtId="0" fontId="44" fillId="22" borderId="0" applyNumberFormat="0" applyBorder="0" applyAlignment="0" applyProtection="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xf numFmtId="0" fontId="81" fillId="0" borderId="0"/>
    <xf numFmtId="0" fontId="81" fillId="0" borderId="0"/>
    <xf numFmtId="0" fontId="81" fillId="0" borderId="0"/>
    <xf numFmtId="0" fontId="81" fillId="0" borderId="0">
      <alignment vertical="center"/>
    </xf>
    <xf numFmtId="0" fontId="81" fillId="0" borderId="0"/>
    <xf numFmtId="0" fontId="81" fillId="0" borderId="0"/>
    <xf numFmtId="0" fontId="81" fillId="0" borderId="0">
      <alignment vertical="center"/>
    </xf>
    <xf numFmtId="0" fontId="81" fillId="0" borderId="0" applyBorder="0">
      <alignment vertical="center"/>
    </xf>
    <xf numFmtId="0" fontId="81" fillId="0" borderId="0"/>
    <xf numFmtId="0" fontId="81" fillId="0" borderId="0"/>
    <xf numFmtId="0" fontId="81" fillId="0" borderId="0">
      <alignment vertical="center"/>
    </xf>
    <xf numFmtId="0" fontId="81" fillId="0" borderId="0"/>
    <xf numFmtId="0" fontId="81" fillId="0" borderId="0">
      <alignment vertical="center"/>
    </xf>
    <xf numFmtId="0" fontId="81" fillId="0" borderId="0" applyBorder="0">
      <alignment vertical="center"/>
    </xf>
    <xf numFmtId="0" fontId="81" fillId="0" borderId="0"/>
    <xf numFmtId="0" fontId="44" fillId="22" borderId="0" applyNumberFormat="0" applyBorder="0" applyAlignment="0" applyProtection="0">
      <alignment vertical="center"/>
    </xf>
    <xf numFmtId="0" fontId="81" fillId="0" borderId="0" applyBorder="0">
      <alignment vertical="center"/>
    </xf>
    <xf numFmtId="0" fontId="81" fillId="0" borderId="0"/>
    <xf numFmtId="0" fontId="81" fillId="0" borderId="0"/>
    <xf numFmtId="0" fontId="81" fillId="0" borderId="0">
      <alignment vertical="center"/>
    </xf>
    <xf numFmtId="0" fontId="81" fillId="0" borderId="0"/>
    <xf numFmtId="0" fontId="81" fillId="0" borderId="0"/>
    <xf numFmtId="0" fontId="81" fillId="0" borderId="0" applyBorder="0">
      <alignment vertical="center"/>
    </xf>
    <xf numFmtId="0" fontId="81" fillId="0" borderId="0"/>
    <xf numFmtId="0" fontId="81" fillId="0" borderId="0"/>
    <xf numFmtId="0" fontId="81" fillId="0" borderId="0"/>
    <xf numFmtId="0" fontId="81" fillId="0" borderId="0"/>
    <xf numFmtId="0" fontId="81" fillId="0" borderId="0"/>
    <xf numFmtId="0" fontId="81" fillId="0" borderId="0">
      <alignment vertical="center"/>
    </xf>
    <xf numFmtId="0" fontId="81" fillId="0" borderId="0"/>
    <xf numFmtId="0" fontId="81" fillId="0" borderId="0" applyBorder="0">
      <alignment vertical="center"/>
    </xf>
    <xf numFmtId="0" fontId="81" fillId="0" borderId="0" applyBorder="0">
      <alignment vertical="center"/>
    </xf>
    <xf numFmtId="0" fontId="56" fillId="0" borderId="0" applyNumberFormat="0" applyFill="0" applyBorder="0" applyAlignment="0" applyProtection="0">
      <alignment vertical="center"/>
    </xf>
    <xf numFmtId="0" fontId="81" fillId="0" borderId="0"/>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xf numFmtId="0" fontId="81" fillId="0" borderId="0">
      <alignment vertical="center"/>
    </xf>
    <xf numFmtId="0" fontId="81" fillId="0" borderId="0"/>
    <xf numFmtId="0" fontId="81" fillId="0" borderId="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lignment vertical="center"/>
    </xf>
    <xf numFmtId="0" fontId="81" fillId="0" borderId="0"/>
    <xf numFmtId="0" fontId="81" fillId="0" borderId="0" applyBorder="0">
      <alignment vertical="center"/>
    </xf>
    <xf numFmtId="0" fontId="81" fillId="0" borderId="0" applyBorder="0">
      <alignment vertical="center"/>
    </xf>
    <xf numFmtId="0" fontId="81" fillId="0" borderId="0"/>
    <xf numFmtId="0" fontId="81" fillId="0" borderId="0"/>
    <xf numFmtId="0" fontId="81" fillId="0" borderId="0">
      <alignment vertical="center"/>
    </xf>
    <xf numFmtId="0" fontId="81" fillId="0" borderId="0"/>
    <xf numFmtId="0" fontId="81" fillId="0" borderId="0"/>
    <xf numFmtId="0" fontId="81" fillId="0" borderId="0"/>
    <xf numFmtId="0" fontId="81" fillId="0" borderId="0"/>
    <xf numFmtId="0" fontId="81" fillId="0" borderId="0" applyBorder="0">
      <alignment vertical="center"/>
    </xf>
    <xf numFmtId="0" fontId="81" fillId="0" borderId="0"/>
    <xf numFmtId="0" fontId="81" fillId="0" borderId="0"/>
    <xf numFmtId="0" fontId="81" fillId="0" borderId="0" applyBorder="0">
      <alignment vertical="center"/>
    </xf>
    <xf numFmtId="0" fontId="81" fillId="0" borderId="0" applyBorder="0">
      <alignment vertical="center"/>
    </xf>
    <xf numFmtId="0" fontId="81" fillId="0" borderId="0"/>
    <xf numFmtId="0" fontId="39" fillId="0" borderId="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xf numFmtId="0" fontId="81" fillId="0" borderId="0"/>
    <xf numFmtId="0" fontId="81" fillId="0" borderId="0">
      <alignment vertical="center"/>
    </xf>
    <xf numFmtId="0" fontId="81" fillId="0" borderId="0"/>
    <xf numFmtId="0" fontId="81" fillId="0" borderId="0"/>
    <xf numFmtId="0" fontId="81" fillId="0" borderId="0">
      <alignment vertical="center"/>
    </xf>
    <xf numFmtId="0" fontId="81" fillId="0" borderId="0">
      <alignment vertical="center"/>
    </xf>
    <xf numFmtId="0" fontId="81" fillId="0" borderId="0"/>
    <xf numFmtId="0" fontId="81" fillId="0" borderId="0"/>
    <xf numFmtId="0" fontId="81" fillId="0" borderId="0" applyBorder="0">
      <alignment vertical="center"/>
    </xf>
    <xf numFmtId="0" fontId="81" fillId="0" borderId="0"/>
    <xf numFmtId="0" fontId="81" fillId="0" borderId="0"/>
    <xf numFmtId="0" fontId="81" fillId="0" borderId="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xf numFmtId="0" fontId="81" fillId="0" borderId="0"/>
    <xf numFmtId="0" fontId="81" fillId="0" borderId="0"/>
    <xf numFmtId="0" fontId="81" fillId="0" borderId="0">
      <alignment vertical="center"/>
    </xf>
    <xf numFmtId="0" fontId="81" fillId="0" borderId="0">
      <alignment vertical="center"/>
    </xf>
    <xf numFmtId="0" fontId="81" fillId="0" borderId="0"/>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xf numFmtId="0" fontId="81" fillId="0" borderId="0"/>
    <xf numFmtId="0" fontId="81" fillId="0" borderId="0">
      <alignment vertical="center"/>
    </xf>
    <xf numFmtId="0" fontId="81" fillId="0" borderId="0"/>
    <xf numFmtId="0" fontId="81" fillId="0" borderId="0" applyBorder="0">
      <alignment vertical="center"/>
    </xf>
    <xf numFmtId="0" fontId="81" fillId="0" borderId="0"/>
    <xf numFmtId="0" fontId="81" fillId="0" borderId="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lignment vertical="center"/>
    </xf>
    <xf numFmtId="0" fontId="81" fillId="0" borderId="0" applyBorder="0">
      <alignment vertical="center"/>
    </xf>
    <xf numFmtId="0" fontId="81" fillId="0" borderId="0"/>
    <xf numFmtId="0" fontId="81" fillId="0" borderId="0" applyBorder="0">
      <alignment vertical="center"/>
    </xf>
    <xf numFmtId="0" fontId="39" fillId="0" borderId="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xf numFmtId="0" fontId="81" fillId="0" borderId="0">
      <alignment vertical="center"/>
    </xf>
    <xf numFmtId="0" fontId="81" fillId="0" borderId="0">
      <alignment vertical="center"/>
    </xf>
    <xf numFmtId="0" fontId="81" fillId="0" borderId="0"/>
    <xf numFmtId="0" fontId="81" fillId="0" borderId="0">
      <alignment vertical="center"/>
    </xf>
    <xf numFmtId="0" fontId="81" fillId="0" borderId="0"/>
    <xf numFmtId="0" fontId="81" fillId="0" borderId="0" applyBorder="0">
      <alignment vertical="center"/>
    </xf>
    <xf numFmtId="0" fontId="81" fillId="0" borderId="0"/>
    <xf numFmtId="0" fontId="81" fillId="0" borderId="0"/>
    <xf numFmtId="0" fontId="81" fillId="0" borderId="0" applyBorder="0">
      <alignment vertical="center"/>
    </xf>
    <xf numFmtId="0" fontId="81" fillId="0" borderId="0">
      <alignment vertical="center"/>
    </xf>
    <xf numFmtId="0" fontId="81" fillId="0" borderId="0"/>
    <xf numFmtId="0" fontId="81" fillId="0" borderId="0" applyBorder="0">
      <alignment vertical="center"/>
    </xf>
    <xf numFmtId="0" fontId="81" fillId="0" borderId="0">
      <alignment vertical="center"/>
    </xf>
    <xf numFmtId="0" fontId="81" fillId="0" borderId="0"/>
    <xf numFmtId="0" fontId="81" fillId="0" borderId="0"/>
    <xf numFmtId="0" fontId="81" fillId="0" borderId="0"/>
    <xf numFmtId="0" fontId="81" fillId="0" borderId="0" applyBorder="0">
      <alignment vertical="center"/>
    </xf>
    <xf numFmtId="0" fontId="81" fillId="0" borderId="0">
      <alignment vertical="center"/>
    </xf>
    <xf numFmtId="0" fontId="81" fillId="0" borderId="0"/>
    <xf numFmtId="0" fontId="81" fillId="0" borderId="0"/>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xf numFmtId="0" fontId="81" fillId="0" borderId="0" applyBorder="0">
      <alignment vertical="center"/>
    </xf>
    <xf numFmtId="0" fontId="81" fillId="0" borderId="0"/>
    <xf numFmtId="0" fontId="81" fillId="0" borderId="0"/>
    <xf numFmtId="0" fontId="81" fillId="0" borderId="0" applyBorder="0">
      <alignment vertical="center"/>
    </xf>
    <xf numFmtId="0" fontId="39" fillId="0" borderId="0">
      <alignment vertical="center"/>
    </xf>
    <xf numFmtId="0" fontId="81" fillId="0" borderId="0"/>
    <xf numFmtId="0" fontId="81" fillId="0" borderId="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xf numFmtId="0" fontId="81" fillId="0" borderId="0"/>
    <xf numFmtId="0" fontId="81" fillId="0" borderId="0"/>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xf numFmtId="0" fontId="81" fillId="0" borderId="0"/>
    <xf numFmtId="0" fontId="81" fillId="0" borderId="0"/>
    <xf numFmtId="0" fontId="81" fillId="0" borderId="0" applyBorder="0">
      <alignment vertical="center"/>
    </xf>
    <xf numFmtId="0" fontId="81" fillId="0" borderId="0"/>
    <xf numFmtId="0" fontId="81" fillId="0" borderId="0"/>
    <xf numFmtId="0" fontId="81" fillId="0" borderId="0">
      <alignment vertical="center"/>
    </xf>
    <xf numFmtId="0" fontId="39" fillId="0" borderId="0">
      <alignment vertical="center"/>
    </xf>
    <xf numFmtId="0" fontId="81" fillId="0" borderId="0"/>
    <xf numFmtId="0" fontId="81" fillId="0" borderId="0"/>
    <xf numFmtId="0" fontId="81" fillId="0" borderId="0"/>
    <xf numFmtId="0" fontId="81" fillId="0" borderId="0"/>
    <xf numFmtId="0" fontId="81" fillId="0" borderId="0">
      <alignment vertical="center"/>
    </xf>
    <xf numFmtId="0" fontId="81" fillId="0" borderId="0"/>
    <xf numFmtId="0" fontId="81" fillId="0" borderId="0"/>
    <xf numFmtId="0" fontId="81" fillId="0" borderId="0">
      <alignment vertical="center"/>
    </xf>
    <xf numFmtId="0" fontId="81" fillId="0" borderId="0"/>
    <xf numFmtId="0" fontId="81" fillId="0" borderId="0" applyBorder="0">
      <alignment vertical="center"/>
    </xf>
    <xf numFmtId="0" fontId="81" fillId="0" borderId="0"/>
    <xf numFmtId="0" fontId="81" fillId="0" borderId="0"/>
    <xf numFmtId="0" fontId="81" fillId="0" borderId="0"/>
    <xf numFmtId="0" fontId="81" fillId="0" borderId="0"/>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xf numFmtId="0" fontId="81" fillId="0" borderId="0"/>
    <xf numFmtId="0" fontId="81" fillId="0" borderId="0" applyBorder="0">
      <alignment vertical="center"/>
    </xf>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alignment vertical="center"/>
    </xf>
    <xf numFmtId="0" fontId="81" fillId="0" borderId="0"/>
    <xf numFmtId="0" fontId="81" fillId="0" borderId="0">
      <alignment vertical="center"/>
    </xf>
    <xf numFmtId="0" fontId="39" fillId="0" borderId="0">
      <alignment vertical="center"/>
    </xf>
    <xf numFmtId="0" fontId="81" fillId="0" borderId="0"/>
    <xf numFmtId="0" fontId="81" fillId="0" borderId="0">
      <alignment vertical="center"/>
    </xf>
    <xf numFmtId="0" fontId="81" fillId="0" borderId="0"/>
    <xf numFmtId="0" fontId="81" fillId="0" borderId="0">
      <alignment vertical="center"/>
    </xf>
    <xf numFmtId="0" fontId="81" fillId="0" borderId="0"/>
    <xf numFmtId="0" fontId="81" fillId="0" borderId="0">
      <alignment vertical="center"/>
    </xf>
    <xf numFmtId="0" fontId="81" fillId="0" borderId="0"/>
    <xf numFmtId="0" fontId="81" fillId="0" borderId="0">
      <alignment vertical="center"/>
    </xf>
    <xf numFmtId="0" fontId="81" fillId="0" borderId="0"/>
    <xf numFmtId="0" fontId="81" fillId="0" borderId="0">
      <alignment vertical="center"/>
    </xf>
    <xf numFmtId="0" fontId="81" fillId="0" borderId="0"/>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xf numFmtId="0" fontId="81" fillId="0" borderId="0" applyBorder="0">
      <alignment vertical="center"/>
    </xf>
    <xf numFmtId="0" fontId="81" fillId="0" borderId="0"/>
    <xf numFmtId="0" fontId="81" fillId="0" borderId="0">
      <alignment vertical="center"/>
    </xf>
    <xf numFmtId="0" fontId="81" fillId="0" borderId="0" applyBorder="0">
      <alignment vertical="center"/>
    </xf>
    <xf numFmtId="0" fontId="81" fillId="0" borderId="0"/>
    <xf numFmtId="0" fontId="81" fillId="0" borderId="0">
      <alignment vertical="center"/>
    </xf>
    <xf numFmtId="0" fontId="81" fillId="0" borderId="0"/>
    <xf numFmtId="0" fontId="81" fillId="0" borderId="0" applyBorder="0">
      <alignment vertical="center"/>
    </xf>
    <xf numFmtId="0" fontId="81" fillId="0" borderId="0"/>
    <xf numFmtId="0" fontId="81" fillId="0" borderId="0"/>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39" fillId="0" borderId="0">
      <alignment vertical="center"/>
    </xf>
    <xf numFmtId="0" fontId="81" fillId="0" borderId="0"/>
    <xf numFmtId="0" fontId="81" fillId="0" borderId="0"/>
    <xf numFmtId="0" fontId="81" fillId="0" borderId="0">
      <alignment vertical="center"/>
    </xf>
    <xf numFmtId="0" fontId="81" fillId="0" borderId="0"/>
    <xf numFmtId="0" fontId="81" fillId="0" borderId="0">
      <alignment vertical="center"/>
    </xf>
    <xf numFmtId="0" fontId="81" fillId="0" borderId="0"/>
    <xf numFmtId="0" fontId="81" fillId="0" borderId="0">
      <alignment vertical="center"/>
    </xf>
    <xf numFmtId="0" fontId="81" fillId="0" borderId="0"/>
    <xf numFmtId="0" fontId="81" fillId="0" borderId="0"/>
    <xf numFmtId="0" fontId="81" fillId="0" borderId="0" applyBorder="0">
      <alignment vertical="center"/>
    </xf>
    <xf numFmtId="0" fontId="81" fillId="0" borderId="0"/>
    <xf numFmtId="0" fontId="81" fillId="0" borderId="0"/>
    <xf numFmtId="0" fontId="81" fillId="0" borderId="0"/>
    <xf numFmtId="0" fontId="81" fillId="0" borderId="0"/>
    <xf numFmtId="0" fontId="81" fillId="0" borderId="0"/>
    <xf numFmtId="0" fontId="39" fillId="0" borderId="0">
      <alignment vertical="center"/>
    </xf>
    <xf numFmtId="0" fontId="81" fillId="0" borderId="0"/>
    <xf numFmtId="0" fontId="81" fillId="0" borderId="0"/>
    <xf numFmtId="0" fontId="81" fillId="0" borderId="0" applyBorder="0">
      <alignment vertical="center"/>
    </xf>
    <xf numFmtId="0" fontId="81" fillId="0" borderId="0"/>
    <xf numFmtId="0" fontId="81" fillId="0" borderId="0"/>
    <xf numFmtId="0" fontId="81" fillId="0" borderId="0" applyBorder="0">
      <alignment vertical="center"/>
    </xf>
    <xf numFmtId="0" fontId="81" fillId="0" borderId="0" applyBorder="0">
      <alignment vertical="center"/>
    </xf>
    <xf numFmtId="0" fontId="81" fillId="0" borderId="0"/>
    <xf numFmtId="0" fontId="81" fillId="0" borderId="0">
      <alignment vertical="center"/>
    </xf>
    <xf numFmtId="0" fontId="81" fillId="0" borderId="0"/>
    <xf numFmtId="0" fontId="81" fillId="0" borderId="0">
      <alignment vertical="center"/>
    </xf>
    <xf numFmtId="0" fontId="81" fillId="0" borderId="0"/>
    <xf numFmtId="0" fontId="81" fillId="0" borderId="0" applyBorder="0">
      <alignment vertical="center"/>
    </xf>
    <xf numFmtId="0" fontId="81" fillId="0" borderId="0"/>
    <xf numFmtId="0" fontId="81" fillId="0" borderId="0"/>
    <xf numFmtId="0" fontId="81" fillId="0" borderId="0" applyBorder="0">
      <alignment vertical="center"/>
    </xf>
    <xf numFmtId="0" fontId="81" fillId="0" borderId="0"/>
    <xf numFmtId="0" fontId="81" fillId="0" borderId="0"/>
    <xf numFmtId="0" fontId="39" fillId="0" borderId="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xf numFmtId="0" fontId="81" fillId="0" borderId="0"/>
    <xf numFmtId="0" fontId="81" fillId="0" borderId="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xf numFmtId="0" fontId="81" fillId="0" borderId="0"/>
    <xf numFmtId="0" fontId="81" fillId="0" borderId="0">
      <alignment vertical="center"/>
    </xf>
    <xf numFmtId="0" fontId="81" fillId="0" borderId="0"/>
    <xf numFmtId="0" fontId="81" fillId="0" borderId="0">
      <alignment vertical="center"/>
    </xf>
    <xf numFmtId="0" fontId="81" fillId="0" borderId="0"/>
    <xf numFmtId="0" fontId="39" fillId="0" borderId="0">
      <alignment vertical="center"/>
    </xf>
    <xf numFmtId="0" fontId="81" fillId="0" borderId="0"/>
    <xf numFmtId="0" fontId="39" fillId="0" borderId="0">
      <alignment vertical="center"/>
    </xf>
    <xf numFmtId="0" fontId="81" fillId="0" borderId="0"/>
    <xf numFmtId="0" fontId="81" fillId="0" borderId="0" applyBorder="0">
      <alignment vertical="center"/>
    </xf>
    <xf numFmtId="0" fontId="81" fillId="0" borderId="0" applyBorder="0">
      <alignment vertical="center"/>
    </xf>
    <xf numFmtId="0" fontId="81" fillId="0" borderId="0"/>
    <xf numFmtId="0" fontId="81" fillId="0" borderId="0">
      <alignment vertical="center"/>
    </xf>
    <xf numFmtId="0" fontId="81" fillId="0" borderId="0"/>
    <xf numFmtId="0" fontId="81" fillId="0" borderId="0">
      <alignment vertical="center"/>
    </xf>
    <xf numFmtId="0" fontId="81" fillId="0" borderId="0"/>
    <xf numFmtId="0" fontId="81" fillId="0" borderId="0" applyBorder="0">
      <alignment vertical="center"/>
    </xf>
    <xf numFmtId="0" fontId="81" fillId="0" borderId="0"/>
    <xf numFmtId="0" fontId="81" fillId="0" borderId="0"/>
    <xf numFmtId="0" fontId="81" fillId="0" borderId="0" applyBorder="0">
      <alignment vertical="center"/>
    </xf>
    <xf numFmtId="0" fontId="81" fillId="0" borderId="0"/>
    <xf numFmtId="0" fontId="81" fillId="0" borderId="0">
      <alignment vertical="center"/>
    </xf>
    <xf numFmtId="0" fontId="81" fillId="0" borderId="0"/>
    <xf numFmtId="0" fontId="81" fillId="0" borderId="0" applyBorder="0">
      <alignment vertical="center"/>
    </xf>
    <xf numFmtId="0" fontId="81" fillId="0" borderId="0" applyBorder="0">
      <alignment vertical="center"/>
    </xf>
    <xf numFmtId="0" fontId="81" fillId="0" borderId="0"/>
    <xf numFmtId="0" fontId="81" fillId="0" borderId="0"/>
    <xf numFmtId="0" fontId="81" fillId="0" borderId="0"/>
    <xf numFmtId="0" fontId="39" fillId="0" borderId="0">
      <alignment vertical="center"/>
    </xf>
    <xf numFmtId="0" fontId="81" fillId="0" borderId="0"/>
    <xf numFmtId="0" fontId="81" fillId="0" borderId="0" applyBorder="0">
      <alignment vertical="center"/>
    </xf>
    <xf numFmtId="0" fontId="81" fillId="0" borderId="0"/>
    <xf numFmtId="0" fontId="81" fillId="0" borderId="0"/>
    <xf numFmtId="0" fontId="81" fillId="0" borderId="0"/>
    <xf numFmtId="0" fontId="81" fillId="0" borderId="0" applyBorder="0">
      <alignment vertical="center"/>
    </xf>
    <xf numFmtId="0" fontId="81" fillId="0" borderId="0"/>
    <xf numFmtId="0" fontId="81" fillId="0" borderId="0"/>
    <xf numFmtId="0" fontId="81" fillId="0" borderId="0"/>
    <xf numFmtId="0" fontId="81" fillId="0" borderId="0"/>
    <xf numFmtId="0" fontId="81" fillId="0" borderId="0" applyBorder="0">
      <alignment vertical="center"/>
    </xf>
    <xf numFmtId="0" fontId="39" fillId="0" borderId="0">
      <alignment vertical="center"/>
    </xf>
    <xf numFmtId="0" fontId="81" fillId="0" borderId="0"/>
    <xf numFmtId="0" fontId="81" fillId="0" borderId="0">
      <alignment vertical="center"/>
    </xf>
    <xf numFmtId="0" fontId="81" fillId="0" borderId="0"/>
    <xf numFmtId="0" fontId="81" fillId="0" borderId="0" applyBorder="0">
      <alignment vertical="center"/>
    </xf>
    <xf numFmtId="0" fontId="81" fillId="0" borderId="0" applyBorder="0">
      <alignment vertical="center"/>
    </xf>
    <xf numFmtId="0" fontId="81" fillId="0" borderId="0"/>
    <xf numFmtId="0" fontId="81" fillId="0" borderId="0"/>
    <xf numFmtId="0" fontId="81" fillId="0" borderId="0"/>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xf numFmtId="0" fontId="81" fillId="0" borderId="0"/>
    <xf numFmtId="0" fontId="81" fillId="0" borderId="0"/>
    <xf numFmtId="0" fontId="81" fillId="0" borderId="0"/>
    <xf numFmtId="0" fontId="81" fillId="0" borderId="0" applyBorder="0">
      <alignment vertical="center"/>
    </xf>
    <xf numFmtId="0" fontId="81" fillId="0" borderId="0"/>
    <xf numFmtId="0" fontId="81" fillId="0" borderId="0"/>
    <xf numFmtId="0" fontId="81" fillId="0" borderId="0"/>
    <xf numFmtId="0" fontId="81" fillId="0" borderId="0" applyBorder="0">
      <alignment vertical="center"/>
    </xf>
    <xf numFmtId="0" fontId="81" fillId="0" borderId="0"/>
    <xf numFmtId="0" fontId="81" fillId="0" borderId="0"/>
    <xf numFmtId="0" fontId="81" fillId="0" borderId="0"/>
    <xf numFmtId="0" fontId="81" fillId="0" borderId="0" applyBorder="0">
      <alignment vertical="center"/>
    </xf>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applyBorder="0">
      <alignment vertical="center"/>
    </xf>
    <xf numFmtId="0" fontId="81" fillId="0" borderId="0"/>
    <xf numFmtId="0" fontId="81" fillId="0" borderId="0"/>
    <xf numFmtId="0" fontId="39" fillId="0" borderId="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xf numFmtId="0" fontId="81" fillId="0" borderId="0"/>
    <xf numFmtId="0" fontId="81" fillId="0" borderId="0" applyBorder="0">
      <alignment vertical="center"/>
    </xf>
    <xf numFmtId="0" fontId="81" fillId="0" borderId="0" applyBorder="0">
      <alignment vertical="center"/>
    </xf>
    <xf numFmtId="0" fontId="81" fillId="0" borderId="0"/>
    <xf numFmtId="0" fontId="81" fillId="0" borderId="0"/>
    <xf numFmtId="0" fontId="81" fillId="0" borderId="0" applyBorder="0">
      <alignment vertical="center"/>
    </xf>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applyBorder="0">
      <alignment vertical="center"/>
    </xf>
    <xf numFmtId="0" fontId="81" fillId="0" borderId="0"/>
    <xf numFmtId="0" fontId="81" fillId="0" borderId="0"/>
    <xf numFmtId="0" fontId="81" fillId="0" borderId="0"/>
    <xf numFmtId="0" fontId="81" fillId="0" borderId="0"/>
    <xf numFmtId="0" fontId="81" fillId="0" borderId="0" applyBorder="0">
      <alignment vertical="center"/>
    </xf>
    <xf numFmtId="0" fontId="81" fillId="0" borderId="0"/>
    <xf numFmtId="0" fontId="81" fillId="0" borderId="0"/>
    <xf numFmtId="0" fontId="81" fillId="0" borderId="0">
      <alignment vertical="center"/>
    </xf>
    <xf numFmtId="0" fontId="81" fillId="0" borderId="0"/>
    <xf numFmtId="0" fontId="81" fillId="0" borderId="0">
      <alignment vertical="center"/>
    </xf>
    <xf numFmtId="0" fontId="81" fillId="0" borderId="0"/>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lignment vertical="center"/>
    </xf>
    <xf numFmtId="0" fontId="81" fillId="0" borderId="0"/>
    <xf numFmtId="0" fontId="81" fillId="0" borderId="0" applyBorder="0">
      <alignment vertical="center"/>
    </xf>
    <xf numFmtId="0" fontId="81" fillId="0" borderId="0"/>
    <xf numFmtId="0" fontId="81" fillId="0" borderId="0">
      <alignment vertical="center"/>
    </xf>
    <xf numFmtId="0" fontId="81" fillId="0" borderId="0" applyBorder="0">
      <alignment vertical="center"/>
    </xf>
    <xf numFmtId="0" fontId="81" fillId="0" borderId="0"/>
    <xf numFmtId="0" fontId="81" fillId="0" borderId="0"/>
    <xf numFmtId="0" fontId="81" fillId="0" borderId="0" applyBorder="0">
      <alignment vertical="center"/>
    </xf>
    <xf numFmtId="0" fontId="81" fillId="0" borderId="0" applyBorder="0">
      <alignment vertical="center"/>
    </xf>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xf numFmtId="0" fontId="81" fillId="0" borderId="0">
      <alignment vertical="center"/>
    </xf>
    <xf numFmtId="0" fontId="81" fillId="0" borderId="0"/>
    <xf numFmtId="0" fontId="81" fillId="0" borderId="0"/>
    <xf numFmtId="0" fontId="81" fillId="0" borderId="0" applyBorder="0">
      <alignment vertical="center"/>
    </xf>
    <xf numFmtId="0" fontId="81" fillId="0" borderId="0"/>
    <xf numFmtId="0" fontId="81" fillId="0" borderId="0"/>
    <xf numFmtId="0" fontId="81" fillId="0" borderId="0" applyBorder="0">
      <alignment vertical="center"/>
    </xf>
    <xf numFmtId="0" fontId="81" fillId="0" borderId="0"/>
    <xf numFmtId="0" fontId="81" fillId="0" borderId="0"/>
    <xf numFmtId="0" fontId="81" fillId="0" borderId="0"/>
    <xf numFmtId="0" fontId="81" fillId="0" borderId="0"/>
    <xf numFmtId="0" fontId="81" fillId="0" borderId="0" applyBorder="0">
      <alignment vertical="center"/>
    </xf>
    <xf numFmtId="0" fontId="81" fillId="0" borderId="0"/>
    <xf numFmtId="0" fontId="81" fillId="0" borderId="0"/>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xf numFmtId="0" fontId="81" fillId="0" borderId="0"/>
    <xf numFmtId="0" fontId="81" fillId="0" borderId="0"/>
    <xf numFmtId="0" fontId="81" fillId="0" borderId="0">
      <alignment vertical="center"/>
    </xf>
    <xf numFmtId="0" fontId="81" fillId="0" borderId="0"/>
    <xf numFmtId="0" fontId="81" fillId="0" borderId="0">
      <alignment vertical="center"/>
    </xf>
    <xf numFmtId="0" fontId="81" fillId="0" borderId="0"/>
    <xf numFmtId="0" fontId="81" fillId="0" borderId="0"/>
    <xf numFmtId="0" fontId="81" fillId="0" borderId="0"/>
    <xf numFmtId="0" fontId="81" fillId="0" borderId="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xf numFmtId="0" fontId="81" fillId="0" borderId="0" applyBorder="0">
      <alignment vertical="center"/>
    </xf>
    <xf numFmtId="0" fontId="81" fillId="0" borderId="0"/>
    <xf numFmtId="0" fontId="81" fillId="0" borderId="0"/>
    <xf numFmtId="0" fontId="81" fillId="0" borderId="0"/>
    <xf numFmtId="0" fontId="81" fillId="0" borderId="0">
      <alignment vertical="center"/>
    </xf>
    <xf numFmtId="0" fontId="81" fillId="0" borderId="0"/>
    <xf numFmtId="0" fontId="81" fillId="0" borderId="0"/>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xf numFmtId="0" fontId="39" fillId="0" borderId="0">
      <alignment vertical="center"/>
    </xf>
    <xf numFmtId="0" fontId="81" fillId="0" borderId="0"/>
    <xf numFmtId="0" fontId="81" fillId="0" borderId="0" applyBorder="0">
      <alignment vertical="center"/>
    </xf>
    <xf numFmtId="0" fontId="81" fillId="0" borderId="0"/>
    <xf numFmtId="0" fontId="81" fillId="0" borderId="0"/>
    <xf numFmtId="0" fontId="81" fillId="0" borderId="0"/>
    <xf numFmtId="0" fontId="81" fillId="0" borderId="0" applyBorder="0">
      <alignment vertical="center"/>
    </xf>
    <xf numFmtId="0" fontId="81" fillId="0" borderId="0"/>
    <xf numFmtId="0" fontId="81" fillId="0" borderId="0"/>
    <xf numFmtId="0" fontId="81" fillId="0" borderId="0"/>
    <xf numFmtId="0" fontId="81" fillId="0" borderId="0"/>
    <xf numFmtId="0" fontId="81" fillId="0" borderId="0" applyBorder="0">
      <alignment vertical="center"/>
    </xf>
    <xf numFmtId="0" fontId="81" fillId="0" borderId="0"/>
    <xf numFmtId="0" fontId="81" fillId="0" borderId="0"/>
    <xf numFmtId="0" fontId="81" fillId="0" borderId="0" applyBorder="0">
      <alignment vertical="center"/>
    </xf>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alignment vertical="center"/>
    </xf>
    <xf numFmtId="0" fontId="81" fillId="0" borderId="0" applyBorder="0">
      <alignment vertical="center"/>
    </xf>
    <xf numFmtId="0" fontId="81" fillId="0" borderId="0"/>
    <xf numFmtId="0" fontId="81" fillId="0" borderId="0"/>
    <xf numFmtId="0" fontId="81" fillId="0" borderId="0"/>
    <xf numFmtId="0" fontId="81" fillId="0" borderId="0"/>
    <xf numFmtId="0" fontId="81" fillId="0" borderId="0" applyBorder="0">
      <alignment vertical="center"/>
    </xf>
    <xf numFmtId="0" fontId="81" fillId="0" borderId="0" applyBorder="0">
      <alignment vertical="center"/>
    </xf>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alignment vertical="center"/>
    </xf>
    <xf numFmtId="0" fontId="81" fillId="0" borderId="0"/>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39"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39"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alignment vertical="center"/>
    </xf>
    <xf numFmtId="0" fontId="81" fillId="0" borderId="0" applyBorder="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39" fillId="0" borderId="0">
      <alignment vertical="center"/>
    </xf>
    <xf numFmtId="0" fontId="81" fillId="0" borderId="0">
      <alignment vertical="center"/>
    </xf>
    <xf numFmtId="0" fontId="39" fillId="0" borderId="0">
      <alignment vertical="center"/>
    </xf>
    <xf numFmtId="0" fontId="81" fillId="0" borderId="0">
      <alignment vertical="center"/>
    </xf>
    <xf numFmtId="0" fontId="39" fillId="0" borderId="0">
      <alignment vertical="center"/>
    </xf>
    <xf numFmtId="0" fontId="81" fillId="0" borderId="0">
      <alignment vertical="center"/>
    </xf>
    <xf numFmtId="0" fontId="81" fillId="0" borderId="0">
      <alignment vertical="center"/>
    </xf>
    <xf numFmtId="0" fontId="37" fillId="0" borderId="0">
      <alignment vertical="center"/>
    </xf>
    <xf numFmtId="0" fontId="37" fillId="0" borderId="0"/>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37" fillId="0" borderId="0">
      <alignment vertical="center"/>
    </xf>
    <xf numFmtId="0" fontId="37" fillId="0" borderId="0"/>
    <xf numFmtId="0" fontId="81" fillId="0" borderId="0">
      <alignment vertical="center"/>
    </xf>
    <xf numFmtId="0" fontId="81" fillId="0" borderId="0" applyBorder="0">
      <alignment vertical="center"/>
    </xf>
    <xf numFmtId="0" fontId="81" fillId="0" borderId="0">
      <alignment vertical="center"/>
    </xf>
    <xf numFmtId="0" fontId="47" fillId="0" borderId="0" applyBorder="0">
      <alignment vertical="center"/>
    </xf>
    <xf numFmtId="0" fontId="37" fillId="0" borderId="0"/>
    <xf numFmtId="0" fontId="37" fillId="0" borderId="0"/>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47"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7" fillId="0" borderId="0"/>
    <xf numFmtId="0" fontId="81" fillId="0" borderId="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37" fillId="0" borderId="0">
      <alignment vertical="center"/>
    </xf>
    <xf numFmtId="0" fontId="37" fillId="0" borderId="0"/>
    <xf numFmtId="0" fontId="81" fillId="0" borderId="0">
      <alignment vertical="center"/>
    </xf>
    <xf numFmtId="0" fontId="47" fillId="0" borderId="0" applyBorder="0">
      <alignment vertical="center"/>
    </xf>
    <xf numFmtId="0" fontId="81" fillId="0" borderId="0">
      <alignment vertical="center"/>
    </xf>
    <xf numFmtId="0" fontId="37" fillId="0" borderId="0">
      <alignment vertical="center"/>
    </xf>
    <xf numFmtId="0" fontId="37" fillId="0" borderId="0"/>
    <xf numFmtId="0" fontId="81" fillId="0" borderId="0">
      <alignment vertical="center"/>
    </xf>
    <xf numFmtId="0" fontId="81" fillId="0" borderId="0" applyBorder="0">
      <alignment vertical="center"/>
    </xf>
    <xf numFmtId="0" fontId="81" fillId="0" borderId="0"/>
    <xf numFmtId="0" fontId="37" fillId="0" borderId="0"/>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39" fillId="0" borderId="0">
      <alignment vertical="center"/>
    </xf>
    <xf numFmtId="0" fontId="81" fillId="0" borderId="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39"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49" fillId="5" borderId="37" applyNumberFormat="0" applyAlignment="0" applyProtection="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37" fillId="0" borderId="0"/>
    <xf numFmtId="0" fontId="81" fillId="0" borderId="0" applyBorder="0">
      <alignment vertical="center"/>
    </xf>
    <xf numFmtId="0" fontId="81" fillId="0" borderId="0">
      <alignment vertical="center"/>
    </xf>
    <xf numFmtId="0" fontId="81" fillId="0" borderId="0" applyBorder="0">
      <alignment vertical="center"/>
    </xf>
    <xf numFmtId="0" fontId="47"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xf numFmtId="0" fontId="39"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lignment vertical="center"/>
    </xf>
    <xf numFmtId="0" fontId="39"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44" fillId="26" borderId="0" applyNumberFormat="0" applyBorder="0" applyAlignment="0" applyProtection="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44" fillId="26" borderId="0" applyNumberFormat="0" applyBorder="0" applyAlignment="0" applyProtection="0">
      <alignment vertical="center"/>
    </xf>
    <xf numFmtId="0" fontId="81" fillId="0" borderId="0">
      <alignment vertical="center"/>
    </xf>
    <xf numFmtId="0" fontId="81" fillId="0" borderId="0" applyBorder="0">
      <alignment vertical="center"/>
    </xf>
    <xf numFmtId="0" fontId="39" fillId="0" borderId="0">
      <alignment vertical="center"/>
    </xf>
    <xf numFmtId="0" fontId="44" fillId="26" borderId="0" applyNumberFormat="0" applyBorder="0" applyAlignment="0" applyProtection="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37"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44" fillId="26" borderId="0" applyNumberFormat="0" applyBorder="0" applyAlignment="0" applyProtection="0">
      <alignment vertical="center"/>
    </xf>
    <xf numFmtId="0" fontId="81" fillId="0" borderId="0" applyBorder="0">
      <alignment vertical="center"/>
    </xf>
    <xf numFmtId="0" fontId="5" fillId="0" borderId="0"/>
    <xf numFmtId="0" fontId="81" fillId="0" borderId="0"/>
    <xf numFmtId="0" fontId="37" fillId="0" borderId="0"/>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xf numFmtId="0" fontId="81" fillId="0" borderId="0"/>
    <xf numFmtId="0" fontId="81" fillId="0" borderId="0"/>
    <xf numFmtId="0" fontId="81" fillId="0" borderId="0"/>
    <xf numFmtId="0" fontId="81" fillId="0" borderId="0">
      <alignment vertical="center"/>
    </xf>
    <xf numFmtId="0" fontId="81" fillId="0" borderId="0"/>
    <xf numFmtId="0" fontId="81" fillId="0" borderId="0">
      <alignment vertical="center"/>
    </xf>
    <xf numFmtId="0" fontId="37" fillId="0" borderId="0">
      <alignment vertical="center"/>
    </xf>
    <xf numFmtId="0" fontId="81" fillId="0" borderId="0">
      <alignment vertical="center"/>
    </xf>
    <xf numFmtId="0" fontId="81" fillId="0" borderId="0">
      <alignment vertical="center"/>
    </xf>
    <xf numFmtId="0" fontId="81" fillId="0" borderId="0"/>
    <xf numFmtId="0" fontId="81" fillId="0" borderId="0" applyBorder="0">
      <alignment vertical="center"/>
    </xf>
    <xf numFmtId="0" fontId="81" fillId="0" borderId="0"/>
    <xf numFmtId="0" fontId="81" fillId="0" borderId="0">
      <alignment vertical="center"/>
    </xf>
    <xf numFmtId="0" fontId="81" fillId="0" borderId="0"/>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lignment vertical="center"/>
    </xf>
    <xf numFmtId="0" fontId="81" fillId="0" borderId="0"/>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xf numFmtId="0" fontId="81" fillId="0" borderId="0">
      <alignment vertical="center"/>
    </xf>
    <xf numFmtId="0" fontId="81" fillId="0" borderId="0" applyBorder="0">
      <alignment vertical="center"/>
    </xf>
    <xf numFmtId="0" fontId="81" fillId="0" borderId="0" applyBorder="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xf numFmtId="0" fontId="81" fillId="0" borderId="0">
      <alignment vertical="center"/>
    </xf>
    <xf numFmtId="0" fontId="81" fillId="0" borderId="0">
      <alignment vertical="center"/>
    </xf>
    <xf numFmtId="0" fontId="81" fillId="0" borderId="0"/>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xf numFmtId="0" fontId="81" fillId="0" borderId="0">
      <alignment vertical="center"/>
    </xf>
    <xf numFmtId="0" fontId="81" fillId="0" borderId="0"/>
    <xf numFmtId="0" fontId="81" fillId="0" borderId="0"/>
    <xf numFmtId="0" fontId="81" fillId="0" borderId="0">
      <alignment vertical="center"/>
    </xf>
    <xf numFmtId="0" fontId="81" fillId="0" borderId="0" applyBorder="0">
      <alignment vertical="center"/>
    </xf>
    <xf numFmtId="0" fontId="81" fillId="0" borderId="0"/>
    <xf numFmtId="0" fontId="81" fillId="0" borderId="0">
      <alignment vertical="center"/>
    </xf>
    <xf numFmtId="0" fontId="81" fillId="0" borderId="0"/>
    <xf numFmtId="0" fontId="81" fillId="0" borderId="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xf numFmtId="0" fontId="81" fillId="0" borderId="0"/>
    <xf numFmtId="0" fontId="81" fillId="0" borderId="0">
      <alignment vertical="center"/>
    </xf>
    <xf numFmtId="0" fontId="81" fillId="0" borderId="0">
      <alignment vertical="center"/>
    </xf>
    <xf numFmtId="0" fontId="81" fillId="0" borderId="0">
      <alignment vertical="center"/>
    </xf>
    <xf numFmtId="0" fontId="81" fillId="0" borderId="0"/>
    <xf numFmtId="0" fontId="81" fillId="0" borderId="0" applyBorder="0">
      <alignment vertical="center"/>
    </xf>
    <xf numFmtId="0" fontId="81" fillId="0" borderId="0"/>
    <xf numFmtId="0" fontId="81" fillId="0" borderId="0">
      <alignment vertical="center"/>
    </xf>
    <xf numFmtId="0" fontId="81" fillId="0" borderId="0">
      <alignment vertical="center"/>
    </xf>
    <xf numFmtId="0" fontId="37"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37" fillId="0" borderId="0">
      <alignment vertical="center"/>
    </xf>
    <xf numFmtId="0" fontId="81" fillId="0" borderId="0">
      <alignment vertical="center"/>
    </xf>
    <xf numFmtId="0" fontId="81" fillId="0" borderId="0" applyBorder="0">
      <alignment vertical="center"/>
    </xf>
    <xf numFmtId="0" fontId="81" fillId="0" borderId="0"/>
    <xf numFmtId="0" fontId="5" fillId="0" borderId="0"/>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xf numFmtId="0" fontId="81" fillId="0" borderId="0">
      <alignment vertical="center"/>
    </xf>
    <xf numFmtId="0" fontId="37" fillId="0" borderId="0">
      <alignment vertical="center"/>
    </xf>
    <xf numFmtId="0" fontId="81" fillId="0" borderId="0">
      <alignment vertical="center"/>
    </xf>
    <xf numFmtId="0" fontId="81" fillId="0" borderId="0">
      <alignment vertical="center"/>
    </xf>
    <xf numFmtId="0" fontId="81" fillId="0" borderId="0"/>
    <xf numFmtId="0" fontId="81" fillId="0" borderId="0">
      <alignment vertical="center"/>
    </xf>
    <xf numFmtId="0" fontId="81" fillId="0" borderId="0"/>
    <xf numFmtId="0" fontId="81" fillId="0" borderId="0">
      <alignment vertical="center"/>
    </xf>
    <xf numFmtId="0" fontId="81" fillId="0" borderId="0" applyBorder="0">
      <alignment vertical="center"/>
    </xf>
    <xf numFmtId="0" fontId="81" fillId="0" borderId="0"/>
    <xf numFmtId="0" fontId="81" fillId="0" borderId="0">
      <alignment vertical="center"/>
    </xf>
    <xf numFmtId="0" fontId="37"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47"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5"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37" fillId="0" borderId="0"/>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47"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39"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39" fillId="0" borderId="0">
      <alignment vertical="center"/>
    </xf>
    <xf numFmtId="0" fontId="81" fillId="0" borderId="0">
      <alignment vertical="center"/>
    </xf>
    <xf numFmtId="0" fontId="39"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47" fillId="0" borderId="0" applyBorder="0">
      <alignment vertical="center"/>
    </xf>
    <xf numFmtId="0" fontId="81" fillId="0" borderId="0">
      <alignment vertical="center"/>
    </xf>
    <xf numFmtId="0" fontId="81" fillId="0" borderId="0" applyBorder="0">
      <alignment vertical="center"/>
    </xf>
    <xf numFmtId="0" fontId="37" fillId="0" borderId="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47" fillId="0" borderId="0" applyBorder="0">
      <alignment vertical="center"/>
    </xf>
    <xf numFmtId="0" fontId="50" fillId="10" borderId="37" applyNumberFormat="0" applyAlignment="0" applyProtection="0">
      <alignment vertical="center"/>
    </xf>
    <xf numFmtId="0" fontId="81" fillId="0" borderId="0"/>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37" fillId="0" borderId="0">
      <alignment vertical="center"/>
    </xf>
    <xf numFmtId="0" fontId="81" fillId="0" borderId="0" applyBorder="0">
      <alignment vertical="center"/>
    </xf>
    <xf numFmtId="0" fontId="47"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xf numFmtId="0" fontId="81" fillId="0" borderId="0"/>
    <xf numFmtId="0" fontId="81" fillId="0" borderId="0"/>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lignment vertical="center"/>
    </xf>
    <xf numFmtId="0" fontId="81" fillId="0" borderId="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xf numFmtId="0" fontId="81"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39" fillId="0" borderId="0" applyProtection="0">
      <alignment vertical="center"/>
    </xf>
    <xf numFmtId="0" fontId="81" fillId="0" borderId="0"/>
    <xf numFmtId="0" fontId="81" fillId="0" borderId="0">
      <alignment vertical="center"/>
    </xf>
    <xf numFmtId="0" fontId="39" fillId="0" borderId="0" applyProtection="0">
      <alignment vertical="center"/>
    </xf>
    <xf numFmtId="0" fontId="81" fillId="0" borderId="0"/>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39" fillId="0" borderId="0" applyProtection="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39"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xf numFmtId="0" fontId="81" fillId="0" borderId="0">
      <alignment vertical="center"/>
    </xf>
    <xf numFmtId="0" fontId="81" fillId="0" borderId="0"/>
    <xf numFmtId="0" fontId="81" fillId="0" borderId="0" applyBorder="0">
      <alignment vertical="center"/>
    </xf>
    <xf numFmtId="0" fontId="81" fillId="0" borderId="0"/>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xf numFmtId="0" fontId="81" fillId="0" borderId="0" applyBorder="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xf numFmtId="0" fontId="81" fillId="0" borderId="0" applyBorder="0">
      <alignment vertical="center"/>
    </xf>
    <xf numFmtId="0" fontId="81" fillId="0" borderId="0"/>
    <xf numFmtId="0" fontId="81" fillId="0" borderId="0"/>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xf numFmtId="0" fontId="81" fillId="0" borderId="0"/>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xf numFmtId="0" fontId="81" fillId="0" borderId="0"/>
    <xf numFmtId="0" fontId="81" fillId="0" borderId="0">
      <alignment vertical="center"/>
    </xf>
    <xf numFmtId="0" fontId="81" fillId="0" borderId="0"/>
    <xf numFmtId="0" fontId="81" fillId="0" borderId="0" applyBorder="0">
      <alignment vertical="center"/>
    </xf>
    <xf numFmtId="0" fontId="81" fillId="0" borderId="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lignment vertical="center"/>
    </xf>
    <xf numFmtId="0" fontId="81" fillId="0" borderId="0"/>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xf numFmtId="0" fontId="81" fillId="0" borderId="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39" fillId="0" borderId="0">
      <alignment vertical="center"/>
    </xf>
    <xf numFmtId="0" fontId="81" fillId="0" borderId="0"/>
    <xf numFmtId="0" fontId="39" fillId="0" borderId="0">
      <alignment vertical="center"/>
    </xf>
    <xf numFmtId="0" fontId="81" fillId="0" borderId="0"/>
    <xf numFmtId="0" fontId="81" fillId="0" borderId="0">
      <alignment vertical="center"/>
    </xf>
    <xf numFmtId="0" fontId="81" fillId="0" borderId="0"/>
    <xf numFmtId="0" fontId="81" fillId="0" borderId="0" applyBorder="0">
      <alignment vertical="center"/>
    </xf>
    <xf numFmtId="0" fontId="81" fillId="0" borderId="0" applyBorder="0">
      <alignment vertical="center"/>
    </xf>
    <xf numFmtId="0" fontId="81" fillId="0" borderId="0"/>
    <xf numFmtId="0" fontId="81" fillId="0" borderId="0"/>
    <xf numFmtId="0" fontId="81" fillId="0" borderId="0"/>
    <xf numFmtId="0" fontId="81" fillId="0" borderId="0"/>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xf numFmtId="0" fontId="81" fillId="0" borderId="0"/>
    <xf numFmtId="0" fontId="81" fillId="0" borderId="0"/>
    <xf numFmtId="0" fontId="81" fillId="0" borderId="0" applyBorder="0">
      <alignment vertical="center"/>
    </xf>
    <xf numFmtId="0" fontId="39"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xf numFmtId="0" fontId="81" fillId="0" borderId="0" applyBorder="0">
      <alignment vertical="center"/>
    </xf>
    <xf numFmtId="0" fontId="81" fillId="0" borderId="0"/>
    <xf numFmtId="0" fontId="81" fillId="0" borderId="0"/>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lignment vertical="center"/>
    </xf>
    <xf numFmtId="0" fontId="81" fillId="0" borderId="0" applyBorder="0">
      <alignment vertical="center"/>
    </xf>
    <xf numFmtId="0" fontId="81" fillId="0" borderId="0"/>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39" fillId="0" borderId="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xf numFmtId="0" fontId="81" fillId="0" borderId="0" applyBorder="0">
      <alignment vertical="center"/>
    </xf>
    <xf numFmtId="0" fontId="81" fillId="0" borderId="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lignment vertical="center"/>
    </xf>
    <xf numFmtId="0" fontId="81" fillId="0" borderId="0"/>
    <xf numFmtId="0" fontId="81" fillId="0" borderId="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xf numFmtId="0" fontId="81" fillId="0" borderId="0" applyBorder="0">
      <alignment vertical="center"/>
    </xf>
    <xf numFmtId="0" fontId="81" fillId="0" borderId="0"/>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lignment vertical="center"/>
    </xf>
    <xf numFmtId="0" fontId="81" fillId="0" borderId="0"/>
    <xf numFmtId="0" fontId="81" fillId="0" borderId="0">
      <alignment vertical="center"/>
    </xf>
    <xf numFmtId="0" fontId="81" fillId="0" borderId="0"/>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xf numFmtId="0" fontId="81" fillId="0" borderId="0" applyBorder="0">
      <alignment vertical="center"/>
    </xf>
    <xf numFmtId="0" fontId="81" fillId="0" borderId="0"/>
    <xf numFmtId="0" fontId="81" fillId="0" borderId="0">
      <alignment vertical="center"/>
    </xf>
    <xf numFmtId="0" fontId="81" fillId="0" borderId="0"/>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pplyBorder="0">
      <alignment vertical="center"/>
    </xf>
    <xf numFmtId="0" fontId="81" fillId="0" borderId="0"/>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xf numFmtId="0" fontId="81" fillId="0" borderId="0"/>
    <xf numFmtId="0" fontId="81" fillId="0" borderId="0">
      <alignment vertical="center"/>
    </xf>
    <xf numFmtId="0" fontId="81" fillId="0" borderId="0"/>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xf numFmtId="0" fontId="81" fillId="0" borderId="0">
      <alignment vertical="center"/>
    </xf>
    <xf numFmtId="0" fontId="81" fillId="0" borderId="0"/>
    <xf numFmtId="0" fontId="81" fillId="0" borderId="0"/>
    <xf numFmtId="0" fontId="81" fillId="0" borderId="0" applyBorder="0">
      <alignment vertical="center"/>
    </xf>
    <xf numFmtId="0" fontId="81" fillId="0" borderId="0"/>
    <xf numFmtId="0" fontId="81" fillId="0" borderId="0"/>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xf numFmtId="0" fontId="81" fillId="0" borderId="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xf numFmtId="0" fontId="81" fillId="0" borderId="0">
      <alignment vertical="center"/>
    </xf>
    <xf numFmtId="0" fontId="81" fillId="0" borderId="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xf numFmtId="0" fontId="81" fillId="0" borderId="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xf numFmtId="0" fontId="81" fillId="0" borderId="0"/>
    <xf numFmtId="0" fontId="81" fillId="0" borderId="0"/>
    <xf numFmtId="0" fontId="81" fillId="0" borderId="0">
      <alignment vertical="center"/>
    </xf>
    <xf numFmtId="0" fontId="81" fillId="0" borderId="0"/>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39" fillId="0" borderId="0">
      <alignment vertical="center"/>
    </xf>
    <xf numFmtId="0" fontId="81" fillId="0" borderId="0"/>
    <xf numFmtId="0" fontId="81" fillId="0" borderId="0" applyBorder="0">
      <alignment vertical="center"/>
    </xf>
    <xf numFmtId="0" fontId="81" fillId="0" borderId="0"/>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xf numFmtId="0" fontId="81" fillId="0" borderId="0">
      <alignment vertical="center"/>
    </xf>
    <xf numFmtId="0" fontId="81" fillId="0" borderId="0"/>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lignment vertical="center"/>
    </xf>
    <xf numFmtId="0" fontId="81" fillId="0" borderId="0" applyBorder="0">
      <alignment vertical="center"/>
    </xf>
    <xf numFmtId="0" fontId="81" fillId="0" borderId="0" applyBorder="0">
      <alignment vertical="center"/>
    </xf>
    <xf numFmtId="0" fontId="81" fillId="0" borderId="0"/>
    <xf numFmtId="0" fontId="81" fillId="0" borderId="0">
      <alignment vertical="center"/>
    </xf>
    <xf numFmtId="0" fontId="81" fillId="0" borderId="0" applyBorder="0">
      <alignment vertical="center"/>
    </xf>
    <xf numFmtId="0" fontId="81" fillId="0" borderId="0" applyBorder="0">
      <alignment vertical="center"/>
    </xf>
    <xf numFmtId="0" fontId="81" fillId="0" borderId="0"/>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xf numFmtId="0" fontId="39" fillId="0" borderId="0">
      <alignment vertical="center"/>
    </xf>
    <xf numFmtId="0" fontId="81" fillId="0" borderId="0"/>
    <xf numFmtId="0" fontId="81" fillId="0" borderId="0" applyBorder="0">
      <alignment vertical="center"/>
    </xf>
    <xf numFmtId="0" fontId="81" fillId="0" borderId="0"/>
    <xf numFmtId="0" fontId="81" fillId="0" borderId="0"/>
    <xf numFmtId="0" fontId="81" fillId="0" borderId="0"/>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lignment vertical="center"/>
    </xf>
    <xf numFmtId="0" fontId="81" fillId="0" borderId="0" applyBorder="0">
      <alignment vertical="center"/>
    </xf>
    <xf numFmtId="0" fontId="81" fillId="0" borderId="0"/>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xf numFmtId="0" fontId="81" fillId="0" borderId="0"/>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lignment vertical="center"/>
    </xf>
    <xf numFmtId="0" fontId="81" fillId="0" borderId="0"/>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lignment vertical="center"/>
    </xf>
    <xf numFmtId="0" fontId="81" fillId="0" borderId="0">
      <alignment vertical="center"/>
    </xf>
    <xf numFmtId="0" fontId="81" fillId="0" borderId="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xf numFmtId="0" fontId="81" fillId="0" borderId="0"/>
    <xf numFmtId="0" fontId="81" fillId="0" borderId="0"/>
    <xf numFmtId="0" fontId="81" fillId="0" borderId="0" applyBorder="0">
      <alignment vertical="center"/>
    </xf>
    <xf numFmtId="0" fontId="81" fillId="0" borderId="0"/>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39" fillId="0" borderId="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39"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39" fillId="0" borderId="0">
      <alignment vertical="center"/>
    </xf>
    <xf numFmtId="0" fontId="81" fillId="0" borderId="0"/>
    <xf numFmtId="0" fontId="81" fillId="0" borderId="0">
      <alignment vertical="center"/>
    </xf>
    <xf numFmtId="0" fontId="81" fillId="0" borderId="0">
      <alignment vertical="center"/>
    </xf>
    <xf numFmtId="0" fontId="39" fillId="0" borderId="0">
      <alignment vertical="center"/>
    </xf>
    <xf numFmtId="0" fontId="81" fillId="0" borderId="0" applyBorder="0">
      <alignment vertical="center"/>
    </xf>
    <xf numFmtId="0" fontId="81" fillId="0" borderId="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xf numFmtId="0" fontId="81" fillId="0" borderId="0" applyBorder="0">
      <alignment vertical="center"/>
    </xf>
    <xf numFmtId="0" fontId="81" fillId="0" borderId="0">
      <alignment vertical="center"/>
    </xf>
    <xf numFmtId="0" fontId="81" fillId="0" borderId="0"/>
    <xf numFmtId="0" fontId="81" fillId="0" borderId="0" applyBorder="0">
      <alignment vertical="center"/>
    </xf>
    <xf numFmtId="0" fontId="81" fillId="0" borderId="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xf numFmtId="0" fontId="81" fillId="0" borderId="0"/>
    <xf numFmtId="0" fontId="81" fillId="0" borderId="0" applyBorder="0">
      <alignment vertical="center"/>
    </xf>
    <xf numFmtId="0" fontId="81" fillId="0" borderId="0"/>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xf numFmtId="0" fontId="81" fillId="0" borderId="0"/>
    <xf numFmtId="0" fontId="81" fillId="0" borderId="0" applyBorder="0">
      <alignment vertical="center"/>
    </xf>
    <xf numFmtId="0" fontId="81" fillId="0" borderId="0" applyBorder="0">
      <alignment vertical="center"/>
    </xf>
    <xf numFmtId="0" fontId="81" fillId="0" borderId="0"/>
    <xf numFmtId="0" fontId="81" fillId="0" borderId="0">
      <alignment vertical="center"/>
    </xf>
    <xf numFmtId="0" fontId="81" fillId="0" borderId="0"/>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pplyBorder="0">
      <alignment vertical="center"/>
    </xf>
    <xf numFmtId="0" fontId="81" fillId="0" borderId="0" applyBorder="0">
      <alignment vertical="center"/>
    </xf>
    <xf numFmtId="0" fontId="81" fillId="0" borderId="0"/>
    <xf numFmtId="0" fontId="81" fillId="0" borderId="0">
      <alignment vertical="center"/>
    </xf>
    <xf numFmtId="0" fontId="81" fillId="0" borderId="0"/>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xf numFmtId="0" fontId="81" fillId="0" borderId="0"/>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xf numFmtId="0" fontId="81" fillId="0" borderId="0" applyBorder="0">
      <alignment vertical="center"/>
    </xf>
    <xf numFmtId="0" fontId="81" fillId="0" borderId="0" applyBorder="0">
      <alignment vertical="center"/>
    </xf>
    <xf numFmtId="0" fontId="81" fillId="0" borderId="0"/>
    <xf numFmtId="0" fontId="81" fillId="0" borderId="0">
      <alignment vertical="center"/>
    </xf>
    <xf numFmtId="0" fontId="81" fillId="0" borderId="0"/>
    <xf numFmtId="0" fontId="81" fillId="0" borderId="0">
      <alignment vertical="center"/>
    </xf>
    <xf numFmtId="0" fontId="81" fillId="0" borderId="0" applyBorder="0">
      <alignment vertical="center"/>
    </xf>
    <xf numFmtId="0" fontId="81" fillId="0" borderId="0"/>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lignment vertical="center"/>
    </xf>
    <xf numFmtId="0" fontId="81" fillId="0" borderId="0" applyBorder="0">
      <alignment vertical="center"/>
    </xf>
    <xf numFmtId="0" fontId="81" fillId="0" borderId="0" applyBorder="0">
      <alignment vertical="center"/>
    </xf>
    <xf numFmtId="0" fontId="81" fillId="0" borderId="0"/>
    <xf numFmtId="0" fontId="81" fillId="0" borderId="0">
      <alignment vertical="center"/>
    </xf>
    <xf numFmtId="0" fontId="81" fillId="0" borderId="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xf numFmtId="0" fontId="81" fillId="0" borderId="0"/>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pplyBorder="0">
      <alignment vertical="center"/>
    </xf>
    <xf numFmtId="0" fontId="81" fillId="0" borderId="0"/>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39"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39" fillId="0" borderId="0">
      <alignment vertical="center"/>
    </xf>
    <xf numFmtId="0" fontId="81"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xf numFmtId="0" fontId="81" fillId="0" borderId="0"/>
    <xf numFmtId="0" fontId="39" fillId="0" borderId="0">
      <alignment vertical="center"/>
    </xf>
    <xf numFmtId="0" fontId="81" fillId="0" borderId="0"/>
    <xf numFmtId="0" fontId="81" fillId="0" borderId="0" applyBorder="0">
      <alignment vertical="center"/>
    </xf>
    <xf numFmtId="0" fontId="81" fillId="0" borderId="0"/>
    <xf numFmtId="0" fontId="81" fillId="0" borderId="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xf numFmtId="0" fontId="81" fillId="0" borderId="0"/>
    <xf numFmtId="0" fontId="39" fillId="0" borderId="0">
      <alignment vertical="center"/>
    </xf>
    <xf numFmtId="0" fontId="81" fillId="0" borderId="0"/>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xf numFmtId="0" fontId="81" fillId="0" borderId="0" applyBorder="0">
      <alignment vertical="center"/>
    </xf>
    <xf numFmtId="0" fontId="81" fillId="0" borderId="0"/>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xf numFmtId="0" fontId="39" fillId="0" borderId="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39" fillId="0" borderId="0">
      <alignment vertical="center"/>
    </xf>
    <xf numFmtId="0" fontId="81" fillId="0" borderId="0"/>
    <xf numFmtId="0" fontId="81" fillId="0" borderId="0" applyBorder="0">
      <alignment vertical="center"/>
    </xf>
    <xf numFmtId="0" fontId="81" fillId="0" borderId="0"/>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39"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39"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xf numFmtId="0" fontId="81" fillId="0" borderId="0"/>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xf numFmtId="0" fontId="81" fillId="0" borderId="0">
      <alignment vertical="center"/>
    </xf>
    <xf numFmtId="0" fontId="81" fillId="0" borderId="0" applyBorder="0">
      <alignment vertical="center"/>
    </xf>
    <xf numFmtId="0" fontId="81" fillId="0" borderId="0"/>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xf numFmtId="0" fontId="81" fillId="0" borderId="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lignment vertical="center"/>
    </xf>
    <xf numFmtId="0" fontId="81" fillId="0" borderId="0"/>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39"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lignment vertical="center"/>
    </xf>
    <xf numFmtId="0" fontId="81" fillId="0" borderId="0">
      <alignment vertical="center"/>
    </xf>
    <xf numFmtId="0" fontId="81" fillId="0" borderId="0">
      <alignment vertical="center"/>
    </xf>
    <xf numFmtId="0" fontId="39"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39" fillId="0" borderId="0">
      <alignment vertical="center"/>
    </xf>
    <xf numFmtId="0" fontId="81"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5"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xf numFmtId="0" fontId="81" fillId="0" borderId="0" applyBorder="0">
      <alignment vertical="center"/>
    </xf>
    <xf numFmtId="0" fontId="81" fillId="0" borderId="0" applyBorder="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xf numFmtId="0" fontId="81" fillId="0" borderId="0" applyBorder="0">
      <alignment vertical="center"/>
    </xf>
    <xf numFmtId="0" fontId="81" fillId="0" borderId="0" applyBorder="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xf numFmtId="0" fontId="81" fillId="0" borderId="0"/>
    <xf numFmtId="0" fontId="81" fillId="0" borderId="0"/>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lignment vertical="center"/>
    </xf>
    <xf numFmtId="0" fontId="81" fillId="0" borderId="0" applyBorder="0">
      <alignment vertical="center"/>
    </xf>
    <xf numFmtId="0" fontId="81" fillId="0" borderId="0"/>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44" fillId="22"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6"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60" fillId="10" borderId="44" applyNumberFormat="0" applyAlignment="0" applyProtection="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39" fillId="0" borderId="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39"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44" fillId="22"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44" fillId="22" borderId="0" applyNumberFormat="0" applyBorder="0" applyAlignment="0" applyProtection="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50" fillId="10" borderId="37" applyNumberFormat="0" applyAlignment="0" applyProtection="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50" fillId="10" borderId="37" applyNumberFormat="0" applyAlignment="0" applyProtection="0">
      <alignment vertical="center"/>
    </xf>
    <xf numFmtId="0" fontId="81" fillId="0" borderId="0" applyBorder="0">
      <alignment vertical="center"/>
    </xf>
    <xf numFmtId="0" fontId="44" fillId="22"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7"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39"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39"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53" fillId="0" borderId="41" applyNumberFormat="0" applyFill="0" applyAlignment="0" applyProtection="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53" fillId="0" borderId="41" applyNumberFormat="0" applyFill="0" applyAlignment="0" applyProtection="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51" fillId="21" borderId="38" applyNumberFormat="0" applyAlignment="0" applyProtection="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51" fillId="21" borderId="38" applyNumberFormat="0" applyAlignment="0" applyProtection="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39" fillId="0" borderId="0">
      <alignment vertical="center"/>
    </xf>
    <xf numFmtId="0" fontId="81" fillId="0" borderId="0">
      <alignment vertical="center"/>
    </xf>
    <xf numFmtId="0" fontId="81" fillId="0" borderId="0">
      <alignment vertical="center"/>
    </xf>
    <xf numFmtId="0" fontId="39"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12" borderId="42" applyNumberFormat="0" applyFont="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39"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lignment vertical="center"/>
    </xf>
    <xf numFmtId="0" fontId="81"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xf numFmtId="0" fontId="81" fillId="0" borderId="0"/>
    <xf numFmtId="0" fontId="81" fillId="0" borderId="0"/>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xf numFmtId="0" fontId="39"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39" fillId="0" borderId="0">
      <alignment vertical="center"/>
    </xf>
    <xf numFmtId="0" fontId="81"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39" fillId="0" borderId="0">
      <alignment vertical="center"/>
    </xf>
    <xf numFmtId="0" fontId="81" fillId="0" borderId="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55" fillId="27"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alignment vertical="center"/>
    </xf>
    <xf numFmtId="0" fontId="39" fillId="0" borderId="0">
      <alignment vertical="center"/>
    </xf>
    <xf numFmtId="0" fontId="81" fillId="0" borderId="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alignment vertical="center"/>
    </xf>
    <xf numFmtId="0" fontId="39"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39" fillId="0" borderId="0">
      <alignment vertical="center"/>
    </xf>
    <xf numFmtId="0" fontId="81"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39" fillId="0" borderId="0">
      <alignment vertical="center"/>
    </xf>
    <xf numFmtId="0" fontId="81" fillId="0" borderId="0">
      <alignment vertical="center"/>
    </xf>
    <xf numFmtId="0" fontId="81"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39"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39" fillId="0" borderId="0">
      <alignment vertical="center"/>
    </xf>
    <xf numFmtId="0" fontId="81" fillId="0" borderId="0">
      <alignment vertical="center"/>
    </xf>
    <xf numFmtId="0" fontId="81" fillId="0" borderId="0">
      <alignment vertical="center"/>
    </xf>
    <xf numFmtId="0" fontId="39"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39" fillId="0" borderId="0">
      <alignment vertical="center"/>
    </xf>
    <xf numFmtId="0" fontId="81" fillId="0" borderId="0">
      <alignment vertical="center"/>
    </xf>
    <xf numFmtId="0" fontId="39"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39"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39"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37"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39"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37"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50" fillId="10" borderId="37" applyNumberFormat="0" applyAlignment="0" applyProtection="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39"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xf numFmtId="0" fontId="81" fillId="0" borderId="0"/>
    <xf numFmtId="0" fontId="81" fillId="0" borderId="0"/>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xf numFmtId="0" fontId="81" fillId="0" borderId="0">
      <alignment vertical="center"/>
    </xf>
    <xf numFmtId="0" fontId="81" fillId="0" borderId="0" applyBorder="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12" borderId="42" applyNumberFormat="0" applyFont="0" applyAlignment="0" applyProtection="0">
      <alignment vertical="center"/>
    </xf>
    <xf numFmtId="0" fontId="39" fillId="0" borderId="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xf numFmtId="0" fontId="81" fillId="0" borderId="0"/>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xf numFmtId="0" fontId="81" fillId="0" borderId="0" applyBorder="0">
      <alignment vertical="center"/>
    </xf>
    <xf numFmtId="0" fontId="81" fillId="0" borderId="0"/>
    <xf numFmtId="0" fontId="81" fillId="0" borderId="0"/>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xf numFmtId="0" fontId="39" fillId="0" borderId="0">
      <alignment vertical="center"/>
    </xf>
    <xf numFmtId="0" fontId="81" fillId="0" borderId="0"/>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lignment vertical="center"/>
    </xf>
    <xf numFmtId="0" fontId="39" fillId="0" borderId="0">
      <alignment vertical="center"/>
    </xf>
    <xf numFmtId="0" fontId="81" fillId="0" borderId="0"/>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xf numFmtId="0" fontId="39" fillId="0" borderId="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xf numFmtId="0" fontId="81" fillId="0" borderId="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39" fillId="0" borderId="0">
      <alignment vertical="center"/>
    </xf>
    <xf numFmtId="0" fontId="81" fillId="0" borderId="0"/>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37" fillId="0" borderId="0">
      <alignment vertical="center"/>
    </xf>
    <xf numFmtId="0" fontId="81" fillId="0" borderId="0" applyBorder="0">
      <alignment vertical="center"/>
    </xf>
    <xf numFmtId="0" fontId="37"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xf numFmtId="0" fontId="81" fillId="0" borderId="0"/>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39" fillId="0" borderId="0">
      <alignment vertical="center"/>
    </xf>
    <xf numFmtId="0" fontId="81" fillId="0" borderId="0">
      <alignment vertical="center"/>
    </xf>
    <xf numFmtId="0" fontId="81"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xf numFmtId="0" fontId="81" fillId="0" borderId="0"/>
    <xf numFmtId="0" fontId="81" fillId="0" borderId="0"/>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39"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39"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lignment vertical="center"/>
    </xf>
    <xf numFmtId="0" fontId="39" fillId="0" borderId="0">
      <alignment vertical="center"/>
    </xf>
    <xf numFmtId="0" fontId="81" fillId="0" borderId="0">
      <alignment vertical="center"/>
    </xf>
    <xf numFmtId="0" fontId="81" fillId="0" borderId="0">
      <alignment vertical="center"/>
    </xf>
    <xf numFmtId="0" fontId="39" fillId="0" borderId="0">
      <alignment vertical="center"/>
    </xf>
    <xf numFmtId="0" fontId="81" fillId="0" borderId="0">
      <alignment vertical="center"/>
    </xf>
    <xf numFmtId="0" fontId="81"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39"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37" fillId="0" borderId="0">
      <alignment vertical="center"/>
    </xf>
    <xf numFmtId="0" fontId="81" fillId="0" borderId="0" applyBorder="0">
      <alignment vertical="center"/>
    </xf>
    <xf numFmtId="0" fontId="47"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50" fillId="10" borderId="37" applyNumberFormat="0" applyAlignment="0" applyProtection="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53" fillId="0" borderId="41" applyNumberFormat="0" applyFill="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49" fillId="5" borderId="37" applyNumberFormat="0" applyAlignment="0" applyProtection="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alignment vertical="center"/>
    </xf>
    <xf numFmtId="0" fontId="39" fillId="0" borderId="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53" fillId="0" borderId="41" applyNumberFormat="0" applyFill="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xf numFmtId="0" fontId="47" fillId="0" borderId="0" applyBorder="0">
      <alignment vertical="center"/>
    </xf>
    <xf numFmtId="0" fontId="47" fillId="0" borderId="0" applyBorder="0">
      <alignment vertical="center"/>
    </xf>
    <xf numFmtId="0" fontId="81" fillId="0" borderId="0" applyBorder="0">
      <alignment vertical="center"/>
    </xf>
    <xf numFmtId="0" fontId="47" fillId="0" borderId="0" applyBorder="0">
      <alignment vertical="center"/>
    </xf>
    <xf numFmtId="0" fontId="5" fillId="0" borderId="0"/>
    <xf numFmtId="0" fontId="81" fillId="0" borderId="0"/>
    <xf numFmtId="0" fontId="81" fillId="0" borderId="0" applyBorder="0">
      <alignment vertical="center"/>
    </xf>
    <xf numFmtId="0" fontId="81" fillId="0" borderId="0" applyBorder="0">
      <alignment vertical="center"/>
    </xf>
    <xf numFmtId="0" fontId="37" fillId="0" borderId="0">
      <alignment vertical="center"/>
    </xf>
    <xf numFmtId="0" fontId="81" fillId="0" borderId="0" applyBorder="0">
      <alignment vertical="center"/>
    </xf>
    <xf numFmtId="0" fontId="37" fillId="0" borderId="0"/>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39"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44" fillId="22" borderId="0" applyNumberFormat="0" applyBorder="0" applyAlignment="0" applyProtection="0">
      <alignment vertical="center"/>
    </xf>
    <xf numFmtId="0" fontId="81" fillId="0" borderId="0">
      <alignment vertical="center"/>
    </xf>
    <xf numFmtId="0" fontId="44" fillId="22" borderId="0" applyNumberFormat="0" applyBorder="0" applyAlignment="0" applyProtection="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44" fillId="22" borderId="0" applyNumberFormat="0" applyBorder="0" applyAlignment="0" applyProtection="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39"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alignment vertical="center"/>
    </xf>
    <xf numFmtId="0" fontId="81" fillId="0" borderId="0" applyBorder="0">
      <alignment vertical="center"/>
    </xf>
    <xf numFmtId="0" fontId="39" fillId="0" borderId="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lignment vertical="center"/>
    </xf>
    <xf numFmtId="0" fontId="81" fillId="0" borderId="0">
      <alignment vertical="center"/>
    </xf>
    <xf numFmtId="0" fontId="39"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37" fillId="0" borderId="0">
      <alignment vertical="center"/>
    </xf>
    <xf numFmtId="0" fontId="81" fillId="0" borderId="0" applyBorder="0">
      <alignment vertical="center"/>
    </xf>
    <xf numFmtId="0" fontId="37"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7" fillId="0" borderId="0">
      <alignment vertical="center"/>
    </xf>
    <xf numFmtId="0" fontId="81" fillId="0" borderId="0">
      <alignment vertical="center"/>
    </xf>
    <xf numFmtId="0" fontId="81" fillId="0" borderId="0" applyBorder="0">
      <alignment vertical="center"/>
    </xf>
    <xf numFmtId="0" fontId="37" fillId="0" borderId="0">
      <alignment vertical="center"/>
    </xf>
    <xf numFmtId="0" fontId="81" fillId="0" borderId="0" applyBorder="0">
      <alignment vertical="center"/>
    </xf>
    <xf numFmtId="0" fontId="81" fillId="0" borderId="0" applyBorder="0">
      <alignment vertical="center"/>
    </xf>
    <xf numFmtId="0" fontId="47" fillId="0" borderId="0" applyBorder="0">
      <alignment vertical="center"/>
    </xf>
    <xf numFmtId="0" fontId="81" fillId="0" borderId="0" applyBorder="0">
      <alignment vertical="center"/>
    </xf>
    <xf numFmtId="0" fontId="81" fillId="0" borderId="0">
      <alignment vertical="center"/>
    </xf>
    <xf numFmtId="0" fontId="37" fillId="0" borderId="0">
      <alignment vertical="center"/>
    </xf>
    <xf numFmtId="0" fontId="81" fillId="0" borderId="0" applyBorder="0">
      <alignment vertical="center"/>
    </xf>
    <xf numFmtId="0" fontId="47"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xf numFmtId="0" fontId="81" fillId="0" borderId="0">
      <alignment vertical="center"/>
    </xf>
    <xf numFmtId="0" fontId="81" fillId="0" borderId="0" applyBorder="0">
      <alignment vertical="center"/>
    </xf>
    <xf numFmtId="0" fontId="81" fillId="0" borderId="0"/>
    <xf numFmtId="0" fontId="81" fillId="0" borderId="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pplyBorder="0">
      <alignment vertical="center"/>
    </xf>
    <xf numFmtId="0" fontId="81" fillId="0" borderId="0">
      <alignment vertical="center"/>
    </xf>
    <xf numFmtId="0" fontId="39" fillId="0" borderId="0">
      <alignment vertical="center"/>
    </xf>
    <xf numFmtId="0" fontId="81" fillId="0" borderId="0"/>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lignment vertical="center"/>
    </xf>
    <xf numFmtId="0" fontId="81" fillId="0" borderId="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47"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53" fillId="0" borderId="41" applyNumberFormat="0" applyFill="0" applyAlignment="0" applyProtection="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44" fillId="33" borderId="0" applyNumberFormat="0" applyBorder="0" applyAlignment="0" applyProtection="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37"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39" fillId="0" borderId="0">
      <alignment vertical="center"/>
    </xf>
    <xf numFmtId="0" fontId="81" fillId="0" borderId="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39" fillId="0" borderId="0">
      <alignment vertical="center"/>
    </xf>
    <xf numFmtId="0" fontId="81"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39"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39"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12" borderId="42" applyNumberFormat="0" applyFont="0" applyAlignment="0" applyProtection="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39" fillId="0" borderId="0">
      <alignment vertical="center"/>
    </xf>
    <xf numFmtId="0" fontId="81" fillId="0" borderId="0">
      <alignment vertical="center"/>
    </xf>
    <xf numFmtId="0" fontId="39" fillId="0" borderId="0">
      <alignment vertical="center"/>
    </xf>
    <xf numFmtId="0" fontId="81" fillId="0" borderId="0">
      <alignment vertical="center"/>
    </xf>
    <xf numFmtId="0" fontId="39" fillId="0" borderId="0">
      <alignment vertical="center"/>
    </xf>
    <xf numFmtId="0" fontId="81"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39"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alignment vertical="center"/>
    </xf>
    <xf numFmtId="0" fontId="81" fillId="0" borderId="0">
      <alignment vertical="center"/>
    </xf>
    <xf numFmtId="0" fontId="44" fillId="23" borderId="0" applyNumberFormat="0" applyBorder="0" applyAlignment="0" applyProtection="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xf numFmtId="0" fontId="81" fillId="0" borderId="0">
      <alignment vertical="center"/>
    </xf>
    <xf numFmtId="0" fontId="81" fillId="0" borderId="0"/>
    <xf numFmtId="0" fontId="81" fillId="0" borderId="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xf numFmtId="0" fontId="81" fillId="0" borderId="0">
      <alignment vertical="center"/>
    </xf>
    <xf numFmtId="0" fontId="81" fillId="0" borderId="0" applyBorder="0">
      <alignment vertical="center"/>
    </xf>
    <xf numFmtId="0" fontId="81" fillId="0" borderId="0"/>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39" fillId="0" borderId="0">
      <alignment vertical="center"/>
    </xf>
    <xf numFmtId="0" fontId="81" fillId="0" borderId="0">
      <alignment vertical="center"/>
    </xf>
    <xf numFmtId="0" fontId="39" fillId="0" borderId="0">
      <alignment vertical="center"/>
    </xf>
    <xf numFmtId="0" fontId="81" fillId="0" borderId="0">
      <alignment vertical="center"/>
    </xf>
    <xf numFmtId="0" fontId="81" fillId="0" borderId="0" applyBorder="0">
      <alignment vertical="center"/>
    </xf>
    <xf numFmtId="0" fontId="39" fillId="0" borderId="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39" fillId="0" borderId="0">
      <alignment vertical="center"/>
    </xf>
    <xf numFmtId="0" fontId="81"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39" fillId="0" borderId="0">
      <alignment vertical="center"/>
    </xf>
    <xf numFmtId="0" fontId="81"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alignment vertical="center"/>
    </xf>
    <xf numFmtId="0" fontId="39"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37"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alignment vertical="center"/>
    </xf>
    <xf numFmtId="0" fontId="81" fillId="0" borderId="0">
      <alignment vertical="center"/>
    </xf>
    <xf numFmtId="0" fontId="39" fillId="0" borderId="0">
      <alignment vertical="center"/>
    </xf>
    <xf numFmtId="0" fontId="81" fillId="0" borderId="0">
      <alignment vertical="center"/>
    </xf>
    <xf numFmtId="0" fontId="81" fillId="0" borderId="0">
      <alignment vertical="center"/>
    </xf>
    <xf numFmtId="0" fontId="39" fillId="0" borderId="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alignment vertical="center"/>
    </xf>
    <xf numFmtId="0" fontId="81" fillId="0" borderId="0">
      <alignment vertical="center"/>
    </xf>
    <xf numFmtId="0" fontId="39" fillId="0" borderId="0">
      <alignment vertical="center"/>
    </xf>
    <xf numFmtId="0" fontId="81" fillId="0" borderId="0">
      <alignment vertical="center"/>
    </xf>
    <xf numFmtId="0" fontId="81"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alignment vertical="center"/>
    </xf>
    <xf numFmtId="0" fontId="81" fillId="0" borderId="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lignment vertical="center"/>
    </xf>
    <xf numFmtId="0" fontId="81" fillId="0" borderId="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alignment vertical="center"/>
    </xf>
    <xf numFmtId="0" fontId="81" fillId="0" borderId="0" applyBorder="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57" fillId="0" borderId="0"/>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xf numFmtId="0" fontId="81" fillId="0" borderId="0"/>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39"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xf numFmtId="0" fontId="81" fillId="0" borderId="0" applyBorder="0">
      <alignment vertical="center"/>
    </xf>
    <xf numFmtId="0" fontId="37" fillId="0" borderId="0">
      <alignment vertical="center"/>
    </xf>
    <xf numFmtId="0" fontId="81" fillId="0" borderId="0">
      <alignment vertical="center"/>
    </xf>
    <xf numFmtId="0" fontId="47"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53" fillId="0" borderId="41" applyNumberFormat="0" applyFill="0" applyAlignment="0" applyProtection="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pplyBorder="0">
      <alignment vertical="center"/>
    </xf>
    <xf numFmtId="0" fontId="81" fillId="0" borderId="0"/>
    <xf numFmtId="0" fontId="81" fillId="0" borderId="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53" fillId="0" borderId="41" applyNumberFormat="0" applyFill="0" applyAlignment="0" applyProtection="0">
      <alignment vertical="center"/>
    </xf>
    <xf numFmtId="0" fontId="81" fillId="0" borderId="0">
      <alignment vertical="center"/>
    </xf>
    <xf numFmtId="0" fontId="53" fillId="0" borderId="41" applyNumberFormat="0" applyFill="0" applyAlignment="0" applyProtection="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lignment vertical="center"/>
    </xf>
    <xf numFmtId="0" fontId="39" fillId="0" borderId="0">
      <alignment vertical="center"/>
    </xf>
    <xf numFmtId="0" fontId="81" fillId="0" borderId="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xf numFmtId="0" fontId="39"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xf numFmtId="0" fontId="81" fillId="0" borderId="0" applyBorder="0">
      <alignment vertical="center"/>
    </xf>
    <xf numFmtId="0" fontId="81" fillId="0" borderId="0"/>
    <xf numFmtId="0" fontId="81" fillId="0" borderId="0"/>
    <xf numFmtId="0" fontId="39"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xf numFmtId="0" fontId="81" fillId="0" borderId="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44" fillId="31"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37" fillId="0" borderId="0">
      <alignment vertical="center"/>
    </xf>
    <xf numFmtId="0" fontId="81" fillId="0" borderId="0"/>
    <xf numFmtId="0" fontId="39" fillId="0" borderId="0">
      <alignment vertical="center"/>
    </xf>
    <xf numFmtId="0" fontId="39" fillId="0" borderId="0">
      <alignment vertical="center"/>
    </xf>
    <xf numFmtId="0" fontId="39" fillId="0" borderId="0">
      <alignment vertical="center"/>
    </xf>
    <xf numFmtId="0" fontId="81" fillId="0" borderId="0">
      <alignment vertical="center"/>
    </xf>
    <xf numFmtId="0" fontId="39" fillId="0" borderId="0">
      <alignment vertical="center"/>
    </xf>
    <xf numFmtId="0" fontId="81" fillId="0" borderId="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39" fillId="0" borderId="0">
      <alignment vertical="center"/>
    </xf>
    <xf numFmtId="0" fontId="39" fillId="0" borderId="0">
      <alignment vertical="center"/>
    </xf>
    <xf numFmtId="0" fontId="81" fillId="0" borderId="0" applyBorder="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lignment vertical="center"/>
    </xf>
    <xf numFmtId="0" fontId="39" fillId="0" borderId="0">
      <alignment vertical="center"/>
    </xf>
    <xf numFmtId="0" fontId="81" fillId="0" borderId="0" applyBorder="0">
      <alignment vertical="center"/>
    </xf>
    <xf numFmtId="0" fontId="39" fillId="0" borderId="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xf numFmtId="0" fontId="39"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xf numFmtId="0" fontId="81" fillId="0" borderId="0" applyBorder="0">
      <alignment vertical="center"/>
    </xf>
    <xf numFmtId="0" fontId="39" fillId="0" borderId="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81" fillId="0" borderId="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81" fillId="0" borderId="0" applyBorder="0">
      <alignment vertical="center"/>
    </xf>
    <xf numFmtId="0" fontId="39" fillId="0" borderId="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applyBorder="0">
      <alignment vertical="center"/>
    </xf>
    <xf numFmtId="0" fontId="39" fillId="0" borderId="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xf numFmtId="0" fontId="81" fillId="0" borderId="0"/>
    <xf numFmtId="0" fontId="81" fillId="0" borderId="0" applyBorder="0">
      <alignment vertical="center"/>
    </xf>
    <xf numFmtId="0" fontId="39" fillId="0" borderId="0">
      <alignment vertical="center"/>
    </xf>
    <xf numFmtId="0" fontId="81" fillId="0" borderId="0"/>
    <xf numFmtId="0" fontId="81" fillId="0" borderId="0" applyBorder="0">
      <alignment vertical="center"/>
    </xf>
    <xf numFmtId="0" fontId="81" fillId="0" borderId="0"/>
    <xf numFmtId="0" fontId="81" fillId="0" borderId="0"/>
    <xf numFmtId="0" fontId="81" fillId="0" borderId="0"/>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39" fillId="0" borderId="0">
      <alignment vertical="center"/>
    </xf>
    <xf numFmtId="0" fontId="81" fillId="0" borderId="0"/>
    <xf numFmtId="0" fontId="81" fillId="0" borderId="0"/>
    <xf numFmtId="0" fontId="81" fillId="0" borderId="0" applyBorder="0">
      <alignment vertical="center"/>
    </xf>
    <xf numFmtId="0" fontId="81" fillId="0" borderId="0" applyBorder="0">
      <alignment vertical="center"/>
    </xf>
    <xf numFmtId="0" fontId="39" fillId="0" borderId="0">
      <alignment vertical="center"/>
    </xf>
    <xf numFmtId="0" fontId="81" fillId="0" borderId="0"/>
    <xf numFmtId="0" fontId="81" fillId="0" borderId="0" applyBorder="0">
      <alignment vertical="center"/>
    </xf>
    <xf numFmtId="0" fontId="81" fillId="0" borderId="0"/>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xf numFmtId="0" fontId="39" fillId="0" borderId="0">
      <alignment vertical="center"/>
    </xf>
    <xf numFmtId="0" fontId="39"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39" fillId="0" borderId="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81" fillId="0" borderId="0" applyBorder="0">
      <alignment vertical="center"/>
    </xf>
    <xf numFmtId="0" fontId="39" fillId="0" borderId="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xf numFmtId="0" fontId="39" fillId="0" borderId="0">
      <alignment vertical="center"/>
    </xf>
    <xf numFmtId="0" fontId="81" fillId="0" borderId="0"/>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39" fillId="0" borderId="0">
      <alignment vertical="center"/>
    </xf>
    <xf numFmtId="0" fontId="81" fillId="0" borderId="0" applyBorder="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39" fillId="0" borderId="0">
      <alignment vertical="center"/>
    </xf>
    <xf numFmtId="0" fontId="39" fillId="0" borderId="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applyBorder="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81" fillId="0" borderId="0" applyBorder="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lignment vertical="center"/>
    </xf>
    <xf numFmtId="0" fontId="39" fillId="0" borderId="0">
      <alignment vertical="center"/>
    </xf>
    <xf numFmtId="0" fontId="81"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81" fillId="12" borderId="42" applyNumberFormat="0" applyFont="0" applyAlignment="0" applyProtection="0">
      <alignment vertical="center"/>
    </xf>
    <xf numFmtId="0" fontId="81" fillId="0" borderId="0">
      <alignment vertical="center"/>
    </xf>
    <xf numFmtId="0" fontId="39" fillId="0" borderId="0">
      <alignment vertical="center"/>
    </xf>
    <xf numFmtId="0" fontId="81" fillId="12" borderId="42" applyNumberFormat="0" applyFont="0" applyAlignment="0" applyProtection="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39" fillId="12" borderId="42" applyNumberFormat="0" applyFont="0" applyAlignment="0" applyProtection="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39" fillId="0" borderId="0">
      <alignment vertical="center"/>
    </xf>
    <xf numFmtId="0" fontId="81" fillId="0" borderId="0" applyBorder="0">
      <alignment vertical="center"/>
    </xf>
    <xf numFmtId="0" fontId="39" fillId="0" borderId="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lignment vertical="center"/>
    </xf>
    <xf numFmtId="0" fontId="39" fillId="0" borderId="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39" fillId="0" borderId="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81" fillId="0" borderId="0" applyBorder="0">
      <alignment vertical="center"/>
    </xf>
    <xf numFmtId="0" fontId="39" fillId="0" borderId="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lignment vertical="center"/>
    </xf>
    <xf numFmtId="0" fontId="81" fillId="0" borderId="0" applyBorder="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lignment vertical="center"/>
    </xf>
    <xf numFmtId="0" fontId="81" fillId="0" borderId="0" applyBorder="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81" fillId="0" borderId="0" applyBorder="0">
      <alignment vertical="center"/>
    </xf>
    <xf numFmtId="0" fontId="39" fillId="0" borderId="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39" fillId="0" borderId="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39" fillId="0" borderId="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39" fillId="0" borderId="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39" fillId="0" borderId="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39" fillId="0" borderId="0">
      <alignment vertical="center"/>
    </xf>
    <xf numFmtId="0" fontId="39" fillId="0" borderId="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39" fillId="0" borderId="0">
      <alignment vertical="center"/>
    </xf>
    <xf numFmtId="0" fontId="39" fillId="0" borderId="0">
      <alignment vertical="center"/>
    </xf>
    <xf numFmtId="0" fontId="81" fillId="0" borderId="0" applyBorder="0">
      <alignment vertical="center"/>
    </xf>
    <xf numFmtId="0" fontId="39" fillId="0" borderId="0">
      <alignment vertical="center"/>
    </xf>
    <xf numFmtId="0" fontId="39" fillId="0" borderId="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39" fillId="0" borderId="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39" fillId="0" borderId="0">
      <alignment vertical="center"/>
    </xf>
    <xf numFmtId="0" fontId="81" fillId="0" borderId="0" applyBorder="0">
      <alignment vertical="center"/>
    </xf>
    <xf numFmtId="0" fontId="39" fillId="0" borderId="0">
      <alignment vertical="center"/>
    </xf>
    <xf numFmtId="0" fontId="39" fillId="0" borderId="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39" fillId="0" borderId="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39" fillId="0" borderId="0">
      <alignment vertical="center"/>
    </xf>
    <xf numFmtId="0" fontId="39" fillId="0" borderId="0">
      <alignment vertical="center"/>
    </xf>
    <xf numFmtId="0" fontId="39" fillId="0" borderId="0">
      <alignment vertical="center"/>
    </xf>
    <xf numFmtId="0" fontId="81" fillId="0" borderId="0"/>
    <xf numFmtId="0" fontId="81" fillId="0" borderId="0"/>
    <xf numFmtId="0" fontId="81" fillId="0" borderId="0"/>
    <xf numFmtId="0" fontId="81" fillId="0" borderId="0"/>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39" fillId="0" borderId="0">
      <alignment vertical="center"/>
    </xf>
    <xf numFmtId="0" fontId="81" fillId="0" borderId="0">
      <alignment vertical="center"/>
    </xf>
    <xf numFmtId="0" fontId="39" fillId="0" borderId="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39" fillId="0" borderId="0">
      <alignment vertical="center"/>
    </xf>
    <xf numFmtId="0" fontId="81" fillId="0" borderId="0"/>
    <xf numFmtId="0" fontId="39" fillId="0" borderId="0">
      <alignment vertical="center"/>
    </xf>
    <xf numFmtId="0" fontId="81" fillId="0" borderId="0"/>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39" fillId="0" borderId="0">
      <alignment vertical="center"/>
    </xf>
    <xf numFmtId="0" fontId="81" fillId="0" borderId="0"/>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39" fillId="0" borderId="0">
      <alignment vertical="center"/>
    </xf>
    <xf numFmtId="0" fontId="39" fillId="0" borderId="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lignment vertical="center"/>
    </xf>
    <xf numFmtId="0" fontId="81" fillId="0" borderId="0" applyBorder="0">
      <alignment vertical="center"/>
    </xf>
    <xf numFmtId="0" fontId="81" fillId="0" borderId="0">
      <alignment vertical="center"/>
    </xf>
    <xf numFmtId="0" fontId="39" fillId="0" borderId="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39" fillId="0" borderId="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39" fillId="0" borderId="0">
      <alignment vertical="center"/>
    </xf>
    <xf numFmtId="0" fontId="81" fillId="0" borderId="0" applyBorder="0">
      <alignment vertical="center"/>
    </xf>
    <xf numFmtId="0" fontId="39" fillId="0" borderId="0">
      <alignment vertical="center"/>
    </xf>
    <xf numFmtId="0" fontId="81" fillId="0" borderId="0" applyBorder="0">
      <alignment vertical="center"/>
    </xf>
    <xf numFmtId="0" fontId="39" fillId="0" borderId="0">
      <alignment vertical="center"/>
    </xf>
    <xf numFmtId="0" fontId="37" fillId="0" borderId="0">
      <alignment vertical="center"/>
    </xf>
    <xf numFmtId="0" fontId="81" fillId="0" borderId="0"/>
    <xf numFmtId="0" fontId="37" fillId="0" borderId="0">
      <alignment vertical="center"/>
    </xf>
    <xf numFmtId="0" fontId="37" fillId="0" borderId="0">
      <alignment vertical="center"/>
    </xf>
    <xf numFmtId="0" fontId="47" fillId="0" borderId="0" applyBorder="0">
      <alignment vertical="center"/>
    </xf>
    <xf numFmtId="0" fontId="37" fillId="0" borderId="0">
      <alignment vertical="center"/>
    </xf>
    <xf numFmtId="0" fontId="37" fillId="0" borderId="0">
      <alignment vertical="center"/>
    </xf>
    <xf numFmtId="0" fontId="47" fillId="0" borderId="0" applyBorder="0">
      <alignment vertical="center"/>
    </xf>
    <xf numFmtId="0" fontId="47" fillId="0" borderId="0" applyBorder="0">
      <alignment vertical="center"/>
    </xf>
    <xf numFmtId="0" fontId="81" fillId="0" borderId="0" applyBorder="0">
      <alignment vertical="center"/>
    </xf>
    <xf numFmtId="0" fontId="37" fillId="0" borderId="0">
      <alignment vertical="center"/>
    </xf>
    <xf numFmtId="0" fontId="47" fillId="0" borderId="0" applyBorder="0">
      <alignment vertical="center"/>
    </xf>
    <xf numFmtId="0" fontId="47" fillId="0" borderId="0" applyBorder="0">
      <alignment vertical="center"/>
    </xf>
    <xf numFmtId="0" fontId="37" fillId="0" borderId="0">
      <alignment vertical="center"/>
    </xf>
    <xf numFmtId="0" fontId="37" fillId="0" borderId="0">
      <alignment vertical="center"/>
    </xf>
    <xf numFmtId="0" fontId="47" fillId="0" borderId="0" applyBorder="0">
      <alignment vertical="center"/>
    </xf>
    <xf numFmtId="0" fontId="47" fillId="0" borderId="0" applyBorder="0">
      <alignment vertical="center"/>
    </xf>
    <xf numFmtId="0" fontId="37" fillId="0" borderId="0">
      <alignment vertical="center"/>
    </xf>
    <xf numFmtId="0" fontId="37" fillId="0" borderId="0">
      <alignment vertical="center"/>
    </xf>
    <xf numFmtId="0" fontId="47" fillId="0" borderId="0" applyBorder="0">
      <alignment vertical="center"/>
    </xf>
    <xf numFmtId="0" fontId="37" fillId="0" borderId="0">
      <alignment vertical="center"/>
    </xf>
    <xf numFmtId="0" fontId="37" fillId="0" borderId="0">
      <alignment vertical="center"/>
    </xf>
    <xf numFmtId="0" fontId="47" fillId="0" borderId="0" applyBorder="0">
      <alignment vertical="center"/>
    </xf>
    <xf numFmtId="0" fontId="47" fillId="0" borderId="0" applyBorder="0">
      <alignment vertical="center"/>
    </xf>
    <xf numFmtId="0" fontId="47" fillId="0" borderId="0" applyBorder="0">
      <alignment vertical="center"/>
    </xf>
    <xf numFmtId="0" fontId="37" fillId="0" borderId="0">
      <alignment vertical="center"/>
    </xf>
    <xf numFmtId="0" fontId="47" fillId="0" borderId="0" applyBorder="0">
      <alignment vertical="center"/>
    </xf>
    <xf numFmtId="0" fontId="47" fillId="0" borderId="0" applyBorder="0">
      <alignment vertical="center"/>
    </xf>
    <xf numFmtId="0" fontId="37" fillId="0" borderId="0">
      <alignment vertical="center"/>
    </xf>
    <xf numFmtId="0" fontId="47" fillId="0" borderId="0" applyBorder="0">
      <alignment vertical="center"/>
    </xf>
    <xf numFmtId="0" fontId="37" fillId="0" borderId="0">
      <alignment vertical="center"/>
    </xf>
    <xf numFmtId="0" fontId="37" fillId="0" borderId="0">
      <alignment vertical="center"/>
    </xf>
    <xf numFmtId="0" fontId="47" fillId="0" borderId="0" applyBorder="0">
      <alignment vertical="center"/>
    </xf>
    <xf numFmtId="0" fontId="37" fillId="0" borderId="0">
      <alignment vertical="center"/>
    </xf>
    <xf numFmtId="0" fontId="47" fillId="0" borderId="0" applyBorder="0">
      <alignment vertical="center"/>
    </xf>
    <xf numFmtId="0" fontId="37" fillId="0" borderId="0">
      <alignment vertical="center"/>
    </xf>
    <xf numFmtId="0" fontId="47" fillId="0" borderId="0" applyBorder="0">
      <alignment vertical="center"/>
    </xf>
    <xf numFmtId="0" fontId="47" fillId="0" borderId="0" applyBorder="0">
      <alignment vertical="center"/>
    </xf>
    <xf numFmtId="0" fontId="37" fillId="0" borderId="0">
      <alignment vertical="center"/>
    </xf>
    <xf numFmtId="0" fontId="37" fillId="0" borderId="0">
      <alignment vertical="center"/>
    </xf>
    <xf numFmtId="0" fontId="47" fillId="0" borderId="0" applyBorder="0">
      <alignment vertical="center"/>
    </xf>
    <xf numFmtId="0" fontId="47" fillId="0" borderId="0" applyBorder="0">
      <alignment vertical="center"/>
    </xf>
    <xf numFmtId="0" fontId="47" fillId="0" borderId="0" applyBorder="0">
      <alignment vertical="center"/>
    </xf>
    <xf numFmtId="0" fontId="81" fillId="0" borderId="0"/>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xf numFmtId="0" fontId="81" fillId="0" borderId="0"/>
    <xf numFmtId="0" fontId="81" fillId="0" borderId="0" applyBorder="0">
      <alignment vertical="center"/>
    </xf>
    <xf numFmtId="0" fontId="81" fillId="0" borderId="0" applyBorder="0">
      <alignment vertical="center"/>
    </xf>
    <xf numFmtId="0" fontId="81" fillId="0" borderId="0"/>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46" fillId="0" borderId="0" applyNumberFormat="0" applyFill="0" applyBorder="0" applyAlignment="0" applyProtection="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52" fillId="0" borderId="40" applyNumberFormat="0" applyFill="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50" fillId="10" borderId="37" applyNumberFormat="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xf numFmtId="0" fontId="81" fillId="0" borderId="0" applyBorder="0">
      <alignment vertical="center"/>
    </xf>
    <xf numFmtId="0" fontId="81" fillId="0" borderId="0">
      <alignment vertical="center"/>
    </xf>
    <xf numFmtId="0" fontId="50" fillId="10" borderId="37" applyNumberFormat="0" applyAlignment="0" applyProtection="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50" fillId="10" borderId="37" applyNumberFormat="0" applyAlignment="0" applyProtection="0">
      <alignment vertical="center"/>
    </xf>
    <xf numFmtId="0" fontId="81" fillId="0" borderId="0" applyBorder="0">
      <alignment vertical="center"/>
    </xf>
    <xf numFmtId="0" fontId="50" fillId="10" borderId="37" applyNumberFormat="0" applyAlignment="0" applyProtection="0">
      <alignment vertical="center"/>
    </xf>
    <xf numFmtId="0" fontId="81" fillId="0" borderId="0" applyBorder="0">
      <alignment vertical="center"/>
    </xf>
    <xf numFmtId="0" fontId="50" fillId="10" borderId="37" applyNumberFormat="0" applyAlignment="0" applyProtection="0">
      <alignment vertical="center"/>
    </xf>
    <xf numFmtId="0" fontId="81" fillId="0" borderId="0">
      <alignment vertical="center"/>
    </xf>
    <xf numFmtId="0" fontId="50" fillId="10" borderId="37" applyNumberFormat="0" applyAlignment="0" applyProtection="0">
      <alignment vertical="center"/>
    </xf>
    <xf numFmtId="0" fontId="81" fillId="0" borderId="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50" fillId="10" borderId="37" applyNumberFormat="0" applyAlignment="0" applyProtection="0">
      <alignment vertical="center"/>
    </xf>
    <xf numFmtId="0" fontId="81" fillId="0" borderId="0"/>
    <xf numFmtId="0" fontId="50" fillId="10" borderId="37" applyNumberFormat="0" applyAlignment="0" applyProtection="0">
      <alignment vertical="center"/>
    </xf>
    <xf numFmtId="0" fontId="81" fillId="0" borderId="0" applyBorder="0">
      <alignment vertical="center"/>
    </xf>
    <xf numFmtId="0" fontId="81" fillId="0" borderId="0"/>
    <xf numFmtId="0" fontId="81" fillId="0" borderId="0"/>
    <xf numFmtId="0" fontId="50" fillId="10" borderId="37" applyNumberFormat="0" applyAlignment="0" applyProtection="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50" fillId="10" borderId="37" applyNumberFormat="0" applyAlignment="0" applyProtection="0">
      <alignment vertical="center"/>
    </xf>
    <xf numFmtId="0" fontId="81" fillId="0" borderId="0" applyBorder="0">
      <alignment vertical="center"/>
    </xf>
    <xf numFmtId="0" fontId="50" fillId="10" borderId="37" applyNumberFormat="0" applyAlignment="0" applyProtection="0">
      <alignment vertical="center"/>
    </xf>
    <xf numFmtId="0" fontId="81" fillId="0" borderId="0"/>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xf numFmtId="0" fontId="81" fillId="0" borderId="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50" fillId="10" borderId="37" applyNumberFormat="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xf numFmtId="0" fontId="81" fillId="0" borderId="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xf numFmtId="0" fontId="81" fillId="0" borderId="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44" fillId="22" borderId="0" applyNumberFormat="0" applyBorder="0" applyAlignment="0" applyProtection="0">
      <alignment vertical="center"/>
    </xf>
    <xf numFmtId="0" fontId="81" fillId="0" borderId="0">
      <alignment vertical="center"/>
    </xf>
    <xf numFmtId="0" fontId="44" fillId="22" borderId="0" applyNumberFormat="0" applyBorder="0" applyAlignment="0" applyProtection="0">
      <alignment vertical="center"/>
    </xf>
    <xf numFmtId="0" fontId="81" fillId="0" borderId="0" applyBorder="0">
      <alignment vertical="center"/>
    </xf>
    <xf numFmtId="0" fontId="44" fillId="22" borderId="0" applyNumberFormat="0" applyBorder="0" applyAlignment="0" applyProtection="0">
      <alignment vertical="center"/>
    </xf>
    <xf numFmtId="0" fontId="81" fillId="0" borderId="0" applyBorder="0">
      <alignment vertical="center"/>
    </xf>
    <xf numFmtId="0" fontId="44" fillId="22" borderId="0" applyNumberFormat="0" applyBorder="0" applyAlignment="0" applyProtection="0">
      <alignment vertical="center"/>
    </xf>
    <xf numFmtId="0" fontId="81" fillId="0" borderId="0" applyBorder="0">
      <alignment vertical="center"/>
    </xf>
    <xf numFmtId="0" fontId="44" fillId="22" borderId="0" applyNumberFormat="0" applyBorder="0" applyAlignment="0" applyProtection="0">
      <alignment vertical="center"/>
    </xf>
    <xf numFmtId="0" fontId="81" fillId="0" borderId="0"/>
    <xf numFmtId="0" fontId="44" fillId="34" borderId="0" applyNumberFormat="0" applyBorder="0" applyAlignment="0" applyProtection="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44" fillId="20" borderId="0" applyNumberFormat="0" applyBorder="0" applyAlignment="0" applyProtection="0">
      <alignment vertical="center"/>
    </xf>
    <xf numFmtId="0" fontId="81" fillId="0" borderId="0" applyBorder="0">
      <alignment vertical="center"/>
    </xf>
    <xf numFmtId="0" fontId="44" fillId="20" borderId="0" applyNumberFormat="0" applyBorder="0" applyAlignment="0" applyProtection="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44" fillId="28" borderId="0" applyNumberFormat="0" applyBorder="0" applyAlignment="0" applyProtection="0">
      <alignment vertical="center"/>
    </xf>
    <xf numFmtId="0" fontId="81" fillId="0" borderId="0" applyBorder="0">
      <alignment vertical="center"/>
    </xf>
    <xf numFmtId="0" fontId="44" fillId="31" borderId="0" applyNumberFormat="0" applyBorder="0" applyAlignment="0" applyProtection="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37" fillId="0" borderId="0">
      <alignment vertical="center"/>
    </xf>
    <xf numFmtId="0" fontId="81" fillId="0" borderId="0">
      <alignment vertical="center"/>
    </xf>
    <xf numFmtId="0" fontId="81" fillId="0" borderId="0" applyBorder="0">
      <alignment vertical="center"/>
    </xf>
    <xf numFmtId="0" fontId="37"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xf numFmtId="0" fontId="81" fillId="0" borderId="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xf numFmtId="0" fontId="81" fillId="0" borderId="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xf numFmtId="0" fontId="81" fillId="0" borderId="0">
      <alignment vertical="center"/>
    </xf>
    <xf numFmtId="0" fontId="81" fillId="0" borderId="0"/>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12" borderId="42" applyNumberFormat="0" applyFont="0" applyAlignment="0" applyProtection="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xf numFmtId="0" fontId="81" fillId="0" borderId="0" applyBorder="0">
      <alignment vertical="center"/>
    </xf>
    <xf numFmtId="0" fontId="81" fillId="0" borderId="0" applyBorder="0">
      <alignment vertical="center"/>
    </xf>
    <xf numFmtId="0" fontId="81" fillId="0" borderId="0"/>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xf numFmtId="0" fontId="81" fillId="0" borderId="0"/>
    <xf numFmtId="0" fontId="81" fillId="0" borderId="0" applyBorder="0">
      <alignment vertical="center"/>
    </xf>
    <xf numFmtId="0" fontId="81" fillId="0" borderId="0" applyBorder="0">
      <alignment vertical="center"/>
    </xf>
    <xf numFmtId="0" fontId="81" fillId="0" borderId="0"/>
    <xf numFmtId="0" fontId="50" fillId="10" borderId="37" applyNumberFormat="0" applyAlignment="0" applyProtection="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50" fillId="10" borderId="37" applyNumberFormat="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xf numFmtId="0" fontId="81" fillId="0" borderId="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xf numFmtId="0" fontId="81" fillId="0" borderId="0">
      <alignment vertical="center"/>
    </xf>
    <xf numFmtId="0" fontId="81" fillId="0" borderId="0"/>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xf numFmtId="0" fontId="81" fillId="0" borderId="0"/>
    <xf numFmtId="0" fontId="81" fillId="0" borderId="0">
      <alignment vertical="center"/>
    </xf>
    <xf numFmtId="0" fontId="81" fillId="0" borderId="0" applyBorder="0">
      <alignment vertical="center"/>
    </xf>
    <xf numFmtId="0" fontId="81" fillId="0" borderId="0"/>
    <xf numFmtId="0" fontId="81" fillId="0" borderId="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37"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37" fillId="0" borderId="0">
      <alignment vertical="center"/>
    </xf>
    <xf numFmtId="0" fontId="81" fillId="0" borderId="0">
      <alignment vertical="center"/>
    </xf>
    <xf numFmtId="0" fontId="81" fillId="0" borderId="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xf numFmtId="0" fontId="81" fillId="0" borderId="0">
      <alignment vertical="center"/>
    </xf>
    <xf numFmtId="0" fontId="81" fillId="0" borderId="0" applyBorder="0">
      <alignment vertical="center"/>
    </xf>
    <xf numFmtId="0" fontId="81" fillId="0" borderId="0"/>
    <xf numFmtId="0" fontId="81" fillId="0" borderId="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xf numFmtId="0" fontId="81" fillId="0" borderId="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37" fillId="0" borderId="0">
      <alignment vertical="center"/>
    </xf>
    <xf numFmtId="0" fontId="81" fillId="0" borderId="0">
      <alignment vertical="center"/>
    </xf>
    <xf numFmtId="0" fontId="81" fillId="0" borderId="0">
      <alignment vertical="center"/>
    </xf>
    <xf numFmtId="0" fontId="37" fillId="0" borderId="0">
      <alignment vertical="center"/>
    </xf>
    <xf numFmtId="0" fontId="81" fillId="0" borderId="0" applyBorder="0">
      <alignment vertical="center"/>
    </xf>
    <xf numFmtId="0" fontId="81" fillId="0" borderId="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37" fillId="0" borderId="0">
      <alignment vertical="center"/>
    </xf>
    <xf numFmtId="0" fontId="81" fillId="0" borderId="0">
      <alignment vertical="center"/>
    </xf>
    <xf numFmtId="0" fontId="81" fillId="0" borderId="0">
      <alignment vertical="center"/>
    </xf>
    <xf numFmtId="0" fontId="81" fillId="0" borderId="0"/>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xf numFmtId="0" fontId="81" fillId="0" borderId="0">
      <alignment vertical="center"/>
    </xf>
    <xf numFmtId="0" fontId="81" fillId="0" borderId="0" applyBorder="0">
      <alignment vertical="center"/>
    </xf>
    <xf numFmtId="0" fontId="81" fillId="0" borderId="0"/>
    <xf numFmtId="0" fontId="81" fillId="0" borderId="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pplyBorder="0">
      <alignment vertical="center"/>
    </xf>
    <xf numFmtId="0" fontId="81" fillId="0" borderId="0">
      <alignment vertical="center"/>
    </xf>
    <xf numFmtId="0" fontId="81" fillId="0" borderId="0"/>
    <xf numFmtId="0" fontId="81" fillId="0" borderId="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xf numFmtId="0" fontId="81" fillId="0" borderId="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xf numFmtId="0" fontId="81" fillId="0" borderId="0">
      <alignment vertical="center"/>
    </xf>
    <xf numFmtId="0" fontId="81" fillId="0" borderId="0" applyBorder="0">
      <alignment vertical="center"/>
    </xf>
    <xf numFmtId="0" fontId="81" fillId="0" borderId="0">
      <alignment vertical="center"/>
    </xf>
    <xf numFmtId="0" fontId="81" fillId="0" borderId="0">
      <alignment vertical="center"/>
    </xf>
    <xf numFmtId="0" fontId="81" fillId="0" borderId="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lignment vertical="center"/>
    </xf>
    <xf numFmtId="0" fontId="81" fillId="0" borderId="0">
      <alignment vertical="center"/>
    </xf>
    <xf numFmtId="0" fontId="39" fillId="0" borderId="0">
      <alignment vertical="center"/>
    </xf>
    <xf numFmtId="0" fontId="61" fillId="0" borderId="0"/>
    <xf numFmtId="0" fontId="81" fillId="0" borderId="0">
      <alignment vertical="center"/>
    </xf>
    <xf numFmtId="0" fontId="81" fillId="0" borderId="0"/>
    <xf numFmtId="0" fontId="55" fillId="27" borderId="0" applyNumberFormat="0" applyBorder="0" applyAlignment="0" applyProtection="0">
      <alignment vertical="center"/>
    </xf>
    <xf numFmtId="0" fontId="81" fillId="0" borderId="0"/>
    <xf numFmtId="0" fontId="81" fillId="0" borderId="0" applyBorder="0">
      <alignment vertical="center"/>
    </xf>
    <xf numFmtId="0" fontId="55" fillId="27" borderId="0" applyNumberFormat="0" applyBorder="0" applyAlignment="0" applyProtection="0">
      <alignment vertical="center"/>
    </xf>
    <xf numFmtId="0" fontId="81" fillId="0" borderId="0"/>
    <xf numFmtId="0" fontId="81" fillId="0" borderId="0" applyBorder="0">
      <alignment vertical="center"/>
    </xf>
    <xf numFmtId="0" fontId="55" fillId="27" borderId="0" applyNumberFormat="0" applyBorder="0" applyAlignment="0" applyProtection="0">
      <alignment vertical="center"/>
    </xf>
    <xf numFmtId="0" fontId="55" fillId="27" borderId="0" applyNumberFormat="0" applyBorder="0" applyAlignment="0" applyProtection="0">
      <alignment vertical="center"/>
    </xf>
    <xf numFmtId="0" fontId="55" fillId="27" borderId="0" applyNumberFormat="0" applyBorder="0" applyAlignment="0" applyProtection="0">
      <alignment vertical="center"/>
    </xf>
    <xf numFmtId="0" fontId="81" fillId="0" borderId="0"/>
    <xf numFmtId="0" fontId="81" fillId="0" borderId="0" applyBorder="0">
      <alignment vertical="center"/>
    </xf>
    <xf numFmtId="0" fontId="55" fillId="27"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55" fillId="27" borderId="0" applyNumberFormat="0" applyBorder="0" applyAlignment="0" applyProtection="0">
      <alignment vertical="center"/>
    </xf>
    <xf numFmtId="0" fontId="81" fillId="0" borderId="0"/>
    <xf numFmtId="0" fontId="81" fillId="0" borderId="0" applyBorder="0">
      <alignment vertical="center"/>
    </xf>
    <xf numFmtId="0" fontId="55" fillId="27" borderId="0" applyNumberFormat="0" applyBorder="0" applyAlignment="0" applyProtection="0">
      <alignment vertical="center"/>
    </xf>
    <xf numFmtId="0" fontId="81" fillId="0" borderId="0" applyBorder="0">
      <alignment vertical="center"/>
    </xf>
    <xf numFmtId="0" fontId="55" fillId="27"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55" fillId="27" borderId="0" applyNumberFormat="0" applyBorder="0" applyAlignment="0" applyProtection="0">
      <alignment vertical="center"/>
    </xf>
    <xf numFmtId="0" fontId="81" fillId="0" borderId="0" applyBorder="0">
      <alignment vertical="center"/>
    </xf>
    <xf numFmtId="0" fontId="81" fillId="0" borderId="0"/>
    <xf numFmtId="0" fontId="81" fillId="0" borderId="0" applyBorder="0">
      <alignment vertical="center"/>
    </xf>
    <xf numFmtId="0" fontId="55" fillId="27" borderId="0" applyNumberFormat="0" applyBorder="0" applyAlignment="0" applyProtection="0">
      <alignment vertical="center"/>
    </xf>
    <xf numFmtId="0" fontId="81" fillId="0" borderId="0" applyBorder="0">
      <alignment vertical="center"/>
    </xf>
    <xf numFmtId="0" fontId="55" fillId="27" borderId="0" applyNumberFormat="0" applyBorder="0" applyAlignment="0" applyProtection="0">
      <alignment vertical="center"/>
    </xf>
    <xf numFmtId="0" fontId="55" fillId="27" borderId="0" applyNumberFormat="0" applyBorder="0" applyAlignment="0" applyProtection="0">
      <alignment vertical="center"/>
    </xf>
    <xf numFmtId="0" fontId="55" fillId="27" borderId="0" applyNumberFormat="0" applyBorder="0" applyAlignment="0" applyProtection="0">
      <alignment vertical="center"/>
    </xf>
    <xf numFmtId="0" fontId="81" fillId="0" borderId="0"/>
    <xf numFmtId="0" fontId="81" fillId="0" borderId="0" applyBorder="0">
      <alignment vertical="center"/>
    </xf>
    <xf numFmtId="0" fontId="55" fillId="27"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55" fillId="27" borderId="0" applyNumberFormat="0" applyBorder="0" applyAlignment="0" applyProtection="0">
      <alignment vertical="center"/>
    </xf>
    <xf numFmtId="0" fontId="81" fillId="0" borderId="0"/>
    <xf numFmtId="0" fontId="81" fillId="0" borderId="0" applyBorder="0">
      <alignment vertical="center"/>
    </xf>
    <xf numFmtId="0" fontId="55" fillId="27" borderId="0" applyNumberFormat="0" applyBorder="0" applyAlignment="0" applyProtection="0">
      <alignment vertical="center"/>
    </xf>
    <xf numFmtId="0" fontId="81" fillId="0" borderId="0" applyBorder="0">
      <alignment vertical="center"/>
    </xf>
    <xf numFmtId="0" fontId="55" fillId="27"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55" fillId="27" borderId="0" applyNumberFormat="0" applyBorder="0" applyAlignment="0" applyProtection="0">
      <alignment vertical="center"/>
    </xf>
    <xf numFmtId="0" fontId="81" fillId="0" borderId="0" applyBorder="0">
      <alignment vertical="center"/>
    </xf>
    <xf numFmtId="0" fontId="81" fillId="0" borderId="0"/>
    <xf numFmtId="0" fontId="81" fillId="0" borderId="0" applyBorder="0">
      <alignment vertical="center"/>
    </xf>
    <xf numFmtId="0" fontId="55" fillId="27" borderId="0" applyNumberFormat="0" applyBorder="0" applyAlignment="0" applyProtection="0">
      <alignment vertical="center"/>
    </xf>
    <xf numFmtId="0" fontId="55" fillId="27" borderId="0" applyNumberFormat="0" applyBorder="0" applyAlignment="0" applyProtection="0">
      <alignment vertical="center"/>
    </xf>
    <xf numFmtId="0" fontId="81" fillId="0" borderId="0"/>
    <xf numFmtId="0" fontId="81" fillId="0" borderId="0" applyBorder="0">
      <alignment vertical="center"/>
    </xf>
    <xf numFmtId="0" fontId="55" fillId="27"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55" fillId="27" borderId="0" applyNumberFormat="0" applyBorder="0" applyAlignment="0" applyProtection="0">
      <alignment vertical="center"/>
    </xf>
    <xf numFmtId="0" fontId="81" fillId="0" borderId="0"/>
    <xf numFmtId="0" fontId="81" fillId="0" borderId="0" applyBorder="0">
      <alignment vertical="center"/>
    </xf>
    <xf numFmtId="0" fontId="55" fillId="27" borderId="0" applyNumberFormat="0" applyBorder="0" applyAlignment="0" applyProtection="0">
      <alignment vertical="center"/>
    </xf>
    <xf numFmtId="0" fontId="81" fillId="0" borderId="0" applyBorder="0">
      <alignment vertical="center"/>
    </xf>
    <xf numFmtId="0" fontId="55" fillId="27"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55" fillId="27" borderId="0" applyNumberFormat="0" applyBorder="0" applyAlignment="0" applyProtection="0">
      <alignment vertical="center"/>
    </xf>
    <xf numFmtId="0" fontId="81" fillId="0" borderId="0" applyBorder="0">
      <alignment vertical="center"/>
    </xf>
    <xf numFmtId="0" fontId="81" fillId="0" borderId="0"/>
    <xf numFmtId="0" fontId="55" fillId="27" borderId="0" applyNumberFormat="0" applyBorder="0" applyAlignment="0" applyProtection="0">
      <alignment vertical="center"/>
    </xf>
    <xf numFmtId="0" fontId="55" fillId="27" borderId="0" applyNumberFormat="0" applyBorder="0" applyAlignment="0" applyProtection="0">
      <alignment vertical="center"/>
    </xf>
    <xf numFmtId="0" fontId="81" fillId="0" borderId="0"/>
    <xf numFmtId="0" fontId="81" fillId="0" borderId="0" applyBorder="0">
      <alignment vertical="center"/>
    </xf>
    <xf numFmtId="0" fontId="55" fillId="27"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55" fillId="27" borderId="0" applyNumberFormat="0" applyBorder="0" applyAlignment="0" applyProtection="0">
      <alignment vertical="center"/>
    </xf>
    <xf numFmtId="0" fontId="81" fillId="0" borderId="0"/>
    <xf numFmtId="0" fontId="81" fillId="0" borderId="0" applyBorder="0">
      <alignment vertical="center"/>
    </xf>
    <xf numFmtId="0" fontId="55" fillId="27" borderId="0" applyNumberFormat="0" applyBorder="0" applyAlignment="0" applyProtection="0">
      <alignment vertical="center"/>
    </xf>
    <xf numFmtId="0" fontId="81" fillId="0" borderId="0" applyBorder="0">
      <alignment vertical="center"/>
    </xf>
    <xf numFmtId="0" fontId="55" fillId="27"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55" fillId="27" borderId="0" applyNumberFormat="0" applyBorder="0" applyAlignment="0" applyProtection="0">
      <alignment vertical="center"/>
    </xf>
    <xf numFmtId="0" fontId="81" fillId="0" borderId="0" applyBorder="0">
      <alignment vertical="center"/>
    </xf>
    <xf numFmtId="0" fontId="55" fillId="27" borderId="0" applyNumberFormat="0" applyBorder="0" applyAlignment="0" applyProtection="0">
      <alignment vertical="center"/>
    </xf>
    <xf numFmtId="0" fontId="81" fillId="0" borderId="0" applyBorder="0">
      <alignment vertical="center"/>
    </xf>
    <xf numFmtId="0" fontId="55" fillId="27" borderId="0" applyNumberFormat="0" applyBorder="0" applyAlignment="0" applyProtection="0">
      <alignment vertical="center"/>
    </xf>
    <xf numFmtId="0" fontId="55" fillId="27" borderId="0" applyNumberFormat="0" applyBorder="0" applyAlignment="0" applyProtection="0">
      <alignment vertical="center"/>
    </xf>
    <xf numFmtId="0" fontId="55" fillId="27" borderId="0" applyNumberFormat="0" applyBorder="0" applyAlignment="0" applyProtection="0">
      <alignment vertical="center"/>
    </xf>
    <xf numFmtId="0" fontId="81" fillId="0" borderId="0"/>
    <xf numFmtId="0" fontId="81" fillId="0" borderId="0" applyBorder="0">
      <alignment vertical="center"/>
    </xf>
    <xf numFmtId="0" fontId="55" fillId="27"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55" fillId="27" borderId="0" applyNumberFormat="0" applyBorder="0" applyAlignment="0" applyProtection="0">
      <alignment vertical="center"/>
    </xf>
    <xf numFmtId="0" fontId="81" fillId="0" borderId="0"/>
    <xf numFmtId="0" fontId="81" fillId="0" borderId="0" applyBorder="0">
      <alignment vertical="center"/>
    </xf>
    <xf numFmtId="0" fontId="55" fillId="27" borderId="0" applyNumberFormat="0" applyBorder="0" applyAlignment="0" applyProtection="0">
      <alignment vertical="center"/>
    </xf>
    <xf numFmtId="0" fontId="81" fillId="0" borderId="0" applyBorder="0">
      <alignment vertical="center"/>
    </xf>
    <xf numFmtId="0" fontId="55" fillId="27"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55" fillId="27" borderId="0" applyNumberFormat="0" applyBorder="0" applyAlignment="0" applyProtection="0">
      <alignment vertical="center"/>
    </xf>
    <xf numFmtId="0" fontId="81" fillId="0" borderId="0" applyBorder="0">
      <alignment vertical="center"/>
    </xf>
    <xf numFmtId="0" fontId="81" fillId="0" borderId="0"/>
    <xf numFmtId="0" fontId="81" fillId="0" borderId="0" applyBorder="0">
      <alignment vertical="center"/>
    </xf>
    <xf numFmtId="0" fontId="55" fillId="27" borderId="0" applyNumberFormat="0" applyBorder="0" applyAlignment="0" applyProtection="0">
      <alignment vertical="center"/>
    </xf>
    <xf numFmtId="0" fontId="55" fillId="27" borderId="0" applyNumberFormat="0" applyBorder="0" applyAlignment="0" applyProtection="0">
      <alignment vertical="center"/>
    </xf>
    <xf numFmtId="0" fontId="81" fillId="0" borderId="0"/>
    <xf numFmtId="0" fontId="81" fillId="0" borderId="0" applyBorder="0">
      <alignment vertical="center"/>
    </xf>
    <xf numFmtId="0" fontId="55" fillId="27"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55" fillId="27" borderId="0" applyNumberFormat="0" applyBorder="0" applyAlignment="0" applyProtection="0">
      <alignment vertical="center"/>
    </xf>
    <xf numFmtId="0" fontId="81" fillId="0" borderId="0"/>
    <xf numFmtId="0" fontId="81" fillId="0" borderId="0" applyBorder="0">
      <alignment vertical="center"/>
    </xf>
    <xf numFmtId="0" fontId="55" fillId="27" borderId="0" applyNumberFormat="0" applyBorder="0" applyAlignment="0" applyProtection="0">
      <alignment vertical="center"/>
    </xf>
    <xf numFmtId="0" fontId="81" fillId="0" borderId="0" applyBorder="0">
      <alignment vertical="center"/>
    </xf>
    <xf numFmtId="0" fontId="55" fillId="27"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55" fillId="27" borderId="0" applyNumberFormat="0" applyBorder="0" applyAlignment="0" applyProtection="0">
      <alignment vertical="center"/>
    </xf>
    <xf numFmtId="0" fontId="81" fillId="0" borderId="0" applyBorder="0">
      <alignment vertical="center"/>
    </xf>
    <xf numFmtId="0" fontId="81" fillId="0" borderId="0"/>
    <xf numFmtId="0" fontId="55" fillId="27" borderId="0" applyNumberFormat="0" applyBorder="0" applyAlignment="0" applyProtection="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55" fillId="27" borderId="0" applyNumberFormat="0" applyBorder="0" applyAlignment="0" applyProtection="0">
      <alignment vertical="center"/>
    </xf>
    <xf numFmtId="0" fontId="55" fillId="27"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62" fillId="17" borderId="0" applyNumberFormat="0" applyBorder="0" applyAlignment="0" applyProtection="0">
      <alignment vertical="center"/>
    </xf>
    <xf numFmtId="0" fontId="62" fillId="17" borderId="0" applyNumberFormat="0" applyBorder="0" applyAlignment="0" applyProtection="0">
      <alignment vertical="center"/>
    </xf>
    <xf numFmtId="0" fontId="47" fillId="0" borderId="0"/>
    <xf numFmtId="0" fontId="81" fillId="0" borderId="0" applyBorder="0">
      <alignment vertical="center"/>
    </xf>
    <xf numFmtId="0" fontId="81" fillId="0" borderId="0" applyBorder="0">
      <alignment vertical="center"/>
    </xf>
    <xf numFmtId="0" fontId="62" fillId="17" borderId="0" applyNumberFormat="0" applyBorder="0" applyAlignment="0" applyProtection="0">
      <alignment vertical="center"/>
    </xf>
    <xf numFmtId="0" fontId="47" fillId="0" borderId="0" applyBorder="0">
      <alignment vertical="center"/>
    </xf>
    <xf numFmtId="0" fontId="47" fillId="0" borderId="0"/>
    <xf numFmtId="0" fontId="81" fillId="0" borderId="0" applyBorder="0">
      <alignment vertical="center"/>
    </xf>
    <xf numFmtId="0" fontId="62" fillId="17" borderId="0" applyNumberFormat="0" applyBorder="0" applyAlignment="0" applyProtection="0">
      <alignment vertical="center"/>
    </xf>
    <xf numFmtId="0" fontId="62" fillId="17" borderId="0" applyNumberFormat="0" applyBorder="0" applyAlignment="0" applyProtection="0">
      <alignment vertical="center"/>
    </xf>
    <xf numFmtId="0" fontId="47" fillId="0" borderId="0"/>
    <xf numFmtId="0" fontId="62" fillId="17" borderId="0" applyNumberFormat="0" applyBorder="0" applyAlignment="0" applyProtection="0">
      <alignment vertical="center"/>
    </xf>
    <xf numFmtId="0" fontId="81" fillId="0" borderId="0" applyBorder="0">
      <alignment vertical="center"/>
    </xf>
    <xf numFmtId="0" fontId="62" fillId="17" borderId="0" applyNumberFormat="0" applyBorder="0" applyAlignment="0" applyProtection="0">
      <alignment vertical="center"/>
    </xf>
    <xf numFmtId="0" fontId="81" fillId="0" borderId="0" applyBorder="0">
      <alignment vertical="center"/>
    </xf>
    <xf numFmtId="0" fontId="62" fillId="17" borderId="0" applyNumberFormat="0" applyBorder="0" applyAlignment="0" applyProtection="0">
      <alignment vertical="center"/>
    </xf>
    <xf numFmtId="0" fontId="62" fillId="17" borderId="0" applyNumberFormat="0" applyBorder="0" applyAlignment="0" applyProtection="0">
      <alignment vertical="center"/>
    </xf>
    <xf numFmtId="0" fontId="62" fillId="17" borderId="0" applyNumberFormat="0" applyBorder="0" applyAlignment="0" applyProtection="0">
      <alignment vertical="center"/>
    </xf>
    <xf numFmtId="0" fontId="47" fillId="0" borderId="0" applyBorder="0">
      <alignment vertical="center"/>
    </xf>
    <xf numFmtId="0" fontId="47" fillId="0" borderId="0"/>
    <xf numFmtId="0" fontId="81" fillId="0" borderId="0" applyBorder="0">
      <alignment vertical="center"/>
    </xf>
    <xf numFmtId="0" fontId="62" fillId="17" borderId="0" applyNumberFormat="0" applyBorder="0" applyAlignment="0" applyProtection="0">
      <alignment vertical="center"/>
    </xf>
    <xf numFmtId="0" fontId="47" fillId="0" borderId="0"/>
    <xf numFmtId="0" fontId="62" fillId="17" borderId="0" applyNumberFormat="0" applyBorder="0" applyAlignment="0" applyProtection="0">
      <alignment vertical="center"/>
    </xf>
    <xf numFmtId="0" fontId="47" fillId="0" borderId="0"/>
    <xf numFmtId="0" fontId="47" fillId="0" borderId="0"/>
    <xf numFmtId="0" fontId="81" fillId="0" borderId="0" applyBorder="0">
      <alignment vertical="center"/>
    </xf>
    <xf numFmtId="0" fontId="81" fillId="0" borderId="0" applyBorder="0">
      <alignment vertical="center"/>
    </xf>
    <xf numFmtId="0" fontId="62" fillId="17" borderId="0" applyNumberFormat="0" applyBorder="0" applyAlignment="0" applyProtection="0">
      <alignment vertical="center"/>
    </xf>
    <xf numFmtId="0" fontId="47" fillId="0" borderId="0" applyBorder="0">
      <alignment vertical="center"/>
    </xf>
    <xf numFmtId="0" fontId="81" fillId="0" borderId="0" applyBorder="0">
      <alignment vertical="center"/>
    </xf>
    <xf numFmtId="0" fontId="81" fillId="0" borderId="0" applyBorder="0">
      <alignment vertical="center"/>
    </xf>
    <xf numFmtId="0" fontId="47" fillId="0" borderId="0"/>
    <xf numFmtId="0" fontId="47" fillId="0" borderId="0"/>
    <xf numFmtId="0" fontId="81" fillId="0" borderId="0" applyBorder="0">
      <alignment vertical="center"/>
    </xf>
    <xf numFmtId="0" fontId="81" fillId="0" borderId="0" applyBorder="0">
      <alignment vertical="center"/>
    </xf>
    <xf numFmtId="0" fontId="62" fillId="17" borderId="0" applyNumberFormat="0" applyBorder="0" applyAlignment="0" applyProtection="0">
      <alignment vertical="center"/>
    </xf>
    <xf numFmtId="0" fontId="47" fillId="0" borderId="0" applyBorder="0">
      <alignment vertical="center"/>
    </xf>
    <xf numFmtId="0" fontId="81" fillId="0" borderId="0" applyBorder="0">
      <alignment vertical="center"/>
    </xf>
    <xf numFmtId="0" fontId="47" fillId="0" borderId="0" applyBorder="0">
      <alignment vertical="center"/>
    </xf>
    <xf numFmtId="0" fontId="55" fillId="27" borderId="0" applyNumberFormat="0" applyBorder="0" applyAlignment="0" applyProtection="0">
      <alignment vertical="center"/>
    </xf>
    <xf numFmtId="0" fontId="55" fillId="27" borderId="0" applyNumberFormat="0" applyBorder="0" applyAlignment="0" applyProtection="0">
      <alignment vertical="center"/>
    </xf>
    <xf numFmtId="0" fontId="55" fillId="27"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55" fillId="27" borderId="0" applyNumberFormat="0" applyBorder="0" applyAlignment="0" applyProtection="0">
      <alignment vertical="center"/>
    </xf>
    <xf numFmtId="0" fontId="52" fillId="0" borderId="40" applyNumberFormat="0" applyFill="0" applyAlignment="0" applyProtection="0">
      <alignment vertical="center"/>
    </xf>
    <xf numFmtId="0" fontId="81" fillId="0" borderId="0"/>
    <xf numFmtId="0" fontId="81" fillId="0" borderId="0" applyBorder="0">
      <alignment vertical="center"/>
    </xf>
    <xf numFmtId="0" fontId="52" fillId="0" borderId="40" applyNumberFormat="0" applyFill="0" applyAlignment="0" applyProtection="0">
      <alignment vertical="center"/>
    </xf>
    <xf numFmtId="0" fontId="81" fillId="0" borderId="0"/>
    <xf numFmtId="0" fontId="81" fillId="0" borderId="0" applyBorder="0">
      <alignment vertical="center"/>
    </xf>
    <xf numFmtId="0" fontId="52" fillId="0" borderId="40" applyNumberFormat="0" applyFill="0" applyAlignment="0" applyProtection="0">
      <alignment vertical="center"/>
    </xf>
    <xf numFmtId="0" fontId="52" fillId="0" borderId="40" applyNumberFormat="0" applyFill="0" applyAlignment="0" applyProtection="0">
      <alignment vertical="center"/>
    </xf>
    <xf numFmtId="0" fontId="52" fillId="0" borderId="40" applyNumberFormat="0" applyFill="0" applyAlignment="0" applyProtection="0">
      <alignment vertical="center"/>
    </xf>
    <xf numFmtId="0" fontId="81" fillId="0" borderId="0"/>
    <xf numFmtId="0" fontId="81" fillId="0" borderId="0" applyBorder="0">
      <alignment vertical="center"/>
    </xf>
    <xf numFmtId="0" fontId="52" fillId="0" borderId="40" applyNumberFormat="0" applyFill="0" applyAlignment="0" applyProtection="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52" fillId="0" borderId="40" applyNumberFormat="0" applyFill="0" applyAlignment="0" applyProtection="0">
      <alignment vertical="center"/>
    </xf>
    <xf numFmtId="0" fontId="81" fillId="0" borderId="0"/>
    <xf numFmtId="0" fontId="81" fillId="0" borderId="0" applyBorder="0">
      <alignment vertical="center"/>
    </xf>
    <xf numFmtId="0" fontId="52" fillId="0" borderId="40" applyNumberFormat="0" applyFill="0" applyAlignment="0" applyProtection="0">
      <alignment vertical="center"/>
    </xf>
    <xf numFmtId="0" fontId="81" fillId="0" borderId="0" applyBorder="0">
      <alignment vertical="center"/>
    </xf>
    <xf numFmtId="0" fontId="52" fillId="0" borderId="40" applyNumberFormat="0" applyFill="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52" fillId="0" borderId="40" applyNumberFormat="0" applyFill="0" applyAlignment="0" applyProtection="0">
      <alignment vertical="center"/>
    </xf>
    <xf numFmtId="0" fontId="81" fillId="0" borderId="0" applyBorder="0">
      <alignment vertical="center"/>
    </xf>
    <xf numFmtId="0" fontId="81" fillId="0" borderId="0" applyBorder="0">
      <alignment vertical="center"/>
    </xf>
    <xf numFmtId="0" fontId="52" fillId="0" borderId="40" applyNumberFormat="0" applyFill="0" applyAlignment="0" applyProtection="0">
      <alignment vertical="center"/>
    </xf>
    <xf numFmtId="0" fontId="81" fillId="0" borderId="0" applyBorder="0">
      <alignment vertical="center"/>
    </xf>
    <xf numFmtId="0" fontId="52" fillId="0" borderId="40" applyNumberFormat="0" applyFill="0" applyAlignment="0" applyProtection="0">
      <alignment vertical="center"/>
    </xf>
    <xf numFmtId="0" fontId="52" fillId="0" borderId="40" applyNumberFormat="0" applyFill="0" applyAlignment="0" applyProtection="0">
      <alignment vertical="center"/>
    </xf>
    <xf numFmtId="0" fontId="52" fillId="0" borderId="40" applyNumberFormat="0" applyFill="0" applyAlignment="0" applyProtection="0">
      <alignment vertical="center"/>
    </xf>
    <xf numFmtId="0" fontId="81" fillId="0" borderId="0"/>
    <xf numFmtId="0" fontId="81" fillId="0" borderId="0" applyBorder="0">
      <alignment vertical="center"/>
    </xf>
    <xf numFmtId="0" fontId="52" fillId="0" borderId="40" applyNumberFormat="0" applyFill="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52" fillId="0" borderId="40" applyNumberFormat="0" applyFill="0" applyAlignment="0" applyProtection="0">
      <alignment vertical="center"/>
    </xf>
    <xf numFmtId="0" fontId="81" fillId="0" borderId="0"/>
    <xf numFmtId="0" fontId="81" fillId="0" borderId="0" applyBorder="0">
      <alignment vertical="center"/>
    </xf>
    <xf numFmtId="0" fontId="52" fillId="0" borderId="40" applyNumberFormat="0" applyFill="0" applyAlignment="0" applyProtection="0">
      <alignment vertical="center"/>
    </xf>
    <xf numFmtId="0" fontId="81" fillId="0" borderId="0" applyBorder="0">
      <alignment vertical="center"/>
    </xf>
    <xf numFmtId="0" fontId="52" fillId="0" borderId="40" applyNumberFormat="0" applyFill="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52" fillId="0" borderId="40" applyNumberFormat="0" applyFill="0" applyAlignment="0" applyProtection="0">
      <alignment vertical="center"/>
    </xf>
    <xf numFmtId="0" fontId="81" fillId="0" borderId="0" applyBorder="0">
      <alignment vertical="center"/>
    </xf>
    <xf numFmtId="0" fontId="81" fillId="0" borderId="0"/>
    <xf numFmtId="0" fontId="81" fillId="0" borderId="0" applyBorder="0">
      <alignment vertical="center"/>
    </xf>
    <xf numFmtId="0" fontId="52" fillId="0" borderId="40" applyNumberFormat="0" applyFill="0" applyAlignment="0" applyProtection="0">
      <alignment vertical="center"/>
    </xf>
    <xf numFmtId="0" fontId="52" fillId="0" borderId="40" applyNumberFormat="0" applyFill="0" applyAlignment="0" applyProtection="0">
      <alignment vertical="center"/>
    </xf>
    <xf numFmtId="0" fontId="81" fillId="0" borderId="0"/>
    <xf numFmtId="0" fontId="81" fillId="0" borderId="0" applyBorder="0">
      <alignment vertical="center"/>
    </xf>
    <xf numFmtId="0" fontId="52" fillId="0" borderId="40" applyNumberFormat="0" applyFill="0" applyAlignment="0" applyProtection="0">
      <alignment vertical="center"/>
    </xf>
    <xf numFmtId="0" fontId="81" fillId="0" borderId="0" applyBorder="0">
      <alignment vertical="center"/>
    </xf>
    <xf numFmtId="0" fontId="52" fillId="0" borderId="40" applyNumberFormat="0" applyFill="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52" fillId="0" borderId="40" applyNumberFormat="0" applyFill="0" applyAlignment="0" applyProtection="0">
      <alignment vertical="center"/>
    </xf>
    <xf numFmtId="0" fontId="81" fillId="0" borderId="0"/>
    <xf numFmtId="0" fontId="81" fillId="0" borderId="0" applyBorder="0">
      <alignment vertical="center"/>
    </xf>
    <xf numFmtId="0" fontId="52" fillId="0" borderId="40" applyNumberFormat="0" applyFill="0" applyAlignment="0" applyProtection="0">
      <alignment vertical="center"/>
    </xf>
    <xf numFmtId="0" fontId="81" fillId="0" borderId="0" applyBorder="0">
      <alignment vertical="center"/>
    </xf>
    <xf numFmtId="0" fontId="52" fillId="0" borderId="40" applyNumberFormat="0" applyFill="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52" fillId="0" borderId="40" applyNumberFormat="0" applyFill="0" applyAlignment="0" applyProtection="0">
      <alignment vertical="center"/>
    </xf>
    <xf numFmtId="0" fontId="81" fillId="0" borderId="0" applyBorder="0">
      <alignment vertical="center"/>
    </xf>
    <xf numFmtId="0" fontId="81" fillId="0" borderId="0"/>
    <xf numFmtId="0" fontId="52" fillId="0" borderId="40" applyNumberFormat="0" applyFill="0" applyAlignment="0" applyProtection="0">
      <alignment vertical="center"/>
    </xf>
    <xf numFmtId="0" fontId="52" fillId="0" borderId="40" applyNumberFormat="0" applyFill="0" applyAlignment="0" applyProtection="0">
      <alignment vertical="center"/>
    </xf>
    <xf numFmtId="0" fontId="81" fillId="0" borderId="0"/>
    <xf numFmtId="0" fontId="81" fillId="0" borderId="0" applyBorder="0">
      <alignment vertical="center"/>
    </xf>
    <xf numFmtId="0" fontId="52" fillId="0" borderId="40" applyNumberFormat="0" applyFill="0" applyAlignment="0" applyProtection="0">
      <alignment vertical="center"/>
    </xf>
    <xf numFmtId="0" fontId="81" fillId="0" borderId="0" applyBorder="0">
      <alignment vertical="center"/>
    </xf>
    <xf numFmtId="0" fontId="52" fillId="0" borderId="40" applyNumberFormat="0" applyFill="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52" fillId="0" borderId="40" applyNumberFormat="0" applyFill="0" applyAlignment="0" applyProtection="0">
      <alignment vertical="center"/>
    </xf>
    <xf numFmtId="0" fontId="81" fillId="0" borderId="0"/>
    <xf numFmtId="0" fontId="81" fillId="0" borderId="0" applyBorder="0">
      <alignment vertical="center"/>
    </xf>
    <xf numFmtId="0" fontId="52" fillId="0" borderId="40" applyNumberFormat="0" applyFill="0" applyAlignment="0" applyProtection="0">
      <alignment vertical="center"/>
    </xf>
    <xf numFmtId="0" fontId="81" fillId="0" borderId="0" applyBorder="0">
      <alignment vertical="center"/>
    </xf>
    <xf numFmtId="0" fontId="52" fillId="0" borderId="40" applyNumberFormat="0" applyFill="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52" fillId="0" borderId="40" applyNumberFormat="0" applyFill="0" applyAlignment="0" applyProtection="0">
      <alignment vertical="center"/>
    </xf>
    <xf numFmtId="0" fontId="81" fillId="0" borderId="0" applyBorder="0">
      <alignment vertical="center"/>
    </xf>
    <xf numFmtId="0" fontId="52" fillId="0" borderId="40" applyNumberFormat="0" applyFill="0" applyAlignment="0" applyProtection="0">
      <alignment vertical="center"/>
    </xf>
    <xf numFmtId="0" fontId="81" fillId="0" borderId="0" applyBorder="0">
      <alignment vertical="center"/>
    </xf>
    <xf numFmtId="0" fontId="52" fillId="0" borderId="40" applyNumberFormat="0" applyFill="0" applyAlignment="0" applyProtection="0">
      <alignment vertical="center"/>
    </xf>
    <xf numFmtId="0" fontId="52" fillId="0" borderId="40" applyNumberFormat="0" applyFill="0" applyAlignment="0" applyProtection="0">
      <alignment vertical="center"/>
    </xf>
    <xf numFmtId="0" fontId="52" fillId="0" borderId="40" applyNumberFormat="0" applyFill="0" applyAlignment="0" applyProtection="0">
      <alignment vertical="center"/>
    </xf>
    <xf numFmtId="0" fontId="81" fillId="0" borderId="0"/>
    <xf numFmtId="0" fontId="52" fillId="0" borderId="40" applyNumberFormat="0" applyFill="0" applyAlignment="0" applyProtection="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52" fillId="0" borderId="40" applyNumberFormat="0" applyFill="0" applyAlignment="0" applyProtection="0">
      <alignment vertical="center"/>
    </xf>
    <xf numFmtId="0" fontId="81" fillId="0" borderId="0"/>
    <xf numFmtId="0" fontId="81" fillId="0" borderId="0" applyBorder="0">
      <alignment vertical="center"/>
    </xf>
    <xf numFmtId="0" fontId="52" fillId="0" borderId="40" applyNumberFormat="0" applyFill="0" applyAlignment="0" applyProtection="0">
      <alignment vertical="center"/>
    </xf>
    <xf numFmtId="0" fontId="81" fillId="0" borderId="0" applyBorder="0">
      <alignment vertical="center"/>
    </xf>
    <xf numFmtId="0" fontId="52" fillId="0" borderId="40" applyNumberFormat="0" applyFill="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52" fillId="0" borderId="40" applyNumberFormat="0" applyFill="0" applyAlignment="0" applyProtection="0">
      <alignment vertical="center"/>
    </xf>
    <xf numFmtId="0" fontId="81" fillId="0" borderId="0" applyBorder="0">
      <alignment vertical="center"/>
    </xf>
    <xf numFmtId="0" fontId="81" fillId="0" borderId="0" applyBorder="0">
      <alignment vertical="center"/>
    </xf>
    <xf numFmtId="0" fontId="52" fillId="0" borderId="40" applyNumberFormat="0" applyFill="0" applyAlignment="0" applyProtection="0">
      <alignment vertical="center"/>
    </xf>
    <xf numFmtId="0" fontId="52" fillId="0" borderId="40" applyNumberFormat="0" applyFill="0" applyAlignment="0" applyProtection="0">
      <alignment vertical="center"/>
    </xf>
    <xf numFmtId="0" fontId="81" fillId="0" borderId="0"/>
    <xf numFmtId="0" fontId="81" fillId="0" borderId="0" applyBorder="0">
      <alignment vertical="center"/>
    </xf>
    <xf numFmtId="0" fontId="52" fillId="0" borderId="40" applyNumberFormat="0" applyFill="0" applyAlignment="0" applyProtection="0">
      <alignment vertical="center"/>
    </xf>
    <xf numFmtId="0" fontId="81" fillId="0" borderId="0" applyBorder="0">
      <alignment vertical="center"/>
    </xf>
    <xf numFmtId="0" fontId="52" fillId="0" borderId="40" applyNumberFormat="0" applyFill="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52" fillId="0" borderId="40" applyNumberFormat="0" applyFill="0" applyAlignment="0" applyProtection="0">
      <alignment vertical="center"/>
    </xf>
    <xf numFmtId="0" fontId="81" fillId="0" borderId="0"/>
    <xf numFmtId="0" fontId="81" fillId="0" borderId="0" applyBorder="0">
      <alignment vertical="center"/>
    </xf>
    <xf numFmtId="0" fontId="52" fillId="0" borderId="40" applyNumberFormat="0" applyFill="0" applyAlignment="0" applyProtection="0">
      <alignment vertical="center"/>
    </xf>
    <xf numFmtId="0" fontId="81" fillId="0" borderId="0" applyBorder="0">
      <alignment vertical="center"/>
    </xf>
    <xf numFmtId="0" fontId="52" fillId="0" borderId="40" applyNumberFormat="0" applyFill="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52" fillId="0" borderId="40" applyNumberFormat="0" applyFill="0" applyAlignment="0" applyProtection="0">
      <alignment vertical="center"/>
    </xf>
    <xf numFmtId="0" fontId="81" fillId="0" borderId="0" applyBorder="0">
      <alignment vertical="center"/>
    </xf>
    <xf numFmtId="0" fontId="81" fillId="0" borderId="0"/>
    <xf numFmtId="0" fontId="52" fillId="0" borderId="40" applyNumberFormat="0" applyFill="0" applyAlignment="0" applyProtection="0">
      <alignment vertical="center"/>
    </xf>
    <xf numFmtId="0" fontId="52" fillId="0" borderId="40" applyNumberFormat="0" applyFill="0" applyAlignment="0" applyProtection="0">
      <alignment vertical="center"/>
    </xf>
    <xf numFmtId="0" fontId="81" fillId="0" borderId="0"/>
    <xf numFmtId="0" fontId="81" fillId="0" borderId="0" applyBorder="0">
      <alignment vertical="center"/>
    </xf>
    <xf numFmtId="0" fontId="52" fillId="0" borderId="40" applyNumberFormat="0" applyFill="0" applyAlignment="0" applyProtection="0">
      <alignment vertical="center"/>
    </xf>
    <xf numFmtId="0" fontId="81" fillId="0" borderId="0" applyBorder="0">
      <alignment vertical="center"/>
    </xf>
    <xf numFmtId="0" fontId="52" fillId="0" borderId="40" applyNumberFormat="0" applyFill="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52" fillId="0" borderId="40" applyNumberFormat="0" applyFill="0" applyAlignment="0" applyProtection="0">
      <alignment vertical="center"/>
    </xf>
    <xf numFmtId="0" fontId="81" fillId="0" borderId="0"/>
    <xf numFmtId="0" fontId="81" fillId="0" borderId="0" applyBorder="0">
      <alignment vertical="center"/>
    </xf>
    <xf numFmtId="0" fontId="81" fillId="0" borderId="0" applyBorder="0">
      <alignment vertical="center"/>
    </xf>
    <xf numFmtId="0" fontId="52" fillId="0" borderId="40" applyNumberFormat="0" applyFill="0" applyAlignment="0" applyProtection="0">
      <alignment vertical="center"/>
    </xf>
    <xf numFmtId="0" fontId="81" fillId="0" borderId="0"/>
    <xf numFmtId="0" fontId="81" fillId="0" borderId="0" applyBorder="0">
      <alignment vertical="center"/>
    </xf>
    <xf numFmtId="0" fontId="52" fillId="0" borderId="40" applyNumberFormat="0" applyFill="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52" fillId="0" borderId="40" applyNumberFormat="0" applyFill="0" applyAlignment="0" applyProtection="0">
      <alignment vertical="center"/>
    </xf>
    <xf numFmtId="0" fontId="81" fillId="0" borderId="0" applyBorder="0">
      <alignment vertical="center"/>
    </xf>
    <xf numFmtId="0" fontId="52" fillId="0" borderId="45" applyNumberFormat="0" applyFill="0" applyAlignment="0" applyProtection="0">
      <alignment vertical="center"/>
    </xf>
    <xf numFmtId="0" fontId="50" fillId="10" borderId="37" applyNumberFormat="0" applyAlignment="0" applyProtection="0">
      <alignment vertical="center"/>
    </xf>
    <xf numFmtId="0" fontId="81" fillId="0" borderId="0"/>
    <xf numFmtId="0" fontId="81" fillId="0" borderId="0" applyBorder="0">
      <alignment vertical="center"/>
    </xf>
    <xf numFmtId="0" fontId="50" fillId="10" borderId="37" applyNumberFormat="0" applyAlignment="0" applyProtection="0">
      <alignment vertical="center"/>
    </xf>
    <xf numFmtId="0" fontId="81" fillId="0" borderId="0" applyBorder="0">
      <alignment vertical="center"/>
    </xf>
    <xf numFmtId="0" fontId="50" fillId="10" borderId="37" applyNumberFormat="0" applyAlignment="0" applyProtection="0">
      <alignment vertical="center"/>
    </xf>
    <xf numFmtId="0" fontId="50" fillId="10" borderId="37" applyNumberFormat="0" applyAlignment="0" applyProtection="0">
      <alignment vertical="center"/>
    </xf>
    <xf numFmtId="0" fontId="81" fillId="0" borderId="0" applyBorder="0">
      <alignment vertical="center"/>
    </xf>
    <xf numFmtId="0" fontId="50" fillId="10" borderId="37" applyNumberFormat="0" applyAlignment="0" applyProtection="0">
      <alignment vertical="center"/>
    </xf>
    <xf numFmtId="0" fontId="50" fillId="10" borderId="37" applyNumberFormat="0" applyAlignment="0" applyProtection="0">
      <alignment vertical="center"/>
    </xf>
    <xf numFmtId="0" fontId="81" fillId="0" borderId="0"/>
    <xf numFmtId="0" fontId="81" fillId="0" borderId="0" applyBorder="0">
      <alignment vertical="center"/>
    </xf>
    <xf numFmtId="0" fontId="50" fillId="10" borderId="37" applyNumberFormat="0" applyAlignment="0" applyProtection="0">
      <alignment vertical="center"/>
    </xf>
    <xf numFmtId="0" fontId="81" fillId="0" borderId="0" applyBorder="0">
      <alignment vertical="center"/>
    </xf>
    <xf numFmtId="0" fontId="50" fillId="10" borderId="37" applyNumberFormat="0" applyAlignment="0" applyProtection="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50" fillId="10" borderId="37" applyNumberFormat="0" applyAlignment="0" applyProtection="0">
      <alignment vertical="center"/>
    </xf>
    <xf numFmtId="0" fontId="81" fillId="0" borderId="0"/>
    <xf numFmtId="0" fontId="81" fillId="0" borderId="0" applyBorder="0">
      <alignment vertical="center"/>
    </xf>
    <xf numFmtId="0" fontId="50" fillId="10" borderId="37" applyNumberFormat="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50" fillId="10" borderId="37" applyNumberFormat="0" applyAlignment="0" applyProtection="0">
      <alignment vertical="center"/>
    </xf>
    <xf numFmtId="0" fontId="50" fillId="10" borderId="37" applyNumberFormat="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50" fillId="10" borderId="37" applyNumberFormat="0" applyAlignment="0" applyProtection="0">
      <alignment vertical="center"/>
    </xf>
    <xf numFmtId="0" fontId="81" fillId="0" borderId="0" applyBorder="0">
      <alignment vertical="center"/>
    </xf>
    <xf numFmtId="0" fontId="81" fillId="0" borderId="0"/>
    <xf numFmtId="0" fontId="50" fillId="10" borderId="37" applyNumberFormat="0" applyAlignment="0" applyProtection="0">
      <alignment vertical="center"/>
    </xf>
    <xf numFmtId="0" fontId="50" fillId="10" borderId="37" applyNumberFormat="0" applyAlignment="0" applyProtection="0">
      <alignment vertical="center"/>
    </xf>
    <xf numFmtId="0" fontId="50" fillId="10" borderId="37" applyNumberFormat="0" applyAlignment="0" applyProtection="0">
      <alignment vertical="center"/>
    </xf>
    <xf numFmtId="0" fontId="81" fillId="0" borderId="0"/>
    <xf numFmtId="0" fontId="81" fillId="0" borderId="0" applyBorder="0">
      <alignment vertical="center"/>
    </xf>
    <xf numFmtId="0" fontId="50" fillId="10" borderId="37" applyNumberFormat="0" applyAlignment="0" applyProtection="0">
      <alignment vertical="center"/>
    </xf>
    <xf numFmtId="0" fontId="81" fillId="0" borderId="0"/>
    <xf numFmtId="0" fontId="81" fillId="0" borderId="0" applyBorder="0">
      <alignment vertical="center"/>
    </xf>
    <xf numFmtId="0" fontId="50" fillId="10" borderId="37" applyNumberFormat="0" applyAlignment="0" applyProtection="0">
      <alignment vertical="center"/>
    </xf>
    <xf numFmtId="0" fontId="81" fillId="0" borderId="0" applyBorder="0">
      <alignment vertical="center"/>
    </xf>
    <xf numFmtId="0" fontId="50" fillId="10" borderId="37" applyNumberFormat="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50" fillId="10" borderId="37" applyNumberFormat="0" applyAlignment="0" applyProtection="0">
      <alignment vertical="center"/>
    </xf>
    <xf numFmtId="0" fontId="81" fillId="0" borderId="0" applyBorder="0">
      <alignment vertical="center"/>
    </xf>
    <xf numFmtId="0" fontId="50" fillId="10" borderId="37" applyNumberFormat="0" applyAlignment="0" applyProtection="0">
      <alignment vertical="center"/>
    </xf>
    <xf numFmtId="0" fontId="81" fillId="0" borderId="0" applyBorder="0">
      <alignment vertical="center"/>
    </xf>
    <xf numFmtId="0" fontId="50" fillId="10" borderId="37" applyNumberFormat="0" applyAlignment="0" applyProtection="0">
      <alignment vertical="center"/>
    </xf>
    <xf numFmtId="0" fontId="50" fillId="10" borderId="37" applyNumberFormat="0" applyAlignment="0" applyProtection="0">
      <alignment vertical="center"/>
    </xf>
    <xf numFmtId="0" fontId="50" fillId="10" borderId="37" applyNumberFormat="0" applyAlignment="0" applyProtection="0">
      <alignment vertical="center"/>
    </xf>
    <xf numFmtId="0" fontId="81" fillId="0" borderId="0" applyBorder="0">
      <alignment vertical="center"/>
    </xf>
    <xf numFmtId="0" fontId="50" fillId="10" borderId="37" applyNumberFormat="0" applyAlignment="0" applyProtection="0">
      <alignment vertical="center"/>
    </xf>
    <xf numFmtId="0" fontId="50" fillId="10" borderId="37" applyNumberFormat="0" applyAlignment="0" applyProtection="0">
      <alignment vertical="center"/>
    </xf>
    <xf numFmtId="0" fontId="81" fillId="0" borderId="0" applyBorder="0">
      <alignment vertical="center"/>
    </xf>
    <xf numFmtId="0" fontId="50" fillId="10" borderId="37" applyNumberFormat="0" applyAlignment="0" applyProtection="0">
      <alignment vertical="center"/>
    </xf>
    <xf numFmtId="0" fontId="50" fillId="10" borderId="37" applyNumberFormat="0" applyAlignment="0" applyProtection="0">
      <alignment vertical="center"/>
    </xf>
    <xf numFmtId="0" fontId="50" fillId="10" borderId="37" applyNumberFormat="0" applyAlignment="0" applyProtection="0">
      <alignment vertical="center"/>
    </xf>
    <xf numFmtId="0" fontId="50" fillId="10" borderId="37" applyNumberFormat="0" applyAlignment="0" applyProtection="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50" fillId="10" borderId="37" applyNumberFormat="0" applyAlignment="0" applyProtection="0">
      <alignment vertical="center"/>
    </xf>
    <xf numFmtId="0" fontId="81" fillId="0" borderId="0"/>
    <xf numFmtId="0" fontId="81" fillId="0" borderId="0" applyBorder="0">
      <alignment vertical="center"/>
    </xf>
    <xf numFmtId="0" fontId="50" fillId="10" borderId="37" applyNumberFormat="0" applyAlignment="0" applyProtection="0">
      <alignment vertical="center"/>
    </xf>
    <xf numFmtId="0" fontId="81" fillId="0" borderId="0" applyBorder="0">
      <alignment vertical="center"/>
    </xf>
    <xf numFmtId="0" fontId="50" fillId="10" borderId="37" applyNumberFormat="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50" fillId="10" borderId="37" applyNumberFormat="0" applyAlignment="0" applyProtection="0">
      <alignment vertical="center"/>
    </xf>
    <xf numFmtId="0" fontId="81" fillId="0" borderId="0" applyBorder="0">
      <alignment vertical="center"/>
    </xf>
    <xf numFmtId="0" fontId="81" fillId="0" borderId="0"/>
    <xf numFmtId="0" fontId="50" fillId="10" borderId="37" applyNumberFormat="0" applyAlignment="0" applyProtection="0">
      <alignment vertical="center"/>
    </xf>
    <xf numFmtId="0" fontId="81" fillId="0" borderId="0"/>
    <xf numFmtId="0" fontId="81" fillId="0" borderId="0" applyBorder="0">
      <alignment vertical="center"/>
    </xf>
    <xf numFmtId="0" fontId="50" fillId="10" borderId="37" applyNumberFormat="0" applyAlignment="0" applyProtection="0">
      <alignment vertical="center"/>
    </xf>
    <xf numFmtId="0" fontId="50" fillId="10" borderId="37" applyNumberFormat="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50" fillId="10" borderId="37" applyNumberFormat="0" applyAlignment="0" applyProtection="0">
      <alignment vertical="center"/>
    </xf>
    <xf numFmtId="0" fontId="81" fillId="0" borderId="0"/>
    <xf numFmtId="0" fontId="81" fillId="0" borderId="0" applyBorder="0">
      <alignment vertical="center"/>
    </xf>
    <xf numFmtId="0" fontId="81" fillId="0" borderId="0" applyBorder="0">
      <alignment vertical="center"/>
    </xf>
    <xf numFmtId="0" fontId="50" fillId="10" borderId="37" applyNumberFormat="0" applyAlignment="0" applyProtection="0">
      <alignment vertical="center"/>
    </xf>
    <xf numFmtId="0" fontId="81" fillId="0" borderId="0"/>
    <xf numFmtId="0" fontId="81" fillId="0" borderId="0" applyBorder="0">
      <alignment vertical="center"/>
    </xf>
    <xf numFmtId="0" fontId="50" fillId="10" borderId="37" applyNumberFormat="0" applyAlignment="0" applyProtection="0">
      <alignment vertical="center"/>
    </xf>
    <xf numFmtId="0" fontId="81" fillId="0" borderId="0" applyBorder="0">
      <alignment vertical="center"/>
    </xf>
    <xf numFmtId="0" fontId="50" fillId="10" borderId="37" applyNumberFormat="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50" fillId="10" borderId="37" applyNumberFormat="0" applyAlignment="0" applyProtection="0">
      <alignment vertical="center"/>
    </xf>
    <xf numFmtId="0" fontId="81" fillId="0" borderId="0" applyBorder="0">
      <alignment vertical="center"/>
    </xf>
    <xf numFmtId="0" fontId="50" fillId="10" borderId="37" applyNumberFormat="0" applyAlignment="0" applyProtection="0">
      <alignment vertical="center"/>
    </xf>
    <xf numFmtId="0" fontId="51" fillId="21" borderId="38" applyNumberFormat="0" applyAlignment="0" applyProtection="0">
      <alignment vertical="center"/>
    </xf>
    <xf numFmtId="0" fontId="81" fillId="0" borderId="0"/>
    <xf numFmtId="0" fontId="81" fillId="0" borderId="0" applyBorder="0">
      <alignment vertical="center"/>
    </xf>
    <xf numFmtId="0" fontId="51" fillId="21" borderId="38" applyNumberFormat="0" applyAlignment="0" applyProtection="0">
      <alignment vertical="center"/>
    </xf>
    <xf numFmtId="0" fontId="81" fillId="0" borderId="0"/>
    <xf numFmtId="0" fontId="81" fillId="0" borderId="0" applyBorder="0">
      <alignment vertical="center"/>
    </xf>
    <xf numFmtId="0" fontId="51" fillId="21" borderId="38" applyNumberFormat="0" applyAlignment="0" applyProtection="0">
      <alignment vertical="center"/>
    </xf>
    <xf numFmtId="0" fontId="51" fillId="21" borderId="38" applyNumberFormat="0" applyAlignment="0" applyProtection="0">
      <alignment vertical="center"/>
    </xf>
    <xf numFmtId="0" fontId="51" fillId="21" borderId="38" applyNumberFormat="0" applyAlignment="0" applyProtection="0">
      <alignment vertical="center"/>
    </xf>
    <xf numFmtId="0" fontId="81" fillId="0" borderId="0"/>
    <xf numFmtId="0" fontId="81" fillId="0" borderId="0" applyBorder="0">
      <alignment vertical="center"/>
    </xf>
    <xf numFmtId="0" fontId="51" fillId="21" borderId="38" applyNumberFormat="0" applyAlignment="0" applyProtection="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51" fillId="21" borderId="38" applyNumberFormat="0" applyAlignment="0" applyProtection="0">
      <alignment vertical="center"/>
    </xf>
    <xf numFmtId="0" fontId="81" fillId="0" borderId="0"/>
    <xf numFmtId="0" fontId="81" fillId="0" borderId="0" applyBorder="0">
      <alignment vertical="center"/>
    </xf>
    <xf numFmtId="0" fontId="51" fillId="21" borderId="38" applyNumberFormat="0" applyAlignment="0" applyProtection="0">
      <alignment vertical="center"/>
    </xf>
    <xf numFmtId="0" fontId="81" fillId="0" borderId="0" applyBorder="0">
      <alignment vertical="center"/>
    </xf>
    <xf numFmtId="0" fontId="51" fillId="21" borderId="38" applyNumberFormat="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51" fillId="21" borderId="38" applyNumberFormat="0" applyAlignment="0" applyProtection="0">
      <alignment vertical="center"/>
    </xf>
    <xf numFmtId="0" fontId="81" fillId="0" borderId="0" applyBorder="0">
      <alignment vertical="center"/>
    </xf>
    <xf numFmtId="0" fontId="51" fillId="21" borderId="38" applyNumberFormat="0" applyAlignment="0" applyProtection="0">
      <alignment vertical="center"/>
    </xf>
    <xf numFmtId="0" fontId="51" fillId="21" borderId="38" applyNumberFormat="0" applyAlignment="0" applyProtection="0">
      <alignment vertical="center"/>
    </xf>
    <xf numFmtId="0" fontId="51" fillId="21" borderId="38" applyNumberFormat="0" applyAlignment="0" applyProtection="0">
      <alignment vertical="center"/>
    </xf>
    <xf numFmtId="0" fontId="81" fillId="0" borderId="0"/>
    <xf numFmtId="0" fontId="81" fillId="0" borderId="0" applyBorder="0">
      <alignment vertical="center"/>
    </xf>
    <xf numFmtId="0" fontId="51" fillId="21" borderId="38" applyNumberFormat="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51" fillId="21" borderId="38" applyNumberFormat="0" applyAlignment="0" applyProtection="0">
      <alignment vertical="center"/>
    </xf>
    <xf numFmtId="0" fontId="51" fillId="21" borderId="38" applyNumberFormat="0" applyAlignment="0" applyProtection="0">
      <alignment vertical="center"/>
    </xf>
    <xf numFmtId="0" fontId="81" fillId="0" borderId="0" applyBorder="0">
      <alignment vertical="center"/>
    </xf>
    <xf numFmtId="0" fontId="51" fillId="21" borderId="38" applyNumberFormat="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51" fillId="21" borderId="38" applyNumberFormat="0" applyAlignment="0" applyProtection="0">
      <alignment vertical="center"/>
    </xf>
    <xf numFmtId="0" fontId="81" fillId="0" borderId="0" applyBorder="0">
      <alignment vertical="center"/>
    </xf>
    <xf numFmtId="0" fontId="81" fillId="0" borderId="0"/>
    <xf numFmtId="0" fontId="51" fillId="21" borderId="38" applyNumberFormat="0" applyAlignment="0" applyProtection="0">
      <alignment vertical="center"/>
    </xf>
    <xf numFmtId="0" fontId="51" fillId="21" borderId="38" applyNumberFormat="0" applyAlignment="0" applyProtection="0">
      <alignment vertical="center"/>
    </xf>
    <xf numFmtId="0" fontId="81" fillId="0" borderId="0"/>
    <xf numFmtId="0" fontId="81" fillId="0" borderId="0" applyBorder="0">
      <alignment vertical="center"/>
    </xf>
    <xf numFmtId="0" fontId="51" fillId="21" borderId="38" applyNumberFormat="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51" fillId="21" borderId="38" applyNumberFormat="0" applyAlignment="0" applyProtection="0">
      <alignment vertical="center"/>
    </xf>
    <xf numFmtId="0" fontId="81" fillId="0" borderId="0"/>
    <xf numFmtId="0" fontId="81" fillId="0" borderId="0" applyBorder="0">
      <alignment vertical="center"/>
    </xf>
    <xf numFmtId="0" fontId="51" fillId="21" borderId="38" applyNumberFormat="0" applyAlignment="0" applyProtection="0">
      <alignment vertical="center"/>
    </xf>
    <xf numFmtId="0" fontId="81" fillId="0" borderId="0" applyBorder="0">
      <alignment vertical="center"/>
    </xf>
    <xf numFmtId="0" fontId="51" fillId="21" borderId="38" applyNumberFormat="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51" fillId="21" borderId="38" applyNumberFormat="0" applyAlignment="0" applyProtection="0">
      <alignment vertical="center"/>
    </xf>
    <xf numFmtId="0" fontId="51" fillId="21" borderId="38" applyNumberFormat="0" applyAlignment="0" applyProtection="0">
      <alignment vertical="center"/>
    </xf>
    <xf numFmtId="0" fontId="81" fillId="0" borderId="0" applyBorder="0">
      <alignment vertical="center"/>
    </xf>
    <xf numFmtId="0" fontId="51" fillId="21" borderId="38" applyNumberFormat="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51" fillId="21" borderId="38" applyNumberFormat="0" applyAlignment="0" applyProtection="0">
      <alignment vertical="center"/>
    </xf>
    <xf numFmtId="0" fontId="81" fillId="0" borderId="0"/>
    <xf numFmtId="0" fontId="81" fillId="0" borderId="0" applyBorder="0">
      <alignment vertical="center"/>
    </xf>
    <xf numFmtId="0" fontId="51" fillId="21" borderId="38" applyNumberFormat="0" applyAlignment="0" applyProtection="0">
      <alignment vertical="center"/>
    </xf>
    <xf numFmtId="0" fontId="81" fillId="0" borderId="0" applyBorder="0">
      <alignment vertical="center"/>
    </xf>
    <xf numFmtId="0" fontId="51" fillId="21" borderId="38" applyNumberFormat="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51" fillId="21" borderId="38" applyNumberFormat="0" applyAlignment="0" applyProtection="0">
      <alignment vertical="center"/>
    </xf>
    <xf numFmtId="0" fontId="81" fillId="0" borderId="0" applyBorder="0">
      <alignment vertical="center"/>
    </xf>
    <xf numFmtId="0" fontId="51" fillId="21" borderId="38" applyNumberFormat="0" applyAlignment="0" applyProtection="0">
      <alignment vertical="center"/>
    </xf>
    <xf numFmtId="0" fontId="81" fillId="0" borderId="0" applyBorder="0">
      <alignment vertical="center"/>
    </xf>
    <xf numFmtId="0" fontId="51" fillId="21" borderId="38" applyNumberFormat="0" applyAlignment="0" applyProtection="0">
      <alignment vertical="center"/>
    </xf>
    <xf numFmtId="0" fontId="51" fillId="21" borderId="38" applyNumberFormat="0" applyAlignment="0" applyProtection="0">
      <alignment vertical="center"/>
    </xf>
    <xf numFmtId="0" fontId="51" fillId="21" borderId="38" applyNumberFormat="0" applyAlignment="0" applyProtection="0">
      <alignment vertical="center"/>
    </xf>
    <xf numFmtId="0" fontId="81" fillId="0" borderId="0"/>
    <xf numFmtId="0" fontId="81" fillId="0" borderId="0" applyBorder="0">
      <alignment vertical="center"/>
    </xf>
    <xf numFmtId="0" fontId="51" fillId="21" borderId="38" applyNumberFormat="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51" fillId="21" borderId="38" applyNumberFormat="0" applyAlignment="0" applyProtection="0">
      <alignment vertical="center"/>
    </xf>
    <xf numFmtId="0" fontId="81" fillId="0" borderId="0"/>
    <xf numFmtId="0" fontId="81" fillId="0" borderId="0" applyBorder="0">
      <alignment vertical="center"/>
    </xf>
    <xf numFmtId="0" fontId="51" fillId="21" borderId="38" applyNumberFormat="0" applyAlignment="0" applyProtection="0">
      <alignment vertical="center"/>
    </xf>
    <xf numFmtId="0" fontId="81" fillId="0" borderId="0" applyBorder="0">
      <alignment vertical="center"/>
    </xf>
    <xf numFmtId="0" fontId="51" fillId="21" borderId="38" applyNumberFormat="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51" fillId="21" borderId="38" applyNumberFormat="0" applyAlignment="0" applyProtection="0">
      <alignment vertical="center"/>
    </xf>
    <xf numFmtId="0" fontId="51" fillId="21" borderId="38" applyNumberFormat="0" applyAlignment="0" applyProtection="0">
      <alignment vertical="center"/>
    </xf>
    <xf numFmtId="0" fontId="81" fillId="0" borderId="0"/>
    <xf numFmtId="0" fontId="81" fillId="0" borderId="0" applyBorder="0">
      <alignment vertical="center"/>
    </xf>
    <xf numFmtId="0" fontId="51" fillId="21" borderId="38" applyNumberFormat="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51" fillId="21" borderId="38" applyNumberFormat="0" applyAlignment="0" applyProtection="0">
      <alignment vertical="center"/>
    </xf>
    <xf numFmtId="0" fontId="81" fillId="0" borderId="0"/>
    <xf numFmtId="0" fontId="81" fillId="0" borderId="0" applyBorder="0">
      <alignment vertical="center"/>
    </xf>
    <xf numFmtId="0" fontId="51" fillId="21" borderId="38" applyNumberFormat="0" applyAlignment="0" applyProtection="0">
      <alignment vertical="center"/>
    </xf>
    <xf numFmtId="0" fontId="81" fillId="0" borderId="0" applyBorder="0">
      <alignment vertical="center"/>
    </xf>
    <xf numFmtId="0" fontId="51" fillId="21" borderId="38" applyNumberFormat="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51" fillId="21" borderId="38" applyNumberFormat="0" applyAlignment="0" applyProtection="0">
      <alignment vertical="center"/>
    </xf>
    <xf numFmtId="0" fontId="81" fillId="0" borderId="0" applyBorder="0">
      <alignment vertical="center"/>
    </xf>
    <xf numFmtId="0" fontId="81" fillId="0" borderId="0"/>
    <xf numFmtId="0" fontId="51" fillId="21" borderId="38" applyNumberFormat="0" applyAlignment="0" applyProtection="0">
      <alignment vertical="center"/>
    </xf>
    <xf numFmtId="0" fontId="51" fillId="21" borderId="38" applyNumberFormat="0" applyAlignment="0" applyProtection="0">
      <alignment vertical="center"/>
    </xf>
    <xf numFmtId="0" fontId="81" fillId="0" borderId="0"/>
    <xf numFmtId="0" fontId="81" fillId="0" borderId="0" applyBorder="0">
      <alignment vertical="center"/>
    </xf>
    <xf numFmtId="0" fontId="51" fillId="21" borderId="38" applyNumberFormat="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51" fillId="21" borderId="38" applyNumberFormat="0" applyAlignment="0" applyProtection="0">
      <alignment vertical="center"/>
    </xf>
    <xf numFmtId="0" fontId="51" fillId="21" borderId="38" applyNumberFormat="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51" fillId="21" borderId="38" applyNumberFormat="0" applyAlignment="0" applyProtection="0">
      <alignment vertical="center"/>
    </xf>
    <xf numFmtId="0" fontId="81" fillId="0" borderId="0" applyBorder="0">
      <alignment vertical="center"/>
    </xf>
    <xf numFmtId="0" fontId="51" fillId="21" borderId="38" applyNumberFormat="0" applyAlignment="0" applyProtection="0">
      <alignment vertical="center"/>
    </xf>
    <xf numFmtId="0" fontId="81" fillId="0" borderId="0"/>
    <xf numFmtId="0" fontId="81" fillId="0" borderId="0" applyBorder="0">
      <alignment vertical="center"/>
    </xf>
    <xf numFmtId="0" fontId="46" fillId="0" borderId="0" applyNumberFormat="0" applyFill="0" applyBorder="0" applyAlignment="0" applyProtection="0">
      <alignment vertical="center"/>
    </xf>
    <xf numFmtId="0" fontId="81" fillId="0" borderId="0"/>
    <xf numFmtId="0" fontId="81" fillId="0" borderId="0" applyBorder="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81" fillId="0" borderId="0"/>
    <xf numFmtId="0" fontId="81" fillId="0" borderId="0" applyBorder="0">
      <alignment vertical="center"/>
    </xf>
    <xf numFmtId="0" fontId="46" fillId="0" borderId="0" applyNumberFormat="0" applyFill="0" applyBorder="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46" fillId="0" borderId="0" applyNumberFormat="0" applyFill="0" applyBorder="0" applyAlignment="0" applyProtection="0">
      <alignment vertical="center"/>
    </xf>
    <xf numFmtId="0" fontId="81" fillId="0" borderId="0"/>
    <xf numFmtId="0" fontId="81" fillId="0" borderId="0" applyBorder="0">
      <alignment vertical="center"/>
    </xf>
    <xf numFmtId="0" fontId="46" fillId="0" borderId="0" applyNumberFormat="0" applyFill="0" applyBorder="0" applyAlignment="0" applyProtection="0">
      <alignment vertical="center"/>
    </xf>
    <xf numFmtId="0" fontId="81" fillId="0" borderId="0" applyBorder="0">
      <alignment vertical="center"/>
    </xf>
    <xf numFmtId="0" fontId="46" fillId="0" borderId="0" applyNumberFormat="0" applyFill="0" applyBorder="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46" fillId="0" borderId="0" applyNumberFormat="0" applyFill="0" applyBorder="0" applyAlignment="0" applyProtection="0">
      <alignment vertical="center"/>
    </xf>
    <xf numFmtId="0" fontId="81" fillId="0" borderId="0" applyBorder="0">
      <alignment vertical="center"/>
    </xf>
    <xf numFmtId="0" fontId="81" fillId="0" borderId="0"/>
    <xf numFmtId="0" fontId="81" fillId="0" borderId="0" applyBorder="0">
      <alignment vertical="center"/>
    </xf>
    <xf numFmtId="0" fontId="46" fillId="0" borderId="0" applyNumberFormat="0" applyFill="0" applyBorder="0" applyAlignment="0" applyProtection="0">
      <alignment vertical="center"/>
    </xf>
    <xf numFmtId="0" fontId="81" fillId="0" borderId="0" applyBorder="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81" fillId="0" borderId="0"/>
    <xf numFmtId="0" fontId="81" fillId="0" borderId="0" applyBorder="0">
      <alignment vertical="center"/>
    </xf>
    <xf numFmtId="0" fontId="46" fillId="0" borderId="0" applyNumberFormat="0" applyFill="0" applyBorder="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46" fillId="0" borderId="0" applyNumberFormat="0" applyFill="0" applyBorder="0" applyAlignment="0" applyProtection="0">
      <alignment vertical="center"/>
    </xf>
    <xf numFmtId="0" fontId="81" fillId="0" borderId="0"/>
    <xf numFmtId="0" fontId="81" fillId="0" borderId="0" applyBorder="0">
      <alignment vertical="center"/>
    </xf>
    <xf numFmtId="0" fontId="46" fillId="0" borderId="0" applyNumberFormat="0" applyFill="0" applyBorder="0" applyAlignment="0" applyProtection="0">
      <alignment vertical="center"/>
    </xf>
    <xf numFmtId="0" fontId="81" fillId="0" borderId="0" applyBorder="0">
      <alignment vertical="center"/>
    </xf>
    <xf numFmtId="0" fontId="46" fillId="0" borderId="0" applyNumberFormat="0" applyFill="0" applyBorder="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46" fillId="0" borderId="0" applyNumberFormat="0" applyFill="0" applyBorder="0" applyAlignment="0" applyProtection="0">
      <alignment vertical="center"/>
    </xf>
    <xf numFmtId="0" fontId="81" fillId="0" borderId="0" applyBorder="0">
      <alignment vertical="center"/>
    </xf>
    <xf numFmtId="0" fontId="81" fillId="0" borderId="0"/>
    <xf numFmtId="0" fontId="81" fillId="0" borderId="0" applyBorder="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81" fillId="0" borderId="0"/>
    <xf numFmtId="0" fontId="46" fillId="0" borderId="0" applyNumberFormat="0" applyFill="0" applyBorder="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46" fillId="0" borderId="0" applyNumberFormat="0" applyFill="0" applyBorder="0" applyAlignment="0" applyProtection="0">
      <alignment vertical="center"/>
    </xf>
    <xf numFmtId="0" fontId="81" fillId="0" borderId="0"/>
    <xf numFmtId="0" fontId="81" fillId="0" borderId="0" applyBorder="0">
      <alignment vertical="center"/>
    </xf>
    <xf numFmtId="0" fontId="46" fillId="0" borderId="0" applyNumberFormat="0" applyFill="0" applyBorder="0" applyAlignment="0" applyProtection="0">
      <alignment vertical="center"/>
    </xf>
    <xf numFmtId="0" fontId="81" fillId="0" borderId="0" applyBorder="0">
      <alignment vertical="center"/>
    </xf>
    <xf numFmtId="0" fontId="46" fillId="0" borderId="0" applyNumberFormat="0" applyFill="0" applyBorder="0" applyAlignment="0" applyProtection="0">
      <alignment vertical="center"/>
    </xf>
    <xf numFmtId="0" fontId="81" fillId="0" borderId="0" applyBorder="0">
      <alignment vertical="center"/>
    </xf>
    <xf numFmtId="0" fontId="81" fillId="0" borderId="0"/>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81" fillId="0" borderId="0"/>
    <xf numFmtId="0" fontId="81" fillId="0" borderId="0" applyBorder="0">
      <alignment vertical="center"/>
    </xf>
    <xf numFmtId="0" fontId="46" fillId="0" borderId="0" applyNumberFormat="0" applyFill="0" applyBorder="0" applyAlignment="0" applyProtection="0">
      <alignment vertical="center"/>
    </xf>
    <xf numFmtId="0" fontId="81" fillId="0" borderId="0"/>
    <xf numFmtId="0" fontId="81" fillId="0" borderId="0" applyBorder="0">
      <alignment vertical="center"/>
    </xf>
    <xf numFmtId="0" fontId="81" fillId="0" borderId="0" applyBorder="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46" fillId="0" borderId="0" applyNumberFormat="0" applyFill="0" applyBorder="0" applyAlignment="0" applyProtection="0">
      <alignment vertical="center"/>
    </xf>
    <xf numFmtId="0" fontId="81" fillId="0" borderId="0" applyBorder="0">
      <alignment vertical="center"/>
    </xf>
    <xf numFmtId="0" fontId="46" fillId="0" borderId="0" applyNumberFormat="0" applyFill="0" applyBorder="0" applyAlignment="0" applyProtection="0">
      <alignment vertical="center"/>
    </xf>
    <xf numFmtId="0" fontId="81" fillId="0" borderId="0" applyBorder="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81" fillId="0" borderId="0" applyBorder="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81" fillId="0" borderId="0" applyBorder="0">
      <alignment vertical="center"/>
    </xf>
    <xf numFmtId="0" fontId="46" fillId="0" borderId="0" applyNumberFormat="0" applyFill="0" applyBorder="0" applyAlignment="0" applyProtection="0">
      <alignment vertical="center"/>
    </xf>
    <xf numFmtId="0" fontId="81" fillId="0" borderId="0" applyBorder="0">
      <alignment vertical="center"/>
    </xf>
    <xf numFmtId="0" fontId="81" fillId="0" borderId="0"/>
    <xf numFmtId="0" fontId="46" fillId="0" borderId="0" applyNumberFormat="0" applyFill="0" applyBorder="0" applyAlignment="0" applyProtection="0">
      <alignment vertical="center"/>
    </xf>
    <xf numFmtId="0" fontId="81" fillId="0" borderId="0" applyBorder="0">
      <alignment vertical="center"/>
    </xf>
    <xf numFmtId="0" fontId="81" fillId="0" borderId="0"/>
    <xf numFmtId="0" fontId="81" fillId="0" borderId="0" applyBorder="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81" fillId="0" borderId="0"/>
    <xf numFmtId="0" fontId="81" fillId="0" borderId="0" applyBorder="0">
      <alignment vertical="center"/>
    </xf>
    <xf numFmtId="0" fontId="46" fillId="0" borderId="0" applyNumberFormat="0" applyFill="0" applyBorder="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46" fillId="0" borderId="0" applyNumberFormat="0" applyFill="0" applyBorder="0" applyAlignment="0" applyProtection="0">
      <alignment vertical="center"/>
    </xf>
    <xf numFmtId="0" fontId="81" fillId="0" borderId="0"/>
    <xf numFmtId="0" fontId="81" fillId="0" borderId="0" applyBorder="0">
      <alignment vertical="center"/>
    </xf>
    <xf numFmtId="0" fontId="46" fillId="0" borderId="0" applyNumberFormat="0" applyFill="0" applyBorder="0" applyAlignment="0" applyProtection="0">
      <alignment vertical="center"/>
    </xf>
    <xf numFmtId="0" fontId="81" fillId="0" borderId="0" applyBorder="0">
      <alignment vertical="center"/>
    </xf>
    <xf numFmtId="0" fontId="46" fillId="0" borderId="0" applyNumberFormat="0" applyFill="0" applyBorder="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46" fillId="0" borderId="0" applyNumberFormat="0" applyFill="0" applyBorder="0" applyAlignment="0" applyProtection="0">
      <alignment vertical="center"/>
    </xf>
    <xf numFmtId="0" fontId="81" fillId="0" borderId="0" applyBorder="0">
      <alignment vertical="center"/>
    </xf>
    <xf numFmtId="0" fontId="81" fillId="0" borderId="0"/>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81" fillId="0" borderId="0"/>
    <xf numFmtId="0" fontId="81" fillId="0" borderId="0" applyBorder="0">
      <alignment vertical="center"/>
    </xf>
    <xf numFmtId="0" fontId="46" fillId="0" borderId="0" applyNumberFormat="0" applyFill="0" applyBorder="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46" fillId="0" borderId="0" applyNumberFormat="0" applyFill="0" applyBorder="0" applyAlignment="0" applyProtection="0">
      <alignment vertical="center"/>
    </xf>
    <xf numFmtId="0" fontId="81" fillId="0" borderId="0" applyBorder="0">
      <alignment vertical="center"/>
    </xf>
    <xf numFmtId="0" fontId="56" fillId="0" borderId="0" applyNumberFormat="0" applyFill="0" applyBorder="0" applyAlignment="0" applyProtection="0">
      <alignment vertical="center"/>
    </xf>
    <xf numFmtId="0" fontId="81" fillId="0" borderId="0"/>
    <xf numFmtId="0" fontId="81" fillId="0" borderId="0" applyBorder="0">
      <alignment vertical="center"/>
    </xf>
    <xf numFmtId="0" fontId="56" fillId="0" borderId="0" applyNumberFormat="0" applyFill="0" applyBorder="0" applyAlignment="0" applyProtection="0">
      <alignment vertical="center"/>
    </xf>
    <xf numFmtId="0" fontId="81" fillId="0" borderId="0"/>
    <xf numFmtId="0" fontId="81" fillId="0" borderId="0" applyBorder="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81" fillId="0" borderId="0"/>
    <xf numFmtId="0" fontId="81" fillId="0" borderId="0" applyBorder="0">
      <alignment vertical="center"/>
    </xf>
    <xf numFmtId="0" fontId="56" fillId="0" borderId="0" applyNumberFormat="0" applyFill="0" applyBorder="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56" fillId="0" borderId="0" applyNumberFormat="0" applyFill="0" applyBorder="0" applyAlignment="0" applyProtection="0">
      <alignment vertical="center"/>
    </xf>
    <xf numFmtId="0" fontId="81" fillId="0" borderId="0" applyBorder="0">
      <alignment vertical="center"/>
    </xf>
    <xf numFmtId="0" fontId="56" fillId="0" borderId="0" applyNumberFormat="0" applyFill="0" applyBorder="0" applyAlignment="0" applyProtection="0">
      <alignment vertical="center"/>
    </xf>
    <xf numFmtId="0" fontId="81" fillId="0" borderId="0" applyBorder="0">
      <alignment vertical="center"/>
    </xf>
    <xf numFmtId="0" fontId="56" fillId="0" borderId="0" applyNumberFormat="0" applyFill="0" applyBorder="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56" fillId="0" borderId="0" applyNumberFormat="0" applyFill="0" applyBorder="0" applyAlignment="0" applyProtection="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56" fillId="0" borderId="0" applyNumberFormat="0" applyFill="0" applyBorder="0" applyAlignment="0" applyProtection="0">
      <alignment vertical="center"/>
    </xf>
    <xf numFmtId="0" fontId="81" fillId="0" borderId="0" applyBorder="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81" fillId="0" borderId="0"/>
    <xf numFmtId="0" fontId="81" fillId="0" borderId="0" applyBorder="0">
      <alignment vertical="center"/>
    </xf>
    <xf numFmtId="0" fontId="56" fillId="0" borderId="0" applyNumberFormat="0" applyFill="0" applyBorder="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56" fillId="0" borderId="0" applyNumberFormat="0" applyFill="0" applyBorder="0" applyAlignment="0" applyProtection="0">
      <alignment vertical="center"/>
    </xf>
    <xf numFmtId="0" fontId="81" fillId="0" borderId="0"/>
    <xf numFmtId="0" fontId="81" fillId="0" borderId="0" applyBorder="0">
      <alignment vertical="center"/>
    </xf>
    <xf numFmtId="0" fontId="56" fillId="0" borderId="0" applyNumberFormat="0" applyFill="0" applyBorder="0" applyAlignment="0" applyProtection="0">
      <alignment vertical="center"/>
    </xf>
    <xf numFmtId="0" fontId="81" fillId="0" borderId="0" applyBorder="0">
      <alignment vertical="center"/>
    </xf>
    <xf numFmtId="0" fontId="56" fillId="0" borderId="0" applyNumberFormat="0" applyFill="0" applyBorder="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56" fillId="0" borderId="0" applyNumberFormat="0" applyFill="0" applyBorder="0" applyAlignment="0" applyProtection="0">
      <alignment vertical="center"/>
    </xf>
    <xf numFmtId="0" fontId="81" fillId="0" borderId="0" applyBorder="0">
      <alignment vertical="center"/>
    </xf>
    <xf numFmtId="0" fontId="81" fillId="0" borderId="0"/>
    <xf numFmtId="0" fontId="81" fillId="0" borderId="0" applyBorder="0">
      <alignment vertical="center"/>
    </xf>
    <xf numFmtId="0" fontId="56" fillId="0" borderId="0" applyNumberFormat="0" applyFill="0" applyBorder="0" applyAlignment="0" applyProtection="0">
      <alignment vertical="center"/>
    </xf>
    <xf numFmtId="0" fontId="81" fillId="0" borderId="0" applyBorder="0">
      <alignment vertical="center"/>
    </xf>
    <xf numFmtId="0" fontId="56" fillId="0" borderId="0" applyNumberFormat="0" applyFill="0" applyBorder="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56" fillId="0" borderId="0" applyNumberFormat="0" applyFill="0" applyBorder="0" applyAlignment="0" applyProtection="0">
      <alignment vertical="center"/>
    </xf>
    <xf numFmtId="0" fontId="81" fillId="0" borderId="0"/>
    <xf numFmtId="0" fontId="81" fillId="0" borderId="0" applyBorder="0">
      <alignment vertical="center"/>
    </xf>
    <xf numFmtId="0" fontId="56" fillId="0" borderId="0" applyNumberFormat="0" applyFill="0" applyBorder="0" applyAlignment="0" applyProtection="0">
      <alignment vertical="center"/>
    </xf>
    <xf numFmtId="0" fontId="81" fillId="0" borderId="0" applyBorder="0">
      <alignment vertical="center"/>
    </xf>
    <xf numFmtId="0" fontId="56" fillId="0" borderId="0" applyNumberFormat="0" applyFill="0" applyBorder="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56" fillId="0" borderId="0" applyNumberFormat="0" applyFill="0" applyBorder="0" applyAlignment="0" applyProtection="0">
      <alignment vertical="center"/>
    </xf>
    <xf numFmtId="0" fontId="81" fillId="0" borderId="0" applyBorder="0">
      <alignment vertical="center"/>
    </xf>
    <xf numFmtId="0" fontId="81" fillId="0" borderId="0"/>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81" fillId="0" borderId="0"/>
    <xf numFmtId="0" fontId="81" fillId="0" borderId="0" applyBorder="0">
      <alignment vertical="center"/>
    </xf>
    <xf numFmtId="0" fontId="56" fillId="0" borderId="0" applyNumberFormat="0" applyFill="0" applyBorder="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56" fillId="0" borderId="0" applyNumberFormat="0" applyFill="0" applyBorder="0" applyAlignment="0" applyProtection="0">
      <alignment vertical="center"/>
    </xf>
    <xf numFmtId="0" fontId="81" fillId="0" borderId="0" applyBorder="0">
      <alignment vertical="center"/>
    </xf>
    <xf numFmtId="0" fontId="56" fillId="0" borderId="0" applyNumberFormat="0" applyFill="0" applyBorder="0" applyAlignment="0" applyProtection="0">
      <alignment vertical="center"/>
    </xf>
    <xf numFmtId="0" fontId="81" fillId="0" borderId="0" applyBorder="0">
      <alignment vertical="center"/>
    </xf>
    <xf numFmtId="0" fontId="56" fillId="0" borderId="0" applyNumberFormat="0" applyFill="0" applyBorder="0" applyAlignment="0" applyProtection="0">
      <alignment vertical="center"/>
    </xf>
    <xf numFmtId="0" fontId="81" fillId="0" borderId="0" applyBorder="0">
      <alignment vertical="center"/>
    </xf>
    <xf numFmtId="0" fontId="81" fillId="0" borderId="0"/>
    <xf numFmtId="0" fontId="81" fillId="0" borderId="0" applyBorder="0">
      <alignment vertical="center"/>
    </xf>
    <xf numFmtId="0" fontId="56" fillId="0" borderId="0" applyNumberFormat="0" applyFill="0" applyBorder="0" applyAlignment="0" applyProtection="0">
      <alignment vertical="center"/>
    </xf>
    <xf numFmtId="0" fontId="81" fillId="0" borderId="0" applyBorder="0">
      <alignment vertical="center"/>
    </xf>
    <xf numFmtId="0" fontId="56" fillId="0" borderId="0" applyNumberFormat="0" applyFill="0" applyBorder="0" applyAlignment="0" applyProtection="0">
      <alignment vertical="center"/>
    </xf>
    <xf numFmtId="0" fontId="81" fillId="0" borderId="0" applyBorder="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81" fillId="0" borderId="0"/>
    <xf numFmtId="0" fontId="81" fillId="0" borderId="0" applyBorder="0">
      <alignment vertical="center"/>
    </xf>
    <xf numFmtId="0" fontId="56" fillId="0" borderId="0" applyNumberFormat="0" applyFill="0" applyBorder="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56" fillId="0" borderId="0" applyNumberFormat="0" applyFill="0" applyBorder="0" applyAlignment="0" applyProtection="0">
      <alignment vertical="center"/>
    </xf>
    <xf numFmtId="0" fontId="81" fillId="0" borderId="0"/>
    <xf numFmtId="0" fontId="81" fillId="0" borderId="0" applyBorder="0">
      <alignment vertical="center"/>
    </xf>
    <xf numFmtId="0" fontId="56" fillId="0" borderId="0" applyNumberFormat="0" applyFill="0" applyBorder="0" applyAlignment="0" applyProtection="0">
      <alignment vertical="center"/>
    </xf>
    <xf numFmtId="0" fontId="81" fillId="0" borderId="0" applyBorder="0">
      <alignment vertical="center"/>
    </xf>
    <xf numFmtId="0" fontId="56" fillId="0" borderId="0" applyNumberFormat="0" applyFill="0" applyBorder="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56" fillId="0" borderId="0" applyNumberFormat="0" applyFill="0" applyBorder="0" applyAlignment="0" applyProtection="0">
      <alignment vertical="center"/>
    </xf>
    <xf numFmtId="0" fontId="81" fillId="0" borderId="0" applyBorder="0">
      <alignment vertical="center"/>
    </xf>
    <xf numFmtId="0" fontId="81" fillId="0" borderId="0"/>
    <xf numFmtId="0" fontId="81" fillId="0" borderId="0" applyBorder="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81" fillId="0" borderId="0"/>
    <xf numFmtId="0" fontId="81" fillId="0" borderId="0" applyBorder="0">
      <alignment vertical="center"/>
    </xf>
    <xf numFmtId="0" fontId="56" fillId="0" borderId="0" applyNumberFormat="0" applyFill="0" applyBorder="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56" fillId="0" borderId="0" applyNumberFormat="0" applyFill="0" applyBorder="0" applyAlignment="0" applyProtection="0">
      <alignment vertical="center"/>
    </xf>
    <xf numFmtId="0" fontId="81" fillId="0" borderId="0"/>
    <xf numFmtId="0" fontId="81" fillId="0" borderId="0" applyBorder="0">
      <alignment vertical="center"/>
    </xf>
    <xf numFmtId="0" fontId="56" fillId="0" borderId="0" applyNumberFormat="0" applyFill="0" applyBorder="0" applyAlignment="0" applyProtection="0">
      <alignment vertical="center"/>
    </xf>
    <xf numFmtId="0" fontId="81" fillId="0" borderId="0" applyBorder="0">
      <alignment vertical="center"/>
    </xf>
    <xf numFmtId="0" fontId="56" fillId="0" borderId="0" applyNumberFormat="0" applyFill="0" applyBorder="0" applyAlignment="0" applyProtection="0">
      <alignment vertical="center"/>
    </xf>
    <xf numFmtId="0" fontId="81" fillId="0" borderId="0" applyBorder="0">
      <alignment vertical="center"/>
    </xf>
    <xf numFmtId="0" fontId="81" fillId="0" borderId="0"/>
    <xf numFmtId="0" fontId="56" fillId="0" borderId="0" applyNumberFormat="0" applyFill="0" applyBorder="0" applyAlignment="0" applyProtection="0">
      <alignment vertical="center"/>
    </xf>
    <xf numFmtId="0" fontId="81" fillId="0" borderId="0" applyBorder="0">
      <alignment vertical="center"/>
    </xf>
    <xf numFmtId="0" fontId="81" fillId="0" borderId="0"/>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81" fillId="0" borderId="0"/>
    <xf numFmtId="0" fontId="81" fillId="0" borderId="0" applyBorder="0">
      <alignment vertical="center"/>
    </xf>
    <xf numFmtId="0" fontId="56" fillId="0" borderId="0" applyNumberFormat="0" applyFill="0" applyBorder="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56" fillId="0" borderId="0" applyNumberFormat="0" applyFill="0" applyBorder="0" applyAlignment="0" applyProtection="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53" fillId="0" borderId="41" applyNumberFormat="0" applyFill="0" applyAlignment="0" applyProtection="0">
      <alignment vertical="center"/>
    </xf>
    <xf numFmtId="0" fontId="81" fillId="0" borderId="0"/>
    <xf numFmtId="0" fontId="81" fillId="0" borderId="0" applyBorder="0">
      <alignment vertical="center"/>
    </xf>
    <xf numFmtId="0" fontId="81" fillId="0" borderId="0" applyBorder="0">
      <alignment vertical="center"/>
    </xf>
    <xf numFmtId="0" fontId="53" fillId="0" borderId="41" applyNumberFormat="0" applyFill="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53" fillId="0" borderId="41" applyNumberFormat="0" applyFill="0" applyAlignment="0" applyProtection="0">
      <alignment vertical="center"/>
    </xf>
    <xf numFmtId="0" fontId="53" fillId="0" borderId="41" applyNumberFormat="0" applyFill="0" applyAlignment="0" applyProtection="0">
      <alignment vertical="center"/>
    </xf>
    <xf numFmtId="0" fontId="81" fillId="0" borderId="0" applyBorder="0">
      <alignment vertical="center"/>
    </xf>
    <xf numFmtId="0" fontId="81" fillId="0" borderId="0"/>
    <xf numFmtId="0" fontId="81" fillId="0" borderId="0" applyBorder="0">
      <alignment vertical="center"/>
    </xf>
    <xf numFmtId="0" fontId="53" fillId="0" borderId="41" applyNumberFormat="0" applyFill="0" applyAlignment="0" applyProtection="0">
      <alignment vertical="center"/>
    </xf>
    <xf numFmtId="0" fontId="81" fillId="0" borderId="0" applyBorder="0">
      <alignment vertical="center"/>
    </xf>
    <xf numFmtId="0" fontId="81" fillId="0" borderId="0"/>
    <xf numFmtId="0" fontId="81" fillId="0" borderId="0" applyBorder="0">
      <alignment vertical="center"/>
    </xf>
    <xf numFmtId="0" fontId="53" fillId="0" borderId="41" applyNumberFormat="0" applyFill="0" applyAlignment="0" applyProtection="0">
      <alignment vertical="center"/>
    </xf>
    <xf numFmtId="0" fontId="81" fillId="0" borderId="0" applyBorder="0">
      <alignment vertical="center"/>
    </xf>
    <xf numFmtId="0" fontId="53" fillId="0" borderId="41" applyNumberFormat="0" applyFill="0" applyAlignment="0" applyProtection="0">
      <alignment vertical="center"/>
    </xf>
    <xf numFmtId="0" fontId="53" fillId="0" borderId="41" applyNumberFormat="0" applyFill="0" applyAlignment="0" applyProtection="0">
      <alignment vertical="center"/>
    </xf>
    <xf numFmtId="0" fontId="81" fillId="0" borderId="0"/>
    <xf numFmtId="0" fontId="81" fillId="0" borderId="0" applyBorder="0">
      <alignment vertical="center"/>
    </xf>
    <xf numFmtId="0" fontId="81" fillId="0" borderId="0" applyBorder="0">
      <alignment vertical="center"/>
    </xf>
    <xf numFmtId="0" fontId="53" fillId="0" borderId="41" applyNumberFormat="0" applyFill="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53" fillId="0" borderId="41" applyNumberFormat="0" applyFill="0" applyAlignment="0" applyProtection="0">
      <alignment vertical="center"/>
    </xf>
    <xf numFmtId="0" fontId="53" fillId="0" borderId="41" applyNumberFormat="0" applyFill="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53" fillId="0" borderId="41" applyNumberFormat="0" applyFill="0" applyAlignment="0" applyProtection="0">
      <alignment vertical="center"/>
    </xf>
    <xf numFmtId="0" fontId="81" fillId="0" borderId="0" applyBorder="0">
      <alignment vertical="center"/>
    </xf>
    <xf numFmtId="0" fontId="81" fillId="0" borderId="0"/>
    <xf numFmtId="0" fontId="81" fillId="0" borderId="0" applyBorder="0">
      <alignment vertical="center"/>
    </xf>
    <xf numFmtId="0" fontId="53" fillId="0" borderId="41" applyNumberFormat="0" applyFill="0" applyAlignment="0" applyProtection="0">
      <alignment vertical="center"/>
    </xf>
    <xf numFmtId="0" fontId="81" fillId="0" borderId="0"/>
    <xf numFmtId="0" fontId="81" fillId="0" borderId="0" applyBorder="0">
      <alignment vertical="center"/>
    </xf>
    <xf numFmtId="0" fontId="53" fillId="0" borderId="41" applyNumberFormat="0" applyFill="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53" fillId="0" borderId="41" applyNumberFormat="0" applyFill="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53" fillId="0" borderId="41" applyNumberFormat="0" applyFill="0" applyAlignment="0" applyProtection="0">
      <alignment vertical="center"/>
    </xf>
    <xf numFmtId="0" fontId="81" fillId="0" borderId="0" applyBorder="0">
      <alignment vertical="center"/>
    </xf>
    <xf numFmtId="0" fontId="81" fillId="0" borderId="0"/>
    <xf numFmtId="0" fontId="53" fillId="0" borderId="41" applyNumberFormat="0" applyFill="0" applyAlignment="0" applyProtection="0">
      <alignment vertical="center"/>
    </xf>
    <xf numFmtId="0" fontId="81" fillId="0" borderId="0"/>
    <xf numFmtId="0" fontId="81" fillId="0" borderId="0" applyBorder="0">
      <alignment vertical="center"/>
    </xf>
    <xf numFmtId="0" fontId="81" fillId="0" borderId="0" applyBorder="0">
      <alignment vertical="center"/>
    </xf>
    <xf numFmtId="0" fontId="53" fillId="0" borderId="41" applyNumberFormat="0" applyFill="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53" fillId="0" borderId="41" applyNumberFormat="0" applyFill="0" applyAlignment="0" applyProtection="0">
      <alignment vertical="center"/>
    </xf>
    <xf numFmtId="0" fontId="53" fillId="0" borderId="41" applyNumberFormat="0" applyFill="0" applyAlignment="0" applyProtection="0">
      <alignment vertical="center"/>
    </xf>
    <xf numFmtId="0" fontId="53" fillId="0" borderId="41" applyNumberFormat="0" applyFill="0" applyAlignment="0" applyProtection="0">
      <alignment vertical="center"/>
    </xf>
    <xf numFmtId="0" fontId="81" fillId="0" borderId="0"/>
    <xf numFmtId="0" fontId="81" fillId="0" borderId="0" applyBorder="0">
      <alignment vertical="center"/>
    </xf>
    <xf numFmtId="0" fontId="81" fillId="0" borderId="0" applyBorder="0">
      <alignment vertical="center"/>
    </xf>
    <xf numFmtId="0" fontId="53" fillId="0" borderId="41" applyNumberFormat="0" applyFill="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53" fillId="0" borderId="41" applyNumberFormat="0" applyFill="0" applyAlignment="0" applyProtection="0">
      <alignment vertical="center"/>
    </xf>
    <xf numFmtId="0" fontId="53" fillId="0" borderId="41" applyNumberFormat="0" applyFill="0" applyAlignment="0" applyProtection="0">
      <alignment vertical="center"/>
    </xf>
    <xf numFmtId="0" fontId="81" fillId="0" borderId="0" applyBorder="0">
      <alignment vertical="center"/>
    </xf>
    <xf numFmtId="0" fontId="81" fillId="0" borderId="0"/>
    <xf numFmtId="0" fontId="81" fillId="0" borderId="0" applyBorder="0">
      <alignment vertical="center"/>
    </xf>
    <xf numFmtId="0" fontId="53" fillId="0" borderId="41" applyNumberFormat="0" applyFill="0" applyAlignment="0" applyProtection="0">
      <alignment vertical="center"/>
    </xf>
    <xf numFmtId="0" fontId="81" fillId="0" borderId="0" applyBorder="0">
      <alignment vertical="center"/>
    </xf>
    <xf numFmtId="0" fontId="81" fillId="0" borderId="0"/>
    <xf numFmtId="0" fontId="81" fillId="0" borderId="0" applyBorder="0">
      <alignment vertical="center"/>
    </xf>
    <xf numFmtId="0" fontId="53" fillId="0" borderId="41" applyNumberFormat="0" applyFill="0" applyAlignment="0" applyProtection="0">
      <alignment vertical="center"/>
    </xf>
    <xf numFmtId="0" fontId="81" fillId="0" borderId="0"/>
    <xf numFmtId="0" fontId="81" fillId="0" borderId="0" applyBorder="0">
      <alignment vertical="center"/>
    </xf>
    <xf numFmtId="0" fontId="81" fillId="0" borderId="0" applyBorder="0">
      <alignment vertical="center"/>
    </xf>
    <xf numFmtId="0" fontId="53" fillId="0" borderId="41" applyNumberFormat="0" applyFill="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53" fillId="0" borderId="41" applyNumberFormat="0" applyFill="0" applyAlignment="0" applyProtection="0">
      <alignment vertical="center"/>
    </xf>
    <xf numFmtId="0" fontId="53" fillId="0" borderId="41" applyNumberFormat="0" applyFill="0" applyAlignment="0" applyProtection="0">
      <alignment vertical="center"/>
    </xf>
    <xf numFmtId="0" fontId="81" fillId="0" borderId="0"/>
    <xf numFmtId="0" fontId="81" fillId="0" borderId="0" applyBorder="0">
      <alignment vertical="center"/>
    </xf>
    <xf numFmtId="0" fontId="81" fillId="0" borderId="0" applyBorder="0">
      <alignment vertical="center"/>
    </xf>
    <xf numFmtId="0" fontId="53" fillId="0" borderId="41" applyNumberFormat="0" applyFill="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81" fillId="0" borderId="0"/>
    <xf numFmtId="0" fontId="81" fillId="0" borderId="0" applyBorder="0">
      <alignment vertical="center"/>
    </xf>
    <xf numFmtId="0" fontId="53" fillId="0" borderId="41" applyNumberFormat="0" applyFill="0" applyAlignment="0" applyProtection="0">
      <alignment vertical="center"/>
    </xf>
    <xf numFmtId="0" fontId="53" fillId="0" borderId="41" applyNumberFormat="0" applyFill="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53" fillId="0" borderId="41" applyNumberFormat="0" applyFill="0" applyAlignment="0" applyProtection="0">
      <alignment vertical="center"/>
    </xf>
    <xf numFmtId="0" fontId="81" fillId="0" borderId="0" applyBorder="0">
      <alignment vertical="center"/>
    </xf>
    <xf numFmtId="43" fontId="81" fillId="0" borderId="0" applyFont="0" applyFill="0" applyBorder="0" applyAlignment="0" applyProtection="0">
      <alignment vertical="center"/>
    </xf>
    <xf numFmtId="0" fontId="44" fillId="29" borderId="0" applyNumberFormat="0" applyBorder="0" applyAlignment="0" applyProtection="0">
      <alignment vertical="center"/>
    </xf>
    <xf numFmtId="0" fontId="81" fillId="0" borderId="0" applyBorder="0">
      <alignment vertical="center"/>
    </xf>
    <xf numFmtId="0" fontId="81" fillId="0" borderId="0"/>
    <xf numFmtId="0" fontId="81" fillId="0" borderId="0" applyBorder="0">
      <alignment vertical="center"/>
    </xf>
    <xf numFmtId="0" fontId="44" fillId="29" borderId="0" applyNumberFormat="0" applyBorder="0" applyAlignment="0" applyProtection="0">
      <alignment vertical="center"/>
    </xf>
    <xf numFmtId="0" fontId="81" fillId="0" borderId="0"/>
    <xf numFmtId="0" fontId="81" fillId="0" borderId="0" applyBorder="0">
      <alignment vertical="center"/>
    </xf>
    <xf numFmtId="0" fontId="44" fillId="29" borderId="0" applyNumberFormat="0" applyBorder="0" applyAlignment="0" applyProtection="0">
      <alignment vertical="center"/>
    </xf>
    <xf numFmtId="0" fontId="44" fillId="29" borderId="0" applyNumberFormat="0" applyBorder="0" applyAlignment="0" applyProtection="0">
      <alignment vertical="center"/>
    </xf>
    <xf numFmtId="0" fontId="44" fillId="29" borderId="0" applyNumberFormat="0" applyBorder="0" applyAlignment="0" applyProtection="0">
      <alignment vertical="center"/>
    </xf>
    <xf numFmtId="0" fontId="81" fillId="0" borderId="0"/>
    <xf numFmtId="0" fontId="81" fillId="0" borderId="0" applyBorder="0">
      <alignment vertical="center"/>
    </xf>
    <xf numFmtId="0" fontId="44" fillId="29" borderId="0" applyNumberFormat="0" applyBorder="0" applyAlignment="0" applyProtection="0">
      <alignment vertical="center"/>
    </xf>
    <xf numFmtId="0" fontId="44" fillId="29"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44" fillId="29" borderId="0" applyNumberFormat="0" applyBorder="0" applyAlignment="0" applyProtection="0">
      <alignment vertical="center"/>
    </xf>
    <xf numFmtId="0" fontId="81" fillId="0" borderId="0"/>
    <xf numFmtId="0" fontId="81" fillId="0" borderId="0" applyBorder="0">
      <alignment vertical="center"/>
    </xf>
    <xf numFmtId="0" fontId="44" fillId="29" borderId="0" applyNumberFormat="0" applyBorder="0" applyAlignment="0" applyProtection="0">
      <alignment vertical="center"/>
    </xf>
    <xf numFmtId="0" fontId="81" fillId="0" borderId="0" applyBorder="0">
      <alignment vertical="center"/>
    </xf>
    <xf numFmtId="0" fontId="44" fillId="29" borderId="0" applyNumberFormat="0" applyBorder="0" applyAlignment="0" applyProtection="0">
      <alignment vertical="center"/>
    </xf>
    <xf numFmtId="0" fontId="44" fillId="29"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44" fillId="29" borderId="0" applyNumberFormat="0" applyBorder="0" applyAlignment="0" applyProtection="0">
      <alignment vertical="center"/>
    </xf>
    <xf numFmtId="0" fontId="81" fillId="0" borderId="0" applyBorder="0">
      <alignment vertical="center"/>
    </xf>
    <xf numFmtId="0" fontId="81" fillId="0" borderId="0"/>
    <xf numFmtId="0" fontId="81" fillId="0" borderId="0" applyBorder="0">
      <alignment vertical="center"/>
    </xf>
    <xf numFmtId="0" fontId="44" fillId="29" borderId="0" applyNumberFormat="0" applyBorder="0" applyAlignment="0" applyProtection="0">
      <alignment vertical="center"/>
    </xf>
    <xf numFmtId="0" fontId="81" fillId="0" borderId="0" applyBorder="0">
      <alignment vertical="center"/>
    </xf>
    <xf numFmtId="0" fontId="44" fillId="29" borderId="0" applyNumberFormat="0" applyBorder="0" applyAlignment="0" applyProtection="0">
      <alignment vertical="center"/>
    </xf>
    <xf numFmtId="0" fontId="44" fillId="29" borderId="0" applyNumberFormat="0" applyBorder="0" applyAlignment="0" applyProtection="0">
      <alignment vertical="center"/>
    </xf>
    <xf numFmtId="0" fontId="44" fillId="29" borderId="0" applyNumberFormat="0" applyBorder="0" applyAlignment="0" applyProtection="0">
      <alignment vertical="center"/>
    </xf>
    <xf numFmtId="0" fontId="81" fillId="0" borderId="0"/>
    <xf numFmtId="0" fontId="81" fillId="0" borderId="0" applyBorder="0">
      <alignment vertical="center"/>
    </xf>
    <xf numFmtId="0" fontId="44" fillId="29" borderId="0" applyNumberFormat="0" applyBorder="0" applyAlignment="0" applyProtection="0">
      <alignment vertical="center"/>
    </xf>
    <xf numFmtId="0" fontId="44" fillId="29"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44" fillId="29" borderId="0" applyNumberFormat="0" applyBorder="0" applyAlignment="0" applyProtection="0">
      <alignment vertical="center"/>
    </xf>
    <xf numFmtId="0" fontId="81" fillId="0" borderId="0"/>
    <xf numFmtId="0" fontId="81" fillId="0" borderId="0" applyBorder="0">
      <alignment vertical="center"/>
    </xf>
    <xf numFmtId="0" fontId="44" fillId="29" borderId="0" applyNumberFormat="0" applyBorder="0" applyAlignment="0" applyProtection="0">
      <alignment vertical="center"/>
    </xf>
    <xf numFmtId="0" fontId="81" fillId="0" borderId="0" applyBorder="0">
      <alignment vertical="center"/>
    </xf>
    <xf numFmtId="0" fontId="44" fillId="29" borderId="0" applyNumberFormat="0" applyBorder="0" applyAlignment="0" applyProtection="0">
      <alignment vertical="center"/>
    </xf>
    <xf numFmtId="0" fontId="44" fillId="29"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44" fillId="29" borderId="0" applyNumberFormat="0" applyBorder="0" applyAlignment="0" applyProtection="0">
      <alignment vertical="center"/>
    </xf>
    <xf numFmtId="0" fontId="81" fillId="0" borderId="0" applyBorder="0">
      <alignment vertical="center"/>
    </xf>
    <xf numFmtId="0" fontId="81" fillId="0" borderId="0"/>
    <xf numFmtId="0" fontId="81" fillId="0" borderId="0" applyBorder="0">
      <alignment vertical="center"/>
    </xf>
    <xf numFmtId="0" fontId="44" fillId="29" borderId="0" applyNumberFormat="0" applyBorder="0" applyAlignment="0" applyProtection="0">
      <alignment vertical="center"/>
    </xf>
    <xf numFmtId="0" fontId="81" fillId="0" borderId="0"/>
    <xf numFmtId="0" fontId="81" fillId="0" borderId="0" applyBorder="0">
      <alignment vertical="center"/>
    </xf>
    <xf numFmtId="0" fontId="44" fillId="29"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44" fillId="29" borderId="0" applyNumberFormat="0" applyBorder="0" applyAlignment="0" applyProtection="0">
      <alignment vertical="center"/>
    </xf>
    <xf numFmtId="0" fontId="81" fillId="0" borderId="0" applyBorder="0">
      <alignment vertical="center"/>
    </xf>
    <xf numFmtId="0" fontId="44" fillId="29" borderId="0" applyNumberFormat="0" applyBorder="0" applyAlignment="0" applyProtection="0">
      <alignment vertical="center"/>
    </xf>
    <xf numFmtId="0" fontId="81" fillId="0" borderId="0" applyBorder="0">
      <alignment vertical="center"/>
    </xf>
    <xf numFmtId="0" fontId="44" fillId="29" borderId="0" applyNumberFormat="0" applyBorder="0" applyAlignment="0" applyProtection="0">
      <alignment vertical="center"/>
    </xf>
    <xf numFmtId="0" fontId="44" fillId="29"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44" fillId="29" borderId="0" applyNumberFormat="0" applyBorder="0" applyAlignment="0" applyProtection="0">
      <alignment vertical="center"/>
    </xf>
    <xf numFmtId="0" fontId="81" fillId="0" borderId="0" applyBorder="0">
      <alignment vertical="center"/>
    </xf>
    <xf numFmtId="0" fontId="81" fillId="0" borderId="0"/>
    <xf numFmtId="0" fontId="44" fillId="29" borderId="0" applyNumberFormat="0" applyBorder="0" applyAlignment="0" applyProtection="0">
      <alignment vertical="center"/>
    </xf>
    <xf numFmtId="0" fontId="44" fillId="29" borderId="0" applyNumberFormat="0" applyBorder="0" applyAlignment="0" applyProtection="0">
      <alignment vertical="center"/>
    </xf>
    <xf numFmtId="0" fontId="81" fillId="0" borderId="0"/>
    <xf numFmtId="0" fontId="81" fillId="0" borderId="0" applyBorder="0">
      <alignment vertical="center"/>
    </xf>
    <xf numFmtId="0" fontId="44" fillId="29" borderId="0" applyNumberFormat="0" applyBorder="0" applyAlignment="0" applyProtection="0">
      <alignment vertical="center"/>
    </xf>
    <xf numFmtId="0" fontId="44" fillId="29"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44" fillId="29" borderId="0" applyNumberFormat="0" applyBorder="0" applyAlignment="0" applyProtection="0">
      <alignment vertical="center"/>
    </xf>
    <xf numFmtId="0" fontId="81" fillId="0" borderId="0"/>
    <xf numFmtId="0" fontId="81" fillId="0" borderId="0" applyBorder="0">
      <alignment vertical="center"/>
    </xf>
    <xf numFmtId="0" fontId="44" fillId="29" borderId="0" applyNumberFormat="0" applyBorder="0" applyAlignment="0" applyProtection="0">
      <alignment vertical="center"/>
    </xf>
    <xf numFmtId="0" fontId="81" fillId="0" borderId="0" applyBorder="0">
      <alignment vertical="center"/>
    </xf>
    <xf numFmtId="0" fontId="44" fillId="29" borderId="0" applyNumberFormat="0" applyBorder="0" applyAlignment="0" applyProtection="0">
      <alignment vertical="center"/>
    </xf>
    <xf numFmtId="0" fontId="44" fillId="29"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44" fillId="29" borderId="0" applyNumberFormat="0" applyBorder="0" applyAlignment="0" applyProtection="0">
      <alignment vertical="center"/>
    </xf>
    <xf numFmtId="0" fontId="81" fillId="0" borderId="0" applyBorder="0">
      <alignment vertical="center"/>
    </xf>
    <xf numFmtId="0" fontId="44" fillId="29" borderId="0" applyNumberFormat="0" applyBorder="0" applyAlignment="0" applyProtection="0">
      <alignment vertical="center"/>
    </xf>
    <xf numFmtId="0" fontId="81" fillId="0" borderId="0" applyBorder="0">
      <alignment vertical="center"/>
    </xf>
    <xf numFmtId="0" fontId="44" fillId="29" borderId="0" applyNumberFormat="0" applyBorder="0" applyAlignment="0" applyProtection="0">
      <alignment vertical="center"/>
    </xf>
    <xf numFmtId="0" fontId="44" fillId="29" borderId="0" applyNumberFormat="0" applyBorder="0" applyAlignment="0" applyProtection="0">
      <alignment vertical="center"/>
    </xf>
    <xf numFmtId="0" fontId="44" fillId="29" borderId="0" applyNumberFormat="0" applyBorder="0" applyAlignment="0" applyProtection="0">
      <alignment vertical="center"/>
    </xf>
    <xf numFmtId="0" fontId="81" fillId="0" borderId="0"/>
    <xf numFmtId="0" fontId="81" fillId="0" borderId="0" applyBorder="0">
      <alignment vertical="center"/>
    </xf>
    <xf numFmtId="0" fontId="44" fillId="29" borderId="0" applyNumberFormat="0" applyBorder="0" applyAlignment="0" applyProtection="0">
      <alignment vertical="center"/>
    </xf>
    <xf numFmtId="0" fontId="44" fillId="29"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44" fillId="29" borderId="0" applyNumberFormat="0" applyBorder="0" applyAlignment="0" applyProtection="0">
      <alignment vertical="center"/>
    </xf>
    <xf numFmtId="0" fontId="81" fillId="0" borderId="0"/>
    <xf numFmtId="0" fontId="81" fillId="0" borderId="0" applyBorder="0">
      <alignment vertical="center"/>
    </xf>
    <xf numFmtId="0" fontId="44" fillId="29" borderId="0" applyNumberFormat="0" applyBorder="0" applyAlignment="0" applyProtection="0">
      <alignment vertical="center"/>
    </xf>
    <xf numFmtId="0" fontId="81" fillId="0" borderId="0" applyBorder="0">
      <alignment vertical="center"/>
    </xf>
    <xf numFmtId="0" fontId="44" fillId="29" borderId="0" applyNumberFormat="0" applyBorder="0" applyAlignment="0" applyProtection="0">
      <alignment vertical="center"/>
    </xf>
    <xf numFmtId="0" fontId="44" fillId="29"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44" fillId="29" borderId="0" applyNumberFormat="0" applyBorder="0" applyAlignment="0" applyProtection="0">
      <alignment vertical="center"/>
    </xf>
    <xf numFmtId="0" fontId="81" fillId="0" borderId="0" applyBorder="0">
      <alignment vertical="center"/>
    </xf>
    <xf numFmtId="0" fontId="81" fillId="0" borderId="0"/>
    <xf numFmtId="0" fontId="81" fillId="0" borderId="0" applyBorder="0">
      <alignment vertical="center"/>
    </xf>
    <xf numFmtId="0" fontId="44" fillId="29" borderId="0" applyNumberFormat="0" applyBorder="0" applyAlignment="0" applyProtection="0">
      <alignment vertical="center"/>
    </xf>
    <xf numFmtId="0" fontId="44" fillId="29" borderId="0" applyNumberFormat="0" applyBorder="0" applyAlignment="0" applyProtection="0">
      <alignment vertical="center"/>
    </xf>
    <xf numFmtId="0" fontId="81" fillId="0" borderId="0"/>
    <xf numFmtId="0" fontId="81" fillId="0" borderId="0" applyBorder="0">
      <alignment vertical="center"/>
    </xf>
    <xf numFmtId="0" fontId="44" fillId="29"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44" fillId="29" borderId="0" applyNumberFormat="0" applyBorder="0" applyAlignment="0" applyProtection="0">
      <alignment vertical="center"/>
    </xf>
    <xf numFmtId="0" fontId="81" fillId="0" borderId="0"/>
    <xf numFmtId="0" fontId="81" fillId="0" borderId="0" applyBorder="0">
      <alignment vertical="center"/>
    </xf>
    <xf numFmtId="0" fontId="44" fillId="29" borderId="0" applyNumberFormat="0" applyBorder="0" applyAlignment="0" applyProtection="0">
      <alignment vertical="center"/>
    </xf>
    <xf numFmtId="0" fontId="81" fillId="0" borderId="0" applyBorder="0">
      <alignment vertical="center"/>
    </xf>
    <xf numFmtId="0" fontId="44" fillId="29" borderId="0" applyNumberFormat="0" applyBorder="0" applyAlignment="0" applyProtection="0">
      <alignment vertical="center"/>
    </xf>
    <xf numFmtId="0" fontId="44" fillId="29"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44" fillId="29" borderId="0" applyNumberFormat="0" applyBorder="0" applyAlignment="0" applyProtection="0">
      <alignment vertical="center"/>
    </xf>
    <xf numFmtId="0" fontId="81" fillId="0" borderId="0" applyBorder="0">
      <alignment vertical="center"/>
    </xf>
    <xf numFmtId="0" fontId="81" fillId="0" borderId="0"/>
    <xf numFmtId="0" fontId="44" fillId="29" borderId="0" applyNumberFormat="0" applyBorder="0" applyAlignment="0" applyProtection="0">
      <alignment vertical="center"/>
    </xf>
    <xf numFmtId="0" fontId="44" fillId="29" borderId="0" applyNumberFormat="0" applyBorder="0" applyAlignment="0" applyProtection="0">
      <alignment vertical="center"/>
    </xf>
    <xf numFmtId="0" fontId="81" fillId="0" borderId="0" applyBorder="0">
      <alignment vertical="center"/>
    </xf>
    <xf numFmtId="0" fontId="44" fillId="29" borderId="0" applyNumberFormat="0" applyBorder="0" applyAlignment="0" applyProtection="0">
      <alignment vertical="center"/>
    </xf>
    <xf numFmtId="0" fontId="44" fillId="29"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44" fillId="29" borderId="0" applyNumberFormat="0" applyBorder="0" applyAlignment="0" applyProtection="0">
      <alignment vertical="center"/>
    </xf>
    <xf numFmtId="0" fontId="44" fillId="29" borderId="0" applyNumberFormat="0" applyBorder="0" applyAlignment="0" applyProtection="0">
      <alignment vertical="center"/>
    </xf>
    <xf numFmtId="0" fontId="44" fillId="29"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44" fillId="29" borderId="0" applyNumberFormat="0" applyBorder="0" applyAlignment="0" applyProtection="0">
      <alignment vertical="center"/>
    </xf>
    <xf numFmtId="0" fontId="44" fillId="33" borderId="0" applyNumberFormat="0" applyBorder="0" applyAlignment="0" applyProtection="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44" fillId="22" borderId="0" applyNumberFormat="0" applyBorder="0" applyAlignment="0" applyProtection="0">
      <alignment vertical="center"/>
    </xf>
    <xf numFmtId="0" fontId="44" fillId="22" borderId="0" applyNumberFormat="0" applyBorder="0" applyAlignment="0" applyProtection="0">
      <alignment vertical="center"/>
    </xf>
    <xf numFmtId="0" fontId="81" fillId="0" borderId="0"/>
    <xf numFmtId="0" fontId="81" fillId="0" borderId="0" applyBorder="0">
      <alignment vertical="center"/>
    </xf>
    <xf numFmtId="0" fontId="44" fillId="22" borderId="0" applyNumberFormat="0" applyBorder="0" applyAlignment="0" applyProtection="0">
      <alignment vertical="center"/>
    </xf>
    <xf numFmtId="0" fontId="44" fillId="22"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44" fillId="22" borderId="0" applyNumberFormat="0" applyBorder="0" applyAlignment="0" applyProtection="0">
      <alignment vertical="center"/>
    </xf>
    <xf numFmtId="0" fontId="81" fillId="0" borderId="0" applyBorder="0">
      <alignment vertical="center"/>
    </xf>
    <xf numFmtId="0" fontId="44" fillId="22"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44" fillId="22" borderId="0" applyNumberFormat="0" applyBorder="0" applyAlignment="0" applyProtection="0">
      <alignment vertical="center"/>
    </xf>
    <xf numFmtId="0" fontId="81" fillId="0" borderId="0" applyBorder="0">
      <alignment vertical="center"/>
    </xf>
    <xf numFmtId="0" fontId="81" fillId="0" borderId="0"/>
    <xf numFmtId="0" fontId="81" fillId="0" borderId="0" applyBorder="0">
      <alignment vertical="center"/>
    </xf>
    <xf numFmtId="0" fontId="44" fillId="22" borderId="0" applyNumberFormat="0" applyBorder="0" applyAlignment="0" applyProtection="0">
      <alignment vertical="center"/>
    </xf>
    <xf numFmtId="0" fontId="81" fillId="0" borderId="0" applyBorder="0">
      <alignment vertical="center"/>
    </xf>
    <xf numFmtId="0" fontId="44" fillId="22" borderId="0" applyNumberFormat="0" applyBorder="0" applyAlignment="0" applyProtection="0">
      <alignment vertical="center"/>
    </xf>
    <xf numFmtId="0" fontId="44" fillId="22" borderId="0" applyNumberFormat="0" applyBorder="0" applyAlignment="0" applyProtection="0">
      <alignment vertical="center"/>
    </xf>
    <xf numFmtId="0" fontId="44" fillId="22" borderId="0" applyNumberFormat="0" applyBorder="0" applyAlignment="0" applyProtection="0">
      <alignment vertical="center"/>
    </xf>
    <xf numFmtId="0" fontId="81" fillId="0" borderId="0"/>
    <xf numFmtId="0" fontId="81" fillId="0" borderId="0" applyBorder="0">
      <alignment vertical="center"/>
    </xf>
    <xf numFmtId="0" fontId="44" fillId="22" borderId="0" applyNumberFormat="0" applyBorder="0" applyAlignment="0" applyProtection="0">
      <alignment vertical="center"/>
    </xf>
    <xf numFmtId="0" fontId="44" fillId="22"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44" fillId="22" borderId="0" applyNumberFormat="0" applyBorder="0" applyAlignment="0" applyProtection="0">
      <alignment vertical="center"/>
    </xf>
    <xf numFmtId="0" fontId="81" fillId="0" borderId="0"/>
    <xf numFmtId="0" fontId="81" fillId="0" borderId="0" applyBorder="0">
      <alignment vertical="center"/>
    </xf>
    <xf numFmtId="0" fontId="44" fillId="22" borderId="0" applyNumberFormat="0" applyBorder="0" applyAlignment="0" applyProtection="0">
      <alignment vertical="center"/>
    </xf>
    <xf numFmtId="0" fontId="81" fillId="0" borderId="0" applyBorder="0">
      <alignment vertical="center"/>
    </xf>
    <xf numFmtId="0" fontId="44" fillId="22" borderId="0" applyNumberFormat="0" applyBorder="0" applyAlignment="0" applyProtection="0">
      <alignment vertical="center"/>
    </xf>
    <xf numFmtId="0" fontId="44" fillId="22"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44" fillId="22"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44" fillId="22"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44" fillId="22" borderId="0" applyNumberFormat="0" applyBorder="0" applyAlignment="0" applyProtection="0">
      <alignment vertical="center"/>
    </xf>
    <xf numFmtId="0" fontId="44" fillId="22"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44" fillId="22" borderId="0" applyNumberFormat="0" applyBorder="0" applyAlignment="0" applyProtection="0">
      <alignment vertical="center"/>
    </xf>
    <xf numFmtId="0" fontId="81" fillId="0" borderId="0" applyBorder="0">
      <alignment vertical="center"/>
    </xf>
    <xf numFmtId="0" fontId="81" fillId="0" borderId="0"/>
    <xf numFmtId="0" fontId="44" fillId="22" borderId="0" applyNumberFormat="0" applyBorder="0" applyAlignment="0" applyProtection="0">
      <alignment vertical="center"/>
    </xf>
    <xf numFmtId="0" fontId="44" fillId="22" borderId="0" applyNumberFormat="0" applyBorder="0" applyAlignment="0" applyProtection="0">
      <alignment vertical="center"/>
    </xf>
    <xf numFmtId="0" fontId="81" fillId="0" borderId="0"/>
    <xf numFmtId="0" fontId="81" fillId="0" borderId="0" applyBorder="0">
      <alignment vertical="center"/>
    </xf>
    <xf numFmtId="0" fontId="44" fillId="22" borderId="0" applyNumberFormat="0" applyBorder="0" applyAlignment="0" applyProtection="0">
      <alignment vertical="center"/>
    </xf>
    <xf numFmtId="0" fontId="44" fillId="22"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44" fillId="22" borderId="0" applyNumberFormat="0" applyBorder="0" applyAlignment="0" applyProtection="0">
      <alignment vertical="center"/>
    </xf>
    <xf numFmtId="0" fontId="81" fillId="0" borderId="0"/>
    <xf numFmtId="0" fontId="81" fillId="0" borderId="0" applyBorder="0">
      <alignment vertical="center"/>
    </xf>
    <xf numFmtId="0" fontId="44" fillId="22" borderId="0" applyNumberFormat="0" applyBorder="0" applyAlignment="0" applyProtection="0">
      <alignment vertical="center"/>
    </xf>
    <xf numFmtId="0" fontId="81" fillId="0" borderId="0" applyBorder="0">
      <alignment vertical="center"/>
    </xf>
    <xf numFmtId="0" fontId="44" fillId="22" borderId="0" applyNumberFormat="0" applyBorder="0" applyAlignment="0" applyProtection="0">
      <alignment vertical="center"/>
    </xf>
    <xf numFmtId="0" fontId="44" fillId="22"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44" fillId="22"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44" fillId="22" borderId="0" applyNumberFormat="0" applyBorder="0" applyAlignment="0" applyProtection="0">
      <alignment vertical="center"/>
    </xf>
    <xf numFmtId="0" fontId="44" fillId="22" borderId="0" applyNumberFormat="0" applyBorder="0" applyAlignment="0" applyProtection="0">
      <alignment vertical="center"/>
    </xf>
    <xf numFmtId="0" fontId="44" fillId="22" borderId="0" applyNumberFormat="0" applyBorder="0" applyAlignment="0" applyProtection="0">
      <alignment vertical="center"/>
    </xf>
    <xf numFmtId="0" fontId="81" fillId="0" borderId="0"/>
    <xf numFmtId="0" fontId="81" fillId="0" borderId="0" applyBorder="0">
      <alignment vertical="center"/>
    </xf>
    <xf numFmtId="0" fontId="44" fillId="22" borderId="0" applyNumberFormat="0" applyBorder="0" applyAlignment="0" applyProtection="0">
      <alignment vertical="center"/>
    </xf>
    <xf numFmtId="0" fontId="44" fillId="22"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44" fillId="22" borderId="0" applyNumberFormat="0" applyBorder="0" applyAlignment="0" applyProtection="0">
      <alignment vertical="center"/>
    </xf>
    <xf numFmtId="0" fontId="81" fillId="0" borderId="0" applyBorder="0">
      <alignment vertical="center"/>
    </xf>
    <xf numFmtId="0" fontId="44" fillId="22"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44" fillId="22" borderId="0" applyNumberFormat="0" applyBorder="0" applyAlignment="0" applyProtection="0">
      <alignment vertical="center"/>
    </xf>
    <xf numFmtId="0" fontId="81" fillId="0" borderId="0" applyBorder="0">
      <alignment vertical="center"/>
    </xf>
    <xf numFmtId="0" fontId="81" fillId="0" borderId="0"/>
    <xf numFmtId="0" fontId="81" fillId="0" borderId="0" applyBorder="0">
      <alignment vertical="center"/>
    </xf>
    <xf numFmtId="0" fontId="44" fillId="22" borderId="0" applyNumberFormat="0" applyBorder="0" applyAlignment="0" applyProtection="0">
      <alignment vertical="center"/>
    </xf>
    <xf numFmtId="0" fontId="44" fillId="22" borderId="0" applyNumberFormat="0" applyBorder="0" applyAlignment="0" applyProtection="0">
      <alignment vertical="center"/>
    </xf>
    <xf numFmtId="0" fontId="81" fillId="0" borderId="0"/>
    <xf numFmtId="0" fontId="81" fillId="0" borderId="0"/>
    <xf numFmtId="0" fontId="81" fillId="0" borderId="0"/>
    <xf numFmtId="0" fontId="81" fillId="0" borderId="0" applyBorder="0">
      <alignment vertical="center"/>
    </xf>
    <xf numFmtId="0" fontId="81" fillId="0" borderId="0"/>
    <xf numFmtId="0" fontId="81" fillId="0" borderId="0"/>
    <xf numFmtId="0" fontId="44" fillId="22" borderId="0" applyNumberFormat="0" applyBorder="0" applyAlignment="0" applyProtection="0">
      <alignment vertical="center"/>
    </xf>
    <xf numFmtId="0" fontId="44" fillId="22"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44" fillId="22" borderId="0" applyNumberFormat="0" applyBorder="0" applyAlignment="0" applyProtection="0">
      <alignment vertical="center"/>
    </xf>
    <xf numFmtId="0" fontId="81" fillId="0" borderId="0"/>
    <xf numFmtId="0" fontId="81" fillId="0" borderId="0" applyBorder="0">
      <alignment vertical="center"/>
    </xf>
    <xf numFmtId="0" fontId="44" fillId="22" borderId="0" applyNumberFormat="0" applyBorder="0" applyAlignment="0" applyProtection="0">
      <alignment vertical="center"/>
    </xf>
    <xf numFmtId="0" fontId="81" fillId="0" borderId="0" applyBorder="0">
      <alignment vertical="center"/>
    </xf>
    <xf numFmtId="0" fontId="44" fillId="22" borderId="0" applyNumberFormat="0" applyBorder="0" applyAlignment="0" applyProtection="0">
      <alignment vertical="center"/>
    </xf>
    <xf numFmtId="0" fontId="44" fillId="22"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44" fillId="22" borderId="0" applyNumberFormat="0" applyBorder="0" applyAlignment="0" applyProtection="0">
      <alignment vertical="center"/>
    </xf>
    <xf numFmtId="0" fontId="81" fillId="0" borderId="0" applyBorder="0">
      <alignment vertical="center"/>
    </xf>
    <xf numFmtId="0" fontId="81" fillId="0" borderId="0"/>
    <xf numFmtId="0" fontId="44" fillId="22" borderId="0" applyNumberFormat="0" applyBorder="0" applyAlignment="0" applyProtection="0">
      <alignment vertical="center"/>
    </xf>
    <xf numFmtId="0" fontId="81" fillId="0" borderId="0"/>
    <xf numFmtId="0" fontId="81" fillId="0" borderId="0" applyBorder="0">
      <alignment vertical="center"/>
    </xf>
    <xf numFmtId="0" fontId="44" fillId="22" borderId="0" applyNumberFormat="0" applyBorder="0" applyAlignment="0" applyProtection="0">
      <alignment vertical="center"/>
    </xf>
    <xf numFmtId="0" fontId="44" fillId="22"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44" fillId="22" borderId="0" applyNumberFormat="0" applyBorder="0" applyAlignment="0" applyProtection="0">
      <alignment vertical="center"/>
    </xf>
    <xf numFmtId="0" fontId="44" fillId="22" borderId="0" applyNumberFormat="0" applyBorder="0" applyAlignment="0" applyProtection="0">
      <alignment vertical="center"/>
    </xf>
    <xf numFmtId="0" fontId="44" fillId="22"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44" fillId="22" borderId="0" applyNumberFormat="0" applyBorder="0" applyAlignment="0" applyProtection="0">
      <alignment vertical="center"/>
    </xf>
    <xf numFmtId="0" fontId="44" fillId="34" borderId="0" applyNumberFormat="0" applyBorder="0" applyAlignment="0" applyProtection="0">
      <alignment vertical="center"/>
    </xf>
    <xf numFmtId="0" fontId="81" fillId="0" borderId="0"/>
    <xf numFmtId="0" fontId="81" fillId="0" borderId="0" applyBorder="0">
      <alignment vertical="center"/>
    </xf>
    <xf numFmtId="0" fontId="44" fillId="20" borderId="0" applyNumberFormat="0" applyBorder="0" applyAlignment="0" applyProtection="0">
      <alignment vertical="center"/>
    </xf>
    <xf numFmtId="0" fontId="81" fillId="0" borderId="0"/>
    <xf numFmtId="0" fontId="81" fillId="0" borderId="0" applyBorder="0">
      <alignment vertical="center"/>
    </xf>
    <xf numFmtId="0" fontId="44" fillId="20" borderId="0" applyNumberFormat="0" applyBorder="0" applyAlignment="0" applyProtection="0">
      <alignment vertical="center"/>
    </xf>
    <xf numFmtId="0" fontId="44" fillId="20" borderId="0" applyNumberFormat="0" applyBorder="0" applyAlignment="0" applyProtection="0">
      <alignment vertical="center"/>
    </xf>
    <xf numFmtId="0" fontId="44" fillId="20" borderId="0" applyNumberFormat="0" applyBorder="0" applyAlignment="0" applyProtection="0">
      <alignment vertical="center"/>
    </xf>
    <xf numFmtId="0" fontId="81" fillId="0" borderId="0"/>
    <xf numFmtId="0" fontId="81" fillId="0" borderId="0" applyBorder="0">
      <alignment vertical="center"/>
    </xf>
    <xf numFmtId="0" fontId="44" fillId="20" borderId="0" applyNumberFormat="0" applyBorder="0" applyAlignment="0" applyProtection="0">
      <alignment vertical="center"/>
    </xf>
    <xf numFmtId="0" fontId="44" fillId="20"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44" fillId="20" borderId="0" applyNumberFormat="0" applyBorder="0" applyAlignment="0" applyProtection="0">
      <alignment vertical="center"/>
    </xf>
    <xf numFmtId="0" fontId="81" fillId="0" borderId="0"/>
    <xf numFmtId="0" fontId="81" fillId="0" borderId="0" applyBorder="0">
      <alignment vertical="center"/>
    </xf>
    <xf numFmtId="0" fontId="44" fillId="20" borderId="0" applyNumberFormat="0" applyBorder="0" applyAlignment="0" applyProtection="0">
      <alignment vertical="center"/>
    </xf>
    <xf numFmtId="0" fontId="81" fillId="0" borderId="0" applyBorder="0">
      <alignment vertical="center"/>
    </xf>
    <xf numFmtId="0" fontId="44" fillId="20" borderId="0" applyNumberFormat="0" applyBorder="0" applyAlignment="0" applyProtection="0">
      <alignment vertical="center"/>
    </xf>
    <xf numFmtId="0" fontId="44" fillId="20"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44" fillId="20" borderId="0" applyNumberFormat="0" applyBorder="0" applyAlignment="0" applyProtection="0">
      <alignment vertical="center"/>
    </xf>
    <xf numFmtId="0" fontId="81" fillId="0" borderId="0" applyBorder="0">
      <alignment vertical="center"/>
    </xf>
    <xf numFmtId="0" fontId="81" fillId="0" borderId="0"/>
    <xf numFmtId="0" fontId="81" fillId="0" borderId="0" applyBorder="0">
      <alignment vertical="center"/>
    </xf>
    <xf numFmtId="0" fontId="44" fillId="20" borderId="0" applyNumberFormat="0" applyBorder="0" applyAlignment="0" applyProtection="0">
      <alignment vertical="center"/>
    </xf>
    <xf numFmtId="0" fontId="81" fillId="0" borderId="0" applyBorder="0">
      <alignment vertical="center"/>
    </xf>
    <xf numFmtId="0" fontId="44" fillId="20" borderId="0" applyNumberFormat="0" applyBorder="0" applyAlignment="0" applyProtection="0">
      <alignment vertical="center"/>
    </xf>
    <xf numFmtId="0" fontId="44" fillId="20" borderId="0" applyNumberFormat="0" applyBorder="0" applyAlignment="0" applyProtection="0">
      <alignment vertical="center"/>
    </xf>
    <xf numFmtId="0" fontId="44" fillId="20" borderId="0" applyNumberFormat="0" applyBorder="0" applyAlignment="0" applyProtection="0">
      <alignment vertical="center"/>
    </xf>
    <xf numFmtId="0" fontId="81" fillId="0" borderId="0"/>
    <xf numFmtId="0" fontId="81" fillId="0" borderId="0" applyBorder="0">
      <alignment vertical="center"/>
    </xf>
    <xf numFmtId="0" fontId="44" fillId="20" borderId="0" applyNumberFormat="0" applyBorder="0" applyAlignment="0" applyProtection="0">
      <alignment vertical="center"/>
    </xf>
    <xf numFmtId="0" fontId="44" fillId="20"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44" fillId="20" borderId="0" applyNumberFormat="0" applyBorder="0" applyAlignment="0" applyProtection="0">
      <alignment vertical="center"/>
    </xf>
    <xf numFmtId="0" fontId="81" fillId="0" borderId="0"/>
    <xf numFmtId="0" fontId="81" fillId="0" borderId="0" applyBorder="0">
      <alignment vertical="center"/>
    </xf>
    <xf numFmtId="0" fontId="44" fillId="20" borderId="0" applyNumberFormat="0" applyBorder="0" applyAlignment="0" applyProtection="0">
      <alignment vertical="center"/>
    </xf>
    <xf numFmtId="0" fontId="44" fillId="20" borderId="0" applyNumberFormat="0" applyBorder="0" applyAlignment="0" applyProtection="0">
      <alignment vertical="center"/>
    </xf>
    <xf numFmtId="0" fontId="44" fillId="20"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44" fillId="20" borderId="0" applyNumberFormat="0" applyBorder="0" applyAlignment="0" applyProtection="0">
      <alignment vertical="center"/>
    </xf>
    <xf numFmtId="0" fontId="81" fillId="0" borderId="0" applyBorder="0">
      <alignment vertical="center"/>
    </xf>
    <xf numFmtId="0" fontId="44" fillId="20" borderId="0" applyNumberFormat="0" applyBorder="0" applyAlignment="0" applyProtection="0">
      <alignment vertical="center"/>
    </xf>
    <xf numFmtId="0" fontId="44" fillId="20" borderId="0" applyNumberFormat="0" applyBorder="0" applyAlignment="0" applyProtection="0">
      <alignment vertical="center"/>
    </xf>
    <xf numFmtId="0" fontId="81" fillId="0" borderId="0"/>
    <xf numFmtId="0" fontId="81" fillId="0" borderId="0" applyBorder="0">
      <alignment vertical="center"/>
    </xf>
    <xf numFmtId="0" fontId="44" fillId="20" borderId="0" applyNumberFormat="0" applyBorder="0" applyAlignment="0" applyProtection="0">
      <alignment vertical="center"/>
    </xf>
    <xf numFmtId="0" fontId="44" fillId="20"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44" fillId="20" borderId="0" applyNumberFormat="0" applyBorder="0" applyAlignment="0" applyProtection="0">
      <alignment vertical="center"/>
    </xf>
    <xf numFmtId="0" fontId="81" fillId="0" borderId="0"/>
    <xf numFmtId="0" fontId="81" fillId="0" borderId="0" applyBorder="0">
      <alignment vertical="center"/>
    </xf>
    <xf numFmtId="0" fontId="44" fillId="20" borderId="0" applyNumberFormat="0" applyBorder="0" applyAlignment="0" applyProtection="0">
      <alignment vertical="center"/>
    </xf>
    <xf numFmtId="0" fontId="81" fillId="0" borderId="0" applyBorder="0">
      <alignment vertical="center"/>
    </xf>
    <xf numFmtId="0" fontId="44" fillId="20" borderId="0" applyNumberFormat="0" applyBorder="0" applyAlignment="0" applyProtection="0">
      <alignment vertical="center"/>
    </xf>
    <xf numFmtId="0" fontId="44" fillId="20"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44" fillId="20" borderId="0" applyNumberFormat="0" applyBorder="0" applyAlignment="0" applyProtection="0">
      <alignment vertical="center"/>
    </xf>
    <xf numFmtId="0" fontId="81" fillId="0" borderId="0" applyBorder="0">
      <alignment vertical="center"/>
    </xf>
    <xf numFmtId="0" fontId="81" fillId="0" borderId="0"/>
    <xf numFmtId="0" fontId="44" fillId="20" borderId="0" applyNumberFormat="0" applyBorder="0" applyAlignment="0" applyProtection="0">
      <alignment vertical="center"/>
    </xf>
    <xf numFmtId="0" fontId="81" fillId="0" borderId="0"/>
    <xf numFmtId="0" fontId="81" fillId="0" borderId="0" applyBorder="0">
      <alignment vertical="center"/>
    </xf>
    <xf numFmtId="0" fontId="44" fillId="20" borderId="0" applyNumberFormat="0" applyBorder="0" applyAlignment="0" applyProtection="0">
      <alignment vertical="center"/>
    </xf>
    <xf numFmtId="0" fontId="44" fillId="20"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44" fillId="20" borderId="0" applyNumberFormat="0" applyBorder="0" applyAlignment="0" applyProtection="0">
      <alignment vertical="center"/>
    </xf>
    <xf numFmtId="0" fontId="81" fillId="0" borderId="0"/>
    <xf numFmtId="0" fontId="81" fillId="0" borderId="0" applyBorder="0">
      <alignment vertical="center"/>
    </xf>
    <xf numFmtId="0" fontId="44" fillId="20" borderId="0" applyNumberFormat="0" applyBorder="0" applyAlignment="0" applyProtection="0">
      <alignment vertical="center"/>
    </xf>
    <xf numFmtId="0" fontId="81" fillId="0" borderId="0" applyBorder="0">
      <alignment vertical="center"/>
    </xf>
    <xf numFmtId="0" fontId="44" fillId="20" borderId="0" applyNumberFormat="0" applyBorder="0" applyAlignment="0" applyProtection="0">
      <alignment vertical="center"/>
    </xf>
    <xf numFmtId="0" fontId="44" fillId="20"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44" fillId="20" borderId="0" applyNumberFormat="0" applyBorder="0" applyAlignment="0" applyProtection="0">
      <alignment vertical="center"/>
    </xf>
    <xf numFmtId="0" fontId="81" fillId="0" borderId="0" applyBorder="0">
      <alignment vertical="center"/>
    </xf>
    <xf numFmtId="0" fontId="44" fillId="20" borderId="0" applyNumberFormat="0" applyBorder="0" applyAlignment="0" applyProtection="0">
      <alignment vertical="center"/>
    </xf>
    <xf numFmtId="0" fontId="44" fillId="20" borderId="0" applyNumberFormat="0" applyBorder="0" applyAlignment="0" applyProtection="0">
      <alignment vertical="center"/>
    </xf>
    <xf numFmtId="0" fontId="44" fillId="20" borderId="0" applyNumberFormat="0" applyBorder="0" applyAlignment="0" applyProtection="0">
      <alignment vertical="center"/>
    </xf>
    <xf numFmtId="0" fontId="44" fillId="20" borderId="0" applyNumberFormat="0" applyBorder="0" applyAlignment="0" applyProtection="0">
      <alignment vertical="center"/>
    </xf>
    <xf numFmtId="0" fontId="81" fillId="0" borderId="0"/>
    <xf numFmtId="0" fontId="81" fillId="0" borderId="0" applyBorder="0">
      <alignment vertical="center"/>
    </xf>
    <xf numFmtId="0" fontId="44" fillId="20" borderId="0" applyNumberFormat="0" applyBorder="0" applyAlignment="0" applyProtection="0">
      <alignment vertical="center"/>
    </xf>
    <xf numFmtId="0" fontId="44" fillId="20"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44" fillId="20" borderId="0" applyNumberFormat="0" applyBorder="0" applyAlignment="0" applyProtection="0">
      <alignment vertical="center"/>
    </xf>
    <xf numFmtId="0" fontId="81" fillId="0" borderId="0"/>
    <xf numFmtId="0" fontId="81" fillId="0" borderId="0" applyBorder="0">
      <alignment vertical="center"/>
    </xf>
    <xf numFmtId="0" fontId="44" fillId="20" borderId="0" applyNumberFormat="0" applyBorder="0" applyAlignment="0" applyProtection="0">
      <alignment vertical="center"/>
    </xf>
    <xf numFmtId="0" fontId="81" fillId="0" borderId="0" applyBorder="0">
      <alignment vertical="center"/>
    </xf>
    <xf numFmtId="0" fontId="44" fillId="20" borderId="0" applyNumberFormat="0" applyBorder="0" applyAlignment="0" applyProtection="0">
      <alignment vertical="center"/>
    </xf>
    <xf numFmtId="0" fontId="44" fillId="20"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44" fillId="20" borderId="0" applyNumberFormat="0" applyBorder="0" applyAlignment="0" applyProtection="0">
      <alignment vertical="center"/>
    </xf>
    <xf numFmtId="0" fontId="81" fillId="0" borderId="0" applyBorder="0">
      <alignment vertical="center"/>
    </xf>
    <xf numFmtId="0" fontId="81" fillId="0" borderId="0"/>
    <xf numFmtId="0" fontId="81" fillId="0" borderId="0" applyBorder="0">
      <alignment vertical="center"/>
    </xf>
    <xf numFmtId="0" fontId="44" fillId="20" borderId="0" applyNumberFormat="0" applyBorder="0" applyAlignment="0" applyProtection="0">
      <alignment vertical="center"/>
    </xf>
    <xf numFmtId="0" fontId="44" fillId="20" borderId="0" applyNumberFormat="0" applyBorder="0" applyAlignment="0" applyProtection="0">
      <alignment vertical="center"/>
    </xf>
    <xf numFmtId="0" fontId="81" fillId="0" borderId="0"/>
    <xf numFmtId="0" fontId="81" fillId="0" borderId="0" applyBorder="0">
      <alignment vertical="center"/>
    </xf>
    <xf numFmtId="0" fontId="44" fillId="20" borderId="0" applyNumberFormat="0" applyBorder="0" applyAlignment="0" applyProtection="0">
      <alignment vertical="center"/>
    </xf>
    <xf numFmtId="0" fontId="44" fillId="20"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44" fillId="20" borderId="0" applyNumberFormat="0" applyBorder="0" applyAlignment="0" applyProtection="0">
      <alignment vertical="center"/>
    </xf>
    <xf numFmtId="0" fontId="81" fillId="0" borderId="0" applyBorder="0">
      <alignment vertical="center"/>
    </xf>
    <xf numFmtId="0" fontId="44" fillId="20" borderId="0" applyNumberFormat="0" applyBorder="0" applyAlignment="0" applyProtection="0">
      <alignment vertical="center"/>
    </xf>
    <xf numFmtId="0" fontId="44" fillId="20"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44" fillId="20" borderId="0" applyNumberFormat="0" applyBorder="0" applyAlignment="0" applyProtection="0">
      <alignment vertical="center"/>
    </xf>
    <xf numFmtId="0" fontId="81" fillId="0" borderId="0" applyBorder="0">
      <alignment vertical="center"/>
    </xf>
    <xf numFmtId="0" fontId="81" fillId="0" borderId="0"/>
    <xf numFmtId="0" fontId="44" fillId="20" borderId="0" applyNumberFormat="0" applyBorder="0" applyAlignment="0" applyProtection="0">
      <alignment vertical="center"/>
    </xf>
    <xf numFmtId="0" fontId="44" fillId="20" borderId="0" applyNumberFormat="0" applyBorder="0" applyAlignment="0" applyProtection="0">
      <alignment vertical="center"/>
    </xf>
    <xf numFmtId="0" fontId="81" fillId="0" borderId="0"/>
    <xf numFmtId="0" fontId="81" fillId="0" borderId="0" applyBorder="0">
      <alignment vertical="center"/>
    </xf>
    <xf numFmtId="0" fontId="44" fillId="20" borderId="0" applyNumberFormat="0" applyBorder="0" applyAlignment="0" applyProtection="0">
      <alignment vertical="center"/>
    </xf>
    <xf numFmtId="0" fontId="44" fillId="20"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44" fillId="20" borderId="0" applyNumberFormat="0" applyBorder="0" applyAlignment="0" applyProtection="0">
      <alignment vertical="center"/>
    </xf>
    <xf numFmtId="0" fontId="44" fillId="20" borderId="0" applyNumberFormat="0" applyBorder="0" applyAlignment="0" applyProtection="0">
      <alignment vertical="center"/>
    </xf>
    <xf numFmtId="0" fontId="44" fillId="20"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44" fillId="20"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44" fillId="28" borderId="0" applyNumberFormat="0" applyBorder="0" applyAlignment="0" applyProtection="0">
      <alignment vertical="center"/>
    </xf>
    <xf numFmtId="0" fontId="81" fillId="0" borderId="0"/>
    <xf numFmtId="0" fontId="81" fillId="0" borderId="0" applyBorder="0">
      <alignment vertical="center"/>
    </xf>
    <xf numFmtId="0" fontId="44" fillId="28" borderId="0" applyNumberFormat="0" applyBorder="0" applyAlignment="0" applyProtection="0">
      <alignment vertical="center"/>
    </xf>
    <xf numFmtId="0" fontId="44" fillId="28" borderId="0" applyNumberFormat="0" applyBorder="0" applyAlignment="0" applyProtection="0">
      <alignment vertical="center"/>
    </xf>
    <xf numFmtId="0" fontId="44" fillId="28" borderId="0" applyNumberFormat="0" applyBorder="0" applyAlignment="0" applyProtection="0">
      <alignment vertical="center"/>
    </xf>
    <xf numFmtId="0" fontId="81" fillId="0" borderId="0"/>
    <xf numFmtId="0" fontId="81" fillId="0" borderId="0" applyBorder="0">
      <alignment vertical="center"/>
    </xf>
    <xf numFmtId="0" fontId="44" fillId="28" borderId="0" applyNumberFormat="0" applyBorder="0" applyAlignment="0" applyProtection="0">
      <alignment vertical="center"/>
    </xf>
    <xf numFmtId="0" fontId="44" fillId="28"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44" fillId="28" borderId="0" applyNumberFormat="0" applyBorder="0" applyAlignment="0" applyProtection="0">
      <alignment vertical="center"/>
    </xf>
    <xf numFmtId="0" fontId="44" fillId="28" borderId="0" applyNumberFormat="0" applyBorder="0" applyAlignment="0" applyProtection="0">
      <alignment vertical="center"/>
    </xf>
    <xf numFmtId="0" fontId="81" fillId="0" borderId="0" applyBorder="0">
      <alignment vertical="center"/>
    </xf>
    <xf numFmtId="0" fontId="44" fillId="28"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44" fillId="28" borderId="0" applyNumberFormat="0" applyBorder="0" applyAlignment="0" applyProtection="0">
      <alignment vertical="center"/>
    </xf>
    <xf numFmtId="0" fontId="81" fillId="0" borderId="0" applyBorder="0">
      <alignment vertical="center"/>
    </xf>
    <xf numFmtId="0" fontId="81" fillId="0" borderId="0"/>
    <xf numFmtId="0" fontId="81" fillId="0" borderId="0" applyBorder="0">
      <alignment vertical="center"/>
    </xf>
    <xf numFmtId="0" fontId="44" fillId="28" borderId="0" applyNumberFormat="0" applyBorder="0" applyAlignment="0" applyProtection="0">
      <alignment vertical="center"/>
    </xf>
    <xf numFmtId="0" fontId="81" fillId="0" borderId="0" applyBorder="0">
      <alignment vertical="center"/>
    </xf>
    <xf numFmtId="0" fontId="44" fillId="28" borderId="0" applyNumberFormat="0" applyBorder="0" applyAlignment="0" applyProtection="0">
      <alignment vertical="center"/>
    </xf>
    <xf numFmtId="0" fontId="44" fillId="28" borderId="0" applyNumberFormat="0" applyBorder="0" applyAlignment="0" applyProtection="0">
      <alignment vertical="center"/>
    </xf>
    <xf numFmtId="0" fontId="81" fillId="0" borderId="0"/>
    <xf numFmtId="0" fontId="81" fillId="0" borderId="0" applyBorder="0">
      <alignment vertical="center"/>
    </xf>
    <xf numFmtId="0" fontId="44" fillId="28" borderId="0" applyNumberFormat="0" applyBorder="0" applyAlignment="0" applyProtection="0">
      <alignment vertical="center"/>
    </xf>
    <xf numFmtId="0" fontId="44" fillId="28"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44" fillId="28" borderId="0" applyNumberFormat="0" applyBorder="0" applyAlignment="0" applyProtection="0">
      <alignment vertical="center"/>
    </xf>
    <xf numFmtId="0" fontId="81" fillId="0" borderId="0"/>
    <xf numFmtId="0" fontId="81" fillId="0" borderId="0" applyBorder="0">
      <alignment vertical="center"/>
    </xf>
    <xf numFmtId="0" fontId="44" fillId="28" borderId="0" applyNumberFormat="0" applyBorder="0" applyAlignment="0" applyProtection="0">
      <alignment vertical="center"/>
    </xf>
    <xf numFmtId="0" fontId="44" fillId="28" borderId="0" applyNumberFormat="0" applyBorder="0" applyAlignment="0" applyProtection="0">
      <alignment vertical="center"/>
    </xf>
    <xf numFmtId="0" fontId="44" fillId="28"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44" fillId="28" borderId="0" applyNumberFormat="0" applyBorder="0" applyAlignment="0" applyProtection="0">
      <alignment vertical="center"/>
    </xf>
    <xf numFmtId="0" fontId="81" fillId="0" borderId="0" applyBorder="0">
      <alignment vertical="center"/>
    </xf>
    <xf numFmtId="0" fontId="81" fillId="0" borderId="0"/>
    <xf numFmtId="0" fontId="81" fillId="0" borderId="0" applyBorder="0">
      <alignment vertical="center"/>
    </xf>
    <xf numFmtId="0" fontId="44" fillId="28" borderId="0" applyNumberFormat="0" applyBorder="0" applyAlignment="0" applyProtection="0">
      <alignment vertical="center"/>
    </xf>
    <xf numFmtId="0" fontId="44" fillId="28" borderId="0" applyNumberFormat="0" applyBorder="0" applyAlignment="0" applyProtection="0">
      <alignment vertical="center"/>
    </xf>
    <xf numFmtId="0" fontId="81" fillId="0" borderId="0"/>
    <xf numFmtId="0" fontId="81" fillId="0" borderId="0" applyBorder="0">
      <alignment vertical="center"/>
    </xf>
    <xf numFmtId="0" fontId="44" fillId="28" borderId="0" applyNumberFormat="0" applyBorder="0" applyAlignment="0" applyProtection="0">
      <alignment vertical="center"/>
    </xf>
    <xf numFmtId="0" fontId="44" fillId="28"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44" fillId="28" borderId="0" applyNumberFormat="0" applyBorder="0" applyAlignment="0" applyProtection="0">
      <alignment vertical="center"/>
    </xf>
    <xf numFmtId="0" fontId="81" fillId="0" borderId="0"/>
    <xf numFmtId="0" fontId="81" fillId="0" borderId="0" applyBorder="0">
      <alignment vertical="center"/>
    </xf>
    <xf numFmtId="0" fontId="44" fillId="28" borderId="0" applyNumberFormat="0" applyBorder="0" applyAlignment="0" applyProtection="0">
      <alignment vertical="center"/>
    </xf>
    <xf numFmtId="0" fontId="81" fillId="0" borderId="0" applyBorder="0">
      <alignment vertical="center"/>
    </xf>
    <xf numFmtId="0" fontId="44" fillId="28" borderId="0" applyNumberFormat="0" applyBorder="0" applyAlignment="0" applyProtection="0">
      <alignment vertical="center"/>
    </xf>
    <xf numFmtId="0" fontId="44" fillId="28"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44" fillId="28" borderId="0" applyNumberFormat="0" applyBorder="0" applyAlignment="0" applyProtection="0">
      <alignment vertical="center"/>
    </xf>
    <xf numFmtId="0" fontId="81" fillId="0" borderId="0" applyBorder="0">
      <alignment vertical="center"/>
    </xf>
    <xf numFmtId="0" fontId="81" fillId="0" borderId="0"/>
    <xf numFmtId="0" fontId="44" fillId="28" borderId="0" applyNumberFormat="0" applyBorder="0" applyAlignment="0" applyProtection="0">
      <alignment vertical="center"/>
    </xf>
    <xf numFmtId="0" fontId="44" fillId="28" borderId="0" applyNumberFormat="0" applyBorder="0" applyAlignment="0" applyProtection="0">
      <alignment vertical="center"/>
    </xf>
    <xf numFmtId="0" fontId="81" fillId="0" borderId="0"/>
    <xf numFmtId="0" fontId="81" fillId="0" borderId="0" applyBorder="0">
      <alignment vertical="center"/>
    </xf>
    <xf numFmtId="0" fontId="44" fillId="28" borderId="0" applyNumberFormat="0" applyBorder="0" applyAlignment="0" applyProtection="0">
      <alignment vertical="center"/>
    </xf>
    <xf numFmtId="0" fontId="44" fillId="28"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44" fillId="28" borderId="0" applyNumberFormat="0" applyBorder="0" applyAlignment="0" applyProtection="0">
      <alignment vertical="center"/>
    </xf>
    <xf numFmtId="0" fontId="81" fillId="0" borderId="0"/>
    <xf numFmtId="0" fontId="81" fillId="0" borderId="0" applyBorder="0">
      <alignment vertical="center"/>
    </xf>
    <xf numFmtId="0" fontId="44" fillId="28" borderId="0" applyNumberFormat="0" applyBorder="0" applyAlignment="0" applyProtection="0">
      <alignment vertical="center"/>
    </xf>
    <xf numFmtId="0" fontId="81" fillId="0" borderId="0" applyBorder="0">
      <alignment vertical="center"/>
    </xf>
    <xf numFmtId="0" fontId="44" fillId="28" borderId="0" applyNumberFormat="0" applyBorder="0" applyAlignment="0" applyProtection="0">
      <alignment vertical="center"/>
    </xf>
    <xf numFmtId="0" fontId="44" fillId="28"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44" fillId="28" borderId="0" applyNumberFormat="0" applyBorder="0" applyAlignment="0" applyProtection="0">
      <alignment vertical="center"/>
    </xf>
    <xf numFmtId="0" fontId="81" fillId="0" borderId="0" applyBorder="0">
      <alignment vertical="center"/>
    </xf>
    <xf numFmtId="0" fontId="44" fillId="28" borderId="0" applyNumberFormat="0" applyBorder="0" applyAlignment="0" applyProtection="0">
      <alignment vertical="center"/>
    </xf>
    <xf numFmtId="0" fontId="81" fillId="0" borderId="0" applyBorder="0">
      <alignment vertical="center"/>
    </xf>
    <xf numFmtId="0" fontId="44" fillId="28" borderId="0" applyNumberFormat="0" applyBorder="0" applyAlignment="0" applyProtection="0">
      <alignment vertical="center"/>
    </xf>
    <xf numFmtId="0" fontId="49" fillId="5" borderId="37" applyNumberFormat="0" applyAlignment="0" applyProtection="0">
      <alignment vertical="center"/>
    </xf>
    <xf numFmtId="0" fontId="44" fillId="28" borderId="0" applyNumberFormat="0" applyBorder="0" applyAlignment="0" applyProtection="0">
      <alignment vertical="center"/>
    </xf>
    <xf numFmtId="0" fontId="44" fillId="28" borderId="0" applyNumberFormat="0" applyBorder="0" applyAlignment="0" applyProtection="0">
      <alignment vertical="center"/>
    </xf>
    <xf numFmtId="0" fontId="81" fillId="0" borderId="0"/>
    <xf numFmtId="0" fontId="81" fillId="0" borderId="0" applyBorder="0">
      <alignment vertical="center"/>
    </xf>
    <xf numFmtId="0" fontId="44" fillId="28" borderId="0" applyNumberFormat="0" applyBorder="0" applyAlignment="0" applyProtection="0">
      <alignment vertical="center"/>
    </xf>
    <xf numFmtId="0" fontId="44" fillId="28"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44" fillId="28" borderId="0" applyNumberFormat="0" applyBorder="0" applyAlignment="0" applyProtection="0">
      <alignment vertical="center"/>
    </xf>
    <xf numFmtId="0" fontId="81" fillId="0" borderId="0"/>
    <xf numFmtId="0" fontId="81" fillId="0" borderId="0" applyBorder="0">
      <alignment vertical="center"/>
    </xf>
    <xf numFmtId="0" fontId="44" fillId="28" borderId="0" applyNumberFormat="0" applyBorder="0" applyAlignment="0" applyProtection="0">
      <alignment vertical="center"/>
    </xf>
    <xf numFmtId="0" fontId="81" fillId="0" borderId="0" applyBorder="0">
      <alignment vertical="center"/>
    </xf>
    <xf numFmtId="0" fontId="44" fillId="28" borderId="0" applyNumberFormat="0" applyBorder="0" applyAlignment="0" applyProtection="0">
      <alignment vertical="center"/>
    </xf>
    <xf numFmtId="0" fontId="44" fillId="28"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44" fillId="28" borderId="0" applyNumberFormat="0" applyBorder="0" applyAlignment="0" applyProtection="0">
      <alignment vertical="center"/>
    </xf>
    <xf numFmtId="0" fontId="81" fillId="0" borderId="0" applyBorder="0">
      <alignment vertical="center"/>
    </xf>
    <xf numFmtId="0" fontId="81" fillId="0" borderId="0"/>
    <xf numFmtId="0" fontId="81" fillId="0" borderId="0" applyBorder="0">
      <alignment vertical="center"/>
    </xf>
    <xf numFmtId="0" fontId="44" fillId="28" borderId="0" applyNumberFormat="0" applyBorder="0" applyAlignment="0" applyProtection="0">
      <alignment vertical="center"/>
    </xf>
    <xf numFmtId="0" fontId="81" fillId="0" borderId="0" applyBorder="0">
      <alignment vertical="center"/>
    </xf>
    <xf numFmtId="0" fontId="44" fillId="28" borderId="0" applyNumberFormat="0" applyBorder="0" applyAlignment="0" applyProtection="0">
      <alignment vertical="center"/>
    </xf>
    <xf numFmtId="0" fontId="81" fillId="0" borderId="0"/>
    <xf numFmtId="0" fontId="81" fillId="0" borderId="0" applyBorder="0">
      <alignment vertical="center"/>
    </xf>
    <xf numFmtId="0" fontId="44" fillId="28" borderId="0" applyNumberFormat="0" applyBorder="0" applyAlignment="0" applyProtection="0">
      <alignment vertical="center"/>
    </xf>
    <xf numFmtId="0" fontId="44" fillId="28"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44" fillId="28" borderId="0" applyNumberFormat="0" applyBorder="0" applyAlignment="0" applyProtection="0">
      <alignment vertical="center"/>
    </xf>
    <xf numFmtId="0" fontId="81" fillId="0" borderId="0"/>
    <xf numFmtId="0" fontId="81" fillId="0" borderId="0"/>
    <xf numFmtId="0" fontId="81" fillId="0" borderId="0" applyBorder="0">
      <alignment vertical="center"/>
    </xf>
    <xf numFmtId="0" fontId="44" fillId="28" borderId="0" applyNumberFormat="0" applyBorder="0" applyAlignment="0" applyProtection="0">
      <alignment vertical="center"/>
    </xf>
    <xf numFmtId="0" fontId="81" fillId="0" borderId="0" applyBorder="0">
      <alignment vertical="center"/>
    </xf>
    <xf numFmtId="0" fontId="44" fillId="28" borderId="0" applyNumberFormat="0" applyBorder="0" applyAlignment="0" applyProtection="0">
      <alignment vertical="center"/>
    </xf>
    <xf numFmtId="0" fontId="81" fillId="0" borderId="0" applyBorder="0">
      <alignment vertical="center"/>
    </xf>
    <xf numFmtId="0" fontId="44" fillId="28"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44" fillId="28" borderId="0" applyNumberFormat="0" applyBorder="0" applyAlignment="0" applyProtection="0">
      <alignment vertical="center"/>
    </xf>
    <xf numFmtId="0" fontId="81" fillId="0" borderId="0" applyBorder="0">
      <alignment vertical="center"/>
    </xf>
    <xf numFmtId="0" fontId="81" fillId="0" borderId="0"/>
    <xf numFmtId="0" fontId="44" fillId="28" borderId="0" applyNumberFormat="0" applyBorder="0" applyAlignment="0" applyProtection="0">
      <alignment vertical="center"/>
    </xf>
    <xf numFmtId="0" fontId="44" fillId="28" borderId="0" applyNumberFormat="0" applyBorder="0" applyAlignment="0" applyProtection="0">
      <alignment vertical="center"/>
    </xf>
    <xf numFmtId="0" fontId="81" fillId="0" borderId="0"/>
    <xf numFmtId="0" fontId="81" fillId="0" borderId="0"/>
    <xf numFmtId="0" fontId="81" fillId="0" borderId="0" applyBorder="0">
      <alignment vertical="center"/>
    </xf>
    <xf numFmtId="0" fontId="81" fillId="0" borderId="0" applyBorder="0">
      <alignment vertical="center"/>
    </xf>
    <xf numFmtId="0" fontId="44" fillId="28" borderId="0" applyNumberFormat="0" applyBorder="0" applyAlignment="0" applyProtection="0">
      <alignment vertical="center"/>
    </xf>
    <xf numFmtId="0" fontId="49" fillId="5" borderId="37" applyNumberFormat="0" applyAlignment="0" applyProtection="0">
      <alignment vertical="center"/>
    </xf>
    <xf numFmtId="0" fontId="44" fillId="28"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xf numFmtId="0" fontId="44" fillId="28" borderId="0" applyNumberFormat="0" applyBorder="0" applyAlignment="0" applyProtection="0">
      <alignment vertical="center"/>
    </xf>
    <xf numFmtId="0" fontId="81" fillId="0" borderId="0" applyBorder="0">
      <alignment vertical="center"/>
    </xf>
    <xf numFmtId="0" fontId="44" fillId="28" borderId="0" applyNumberFormat="0" applyBorder="0" applyAlignment="0" applyProtection="0">
      <alignment vertical="center"/>
    </xf>
    <xf numFmtId="0" fontId="44" fillId="28"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44" fillId="28" borderId="0" applyNumberFormat="0" applyBorder="0" applyAlignment="0" applyProtection="0">
      <alignment vertical="center"/>
    </xf>
    <xf numFmtId="0" fontId="44" fillId="23" borderId="0" applyNumberFormat="0" applyBorder="0" applyAlignment="0" applyProtection="0">
      <alignment vertical="center"/>
    </xf>
    <xf numFmtId="0" fontId="44" fillId="23" borderId="0" applyNumberFormat="0" applyBorder="0" applyAlignment="0" applyProtection="0">
      <alignment vertical="center"/>
    </xf>
    <xf numFmtId="0" fontId="81" fillId="0" borderId="0"/>
    <xf numFmtId="0" fontId="81" fillId="0" borderId="0" applyBorder="0">
      <alignment vertical="center"/>
    </xf>
    <xf numFmtId="0" fontId="44" fillId="23" borderId="0" applyNumberFormat="0" applyBorder="0" applyAlignment="0" applyProtection="0">
      <alignment vertical="center"/>
    </xf>
    <xf numFmtId="0" fontId="44" fillId="23" borderId="0" applyNumberFormat="0" applyBorder="0" applyAlignment="0" applyProtection="0">
      <alignment vertical="center"/>
    </xf>
    <xf numFmtId="0" fontId="44" fillId="23" borderId="0" applyNumberFormat="0" applyBorder="0" applyAlignment="0" applyProtection="0">
      <alignment vertical="center"/>
    </xf>
    <xf numFmtId="0" fontId="81" fillId="0" borderId="0"/>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44" fillId="23" borderId="0" applyNumberFormat="0" applyBorder="0" applyAlignment="0" applyProtection="0">
      <alignment vertical="center"/>
    </xf>
    <xf numFmtId="0" fontId="81" fillId="0" borderId="0"/>
    <xf numFmtId="0" fontId="81" fillId="0" borderId="0" applyBorder="0">
      <alignment vertical="center"/>
    </xf>
    <xf numFmtId="0" fontId="44" fillId="23" borderId="0" applyNumberFormat="0" applyBorder="0" applyAlignment="0" applyProtection="0">
      <alignment vertical="center"/>
    </xf>
    <xf numFmtId="0" fontId="44" fillId="23" borderId="0" applyNumberFormat="0" applyBorder="0" applyAlignment="0" applyProtection="0">
      <alignment vertical="center"/>
    </xf>
    <xf numFmtId="0" fontId="81" fillId="0" borderId="0" applyBorder="0">
      <alignment vertical="center"/>
    </xf>
    <xf numFmtId="0" fontId="81" fillId="0" borderId="0"/>
    <xf numFmtId="0" fontId="81" fillId="0" borderId="0" applyBorder="0">
      <alignment vertical="center"/>
    </xf>
    <xf numFmtId="0" fontId="44" fillId="23" borderId="0" applyNumberFormat="0" applyBorder="0" applyAlignment="0" applyProtection="0">
      <alignment vertical="center"/>
    </xf>
    <xf numFmtId="0" fontId="81" fillId="0" borderId="0" applyBorder="0">
      <alignment vertical="center"/>
    </xf>
    <xf numFmtId="0" fontId="81" fillId="0" borderId="0"/>
    <xf numFmtId="0" fontId="81" fillId="0" borderId="0" applyBorder="0">
      <alignment vertical="center"/>
    </xf>
    <xf numFmtId="0" fontId="44" fillId="23" borderId="0" applyNumberFormat="0" applyBorder="0" applyAlignment="0" applyProtection="0">
      <alignment vertical="center"/>
    </xf>
    <xf numFmtId="0" fontId="81" fillId="0" borderId="0" applyBorder="0">
      <alignment vertical="center"/>
    </xf>
    <xf numFmtId="0" fontId="44" fillId="23" borderId="0" applyNumberFormat="0" applyBorder="0" applyAlignment="0" applyProtection="0">
      <alignment vertical="center"/>
    </xf>
    <xf numFmtId="0" fontId="44" fillId="23" borderId="0" applyNumberFormat="0" applyBorder="0" applyAlignment="0" applyProtection="0">
      <alignment vertical="center"/>
    </xf>
    <xf numFmtId="0" fontId="81" fillId="0" borderId="0"/>
    <xf numFmtId="0" fontId="81" fillId="0" borderId="0" applyBorder="0">
      <alignment vertical="center"/>
    </xf>
    <xf numFmtId="0" fontId="44" fillId="23" borderId="0" applyNumberFormat="0" applyBorder="0" applyAlignment="0" applyProtection="0">
      <alignment vertical="center"/>
    </xf>
    <xf numFmtId="0" fontId="44" fillId="23"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44" fillId="23" borderId="0" applyNumberFormat="0" applyBorder="0" applyAlignment="0" applyProtection="0">
      <alignment vertical="center"/>
    </xf>
    <xf numFmtId="0" fontId="44" fillId="23"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44" fillId="23" borderId="0" applyNumberFormat="0" applyBorder="0" applyAlignment="0" applyProtection="0">
      <alignment vertical="center"/>
    </xf>
    <xf numFmtId="0" fontId="81" fillId="0" borderId="0" applyBorder="0">
      <alignment vertical="center"/>
    </xf>
    <xf numFmtId="0" fontId="81" fillId="0" borderId="0"/>
    <xf numFmtId="0" fontId="81" fillId="0" borderId="0" applyBorder="0">
      <alignment vertical="center"/>
    </xf>
    <xf numFmtId="0" fontId="44" fillId="23" borderId="0" applyNumberFormat="0" applyBorder="0" applyAlignment="0" applyProtection="0">
      <alignment vertical="center"/>
    </xf>
    <xf numFmtId="0" fontId="44" fillId="23" borderId="0" applyNumberFormat="0" applyBorder="0" applyAlignment="0" applyProtection="0">
      <alignment vertical="center"/>
    </xf>
    <xf numFmtId="0" fontId="81" fillId="0" borderId="0"/>
    <xf numFmtId="0" fontId="81" fillId="0" borderId="0" applyBorder="0">
      <alignment vertical="center"/>
    </xf>
    <xf numFmtId="0" fontId="44" fillId="23"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44" fillId="23" borderId="0" applyNumberFormat="0" applyBorder="0" applyAlignment="0" applyProtection="0">
      <alignment vertical="center"/>
    </xf>
    <xf numFmtId="0" fontId="81" fillId="0" borderId="0"/>
    <xf numFmtId="0" fontId="44" fillId="23" borderId="0" applyNumberFormat="0" applyBorder="0" applyAlignment="0" applyProtection="0">
      <alignment vertical="center"/>
    </xf>
    <xf numFmtId="0" fontId="81" fillId="0" borderId="0" applyBorder="0">
      <alignment vertical="center"/>
    </xf>
    <xf numFmtId="0" fontId="44" fillId="23" borderId="0" applyNumberFormat="0" applyBorder="0" applyAlignment="0" applyProtection="0">
      <alignment vertical="center"/>
    </xf>
    <xf numFmtId="0" fontId="44" fillId="23"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44" fillId="23" borderId="0" applyNumberFormat="0" applyBorder="0" applyAlignment="0" applyProtection="0">
      <alignment vertical="center"/>
    </xf>
    <xf numFmtId="0" fontId="81" fillId="0" borderId="0" applyBorder="0">
      <alignment vertical="center"/>
    </xf>
    <xf numFmtId="0" fontId="81" fillId="0" borderId="0"/>
    <xf numFmtId="0" fontId="44" fillId="23" borderId="0" applyNumberFormat="0" applyBorder="0" applyAlignment="0" applyProtection="0">
      <alignment vertical="center"/>
    </xf>
    <xf numFmtId="0" fontId="44" fillId="23" borderId="0" applyNumberFormat="0" applyBorder="0" applyAlignment="0" applyProtection="0">
      <alignment vertical="center"/>
    </xf>
    <xf numFmtId="0" fontId="81" fillId="0" borderId="0"/>
    <xf numFmtId="0" fontId="44" fillId="23" borderId="0" applyNumberFormat="0" applyBorder="0" applyAlignment="0" applyProtection="0">
      <alignment vertical="center"/>
    </xf>
    <xf numFmtId="0" fontId="44" fillId="23" borderId="0" applyNumberFormat="0" applyBorder="0" applyAlignment="0" applyProtection="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44" fillId="23" borderId="0" applyNumberFormat="0" applyBorder="0" applyAlignment="0" applyProtection="0">
      <alignment vertical="center"/>
    </xf>
    <xf numFmtId="0" fontId="81" fillId="0" borderId="0"/>
    <xf numFmtId="0" fontId="81" fillId="0" borderId="0" applyBorder="0">
      <alignment vertical="center"/>
    </xf>
    <xf numFmtId="0" fontId="44" fillId="23" borderId="0" applyNumberFormat="0" applyBorder="0" applyAlignment="0" applyProtection="0">
      <alignment vertical="center"/>
    </xf>
    <xf numFmtId="0" fontId="81" fillId="0" borderId="0" applyBorder="0">
      <alignment vertical="center"/>
    </xf>
    <xf numFmtId="0" fontId="44" fillId="23" borderId="0" applyNumberFormat="0" applyBorder="0" applyAlignment="0" applyProtection="0">
      <alignment vertical="center"/>
    </xf>
    <xf numFmtId="0" fontId="44" fillId="23"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44" fillId="23" borderId="0" applyNumberFormat="0" applyBorder="0" applyAlignment="0" applyProtection="0">
      <alignment vertical="center"/>
    </xf>
    <xf numFmtId="0" fontId="81" fillId="0" borderId="0" applyBorder="0">
      <alignment vertical="center"/>
    </xf>
    <xf numFmtId="0" fontId="44" fillId="23" borderId="0" applyNumberFormat="0" applyBorder="0" applyAlignment="0" applyProtection="0">
      <alignment vertical="center"/>
    </xf>
    <xf numFmtId="0" fontId="81" fillId="0" borderId="0" applyBorder="0">
      <alignment vertical="center"/>
    </xf>
    <xf numFmtId="0" fontId="44" fillId="23" borderId="0" applyNumberFormat="0" applyBorder="0" applyAlignment="0" applyProtection="0">
      <alignment vertical="center"/>
    </xf>
    <xf numFmtId="0" fontId="44" fillId="23" borderId="0" applyNumberFormat="0" applyBorder="0" applyAlignment="0" applyProtection="0">
      <alignment vertical="center"/>
    </xf>
    <xf numFmtId="0" fontId="44" fillId="23" borderId="0" applyNumberFormat="0" applyBorder="0" applyAlignment="0" applyProtection="0">
      <alignment vertical="center"/>
    </xf>
    <xf numFmtId="0" fontId="81" fillId="0" borderId="0"/>
    <xf numFmtId="0" fontId="81" fillId="0" borderId="0" applyBorder="0">
      <alignment vertical="center"/>
    </xf>
    <xf numFmtId="0" fontId="44" fillId="23" borderId="0" applyNumberFormat="0" applyBorder="0" applyAlignment="0" applyProtection="0">
      <alignment vertical="center"/>
    </xf>
    <xf numFmtId="0" fontId="44" fillId="23"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44" fillId="23" borderId="0" applyNumberFormat="0" applyBorder="0" applyAlignment="0" applyProtection="0">
      <alignment vertical="center"/>
    </xf>
    <xf numFmtId="0" fontId="81" fillId="0" borderId="0"/>
    <xf numFmtId="0" fontId="81" fillId="0" borderId="0" applyBorder="0">
      <alignment vertical="center"/>
    </xf>
    <xf numFmtId="0" fontId="44" fillId="23" borderId="0" applyNumberFormat="0" applyBorder="0" applyAlignment="0" applyProtection="0">
      <alignment vertical="center"/>
    </xf>
    <xf numFmtId="0" fontId="81" fillId="0" borderId="0" applyBorder="0">
      <alignment vertical="center"/>
    </xf>
    <xf numFmtId="0" fontId="44" fillId="23" borderId="0" applyNumberFormat="0" applyBorder="0" applyAlignment="0" applyProtection="0">
      <alignment vertical="center"/>
    </xf>
    <xf numFmtId="0" fontId="44" fillId="23"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44" fillId="23"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44" fillId="23" borderId="0" applyNumberFormat="0" applyBorder="0" applyAlignment="0" applyProtection="0">
      <alignment vertical="center"/>
    </xf>
    <xf numFmtId="0" fontId="44" fillId="23" borderId="0" applyNumberFormat="0" applyBorder="0" applyAlignment="0" applyProtection="0">
      <alignment vertical="center"/>
    </xf>
    <xf numFmtId="0" fontId="81" fillId="0" borderId="0"/>
    <xf numFmtId="0" fontId="81" fillId="0" borderId="0" applyBorder="0">
      <alignment vertical="center"/>
    </xf>
    <xf numFmtId="0" fontId="44" fillId="23" borderId="0" applyNumberFormat="0" applyBorder="0" applyAlignment="0" applyProtection="0">
      <alignment vertical="center"/>
    </xf>
    <xf numFmtId="0" fontId="44" fillId="23"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44" fillId="23" borderId="0" applyNumberFormat="0" applyBorder="0" applyAlignment="0" applyProtection="0">
      <alignment vertical="center"/>
    </xf>
    <xf numFmtId="0" fontId="81" fillId="0" borderId="0"/>
    <xf numFmtId="0" fontId="81" fillId="0" borderId="0" applyBorder="0">
      <alignment vertical="center"/>
    </xf>
    <xf numFmtId="0" fontId="44" fillId="23" borderId="0" applyNumberFormat="0" applyBorder="0" applyAlignment="0" applyProtection="0">
      <alignment vertical="center"/>
    </xf>
    <xf numFmtId="0" fontId="81" fillId="0" borderId="0" applyBorder="0">
      <alignment vertical="center"/>
    </xf>
    <xf numFmtId="0" fontId="44" fillId="23" borderId="0" applyNumberFormat="0" applyBorder="0" applyAlignment="0" applyProtection="0">
      <alignment vertical="center"/>
    </xf>
    <xf numFmtId="0" fontId="44" fillId="23"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44" fillId="23" borderId="0" applyNumberFormat="0" applyBorder="0" applyAlignment="0" applyProtection="0">
      <alignment vertical="center"/>
    </xf>
    <xf numFmtId="0" fontId="81" fillId="0" borderId="0" applyBorder="0">
      <alignment vertical="center"/>
    </xf>
    <xf numFmtId="0" fontId="81" fillId="0" borderId="0"/>
    <xf numFmtId="0" fontId="44" fillId="23" borderId="0" applyNumberFormat="0" applyBorder="0" applyAlignment="0" applyProtection="0">
      <alignment vertical="center"/>
    </xf>
    <xf numFmtId="0" fontId="44" fillId="23" borderId="0" applyNumberFormat="0" applyBorder="0" applyAlignment="0" applyProtection="0">
      <alignment vertical="center"/>
    </xf>
    <xf numFmtId="0" fontId="81" fillId="0" borderId="0"/>
    <xf numFmtId="0" fontId="81" fillId="0" borderId="0" applyBorder="0">
      <alignment vertical="center"/>
    </xf>
    <xf numFmtId="0" fontId="44" fillId="23" borderId="0" applyNumberFormat="0" applyBorder="0" applyAlignment="0" applyProtection="0">
      <alignment vertical="center"/>
    </xf>
    <xf numFmtId="0" fontId="44" fillId="23"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44" fillId="23" borderId="0" applyNumberFormat="0" applyBorder="0" applyAlignment="0" applyProtection="0">
      <alignment vertical="center"/>
    </xf>
    <xf numFmtId="0" fontId="44" fillId="23" borderId="0" applyNumberFormat="0" applyBorder="0" applyAlignment="0" applyProtection="0">
      <alignment vertical="center"/>
    </xf>
    <xf numFmtId="0" fontId="44" fillId="23"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44" fillId="23" borderId="0" applyNumberFormat="0" applyBorder="0" applyAlignment="0" applyProtection="0">
      <alignment vertical="center"/>
    </xf>
    <xf numFmtId="0" fontId="44" fillId="32" borderId="0" applyNumberFormat="0" applyBorder="0" applyAlignment="0" applyProtection="0">
      <alignment vertical="center"/>
    </xf>
    <xf numFmtId="0" fontId="44" fillId="32" borderId="0" applyNumberFormat="0" applyBorder="0" applyAlignment="0" applyProtection="0">
      <alignment vertical="center"/>
    </xf>
    <xf numFmtId="0" fontId="44" fillId="26" borderId="0" applyNumberFormat="0" applyBorder="0" applyAlignment="0" applyProtection="0">
      <alignment vertical="center"/>
    </xf>
    <xf numFmtId="0" fontId="81" fillId="0" borderId="0"/>
    <xf numFmtId="0" fontId="81" fillId="0" borderId="0" applyBorder="0">
      <alignment vertical="center"/>
    </xf>
    <xf numFmtId="0" fontId="44" fillId="26" borderId="0" applyNumberFormat="0" applyBorder="0" applyAlignment="0" applyProtection="0">
      <alignment vertical="center"/>
    </xf>
    <xf numFmtId="0" fontId="81" fillId="0" borderId="0"/>
    <xf numFmtId="0" fontId="81" fillId="0" borderId="0" applyBorder="0">
      <alignment vertical="center"/>
    </xf>
    <xf numFmtId="0" fontId="44" fillId="26" borderId="0" applyNumberFormat="0" applyBorder="0" applyAlignment="0" applyProtection="0">
      <alignment vertical="center"/>
    </xf>
    <xf numFmtId="0" fontId="44" fillId="26" borderId="0" applyNumberFormat="0" applyBorder="0" applyAlignment="0" applyProtection="0">
      <alignment vertical="center"/>
    </xf>
    <xf numFmtId="0" fontId="44" fillId="26" borderId="0" applyNumberFormat="0" applyBorder="0" applyAlignment="0" applyProtection="0">
      <alignment vertical="center"/>
    </xf>
    <xf numFmtId="0" fontId="81" fillId="0" borderId="0"/>
    <xf numFmtId="0" fontId="81" fillId="0" borderId="0" applyBorder="0">
      <alignment vertical="center"/>
    </xf>
    <xf numFmtId="0" fontId="44" fillId="26" borderId="0" applyNumberFormat="0" applyBorder="0" applyAlignment="0" applyProtection="0">
      <alignment vertical="center"/>
    </xf>
    <xf numFmtId="0" fontId="44" fillId="26"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44" fillId="26" borderId="0" applyNumberFormat="0" applyBorder="0" applyAlignment="0" applyProtection="0">
      <alignment vertical="center"/>
    </xf>
    <xf numFmtId="0" fontId="81" fillId="0" borderId="0"/>
    <xf numFmtId="0" fontId="81" fillId="0" borderId="0" applyBorder="0">
      <alignment vertical="center"/>
    </xf>
    <xf numFmtId="0" fontId="44" fillId="26" borderId="0" applyNumberFormat="0" applyBorder="0" applyAlignment="0" applyProtection="0">
      <alignment vertical="center"/>
    </xf>
    <xf numFmtId="0" fontId="81" fillId="0" borderId="0" applyBorder="0">
      <alignment vertical="center"/>
    </xf>
    <xf numFmtId="0" fontId="44" fillId="26" borderId="0" applyNumberFormat="0" applyBorder="0" applyAlignment="0" applyProtection="0">
      <alignment vertical="center"/>
    </xf>
    <xf numFmtId="0" fontId="44" fillId="26"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44" fillId="26" borderId="0" applyNumberFormat="0" applyBorder="0" applyAlignment="0" applyProtection="0">
      <alignment vertical="center"/>
    </xf>
    <xf numFmtId="0" fontId="81" fillId="0" borderId="0" applyBorder="0">
      <alignment vertical="center"/>
    </xf>
    <xf numFmtId="0" fontId="81" fillId="0" borderId="0"/>
    <xf numFmtId="0" fontId="81" fillId="0" borderId="0" applyBorder="0">
      <alignment vertical="center"/>
    </xf>
    <xf numFmtId="0" fontId="44" fillId="26"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44" fillId="26" borderId="0" applyNumberFormat="0" applyBorder="0" applyAlignment="0" applyProtection="0">
      <alignment vertical="center"/>
    </xf>
    <xf numFmtId="0" fontId="44" fillId="26" borderId="0" applyNumberFormat="0" applyBorder="0" applyAlignment="0" applyProtection="0">
      <alignment vertical="center"/>
    </xf>
    <xf numFmtId="0" fontId="81" fillId="0" borderId="0" applyBorder="0">
      <alignment vertical="center"/>
    </xf>
    <xf numFmtId="0" fontId="44" fillId="26" borderId="0" applyNumberFormat="0" applyBorder="0" applyAlignment="0" applyProtection="0">
      <alignment vertical="center"/>
    </xf>
    <xf numFmtId="0" fontId="44" fillId="26" borderId="0" applyNumberFormat="0" applyBorder="0" applyAlignment="0" applyProtection="0">
      <alignment vertical="center"/>
    </xf>
    <xf numFmtId="0" fontId="81" fillId="0" borderId="0"/>
    <xf numFmtId="0" fontId="44" fillId="26" borderId="0" applyNumberFormat="0" applyBorder="0" applyAlignment="0" applyProtection="0">
      <alignment vertical="center"/>
    </xf>
    <xf numFmtId="0" fontId="81" fillId="0" borderId="0" applyBorder="0">
      <alignment vertical="center"/>
    </xf>
    <xf numFmtId="0" fontId="81" fillId="0" borderId="0"/>
    <xf numFmtId="0" fontId="81" fillId="0" borderId="0" applyBorder="0">
      <alignment vertical="center"/>
    </xf>
    <xf numFmtId="0" fontId="44" fillId="26" borderId="0" applyNumberFormat="0" applyBorder="0" applyAlignment="0" applyProtection="0">
      <alignment vertical="center"/>
    </xf>
    <xf numFmtId="0" fontId="44" fillId="26" borderId="0" applyNumberFormat="0" applyBorder="0" applyAlignment="0" applyProtection="0">
      <alignment vertical="center"/>
    </xf>
    <xf numFmtId="0" fontId="81" fillId="0" borderId="0"/>
    <xf numFmtId="0" fontId="81" fillId="0" borderId="0" applyBorder="0">
      <alignment vertical="center"/>
    </xf>
    <xf numFmtId="0" fontId="44" fillId="26" borderId="0" applyNumberFormat="0" applyBorder="0" applyAlignment="0" applyProtection="0">
      <alignment vertical="center"/>
    </xf>
    <xf numFmtId="0" fontId="44" fillId="26"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44" fillId="26" borderId="0" applyNumberFormat="0" applyBorder="0" applyAlignment="0" applyProtection="0">
      <alignment vertical="center"/>
    </xf>
    <xf numFmtId="0" fontId="81" fillId="0" borderId="0"/>
    <xf numFmtId="0" fontId="81" fillId="0" borderId="0" applyBorder="0">
      <alignment vertical="center"/>
    </xf>
    <xf numFmtId="0" fontId="44" fillId="26" borderId="0" applyNumberFormat="0" applyBorder="0" applyAlignment="0" applyProtection="0">
      <alignment vertical="center"/>
    </xf>
    <xf numFmtId="0" fontId="81" fillId="0" borderId="0" applyBorder="0">
      <alignment vertical="center"/>
    </xf>
    <xf numFmtId="0" fontId="44" fillId="26" borderId="0" applyNumberFormat="0" applyBorder="0" applyAlignment="0" applyProtection="0">
      <alignment vertical="center"/>
    </xf>
    <xf numFmtId="0" fontId="44" fillId="26"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44" fillId="26" borderId="0" applyNumberFormat="0" applyBorder="0" applyAlignment="0" applyProtection="0">
      <alignment vertical="center"/>
    </xf>
    <xf numFmtId="0" fontId="81" fillId="0" borderId="0" applyBorder="0">
      <alignment vertical="center"/>
    </xf>
    <xf numFmtId="0" fontId="81" fillId="0" borderId="0"/>
    <xf numFmtId="0" fontId="44" fillId="26" borderId="0" applyNumberFormat="0" applyBorder="0" applyAlignment="0" applyProtection="0">
      <alignment vertical="center"/>
    </xf>
    <xf numFmtId="0" fontId="44" fillId="26" borderId="0" applyNumberFormat="0" applyBorder="0" applyAlignment="0" applyProtection="0">
      <alignment vertical="center"/>
    </xf>
    <xf numFmtId="0" fontId="81" fillId="0" borderId="0"/>
    <xf numFmtId="0" fontId="81" fillId="0" borderId="0" applyBorder="0">
      <alignment vertical="center"/>
    </xf>
    <xf numFmtId="0" fontId="44" fillId="26" borderId="0" applyNumberFormat="0" applyBorder="0" applyAlignment="0" applyProtection="0">
      <alignment vertical="center"/>
    </xf>
    <xf numFmtId="0" fontId="44" fillId="26"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44" fillId="26" borderId="0" applyNumberFormat="0" applyBorder="0" applyAlignment="0" applyProtection="0">
      <alignment vertical="center"/>
    </xf>
    <xf numFmtId="0" fontId="81" fillId="0" borderId="0"/>
    <xf numFmtId="0" fontId="81" fillId="0" borderId="0" applyBorder="0">
      <alignment vertical="center"/>
    </xf>
    <xf numFmtId="0" fontId="44" fillId="26" borderId="0" applyNumberFormat="0" applyBorder="0" applyAlignment="0" applyProtection="0">
      <alignment vertical="center"/>
    </xf>
    <xf numFmtId="0" fontId="81" fillId="0" borderId="0" applyBorder="0">
      <alignment vertical="center"/>
    </xf>
    <xf numFmtId="0" fontId="44" fillId="26" borderId="0" applyNumberFormat="0" applyBorder="0" applyAlignment="0" applyProtection="0">
      <alignment vertical="center"/>
    </xf>
    <xf numFmtId="0" fontId="44" fillId="26"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44" fillId="26" borderId="0" applyNumberFormat="0" applyBorder="0" applyAlignment="0" applyProtection="0">
      <alignment vertical="center"/>
    </xf>
    <xf numFmtId="0" fontId="81" fillId="0" borderId="0" applyBorder="0">
      <alignment vertical="center"/>
    </xf>
    <xf numFmtId="0" fontId="44" fillId="26" borderId="0" applyNumberFormat="0" applyBorder="0" applyAlignment="0" applyProtection="0">
      <alignment vertical="center"/>
    </xf>
    <xf numFmtId="0" fontId="81" fillId="0" borderId="0" applyBorder="0">
      <alignment vertical="center"/>
    </xf>
    <xf numFmtId="0" fontId="44" fillId="26" borderId="0" applyNumberFormat="0" applyBorder="0" applyAlignment="0" applyProtection="0">
      <alignment vertical="center"/>
    </xf>
    <xf numFmtId="0" fontId="44" fillId="26" borderId="0" applyNumberFormat="0" applyBorder="0" applyAlignment="0" applyProtection="0">
      <alignment vertical="center"/>
    </xf>
    <xf numFmtId="0" fontId="44" fillId="26" borderId="0" applyNumberFormat="0" applyBorder="0" applyAlignment="0" applyProtection="0">
      <alignment vertical="center"/>
    </xf>
    <xf numFmtId="0" fontId="81" fillId="0" borderId="0"/>
    <xf numFmtId="0" fontId="81" fillId="0" borderId="0" applyBorder="0">
      <alignment vertical="center"/>
    </xf>
    <xf numFmtId="0" fontId="44" fillId="26" borderId="0" applyNumberFormat="0" applyBorder="0" applyAlignment="0" applyProtection="0">
      <alignment vertical="center"/>
    </xf>
    <xf numFmtId="0" fontId="44" fillId="26"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44" fillId="26" borderId="0" applyNumberFormat="0" applyBorder="0" applyAlignment="0" applyProtection="0">
      <alignment vertical="center"/>
    </xf>
    <xf numFmtId="0" fontId="81" fillId="0" borderId="0"/>
    <xf numFmtId="0" fontId="81" fillId="0" borderId="0" applyBorder="0">
      <alignment vertical="center"/>
    </xf>
    <xf numFmtId="0" fontId="44" fillId="26" borderId="0" applyNumberFormat="0" applyBorder="0" applyAlignment="0" applyProtection="0">
      <alignment vertical="center"/>
    </xf>
    <xf numFmtId="0" fontId="81" fillId="0" borderId="0" applyBorder="0">
      <alignment vertical="center"/>
    </xf>
    <xf numFmtId="0" fontId="44" fillId="26" borderId="0" applyNumberFormat="0" applyBorder="0" applyAlignment="0" applyProtection="0">
      <alignment vertical="center"/>
    </xf>
    <xf numFmtId="0" fontId="44" fillId="26"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44" fillId="26" borderId="0" applyNumberFormat="0" applyBorder="0" applyAlignment="0" applyProtection="0">
      <alignment vertical="center"/>
    </xf>
    <xf numFmtId="0" fontId="81" fillId="0" borderId="0" applyBorder="0">
      <alignment vertical="center"/>
    </xf>
    <xf numFmtId="0" fontId="81" fillId="0" borderId="0"/>
    <xf numFmtId="0" fontId="81" fillId="0" borderId="0" applyBorder="0">
      <alignment vertical="center"/>
    </xf>
    <xf numFmtId="0" fontId="44" fillId="26" borderId="0" applyNumberFormat="0" applyBorder="0" applyAlignment="0" applyProtection="0">
      <alignment vertical="center"/>
    </xf>
    <xf numFmtId="0" fontId="44" fillId="26" borderId="0" applyNumberFormat="0" applyBorder="0" applyAlignment="0" applyProtection="0">
      <alignment vertical="center"/>
    </xf>
    <xf numFmtId="0" fontId="81" fillId="0" borderId="0"/>
    <xf numFmtId="0" fontId="81" fillId="0" borderId="0" applyBorder="0">
      <alignment vertical="center"/>
    </xf>
    <xf numFmtId="0" fontId="44" fillId="26" borderId="0" applyNumberFormat="0" applyBorder="0" applyAlignment="0" applyProtection="0">
      <alignment vertical="center"/>
    </xf>
    <xf numFmtId="0" fontId="44" fillId="26"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44" fillId="26" borderId="0" applyNumberFormat="0" applyBorder="0" applyAlignment="0" applyProtection="0">
      <alignment vertical="center"/>
    </xf>
    <xf numFmtId="0" fontId="81" fillId="0" borderId="0"/>
    <xf numFmtId="0" fontId="81" fillId="0" borderId="0" applyBorder="0">
      <alignment vertical="center"/>
    </xf>
    <xf numFmtId="0" fontId="44" fillId="26" borderId="0" applyNumberFormat="0" applyBorder="0" applyAlignment="0" applyProtection="0">
      <alignment vertical="center"/>
    </xf>
    <xf numFmtId="0" fontId="81" fillId="0" borderId="0" applyBorder="0">
      <alignment vertical="center"/>
    </xf>
    <xf numFmtId="0" fontId="44" fillId="26" borderId="0" applyNumberFormat="0" applyBorder="0" applyAlignment="0" applyProtection="0">
      <alignment vertical="center"/>
    </xf>
    <xf numFmtId="0" fontId="44" fillId="26"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44" fillId="26" borderId="0" applyNumberFormat="0" applyBorder="0" applyAlignment="0" applyProtection="0">
      <alignment vertical="center"/>
    </xf>
    <xf numFmtId="0" fontId="44" fillId="26" borderId="0" applyNumberFormat="0" applyBorder="0" applyAlignment="0" applyProtection="0">
      <alignment vertical="center"/>
    </xf>
    <xf numFmtId="0" fontId="81" fillId="0" borderId="0" applyBorder="0">
      <alignment vertical="center"/>
    </xf>
    <xf numFmtId="0" fontId="44" fillId="26" borderId="0" applyNumberFormat="0" applyBorder="0" applyAlignment="0" applyProtection="0">
      <alignment vertical="center"/>
    </xf>
    <xf numFmtId="0" fontId="44" fillId="26"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44" fillId="26" borderId="0" applyNumberFormat="0" applyBorder="0" applyAlignment="0" applyProtection="0">
      <alignment vertical="center"/>
    </xf>
    <xf numFmtId="0" fontId="44" fillId="26" borderId="0" applyNumberFormat="0" applyBorder="0" applyAlignment="0" applyProtection="0">
      <alignment vertical="center"/>
    </xf>
    <xf numFmtId="0" fontId="44" fillId="26"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44" fillId="26" borderId="0" applyNumberFormat="0" applyBorder="0" applyAlignment="0" applyProtection="0">
      <alignment vertical="center"/>
    </xf>
    <xf numFmtId="0" fontId="44" fillId="22" borderId="0" applyNumberFormat="0" applyBorder="0" applyAlignment="0" applyProtection="0">
      <alignment vertical="center"/>
    </xf>
    <xf numFmtId="0" fontId="44" fillId="22" borderId="0" applyNumberFormat="0" applyBorder="0" applyAlignment="0" applyProtection="0">
      <alignment vertical="center"/>
    </xf>
    <xf numFmtId="0" fontId="40" fillId="3" borderId="0" applyNumberFormat="0" applyBorder="0" applyAlignment="0" applyProtection="0">
      <alignment vertical="center"/>
    </xf>
    <xf numFmtId="0" fontId="81" fillId="0" borderId="0"/>
    <xf numFmtId="0" fontId="81" fillId="0" borderId="0" applyBorder="0">
      <alignment vertical="center"/>
    </xf>
    <xf numFmtId="0" fontId="40" fillId="3" borderId="0" applyNumberFormat="0" applyBorder="0" applyAlignment="0" applyProtection="0">
      <alignment vertical="center"/>
    </xf>
    <xf numFmtId="0" fontId="81" fillId="0" borderId="0"/>
    <xf numFmtId="0" fontId="81" fillId="0" borderId="0" applyBorder="0">
      <alignment vertical="center"/>
    </xf>
    <xf numFmtId="0" fontId="40" fillId="3" borderId="0" applyNumberFormat="0" applyBorder="0" applyAlignment="0" applyProtection="0">
      <alignment vertical="center"/>
    </xf>
    <xf numFmtId="0" fontId="40" fillId="3" borderId="0" applyNumberFormat="0" applyBorder="0" applyAlignment="0" applyProtection="0">
      <alignment vertical="center"/>
    </xf>
    <xf numFmtId="0" fontId="40" fillId="3" borderId="0" applyNumberFormat="0" applyBorder="0" applyAlignment="0" applyProtection="0">
      <alignment vertical="center"/>
    </xf>
    <xf numFmtId="0" fontId="81" fillId="0" borderId="0"/>
    <xf numFmtId="0" fontId="81" fillId="0" borderId="0" applyBorder="0">
      <alignment vertical="center"/>
    </xf>
    <xf numFmtId="0" fontId="40" fillId="3"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40" fillId="3" borderId="0" applyNumberFormat="0" applyBorder="0" applyAlignment="0" applyProtection="0">
      <alignment vertical="center"/>
    </xf>
    <xf numFmtId="0" fontId="81" fillId="0" borderId="0"/>
    <xf numFmtId="0" fontId="81" fillId="0" borderId="0" applyBorder="0">
      <alignment vertical="center"/>
    </xf>
    <xf numFmtId="0" fontId="40" fillId="3" borderId="0" applyNumberFormat="0" applyBorder="0" applyAlignment="0" applyProtection="0">
      <alignment vertical="center"/>
    </xf>
    <xf numFmtId="0" fontId="81" fillId="0" borderId="0" applyBorder="0">
      <alignment vertical="center"/>
    </xf>
    <xf numFmtId="0" fontId="40" fillId="3"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40" fillId="3" borderId="0" applyNumberFormat="0" applyBorder="0" applyAlignment="0" applyProtection="0">
      <alignment vertical="center"/>
    </xf>
    <xf numFmtId="0" fontId="81" fillId="0" borderId="0" applyBorder="0">
      <alignment vertical="center"/>
    </xf>
    <xf numFmtId="0" fontId="81" fillId="0" borderId="0"/>
    <xf numFmtId="0" fontId="81" fillId="0" borderId="0" applyBorder="0">
      <alignment vertical="center"/>
    </xf>
    <xf numFmtId="0" fontId="40" fillId="3" borderId="0" applyNumberFormat="0" applyBorder="0" applyAlignment="0" applyProtection="0">
      <alignment vertical="center"/>
    </xf>
    <xf numFmtId="0" fontId="81" fillId="0" borderId="0" applyBorder="0">
      <alignment vertical="center"/>
    </xf>
    <xf numFmtId="0" fontId="40" fillId="3" borderId="0" applyNumberFormat="0" applyBorder="0" applyAlignment="0" applyProtection="0">
      <alignment vertical="center"/>
    </xf>
    <xf numFmtId="0" fontId="40" fillId="3" borderId="0" applyNumberFormat="0" applyBorder="0" applyAlignment="0" applyProtection="0">
      <alignment vertical="center"/>
    </xf>
    <xf numFmtId="0" fontId="40" fillId="3" borderId="0" applyNumberFormat="0" applyBorder="0" applyAlignment="0" applyProtection="0">
      <alignment vertical="center"/>
    </xf>
    <xf numFmtId="0" fontId="81" fillId="0" borderId="0"/>
    <xf numFmtId="0" fontId="81" fillId="0" borderId="0" applyBorder="0">
      <alignment vertical="center"/>
    </xf>
    <xf numFmtId="0" fontId="40" fillId="3"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40" fillId="3" borderId="0" applyNumberFormat="0" applyBorder="0" applyAlignment="0" applyProtection="0">
      <alignment vertical="center"/>
    </xf>
    <xf numFmtId="0" fontId="81" fillId="0" borderId="0"/>
    <xf numFmtId="0" fontId="81" fillId="0" borderId="0" applyBorder="0">
      <alignment vertical="center"/>
    </xf>
    <xf numFmtId="0" fontId="40" fillId="3" borderId="0" applyNumberFormat="0" applyBorder="0" applyAlignment="0" applyProtection="0">
      <alignment vertical="center"/>
    </xf>
    <xf numFmtId="0" fontId="81" fillId="0" borderId="0" applyBorder="0">
      <alignment vertical="center"/>
    </xf>
    <xf numFmtId="0" fontId="40" fillId="3"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40" fillId="3" borderId="0" applyNumberFormat="0" applyBorder="0" applyAlignment="0" applyProtection="0">
      <alignment vertical="center"/>
    </xf>
    <xf numFmtId="0" fontId="81" fillId="0" borderId="0" applyBorder="0">
      <alignment vertical="center"/>
    </xf>
    <xf numFmtId="0" fontId="81" fillId="0" borderId="0"/>
    <xf numFmtId="0" fontId="81" fillId="0" borderId="0" applyBorder="0">
      <alignment vertical="center"/>
    </xf>
    <xf numFmtId="0" fontId="40" fillId="3" borderId="0" applyNumberFormat="0" applyBorder="0" applyAlignment="0" applyProtection="0">
      <alignment vertical="center"/>
    </xf>
    <xf numFmtId="0" fontId="40" fillId="3" borderId="0" applyNumberFormat="0" applyBorder="0" applyAlignment="0" applyProtection="0">
      <alignment vertical="center"/>
    </xf>
    <xf numFmtId="0" fontId="81" fillId="0" borderId="0"/>
    <xf numFmtId="0" fontId="81" fillId="0" borderId="0" applyBorder="0">
      <alignment vertical="center"/>
    </xf>
    <xf numFmtId="0" fontId="40" fillId="3"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40" fillId="3" borderId="0" applyNumberFormat="0" applyBorder="0" applyAlignment="0" applyProtection="0">
      <alignment vertical="center"/>
    </xf>
    <xf numFmtId="0" fontId="81" fillId="0" borderId="0"/>
    <xf numFmtId="0" fontId="81" fillId="0" borderId="0" applyBorder="0">
      <alignment vertical="center"/>
    </xf>
    <xf numFmtId="0" fontId="40" fillId="3" borderId="0" applyNumberFormat="0" applyBorder="0" applyAlignment="0" applyProtection="0">
      <alignment vertical="center"/>
    </xf>
    <xf numFmtId="0" fontId="81" fillId="0" borderId="0" applyBorder="0">
      <alignment vertical="center"/>
    </xf>
    <xf numFmtId="0" fontId="40" fillId="3" borderId="0" applyNumberFormat="0" applyBorder="0" applyAlignment="0" applyProtection="0">
      <alignment vertical="center"/>
    </xf>
    <xf numFmtId="0" fontId="81" fillId="0" borderId="0"/>
    <xf numFmtId="0" fontId="81" fillId="0" borderId="0" applyBorder="0">
      <alignment vertical="center"/>
    </xf>
    <xf numFmtId="0" fontId="40" fillId="3" borderId="0" applyNumberFormat="0" applyBorder="0" applyAlignment="0" applyProtection="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40" fillId="3"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40" fillId="3" borderId="0" applyNumberFormat="0" applyBorder="0" applyAlignment="0" applyProtection="0">
      <alignment vertical="center"/>
    </xf>
    <xf numFmtId="0" fontId="81" fillId="0" borderId="0" applyBorder="0">
      <alignment vertical="center"/>
    </xf>
    <xf numFmtId="0" fontId="40" fillId="3" borderId="0" applyNumberFormat="0" applyBorder="0" applyAlignment="0" applyProtection="0">
      <alignment vertical="center"/>
    </xf>
    <xf numFmtId="0" fontId="40" fillId="3" borderId="0" applyNumberFormat="0" applyBorder="0" applyAlignment="0" applyProtection="0">
      <alignment vertical="center"/>
    </xf>
    <xf numFmtId="0" fontId="40" fillId="3" borderId="0" applyNumberFormat="0" applyBorder="0" applyAlignment="0" applyProtection="0">
      <alignment vertical="center"/>
    </xf>
    <xf numFmtId="0" fontId="40" fillId="3" borderId="0" applyNumberFormat="0" applyBorder="0" applyAlignment="0" applyProtection="0">
      <alignment vertical="center"/>
    </xf>
    <xf numFmtId="0" fontId="81" fillId="0" borderId="0"/>
    <xf numFmtId="0" fontId="81" fillId="0" borderId="0" applyBorder="0">
      <alignment vertical="center"/>
    </xf>
    <xf numFmtId="0" fontId="40" fillId="3"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40" fillId="3" borderId="0" applyNumberFormat="0" applyBorder="0" applyAlignment="0" applyProtection="0">
      <alignment vertical="center"/>
    </xf>
    <xf numFmtId="0" fontId="81" fillId="0" borderId="0"/>
    <xf numFmtId="0" fontId="81" fillId="0" borderId="0" applyBorder="0">
      <alignment vertical="center"/>
    </xf>
    <xf numFmtId="0" fontId="40" fillId="3" borderId="0" applyNumberFormat="0" applyBorder="0" applyAlignment="0" applyProtection="0">
      <alignment vertical="center"/>
    </xf>
    <xf numFmtId="0" fontId="81" fillId="0" borderId="0" applyBorder="0">
      <alignment vertical="center"/>
    </xf>
    <xf numFmtId="0" fontId="40" fillId="3"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40" fillId="3" borderId="0" applyNumberFormat="0" applyBorder="0" applyAlignment="0" applyProtection="0">
      <alignment vertical="center"/>
    </xf>
    <xf numFmtId="0" fontId="81" fillId="0" borderId="0" applyBorder="0">
      <alignment vertical="center"/>
    </xf>
    <xf numFmtId="0" fontId="81" fillId="0" borderId="0"/>
    <xf numFmtId="0" fontId="81" fillId="0" borderId="0" applyBorder="0">
      <alignment vertical="center"/>
    </xf>
    <xf numFmtId="0" fontId="40" fillId="3" borderId="0" applyNumberFormat="0" applyBorder="0" applyAlignment="0" applyProtection="0">
      <alignment vertical="center"/>
    </xf>
    <xf numFmtId="0" fontId="40" fillId="3" borderId="0" applyNumberFormat="0" applyBorder="0" applyAlignment="0" applyProtection="0">
      <alignment vertical="center"/>
    </xf>
    <xf numFmtId="0" fontId="81" fillId="0" borderId="0"/>
    <xf numFmtId="0" fontId="81" fillId="0" borderId="0" applyBorder="0">
      <alignment vertical="center"/>
    </xf>
    <xf numFmtId="0" fontId="40" fillId="3"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40" fillId="3"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40" fillId="3" borderId="0" applyNumberFormat="0" applyBorder="0" applyAlignment="0" applyProtection="0">
      <alignment vertical="center"/>
    </xf>
    <xf numFmtId="0" fontId="81" fillId="0" borderId="0" applyBorder="0">
      <alignment vertical="center"/>
    </xf>
    <xf numFmtId="0" fontId="81" fillId="0" borderId="0"/>
    <xf numFmtId="0" fontId="40" fillId="3" borderId="0" applyNumberFormat="0" applyBorder="0" applyAlignment="0" applyProtection="0">
      <alignment vertical="center"/>
    </xf>
    <xf numFmtId="0" fontId="40" fillId="3" borderId="0" applyNumberFormat="0" applyBorder="0" applyAlignment="0" applyProtection="0">
      <alignment vertical="center"/>
    </xf>
    <xf numFmtId="0" fontId="81" fillId="0" borderId="0"/>
    <xf numFmtId="0" fontId="81" fillId="0" borderId="0" applyBorder="0">
      <alignment vertical="center"/>
    </xf>
    <xf numFmtId="0" fontId="40" fillId="3"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40" fillId="3" borderId="0" applyNumberFormat="0" applyBorder="0" applyAlignment="0" applyProtection="0">
      <alignment vertical="center"/>
    </xf>
    <xf numFmtId="0" fontId="40" fillId="3" borderId="0" applyNumberFormat="0" applyBorder="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40" fillId="3" borderId="0" applyNumberFormat="0" applyBorder="0" applyAlignment="0" applyProtection="0">
      <alignment vertical="center"/>
    </xf>
    <xf numFmtId="0" fontId="81" fillId="0" borderId="0" applyBorder="0">
      <alignment vertical="center"/>
    </xf>
    <xf numFmtId="0" fontId="54" fillId="18" borderId="0" applyNumberFormat="0" applyBorder="0" applyAlignment="0" applyProtection="0">
      <alignment vertical="center"/>
    </xf>
    <xf numFmtId="0" fontId="54" fillId="18" borderId="0" applyNumberFormat="0" applyBorder="0" applyAlignment="0" applyProtection="0">
      <alignment vertical="center"/>
    </xf>
    <xf numFmtId="0" fontId="47" fillId="0" borderId="0"/>
    <xf numFmtId="0" fontId="81" fillId="0" borderId="0" applyBorder="0">
      <alignment vertical="center"/>
    </xf>
    <xf numFmtId="0" fontId="81" fillId="0" borderId="0" applyBorder="0">
      <alignment vertical="center"/>
    </xf>
    <xf numFmtId="0" fontId="54" fillId="18" borderId="0" applyNumberFormat="0" applyBorder="0" applyAlignment="0" applyProtection="0">
      <alignment vertical="center"/>
    </xf>
    <xf numFmtId="0" fontId="47" fillId="0" borderId="0" applyBorder="0">
      <alignment vertical="center"/>
    </xf>
    <xf numFmtId="0" fontId="54" fillId="18" borderId="0" applyNumberFormat="0" applyBorder="0" applyAlignment="0" applyProtection="0">
      <alignment vertical="center"/>
    </xf>
    <xf numFmtId="0" fontId="47" fillId="0" borderId="0"/>
    <xf numFmtId="0" fontId="54" fillId="18" borderId="0" applyNumberFormat="0" applyBorder="0" applyAlignment="0" applyProtection="0">
      <alignment vertical="center"/>
    </xf>
    <xf numFmtId="0" fontId="81" fillId="0" borderId="0" applyBorder="0">
      <alignment vertical="center"/>
    </xf>
    <xf numFmtId="0" fontId="54" fillId="18" borderId="0" applyNumberFormat="0" applyBorder="0" applyAlignment="0" applyProtection="0">
      <alignment vertical="center"/>
    </xf>
    <xf numFmtId="0" fontId="47" fillId="0" borderId="0" applyBorder="0">
      <alignment vertical="center"/>
    </xf>
    <xf numFmtId="0" fontId="47" fillId="0" borderId="0"/>
    <xf numFmtId="0" fontId="81" fillId="0" borderId="0" applyBorder="0">
      <alignment vertical="center"/>
    </xf>
    <xf numFmtId="0" fontId="54" fillId="18" borderId="0" applyNumberFormat="0" applyBorder="0" applyAlignment="0" applyProtection="0">
      <alignment vertical="center"/>
    </xf>
    <xf numFmtId="0" fontId="47" fillId="0" borderId="0" applyBorder="0">
      <alignment vertical="center"/>
    </xf>
    <xf numFmtId="0" fontId="47" fillId="0" borderId="0"/>
    <xf numFmtId="0" fontId="54" fillId="18" borderId="0" applyNumberFormat="0" applyBorder="0" applyAlignment="0" applyProtection="0">
      <alignment vertical="center"/>
    </xf>
    <xf numFmtId="0" fontId="47" fillId="0" borderId="0"/>
    <xf numFmtId="0" fontId="81" fillId="0" borderId="0" applyBorder="0">
      <alignment vertical="center"/>
    </xf>
    <xf numFmtId="0" fontId="47" fillId="0" borderId="0" applyBorder="0">
      <alignment vertical="center"/>
    </xf>
    <xf numFmtId="0" fontId="81" fillId="0" borderId="0" applyBorder="0">
      <alignment vertical="center"/>
    </xf>
    <xf numFmtId="0" fontId="47" fillId="0" borderId="0"/>
    <xf numFmtId="0" fontId="47" fillId="0" borderId="0"/>
    <xf numFmtId="0" fontId="81" fillId="0" borderId="0" applyBorder="0">
      <alignment vertical="center"/>
    </xf>
    <xf numFmtId="0" fontId="81" fillId="0" borderId="0" applyBorder="0">
      <alignment vertical="center"/>
    </xf>
    <xf numFmtId="0" fontId="54" fillId="18" borderId="0" applyNumberFormat="0" applyBorder="0" applyAlignment="0" applyProtection="0">
      <alignment vertical="center"/>
    </xf>
    <xf numFmtId="0" fontId="47" fillId="0" borderId="0" applyBorder="0">
      <alignment vertical="center"/>
    </xf>
    <xf numFmtId="0" fontId="81" fillId="0" borderId="0" applyBorder="0">
      <alignment vertical="center"/>
    </xf>
    <xf numFmtId="0" fontId="81" fillId="0" borderId="0" applyBorder="0">
      <alignment vertical="center"/>
    </xf>
    <xf numFmtId="0" fontId="40" fillId="3" borderId="0" applyNumberFormat="0" applyBorder="0" applyAlignment="0" applyProtection="0">
      <alignment vertical="center"/>
    </xf>
    <xf numFmtId="0" fontId="60" fillId="10" borderId="44" applyNumberFormat="0" applyAlignment="0" applyProtection="0">
      <alignment vertical="center"/>
    </xf>
    <xf numFmtId="0" fontId="81" fillId="0" borderId="0"/>
    <xf numFmtId="0" fontId="81" fillId="0" borderId="0" applyBorder="0">
      <alignment vertical="center"/>
    </xf>
    <xf numFmtId="0" fontId="60" fillId="10" borderId="44" applyNumberFormat="0" applyAlignment="0" applyProtection="0">
      <alignment vertical="center"/>
    </xf>
    <xf numFmtId="0" fontId="81" fillId="0" borderId="0"/>
    <xf numFmtId="0" fontId="81" fillId="0" borderId="0" applyBorder="0">
      <alignment vertical="center"/>
    </xf>
    <xf numFmtId="0" fontId="60" fillId="10" borderId="44" applyNumberFormat="0" applyAlignment="0" applyProtection="0">
      <alignment vertical="center"/>
    </xf>
    <xf numFmtId="0" fontId="60" fillId="10" borderId="44" applyNumberFormat="0" applyAlignment="0" applyProtection="0">
      <alignment vertical="center"/>
    </xf>
    <xf numFmtId="0" fontId="60" fillId="10" borderId="44" applyNumberFormat="0" applyAlignment="0" applyProtection="0">
      <alignment vertical="center"/>
    </xf>
    <xf numFmtId="0" fontId="81" fillId="0" borderId="0"/>
    <xf numFmtId="0" fontId="81" fillId="0" borderId="0" applyBorder="0">
      <alignment vertical="center"/>
    </xf>
    <xf numFmtId="0" fontId="60" fillId="10" borderId="44" applyNumberFormat="0" applyAlignment="0" applyProtection="0">
      <alignment vertical="center"/>
    </xf>
    <xf numFmtId="0" fontId="81" fillId="0" borderId="0" applyBorder="0">
      <alignment vertical="center"/>
    </xf>
    <xf numFmtId="0" fontId="60" fillId="10" borderId="44" applyNumberFormat="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60" fillId="10" borderId="44" applyNumberFormat="0" applyAlignment="0" applyProtection="0">
      <alignment vertical="center"/>
    </xf>
    <xf numFmtId="0" fontId="81" fillId="0" borderId="0"/>
    <xf numFmtId="0" fontId="81" fillId="0" borderId="0" applyBorder="0">
      <alignment vertical="center"/>
    </xf>
    <xf numFmtId="0" fontId="60" fillId="10" borderId="44" applyNumberFormat="0" applyAlignment="0" applyProtection="0">
      <alignment vertical="center"/>
    </xf>
    <xf numFmtId="0" fontId="81" fillId="0" borderId="0" applyBorder="0">
      <alignment vertical="center"/>
    </xf>
    <xf numFmtId="0" fontId="60" fillId="10" borderId="44" applyNumberFormat="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60" fillId="10" borderId="44" applyNumberFormat="0" applyAlignment="0" applyProtection="0">
      <alignment vertical="center"/>
    </xf>
    <xf numFmtId="0" fontId="81" fillId="0" borderId="0"/>
    <xf numFmtId="0" fontId="81" fillId="0" borderId="0" applyBorder="0">
      <alignment vertical="center"/>
    </xf>
    <xf numFmtId="0" fontId="60" fillId="10" borderId="44" applyNumberFormat="0" applyAlignment="0" applyProtection="0">
      <alignment vertical="center"/>
    </xf>
    <xf numFmtId="0" fontId="81" fillId="0" borderId="0" applyBorder="0">
      <alignment vertical="center"/>
    </xf>
    <xf numFmtId="0" fontId="60" fillId="10" borderId="44" applyNumberFormat="0" applyAlignment="0" applyProtection="0">
      <alignment vertical="center"/>
    </xf>
    <xf numFmtId="0" fontId="60" fillId="10" borderId="44" applyNumberFormat="0" applyAlignment="0" applyProtection="0">
      <alignment vertical="center"/>
    </xf>
    <xf numFmtId="0" fontId="60" fillId="10" borderId="44" applyNumberFormat="0" applyAlignment="0" applyProtection="0">
      <alignment vertical="center"/>
    </xf>
    <xf numFmtId="0" fontId="81" fillId="0" borderId="0"/>
    <xf numFmtId="0" fontId="81" fillId="0" borderId="0" applyBorder="0">
      <alignment vertical="center"/>
    </xf>
    <xf numFmtId="0" fontId="60" fillId="10" borderId="44" applyNumberFormat="0" applyAlignment="0" applyProtection="0">
      <alignment vertical="center"/>
    </xf>
    <xf numFmtId="0" fontId="81" fillId="0" borderId="0" applyBorder="0">
      <alignment vertical="center"/>
    </xf>
    <xf numFmtId="0" fontId="60" fillId="10" borderId="44" applyNumberFormat="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60" fillId="10" borderId="44" applyNumberFormat="0" applyAlignment="0" applyProtection="0">
      <alignment vertical="center"/>
    </xf>
    <xf numFmtId="0" fontId="81" fillId="0" borderId="0"/>
    <xf numFmtId="0" fontId="81" fillId="0" borderId="0" applyBorder="0">
      <alignment vertical="center"/>
    </xf>
    <xf numFmtId="0" fontId="60" fillId="10" borderId="44" applyNumberFormat="0" applyAlignment="0" applyProtection="0">
      <alignment vertical="center"/>
    </xf>
    <xf numFmtId="0" fontId="81" fillId="0" borderId="0" applyBorder="0">
      <alignment vertical="center"/>
    </xf>
    <xf numFmtId="0" fontId="60" fillId="10" borderId="44" applyNumberFormat="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60" fillId="10" borderId="44" applyNumberFormat="0" applyAlignment="0" applyProtection="0">
      <alignment vertical="center"/>
    </xf>
    <xf numFmtId="0" fontId="81" fillId="0" borderId="0" applyBorder="0">
      <alignment vertical="center"/>
    </xf>
    <xf numFmtId="0" fontId="81" fillId="0" borderId="0"/>
    <xf numFmtId="0" fontId="81" fillId="0" borderId="0" applyBorder="0">
      <alignment vertical="center"/>
    </xf>
    <xf numFmtId="0" fontId="60" fillId="10" borderId="44" applyNumberFormat="0" applyAlignment="0" applyProtection="0">
      <alignment vertical="center"/>
    </xf>
    <xf numFmtId="0" fontId="60" fillId="10" borderId="44" applyNumberFormat="0" applyAlignment="0" applyProtection="0">
      <alignment vertical="center"/>
    </xf>
    <xf numFmtId="0" fontId="81" fillId="0" borderId="0"/>
    <xf numFmtId="0" fontId="81" fillId="0" borderId="0" applyBorder="0">
      <alignment vertical="center"/>
    </xf>
    <xf numFmtId="0" fontId="60" fillId="10" borderId="44" applyNumberFormat="0" applyAlignment="0" applyProtection="0">
      <alignment vertical="center"/>
    </xf>
    <xf numFmtId="0" fontId="81" fillId="0" borderId="0" applyBorder="0">
      <alignment vertical="center"/>
    </xf>
    <xf numFmtId="0" fontId="60" fillId="10" borderId="44" applyNumberFormat="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60" fillId="10" borderId="44" applyNumberFormat="0" applyAlignment="0" applyProtection="0">
      <alignment vertical="center"/>
    </xf>
    <xf numFmtId="0" fontId="81" fillId="0" borderId="0"/>
    <xf numFmtId="0" fontId="81" fillId="0" borderId="0" applyBorder="0">
      <alignment vertical="center"/>
    </xf>
    <xf numFmtId="0" fontId="60" fillId="10" borderId="44" applyNumberFormat="0" applyAlignment="0" applyProtection="0">
      <alignment vertical="center"/>
    </xf>
    <xf numFmtId="0" fontId="81" fillId="0" borderId="0" applyBorder="0">
      <alignment vertical="center"/>
    </xf>
    <xf numFmtId="0" fontId="60" fillId="10" borderId="44" applyNumberFormat="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60" fillId="10" borderId="44" applyNumberFormat="0" applyAlignment="0" applyProtection="0">
      <alignment vertical="center"/>
    </xf>
    <xf numFmtId="0" fontId="81" fillId="0" borderId="0" applyBorder="0">
      <alignment vertical="center"/>
    </xf>
    <xf numFmtId="0" fontId="81" fillId="0" borderId="0"/>
    <xf numFmtId="0" fontId="60" fillId="10" borderId="44" applyNumberFormat="0" applyAlignment="0" applyProtection="0">
      <alignment vertical="center"/>
    </xf>
    <xf numFmtId="0" fontId="60" fillId="10" borderId="44" applyNumberFormat="0" applyAlignment="0" applyProtection="0">
      <alignment vertical="center"/>
    </xf>
    <xf numFmtId="0" fontId="81" fillId="0" borderId="0"/>
    <xf numFmtId="0" fontId="81" fillId="0" borderId="0" applyBorder="0">
      <alignment vertical="center"/>
    </xf>
    <xf numFmtId="0" fontId="60" fillId="10" borderId="44" applyNumberFormat="0" applyAlignment="0" applyProtection="0">
      <alignment vertical="center"/>
    </xf>
    <xf numFmtId="0" fontId="81" fillId="0" borderId="0" applyBorder="0">
      <alignment vertical="center"/>
    </xf>
    <xf numFmtId="0" fontId="60" fillId="10" borderId="44" applyNumberFormat="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60" fillId="10" borderId="44" applyNumberFormat="0" applyAlignment="0" applyProtection="0">
      <alignment vertical="center"/>
    </xf>
    <xf numFmtId="0" fontId="81" fillId="0" borderId="0"/>
    <xf numFmtId="0" fontId="81" fillId="0" borderId="0" applyBorder="0">
      <alignment vertical="center"/>
    </xf>
    <xf numFmtId="0" fontId="60" fillId="10" borderId="44" applyNumberFormat="0" applyAlignment="0" applyProtection="0">
      <alignment vertical="center"/>
    </xf>
    <xf numFmtId="0" fontId="81" fillId="0" borderId="0" applyBorder="0">
      <alignment vertical="center"/>
    </xf>
    <xf numFmtId="0" fontId="60" fillId="10" borderId="44" applyNumberFormat="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60" fillId="10" borderId="44" applyNumberFormat="0" applyAlignment="0" applyProtection="0">
      <alignment vertical="center"/>
    </xf>
    <xf numFmtId="0" fontId="81" fillId="0" borderId="0" applyBorder="0">
      <alignment vertical="center"/>
    </xf>
    <xf numFmtId="0" fontId="60" fillId="10" borderId="44" applyNumberFormat="0" applyAlignment="0" applyProtection="0">
      <alignment vertical="center"/>
    </xf>
    <xf numFmtId="0" fontId="81" fillId="0" borderId="0" applyBorder="0">
      <alignment vertical="center"/>
    </xf>
    <xf numFmtId="0" fontId="60" fillId="10" borderId="44" applyNumberFormat="0" applyAlignment="0" applyProtection="0">
      <alignment vertical="center"/>
    </xf>
    <xf numFmtId="0" fontId="60" fillId="10" borderId="44" applyNumberFormat="0" applyAlignment="0" applyProtection="0">
      <alignment vertical="center"/>
    </xf>
    <xf numFmtId="0" fontId="60" fillId="10" borderId="44" applyNumberFormat="0" applyAlignment="0" applyProtection="0">
      <alignment vertical="center"/>
    </xf>
    <xf numFmtId="0" fontId="81" fillId="0" borderId="0"/>
    <xf numFmtId="0" fontId="81" fillId="0" borderId="0" applyBorder="0">
      <alignment vertical="center"/>
    </xf>
    <xf numFmtId="0" fontId="60" fillId="10" borderId="44" applyNumberFormat="0" applyAlignment="0" applyProtection="0">
      <alignment vertical="center"/>
    </xf>
    <xf numFmtId="0" fontId="81" fillId="0" borderId="0" applyBorder="0">
      <alignment vertical="center"/>
    </xf>
    <xf numFmtId="0" fontId="60" fillId="10" borderId="44" applyNumberFormat="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60" fillId="10" borderId="44" applyNumberFormat="0" applyAlignment="0" applyProtection="0">
      <alignment vertical="center"/>
    </xf>
    <xf numFmtId="0" fontId="81" fillId="0" borderId="0"/>
    <xf numFmtId="0" fontId="81" fillId="0" borderId="0" applyBorder="0">
      <alignment vertical="center"/>
    </xf>
    <xf numFmtId="0" fontId="60" fillId="10" borderId="44" applyNumberFormat="0" applyAlignment="0" applyProtection="0">
      <alignment vertical="center"/>
    </xf>
    <xf numFmtId="0" fontId="81" fillId="0" borderId="0" applyBorder="0">
      <alignment vertical="center"/>
    </xf>
    <xf numFmtId="0" fontId="60" fillId="10" borderId="44" applyNumberFormat="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60" fillId="10" borderId="44" applyNumberFormat="0" applyAlignment="0" applyProtection="0">
      <alignment vertical="center"/>
    </xf>
    <xf numFmtId="0" fontId="81" fillId="0" borderId="0" applyBorder="0">
      <alignment vertical="center"/>
    </xf>
    <xf numFmtId="0" fontId="81" fillId="0" borderId="0"/>
    <xf numFmtId="0" fontId="81" fillId="0" borderId="0" applyBorder="0">
      <alignment vertical="center"/>
    </xf>
    <xf numFmtId="0" fontId="60" fillId="10" borderId="44" applyNumberFormat="0" applyAlignment="0" applyProtection="0">
      <alignment vertical="center"/>
    </xf>
    <xf numFmtId="0" fontId="60" fillId="10" borderId="44" applyNumberFormat="0" applyAlignment="0" applyProtection="0">
      <alignment vertical="center"/>
    </xf>
    <xf numFmtId="0" fontId="81" fillId="0" borderId="0"/>
    <xf numFmtId="0" fontId="81" fillId="0" borderId="0" applyBorder="0">
      <alignment vertical="center"/>
    </xf>
    <xf numFmtId="0" fontId="60" fillId="10" borderId="44" applyNumberFormat="0" applyAlignment="0" applyProtection="0">
      <alignment vertical="center"/>
    </xf>
    <xf numFmtId="0" fontId="81" fillId="0" borderId="0" applyBorder="0">
      <alignment vertical="center"/>
    </xf>
    <xf numFmtId="0" fontId="60" fillId="10" borderId="44" applyNumberFormat="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60" fillId="10" borderId="44" applyNumberFormat="0" applyAlignment="0" applyProtection="0">
      <alignment vertical="center"/>
    </xf>
    <xf numFmtId="0" fontId="81" fillId="0" borderId="0"/>
    <xf numFmtId="0" fontId="81" fillId="0" borderId="0" applyBorder="0">
      <alignment vertical="center"/>
    </xf>
    <xf numFmtId="0" fontId="60" fillId="10" borderId="44" applyNumberFormat="0" applyAlignment="0" applyProtection="0">
      <alignment vertical="center"/>
    </xf>
    <xf numFmtId="0" fontId="81" fillId="0" borderId="0" applyBorder="0">
      <alignment vertical="center"/>
    </xf>
    <xf numFmtId="0" fontId="60" fillId="10" borderId="44" applyNumberFormat="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60" fillId="10" borderId="44" applyNumberFormat="0" applyAlignment="0" applyProtection="0">
      <alignment vertical="center"/>
    </xf>
    <xf numFmtId="0" fontId="81" fillId="0" borderId="0" applyBorder="0">
      <alignment vertical="center"/>
    </xf>
    <xf numFmtId="0" fontId="81" fillId="0" borderId="0"/>
    <xf numFmtId="0" fontId="60" fillId="10" borderId="44" applyNumberFormat="0" applyAlignment="0" applyProtection="0">
      <alignment vertical="center"/>
    </xf>
    <xf numFmtId="0" fontId="60" fillId="10" borderId="44" applyNumberFormat="0" applyAlignment="0" applyProtection="0">
      <alignment vertical="center"/>
    </xf>
    <xf numFmtId="0" fontId="60" fillId="10" borderId="44" applyNumberFormat="0" applyAlignment="0" applyProtection="0">
      <alignment vertical="center"/>
    </xf>
    <xf numFmtId="0" fontId="81" fillId="0" borderId="0" applyBorder="0">
      <alignment vertical="center"/>
    </xf>
    <xf numFmtId="0" fontId="60" fillId="10" borderId="44" applyNumberFormat="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60" fillId="10" borderId="44" applyNumberFormat="0" applyAlignment="0" applyProtection="0">
      <alignment vertical="center"/>
    </xf>
    <xf numFmtId="0" fontId="81" fillId="0" borderId="0"/>
    <xf numFmtId="0" fontId="81" fillId="0" borderId="0" applyBorder="0">
      <alignment vertical="center"/>
    </xf>
    <xf numFmtId="0" fontId="81" fillId="0" borderId="0" applyBorder="0">
      <alignment vertical="center"/>
    </xf>
    <xf numFmtId="0" fontId="60" fillId="10" borderId="44" applyNumberFormat="0" applyAlignment="0" applyProtection="0">
      <alignment vertical="center"/>
    </xf>
    <xf numFmtId="0" fontId="81" fillId="0" borderId="0"/>
    <xf numFmtId="0" fontId="81" fillId="0" borderId="0" applyBorder="0">
      <alignment vertical="center"/>
    </xf>
    <xf numFmtId="0" fontId="60" fillId="10" borderId="44" applyNumberFormat="0" applyAlignment="0" applyProtection="0">
      <alignment vertical="center"/>
    </xf>
    <xf numFmtId="0" fontId="81" fillId="0" borderId="0" applyBorder="0">
      <alignment vertical="center"/>
    </xf>
    <xf numFmtId="0" fontId="60" fillId="10" borderId="44" applyNumberFormat="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60" fillId="10" borderId="44" applyNumberFormat="0" applyAlignment="0" applyProtection="0">
      <alignment vertical="center"/>
    </xf>
    <xf numFmtId="0" fontId="81" fillId="0" borderId="0" applyBorder="0">
      <alignment vertical="center"/>
    </xf>
    <xf numFmtId="0" fontId="49" fillId="5" borderId="37" applyNumberFormat="0" applyAlignment="0" applyProtection="0">
      <alignment vertical="center"/>
    </xf>
    <xf numFmtId="0" fontId="81" fillId="0" borderId="0"/>
    <xf numFmtId="0" fontId="81" fillId="0" borderId="0" applyBorder="0">
      <alignment vertical="center"/>
    </xf>
    <xf numFmtId="0" fontId="49" fillId="5" borderId="37" applyNumberFormat="0" applyAlignment="0" applyProtection="0">
      <alignment vertical="center"/>
    </xf>
    <xf numFmtId="0" fontId="81" fillId="0" borderId="0"/>
    <xf numFmtId="0" fontId="81" fillId="0" borderId="0" applyBorder="0">
      <alignment vertical="center"/>
    </xf>
    <xf numFmtId="0" fontId="49" fillId="5" borderId="37" applyNumberFormat="0" applyAlignment="0" applyProtection="0">
      <alignment vertical="center"/>
    </xf>
    <xf numFmtId="0" fontId="49" fillId="5" borderId="37" applyNumberFormat="0" applyAlignment="0" applyProtection="0">
      <alignment vertical="center"/>
    </xf>
    <xf numFmtId="0" fontId="49" fillId="5" borderId="37" applyNumberFormat="0" applyAlignment="0" applyProtection="0">
      <alignment vertical="center"/>
    </xf>
    <xf numFmtId="0" fontId="81" fillId="0" borderId="0"/>
    <xf numFmtId="0" fontId="81" fillId="0" borderId="0" applyBorder="0">
      <alignment vertical="center"/>
    </xf>
    <xf numFmtId="0" fontId="49" fillId="5" borderId="37" applyNumberFormat="0" applyAlignment="0" applyProtection="0">
      <alignment vertical="center"/>
    </xf>
    <xf numFmtId="0" fontId="81" fillId="0" borderId="0" applyBorder="0">
      <alignment vertical="center"/>
    </xf>
    <xf numFmtId="0" fontId="49" fillId="5" borderId="37" applyNumberFormat="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49" fillId="5" borderId="37" applyNumberFormat="0" applyAlignment="0" applyProtection="0">
      <alignment vertical="center"/>
    </xf>
    <xf numFmtId="0" fontId="81" fillId="0" borderId="0"/>
    <xf numFmtId="0" fontId="81" fillId="0" borderId="0" applyBorder="0">
      <alignment vertical="center"/>
    </xf>
    <xf numFmtId="0" fontId="49" fillId="5" borderId="37" applyNumberFormat="0" applyAlignment="0" applyProtection="0">
      <alignment vertical="center"/>
    </xf>
    <xf numFmtId="0" fontId="81" fillId="0" borderId="0" applyBorder="0">
      <alignment vertical="center"/>
    </xf>
    <xf numFmtId="0" fontId="49" fillId="5" borderId="37" applyNumberFormat="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49" fillId="5" borderId="37" applyNumberFormat="0" applyAlignment="0" applyProtection="0">
      <alignment vertical="center"/>
    </xf>
    <xf numFmtId="0" fontId="49" fillId="5" borderId="37" applyNumberFormat="0" applyAlignment="0" applyProtection="0">
      <alignment vertical="center"/>
    </xf>
    <xf numFmtId="0" fontId="49" fillId="5" borderId="37" applyNumberFormat="0" applyAlignment="0" applyProtection="0">
      <alignment vertical="center"/>
    </xf>
    <xf numFmtId="0" fontId="49" fillId="5" borderId="37" applyNumberFormat="0" applyAlignment="0" applyProtection="0">
      <alignment vertical="center"/>
    </xf>
    <xf numFmtId="0" fontId="81" fillId="0" borderId="0"/>
    <xf numFmtId="0" fontId="81" fillId="0" borderId="0" applyBorder="0">
      <alignment vertical="center"/>
    </xf>
    <xf numFmtId="0" fontId="49" fillId="5" borderId="37" applyNumberFormat="0" applyAlignment="0" applyProtection="0">
      <alignment vertical="center"/>
    </xf>
    <xf numFmtId="0" fontId="81" fillId="0" borderId="0" applyBorder="0">
      <alignment vertical="center"/>
    </xf>
    <xf numFmtId="0" fontId="49" fillId="5" borderId="37" applyNumberFormat="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49" fillId="5" borderId="37" applyNumberFormat="0" applyAlignment="0" applyProtection="0">
      <alignment vertical="center"/>
    </xf>
    <xf numFmtId="0" fontId="81" fillId="0" borderId="0"/>
    <xf numFmtId="0" fontId="81" fillId="0" borderId="0" applyBorder="0">
      <alignment vertical="center"/>
    </xf>
    <xf numFmtId="0" fontId="49" fillId="5" borderId="37" applyNumberFormat="0" applyAlignment="0" applyProtection="0">
      <alignment vertical="center"/>
    </xf>
    <xf numFmtId="0" fontId="81" fillId="0" borderId="0" applyBorder="0">
      <alignment vertical="center"/>
    </xf>
    <xf numFmtId="0" fontId="49" fillId="5" borderId="37" applyNumberFormat="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49" fillId="5" borderId="37" applyNumberFormat="0" applyAlignment="0" applyProtection="0">
      <alignment vertical="center"/>
    </xf>
    <xf numFmtId="0" fontId="81" fillId="0" borderId="0" applyBorder="0">
      <alignment vertical="center"/>
    </xf>
    <xf numFmtId="0" fontId="81" fillId="0" borderId="0"/>
    <xf numFmtId="0" fontId="81" fillId="0" borderId="0" applyBorder="0">
      <alignment vertical="center"/>
    </xf>
    <xf numFmtId="0" fontId="49" fillId="5" borderId="37" applyNumberFormat="0" applyAlignment="0" applyProtection="0">
      <alignment vertical="center"/>
    </xf>
    <xf numFmtId="0" fontId="49" fillId="5" borderId="37" applyNumberFormat="0" applyAlignment="0" applyProtection="0">
      <alignment vertical="center"/>
    </xf>
    <xf numFmtId="0" fontId="81" fillId="0" borderId="0"/>
    <xf numFmtId="0" fontId="81" fillId="0" borderId="0" applyBorder="0">
      <alignment vertical="center"/>
    </xf>
    <xf numFmtId="0" fontId="49" fillId="5" borderId="37" applyNumberFormat="0" applyAlignment="0" applyProtection="0">
      <alignment vertical="center"/>
    </xf>
    <xf numFmtId="0" fontId="81" fillId="0" borderId="0" applyBorder="0">
      <alignment vertical="center"/>
    </xf>
    <xf numFmtId="0" fontId="49" fillId="5" borderId="37" applyNumberFormat="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49" fillId="5" borderId="37" applyNumberFormat="0" applyAlignment="0" applyProtection="0">
      <alignment vertical="center"/>
    </xf>
    <xf numFmtId="0" fontId="81" fillId="0" borderId="0"/>
    <xf numFmtId="0" fontId="81" fillId="0" borderId="0" applyBorder="0">
      <alignment vertical="center"/>
    </xf>
    <xf numFmtId="0" fontId="49" fillId="5" borderId="37" applyNumberFormat="0" applyAlignment="0" applyProtection="0">
      <alignment vertical="center"/>
    </xf>
    <xf numFmtId="0" fontId="81" fillId="0" borderId="0" applyBorder="0">
      <alignment vertical="center"/>
    </xf>
    <xf numFmtId="0" fontId="49" fillId="5" borderId="37" applyNumberFormat="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49" fillId="5" borderId="37" applyNumberFormat="0" applyAlignment="0" applyProtection="0">
      <alignment vertical="center"/>
    </xf>
    <xf numFmtId="0" fontId="81" fillId="0" borderId="0"/>
    <xf numFmtId="0" fontId="81" fillId="0" borderId="0" applyBorder="0">
      <alignment vertical="center"/>
    </xf>
    <xf numFmtId="0" fontId="49" fillId="5" borderId="37" applyNumberFormat="0" applyAlignment="0" applyProtection="0">
      <alignment vertical="center"/>
    </xf>
    <xf numFmtId="0" fontId="81" fillId="0" borderId="0" applyBorder="0">
      <alignment vertical="center"/>
    </xf>
    <xf numFmtId="0" fontId="49" fillId="5" borderId="37" applyNumberFormat="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49" fillId="5" borderId="37" applyNumberFormat="0" applyAlignment="0" applyProtection="0">
      <alignment vertical="center"/>
    </xf>
    <xf numFmtId="0" fontId="81" fillId="0" borderId="0"/>
    <xf numFmtId="0" fontId="81" fillId="0" borderId="0" applyBorder="0">
      <alignment vertical="center"/>
    </xf>
    <xf numFmtId="0" fontId="49" fillId="5" borderId="37" applyNumberFormat="0" applyAlignment="0" applyProtection="0">
      <alignment vertical="center"/>
    </xf>
    <xf numFmtId="0" fontId="81" fillId="0" borderId="0" applyBorder="0">
      <alignment vertical="center"/>
    </xf>
    <xf numFmtId="0" fontId="49" fillId="5" borderId="37" applyNumberFormat="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49" fillId="5" borderId="37" applyNumberFormat="0" applyAlignment="0" applyProtection="0">
      <alignment vertical="center"/>
    </xf>
    <xf numFmtId="0" fontId="81" fillId="0" borderId="0" applyBorder="0">
      <alignment vertical="center"/>
    </xf>
    <xf numFmtId="0" fontId="49" fillId="5" borderId="37" applyNumberFormat="0" applyAlignment="0" applyProtection="0">
      <alignment vertical="center"/>
    </xf>
    <xf numFmtId="0" fontId="49" fillId="5" borderId="37" applyNumberFormat="0" applyAlignment="0" applyProtection="0">
      <alignment vertical="center"/>
    </xf>
    <xf numFmtId="0" fontId="49" fillId="5" borderId="37" applyNumberFormat="0" applyAlignment="0" applyProtection="0">
      <alignment vertical="center"/>
    </xf>
    <xf numFmtId="0" fontId="81" fillId="0" borderId="0"/>
    <xf numFmtId="0" fontId="81" fillId="0" borderId="0" applyBorder="0">
      <alignment vertical="center"/>
    </xf>
    <xf numFmtId="0" fontId="49" fillId="5" borderId="37" applyNumberFormat="0" applyAlignment="0" applyProtection="0">
      <alignment vertical="center"/>
    </xf>
    <xf numFmtId="0" fontId="81" fillId="0" borderId="0" applyBorder="0">
      <alignment vertical="center"/>
    </xf>
    <xf numFmtId="0" fontId="49" fillId="5" borderId="37" applyNumberFormat="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49" fillId="5" borderId="37" applyNumberFormat="0" applyAlignment="0" applyProtection="0">
      <alignment vertical="center"/>
    </xf>
    <xf numFmtId="0" fontId="81" fillId="0" borderId="0"/>
    <xf numFmtId="0" fontId="81" fillId="0" borderId="0" applyBorder="0">
      <alignment vertical="center"/>
    </xf>
    <xf numFmtId="0" fontId="49" fillId="5" borderId="37" applyNumberFormat="0" applyAlignment="0" applyProtection="0">
      <alignment vertical="center"/>
    </xf>
    <xf numFmtId="0" fontId="81" fillId="0" borderId="0" applyBorder="0">
      <alignment vertical="center"/>
    </xf>
    <xf numFmtId="0" fontId="49" fillId="5" borderId="37" applyNumberFormat="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49" fillId="5" borderId="37" applyNumberFormat="0" applyAlignment="0" applyProtection="0">
      <alignment vertical="center"/>
    </xf>
    <xf numFmtId="0" fontId="81" fillId="0" borderId="0" applyBorder="0">
      <alignment vertical="center"/>
    </xf>
    <xf numFmtId="0" fontId="81" fillId="0" borderId="0"/>
    <xf numFmtId="0" fontId="81" fillId="0" borderId="0" applyBorder="0">
      <alignment vertical="center"/>
    </xf>
    <xf numFmtId="0" fontId="49" fillId="5" borderId="37" applyNumberFormat="0" applyAlignment="0" applyProtection="0">
      <alignment vertical="center"/>
    </xf>
    <xf numFmtId="0" fontId="49" fillId="5" borderId="37" applyNumberFormat="0" applyAlignment="0" applyProtection="0">
      <alignment vertical="center"/>
    </xf>
    <xf numFmtId="0" fontId="81" fillId="0" borderId="0"/>
    <xf numFmtId="0" fontId="81" fillId="0" borderId="0" applyBorder="0">
      <alignment vertical="center"/>
    </xf>
    <xf numFmtId="0" fontId="49" fillId="5" borderId="37" applyNumberFormat="0" applyAlignment="0" applyProtection="0">
      <alignment vertical="center"/>
    </xf>
    <xf numFmtId="0" fontId="81" fillId="0" borderId="0" applyBorder="0">
      <alignment vertical="center"/>
    </xf>
    <xf numFmtId="0" fontId="49" fillId="5" borderId="37" applyNumberFormat="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49" fillId="5" borderId="37" applyNumberFormat="0" applyAlignment="0" applyProtection="0">
      <alignment vertical="center"/>
    </xf>
    <xf numFmtId="0" fontId="81" fillId="0" borderId="0"/>
    <xf numFmtId="0" fontId="81" fillId="0" borderId="0" applyBorder="0">
      <alignment vertical="center"/>
    </xf>
    <xf numFmtId="0" fontId="49" fillId="5" borderId="37" applyNumberFormat="0" applyAlignment="0" applyProtection="0">
      <alignment vertical="center"/>
    </xf>
    <xf numFmtId="0" fontId="81" fillId="0" borderId="0" applyBorder="0">
      <alignment vertical="center"/>
    </xf>
    <xf numFmtId="0" fontId="49" fillId="5" borderId="37" applyNumberFormat="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49" fillId="5" borderId="37" applyNumberFormat="0" applyAlignment="0" applyProtection="0">
      <alignment vertical="center"/>
    </xf>
    <xf numFmtId="0" fontId="49" fillId="5" borderId="37" applyNumberFormat="0" applyAlignment="0" applyProtection="0">
      <alignment vertical="center"/>
    </xf>
    <xf numFmtId="0" fontId="49" fillId="5" borderId="37" applyNumberFormat="0" applyAlignment="0" applyProtection="0">
      <alignment vertical="center"/>
    </xf>
    <xf numFmtId="0" fontId="49" fillId="5" borderId="37" applyNumberFormat="0" applyAlignment="0" applyProtection="0">
      <alignment vertical="center"/>
    </xf>
    <xf numFmtId="0" fontId="81" fillId="0" borderId="0" applyBorder="0">
      <alignment vertical="center"/>
    </xf>
    <xf numFmtId="0" fontId="49" fillId="5" borderId="37" applyNumberFormat="0" applyAlignment="0" applyProtection="0">
      <alignment vertical="center"/>
    </xf>
    <xf numFmtId="0" fontId="81" fillId="0" borderId="0"/>
    <xf numFmtId="0" fontId="81" fillId="0" borderId="0" applyBorder="0">
      <alignment vertical="center"/>
    </xf>
    <xf numFmtId="0" fontId="81" fillId="0" borderId="0" applyBorder="0">
      <alignment vertical="center"/>
    </xf>
    <xf numFmtId="0" fontId="49" fillId="5" borderId="37" applyNumberFormat="0" applyAlignment="0" applyProtection="0">
      <alignment vertical="center"/>
    </xf>
    <xf numFmtId="0" fontId="81" fillId="0" borderId="0"/>
    <xf numFmtId="0" fontId="81" fillId="0" borderId="0" applyBorder="0">
      <alignment vertical="center"/>
    </xf>
    <xf numFmtId="0" fontId="49" fillId="5" borderId="37" applyNumberFormat="0" applyAlignment="0" applyProtection="0">
      <alignment vertical="center"/>
    </xf>
    <xf numFmtId="0" fontId="81" fillId="0" borderId="0" applyBorder="0">
      <alignment vertical="center"/>
    </xf>
    <xf numFmtId="0" fontId="49" fillId="5" borderId="37" applyNumberFormat="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49" fillId="5" borderId="37" applyNumberFormat="0" applyAlignment="0" applyProtection="0">
      <alignment vertical="center"/>
    </xf>
    <xf numFmtId="0" fontId="81" fillId="0" borderId="0" applyBorder="0">
      <alignment vertical="center"/>
    </xf>
    <xf numFmtId="0" fontId="49" fillId="5" borderId="37" applyNumberFormat="0" applyAlignment="0" applyProtection="0">
      <alignment vertical="center"/>
    </xf>
    <xf numFmtId="0" fontId="61" fillId="0" borderId="0"/>
    <xf numFmtId="0" fontId="61" fillId="0" borderId="0"/>
    <xf numFmtId="0" fontId="6" fillId="0" borderId="0"/>
    <xf numFmtId="0" fontId="6" fillId="0" borderId="0"/>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applyBorder="0">
      <alignment vertical="center"/>
    </xf>
    <xf numFmtId="0" fontId="61" fillId="0" borderId="0"/>
    <xf numFmtId="0" fontId="61" fillId="0" borderId="0"/>
    <xf numFmtId="0" fontId="61" fillId="0" borderId="0"/>
    <xf numFmtId="0" fontId="81" fillId="0" borderId="0" applyBorder="0">
      <alignment vertical="center"/>
    </xf>
    <xf numFmtId="0" fontId="81" fillId="0" borderId="0" applyBorder="0">
      <alignment vertical="center"/>
    </xf>
    <xf numFmtId="0" fontId="61" fillId="0" borderId="0"/>
    <xf numFmtId="0" fontId="61" fillId="0" borderId="0"/>
    <xf numFmtId="0" fontId="61" fillId="0" borderId="0"/>
    <xf numFmtId="0" fontId="61" fillId="0" borderId="0"/>
    <xf numFmtId="0" fontId="81" fillId="0" borderId="0" applyBorder="0">
      <alignment vertical="center"/>
    </xf>
    <xf numFmtId="0" fontId="61" fillId="0" borderId="0"/>
    <xf numFmtId="0" fontId="61" fillId="0" borderId="0"/>
    <xf numFmtId="0" fontId="81" fillId="0" borderId="0"/>
    <xf numFmtId="0" fontId="81" fillId="0" borderId="0" applyBorder="0">
      <alignment vertical="center"/>
    </xf>
    <xf numFmtId="0" fontId="81" fillId="0" borderId="0" applyBorder="0">
      <alignment vertical="center"/>
    </xf>
    <xf numFmtId="0" fontId="6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applyBorder="0">
      <alignment vertical="center"/>
    </xf>
    <xf numFmtId="0" fontId="81" fillId="0" borderId="0"/>
    <xf numFmtId="0" fontId="81" fillId="0" borderId="0" applyBorder="0">
      <alignment vertical="center"/>
    </xf>
    <xf numFmtId="0" fontId="81" fillId="12" borderId="42" applyNumberFormat="0" applyFont="0" applyAlignment="0" applyProtection="0">
      <alignment vertical="center"/>
    </xf>
    <xf numFmtId="0" fontId="81" fillId="0" borderId="0" applyBorder="0">
      <alignment vertical="center"/>
    </xf>
    <xf numFmtId="0" fontId="81" fillId="0" borderId="0"/>
    <xf numFmtId="0" fontId="81" fillId="0" borderId="0" applyBorder="0">
      <alignment vertical="center"/>
    </xf>
    <xf numFmtId="0" fontId="81" fillId="12" borderId="42" applyNumberFormat="0" applyFont="0" applyAlignment="0" applyProtection="0">
      <alignment vertical="center"/>
    </xf>
    <xf numFmtId="0" fontId="81" fillId="12" borderId="42" applyNumberFormat="0" applyFont="0" applyAlignment="0" applyProtection="0">
      <alignment vertical="center"/>
    </xf>
    <xf numFmtId="0" fontId="81" fillId="12" borderId="42" applyNumberFormat="0" applyFont="0" applyAlignment="0" applyProtection="0">
      <alignment vertical="center"/>
    </xf>
    <xf numFmtId="0" fontId="81" fillId="12" borderId="42" applyNumberFormat="0" applyFont="0" applyAlignment="0" applyProtection="0">
      <alignment vertical="center"/>
    </xf>
    <xf numFmtId="0" fontId="81" fillId="12" borderId="42" applyNumberFormat="0" applyFont="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12" borderId="42" applyNumberFormat="0" applyFont="0" applyAlignment="0" applyProtection="0">
      <alignment vertical="center"/>
    </xf>
    <xf numFmtId="0" fontId="81" fillId="0" borderId="0" applyBorder="0">
      <alignment vertical="center"/>
    </xf>
    <xf numFmtId="0" fontId="81" fillId="0" borderId="0"/>
    <xf numFmtId="0" fontId="81" fillId="12" borderId="42" applyNumberFormat="0" applyFont="0" applyAlignment="0" applyProtection="0">
      <alignment vertical="center"/>
    </xf>
    <xf numFmtId="0" fontId="81" fillId="12" borderId="42" applyNumberFormat="0" applyFont="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12" borderId="42" applyNumberFormat="0" applyFont="0" applyAlignment="0" applyProtection="0">
      <alignment vertical="center"/>
    </xf>
    <xf numFmtId="0" fontId="81" fillId="12" borderId="42" applyNumberFormat="0" applyFont="0" applyAlignment="0" applyProtection="0">
      <alignment vertical="center"/>
    </xf>
    <xf numFmtId="0" fontId="81" fillId="12" borderId="42" applyNumberFormat="0" applyFont="0" applyAlignment="0" applyProtection="0">
      <alignment vertical="center"/>
    </xf>
    <xf numFmtId="0" fontId="81" fillId="12" borderId="42" applyNumberFormat="0" applyFont="0" applyAlignment="0" applyProtection="0">
      <alignment vertical="center"/>
    </xf>
    <xf numFmtId="0" fontId="81" fillId="0" borderId="0" applyBorder="0">
      <alignment vertical="center"/>
    </xf>
    <xf numFmtId="0" fontId="81" fillId="0" borderId="0" applyBorder="0">
      <alignment vertical="center"/>
    </xf>
    <xf numFmtId="0" fontId="81" fillId="12" borderId="42" applyNumberFormat="0" applyFont="0" applyAlignment="0" applyProtection="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12" borderId="42" applyNumberFormat="0" applyFont="0" applyAlignment="0" applyProtection="0">
      <alignment vertical="center"/>
    </xf>
    <xf numFmtId="0" fontId="81" fillId="12" borderId="42" applyNumberFormat="0" applyFont="0" applyAlignment="0" applyProtection="0">
      <alignment vertical="center"/>
    </xf>
    <xf numFmtId="0" fontId="81" fillId="0" borderId="0" applyBorder="0">
      <alignment vertical="center"/>
    </xf>
    <xf numFmtId="0" fontId="81" fillId="12" borderId="42" applyNumberFormat="0" applyFont="0" applyAlignment="0" applyProtection="0">
      <alignment vertical="center"/>
    </xf>
    <xf numFmtId="0" fontId="81" fillId="0" borderId="0"/>
    <xf numFmtId="0" fontId="81" fillId="12" borderId="42" applyNumberFormat="0" applyFont="0" applyAlignment="0" applyProtection="0">
      <alignment vertical="center"/>
    </xf>
    <xf numFmtId="0" fontId="81" fillId="12" borderId="42" applyNumberFormat="0" applyFont="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12" borderId="42" applyNumberFormat="0" applyFont="0" applyAlignment="0" applyProtection="0">
      <alignment vertical="center"/>
    </xf>
    <xf numFmtId="0" fontId="81" fillId="12" borderId="42" applyNumberFormat="0" applyFont="0" applyAlignment="0" applyProtection="0">
      <alignment vertical="center"/>
    </xf>
    <xf numFmtId="0" fontId="81" fillId="0" borderId="0" applyBorder="0">
      <alignment vertical="center"/>
    </xf>
    <xf numFmtId="0" fontId="81" fillId="0" borderId="0"/>
    <xf numFmtId="0" fontId="81" fillId="12" borderId="42" applyNumberFormat="0" applyFont="0" applyAlignment="0" applyProtection="0">
      <alignment vertical="center"/>
    </xf>
    <xf numFmtId="0" fontId="81" fillId="0" borderId="0"/>
    <xf numFmtId="0" fontId="81" fillId="0" borderId="0" applyBorder="0">
      <alignment vertical="center"/>
    </xf>
    <xf numFmtId="0" fontId="81" fillId="12" borderId="42" applyNumberFormat="0" applyFont="0" applyAlignment="0" applyProtection="0">
      <alignment vertical="center"/>
    </xf>
    <xf numFmtId="0" fontId="81" fillId="12" borderId="42" applyNumberFormat="0" applyFont="0" applyAlignment="0" applyProtection="0">
      <alignment vertical="center"/>
    </xf>
    <xf numFmtId="0" fontId="81" fillId="12" borderId="42" applyNumberFormat="0" applyFont="0" applyAlignment="0" applyProtection="0">
      <alignment vertical="center"/>
    </xf>
    <xf numFmtId="0" fontId="81" fillId="12" borderId="42" applyNumberFormat="0" applyFont="0" applyAlignment="0" applyProtection="0">
      <alignment vertical="center"/>
    </xf>
    <xf numFmtId="0" fontId="81" fillId="12" borderId="42" applyNumberFormat="0" applyFont="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12" borderId="42" applyNumberFormat="0" applyFont="0" applyAlignment="0" applyProtection="0">
      <alignment vertical="center"/>
    </xf>
    <xf numFmtId="0" fontId="81" fillId="0" borderId="0" applyBorder="0">
      <alignment vertical="center"/>
    </xf>
    <xf numFmtId="0" fontId="81" fillId="0" borderId="0"/>
    <xf numFmtId="0" fontId="81" fillId="12" borderId="42" applyNumberFormat="0" applyFont="0" applyAlignment="0" applyProtection="0">
      <alignment vertical="center"/>
    </xf>
    <xf numFmtId="0" fontId="81" fillId="12" borderId="42" applyNumberFormat="0" applyFont="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12" borderId="42" applyNumberFormat="0" applyFont="0" applyAlignment="0" applyProtection="0">
      <alignment vertical="center"/>
    </xf>
    <xf numFmtId="0" fontId="81" fillId="12" borderId="42" applyNumberFormat="0" applyFont="0" applyAlignment="0" applyProtection="0">
      <alignment vertical="center"/>
    </xf>
    <xf numFmtId="0" fontId="81" fillId="12" borderId="42" applyNumberFormat="0" applyFont="0" applyAlignment="0" applyProtection="0">
      <alignment vertical="center"/>
    </xf>
    <xf numFmtId="0" fontId="81" fillId="12" borderId="42" applyNumberFormat="0" applyFont="0" applyAlignment="0" applyProtection="0">
      <alignment vertical="center"/>
    </xf>
    <xf numFmtId="0" fontId="81" fillId="0" borderId="0" applyBorder="0">
      <alignment vertical="center"/>
    </xf>
    <xf numFmtId="0" fontId="81" fillId="0" borderId="0" applyBorder="0">
      <alignment vertical="center"/>
    </xf>
    <xf numFmtId="0" fontId="81" fillId="12" borderId="42" applyNumberFormat="0" applyFont="0" applyAlignment="0" applyProtection="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12" borderId="42" applyNumberFormat="0" applyFont="0" applyAlignment="0" applyProtection="0">
      <alignment vertical="center"/>
    </xf>
    <xf numFmtId="0" fontId="81" fillId="12" borderId="42" applyNumberFormat="0" applyFont="0" applyAlignment="0" applyProtection="0">
      <alignment vertical="center"/>
    </xf>
    <xf numFmtId="0" fontId="81" fillId="0" borderId="0" applyBorder="0">
      <alignment vertical="center"/>
    </xf>
    <xf numFmtId="0" fontId="81" fillId="12" borderId="42" applyNumberFormat="0" applyFont="0" applyAlignment="0" applyProtection="0">
      <alignment vertical="center"/>
    </xf>
    <xf numFmtId="0" fontId="81" fillId="0" borderId="0"/>
    <xf numFmtId="0" fontId="81" fillId="12" borderId="42" applyNumberFormat="0" applyFont="0" applyAlignment="0" applyProtection="0">
      <alignment vertical="center"/>
    </xf>
    <xf numFmtId="0" fontId="81" fillId="12" borderId="42" applyNumberFormat="0" applyFont="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12" borderId="42" applyNumberFormat="0" applyFont="0" applyAlignment="0" applyProtection="0">
      <alignment vertical="center"/>
    </xf>
    <xf numFmtId="0" fontId="81" fillId="12" borderId="42" applyNumberFormat="0" applyFont="0" applyAlignment="0" applyProtection="0">
      <alignment vertical="center"/>
    </xf>
    <xf numFmtId="0" fontId="81" fillId="0" borderId="0" applyBorder="0">
      <alignment vertical="center"/>
    </xf>
    <xf numFmtId="0" fontId="81" fillId="0" borderId="0"/>
    <xf numFmtId="0" fontId="81" fillId="12" borderId="42" applyNumberFormat="0" applyFont="0" applyAlignment="0" applyProtection="0">
      <alignment vertical="center"/>
    </xf>
    <xf numFmtId="0" fontId="81" fillId="12" borderId="42" applyNumberFormat="0" applyFont="0" applyAlignment="0" applyProtection="0">
      <alignment vertical="center"/>
    </xf>
    <xf numFmtId="0" fontId="81" fillId="12" borderId="42" applyNumberFormat="0" applyFont="0" applyAlignment="0" applyProtection="0">
      <alignment vertical="center"/>
    </xf>
    <xf numFmtId="0" fontId="81" fillId="12" borderId="42" applyNumberFormat="0" applyFont="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12" borderId="42" applyNumberFormat="0" applyFont="0" applyAlignment="0" applyProtection="0">
      <alignment vertical="center"/>
    </xf>
    <xf numFmtId="0" fontId="81" fillId="0" borderId="0" applyBorder="0">
      <alignment vertical="center"/>
    </xf>
    <xf numFmtId="0" fontId="81" fillId="0" borderId="0"/>
    <xf numFmtId="0" fontId="81" fillId="12" borderId="42" applyNumberFormat="0" applyFont="0" applyAlignment="0" applyProtection="0">
      <alignment vertical="center"/>
    </xf>
    <xf numFmtId="0" fontId="81" fillId="12" borderId="42" applyNumberFormat="0" applyFont="0" applyAlignment="0" applyProtection="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12" borderId="42" applyNumberFormat="0" applyFont="0" applyAlignment="0" applyProtection="0">
      <alignment vertical="center"/>
    </xf>
    <xf numFmtId="0" fontId="81" fillId="12" borderId="42" applyNumberFormat="0" applyFont="0" applyAlignment="0" applyProtection="0">
      <alignment vertical="center"/>
    </xf>
    <xf numFmtId="0" fontId="81" fillId="12" borderId="42" applyNumberFormat="0" applyFont="0" applyAlignment="0" applyProtection="0">
      <alignment vertical="center"/>
    </xf>
    <xf numFmtId="0" fontId="81" fillId="12" borderId="42" applyNumberFormat="0" applyFont="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12" borderId="42" applyNumberFormat="0" applyFont="0" applyAlignment="0" applyProtection="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12" borderId="42" applyNumberFormat="0" applyFont="0" applyAlignment="0" applyProtection="0">
      <alignment vertical="center"/>
    </xf>
    <xf numFmtId="0" fontId="81" fillId="12" borderId="42" applyNumberFormat="0" applyFont="0" applyAlignment="0" applyProtection="0">
      <alignment vertical="center"/>
    </xf>
    <xf numFmtId="0" fontId="81" fillId="0" borderId="0" applyBorder="0">
      <alignment vertical="center"/>
    </xf>
    <xf numFmtId="0" fontId="81" fillId="12" borderId="42" applyNumberFormat="0" applyFont="0" applyAlignment="0" applyProtection="0">
      <alignment vertical="center"/>
    </xf>
    <xf numFmtId="0" fontId="81" fillId="0" borderId="0"/>
    <xf numFmtId="0" fontId="81" fillId="12" borderId="42" applyNumberFormat="0" applyFont="0" applyAlignment="0" applyProtection="0">
      <alignment vertical="center"/>
    </xf>
    <xf numFmtId="0" fontId="81" fillId="12" borderId="42" applyNumberFormat="0" applyFont="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12" borderId="42" applyNumberFormat="0" applyFont="0" applyAlignment="0" applyProtection="0">
      <alignment vertical="center"/>
    </xf>
    <xf numFmtId="0" fontId="81" fillId="12" borderId="42" applyNumberFormat="0" applyFont="0" applyAlignment="0" applyProtection="0">
      <alignment vertical="center"/>
    </xf>
    <xf numFmtId="0" fontId="81" fillId="0" borderId="0" applyBorder="0">
      <alignment vertical="center"/>
    </xf>
    <xf numFmtId="0" fontId="81" fillId="12" borderId="42" applyNumberFormat="0" applyFont="0" applyAlignment="0" applyProtection="0">
      <alignment vertical="center"/>
    </xf>
    <xf numFmtId="0" fontId="81" fillId="12" borderId="42" applyNumberFormat="0" applyFont="0" applyAlignment="0" applyProtection="0">
      <alignment vertical="center"/>
    </xf>
    <xf numFmtId="0" fontId="81" fillId="12" borderId="42" applyNumberFormat="0" applyFont="0" applyAlignment="0" applyProtection="0">
      <alignment vertical="center"/>
    </xf>
    <xf numFmtId="0" fontId="81" fillId="12" borderId="42" applyNumberFormat="0" applyFont="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12" borderId="42" applyNumberFormat="0" applyFont="0" applyAlignment="0" applyProtection="0">
      <alignment vertical="center"/>
    </xf>
    <xf numFmtId="0" fontId="81" fillId="0" borderId="0" applyBorder="0">
      <alignment vertical="center"/>
    </xf>
    <xf numFmtId="0" fontId="81" fillId="0" borderId="0"/>
    <xf numFmtId="0" fontId="81" fillId="12" borderId="42" applyNumberFormat="0" applyFont="0" applyAlignment="0" applyProtection="0">
      <alignment vertical="center"/>
    </xf>
    <xf numFmtId="0" fontId="81" fillId="12" borderId="42" applyNumberFormat="0" applyFont="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12" borderId="42" applyNumberFormat="0" applyFont="0" applyAlignment="0" applyProtection="0">
      <alignment vertical="center"/>
    </xf>
    <xf numFmtId="0" fontId="81" fillId="12" borderId="42" applyNumberFormat="0" applyFont="0" applyAlignment="0" applyProtection="0">
      <alignment vertical="center"/>
    </xf>
    <xf numFmtId="0" fontId="81" fillId="12" borderId="42" applyNumberFormat="0" applyFont="0" applyAlignment="0" applyProtection="0">
      <alignment vertical="center"/>
    </xf>
    <xf numFmtId="0" fontId="81" fillId="12" borderId="42" applyNumberFormat="0" applyFont="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12" borderId="42" applyNumberFormat="0" applyFont="0" applyAlignment="0" applyProtection="0">
      <alignment vertical="center"/>
    </xf>
    <xf numFmtId="0" fontId="81" fillId="0" borderId="0" applyBorder="0">
      <alignment vertical="center"/>
    </xf>
    <xf numFmtId="0" fontId="81" fillId="0" borderId="0"/>
    <xf numFmtId="0" fontId="81" fillId="0" borderId="0" applyBorder="0">
      <alignment vertical="center"/>
    </xf>
    <xf numFmtId="0" fontId="81" fillId="12" borderId="42" applyNumberFormat="0" applyFont="0" applyAlignment="0" applyProtection="0">
      <alignment vertical="center"/>
    </xf>
    <xf numFmtId="0" fontId="81" fillId="12" borderId="42" applyNumberFormat="0" applyFont="0" applyAlignment="0" applyProtection="0">
      <alignment vertical="center"/>
    </xf>
    <xf numFmtId="0" fontId="81" fillId="0" borderId="0" applyBorder="0">
      <alignment vertical="center"/>
    </xf>
    <xf numFmtId="0" fontId="81" fillId="12" borderId="42" applyNumberFormat="0" applyFont="0" applyAlignment="0" applyProtection="0">
      <alignment vertical="center"/>
    </xf>
    <xf numFmtId="0" fontId="81" fillId="0" borderId="0"/>
    <xf numFmtId="0" fontId="81" fillId="12" borderId="42" applyNumberFormat="0" applyFont="0" applyAlignment="0" applyProtection="0">
      <alignment vertical="center"/>
    </xf>
    <xf numFmtId="0" fontId="81" fillId="12" borderId="42" applyNumberFormat="0" applyFont="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12" borderId="42" applyNumberFormat="0" applyFont="0" applyAlignment="0" applyProtection="0">
      <alignment vertical="center"/>
    </xf>
    <xf numFmtId="0" fontId="81" fillId="12" borderId="42" applyNumberFormat="0" applyFont="0" applyAlignment="0" applyProtection="0">
      <alignment vertical="center"/>
    </xf>
    <xf numFmtId="0" fontId="81" fillId="12" borderId="42" applyNumberFormat="0" applyFont="0" applyAlignment="0" applyProtection="0">
      <alignment vertical="center"/>
    </xf>
    <xf numFmtId="0" fontId="81" fillId="0" borderId="0"/>
    <xf numFmtId="0" fontId="81" fillId="0" borderId="0" applyBorder="0">
      <alignment vertical="center"/>
    </xf>
    <xf numFmtId="0" fontId="81" fillId="12" borderId="42" applyNumberFormat="0" applyFont="0" applyAlignment="0" applyProtection="0">
      <alignment vertical="center"/>
    </xf>
    <xf numFmtId="0" fontId="81" fillId="12" borderId="42" applyNumberFormat="0" applyFont="0" applyAlignment="0" applyProtection="0">
      <alignment vertical="center"/>
    </xf>
    <xf numFmtId="0" fontId="81" fillId="0" borderId="0" applyBorder="0">
      <alignment vertical="center"/>
    </xf>
    <xf numFmtId="0" fontId="81" fillId="12" borderId="42" applyNumberFormat="0" applyFont="0" applyAlignment="0" applyProtection="0">
      <alignment vertical="center"/>
    </xf>
    <xf numFmtId="0" fontId="81" fillId="12" borderId="42" applyNumberFormat="0" applyFont="0" applyAlignment="0" applyProtection="0">
      <alignment vertical="center"/>
    </xf>
    <xf numFmtId="0" fontId="81" fillId="12" borderId="42" applyNumberFormat="0" applyFont="0" applyAlignment="0" applyProtection="0">
      <alignment vertical="center"/>
    </xf>
    <xf numFmtId="0" fontId="81" fillId="12" borderId="42" applyNumberFormat="0" applyFont="0" applyAlignment="0" applyProtection="0">
      <alignment vertical="center"/>
    </xf>
    <xf numFmtId="0" fontId="81" fillId="12" borderId="42" applyNumberFormat="0" applyFont="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12" borderId="42" applyNumberFormat="0" applyFont="0" applyAlignment="0" applyProtection="0">
      <alignment vertical="center"/>
    </xf>
    <xf numFmtId="0" fontId="81" fillId="0" borderId="0" applyBorder="0">
      <alignment vertical="center"/>
    </xf>
    <xf numFmtId="0" fontId="81" fillId="0" borderId="0"/>
    <xf numFmtId="0" fontId="81" fillId="12" borderId="42" applyNumberFormat="0" applyFont="0" applyAlignment="0" applyProtection="0">
      <alignment vertical="center"/>
    </xf>
    <xf numFmtId="0" fontId="81" fillId="12" borderId="42" applyNumberFormat="0" applyFont="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12" borderId="42" applyNumberFormat="0" applyFont="0" applyAlignment="0" applyProtection="0">
      <alignment vertical="center"/>
    </xf>
    <xf numFmtId="0" fontId="81" fillId="12" borderId="42" applyNumberFormat="0" applyFont="0" applyAlignment="0" applyProtection="0">
      <alignment vertical="center"/>
    </xf>
    <xf numFmtId="0" fontId="81" fillId="12" borderId="42" applyNumberFormat="0" applyFont="0" applyAlignment="0" applyProtection="0">
      <alignment vertical="center"/>
    </xf>
    <xf numFmtId="0" fontId="81" fillId="12" borderId="42" applyNumberFormat="0" applyFont="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12" borderId="42" applyNumberFormat="0" applyFont="0" applyAlignment="0" applyProtection="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12" borderId="42" applyNumberFormat="0" applyFont="0" applyAlignment="0" applyProtection="0">
      <alignment vertical="center"/>
    </xf>
    <xf numFmtId="0" fontId="81" fillId="12" borderId="42" applyNumberFormat="0" applyFont="0" applyAlignment="0" applyProtection="0">
      <alignment vertical="center"/>
    </xf>
    <xf numFmtId="0" fontId="81" fillId="0" borderId="0" applyBorder="0">
      <alignment vertical="center"/>
    </xf>
    <xf numFmtId="0" fontId="81" fillId="12" borderId="42" applyNumberFormat="0" applyFont="0" applyAlignment="0" applyProtection="0">
      <alignment vertical="center"/>
    </xf>
    <xf numFmtId="0" fontId="81" fillId="0" borderId="0"/>
    <xf numFmtId="0" fontId="81" fillId="12" borderId="42" applyNumberFormat="0" applyFont="0" applyAlignment="0" applyProtection="0">
      <alignment vertical="center"/>
    </xf>
    <xf numFmtId="0" fontId="81" fillId="12" borderId="42" applyNumberFormat="0" applyFont="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12" borderId="42" applyNumberFormat="0" applyFont="0" applyAlignment="0" applyProtection="0">
      <alignment vertical="center"/>
    </xf>
    <xf numFmtId="0" fontId="81" fillId="12" borderId="42" applyNumberFormat="0" applyFont="0" applyAlignment="0" applyProtection="0">
      <alignment vertical="center"/>
    </xf>
    <xf numFmtId="0" fontId="81" fillId="0" borderId="0" applyBorder="0">
      <alignment vertical="center"/>
    </xf>
    <xf numFmtId="0" fontId="81" fillId="0" borderId="0"/>
    <xf numFmtId="0" fontId="81" fillId="12" borderId="42" applyNumberFormat="0" applyFont="0" applyAlignment="0" applyProtection="0">
      <alignment vertical="center"/>
    </xf>
    <xf numFmtId="0" fontId="81" fillId="12" borderId="42" applyNumberFormat="0" applyFont="0" applyAlignment="0" applyProtection="0">
      <alignment vertical="center"/>
    </xf>
    <xf numFmtId="0" fontId="81" fillId="12" borderId="42" applyNumberFormat="0" applyFont="0" applyAlignment="0" applyProtection="0">
      <alignment vertical="center"/>
    </xf>
    <xf numFmtId="0" fontId="81" fillId="12" borderId="42" applyNumberFormat="0" applyFont="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12" borderId="42" applyNumberFormat="0" applyFont="0" applyAlignment="0" applyProtection="0">
      <alignment vertical="center"/>
    </xf>
    <xf numFmtId="0" fontId="81" fillId="0" borderId="0" applyBorder="0">
      <alignment vertical="center"/>
    </xf>
    <xf numFmtId="0" fontId="81" fillId="0" borderId="0"/>
    <xf numFmtId="0" fontId="81" fillId="12" borderId="42" applyNumberFormat="0" applyFont="0" applyAlignment="0" applyProtection="0">
      <alignment vertical="center"/>
    </xf>
    <xf numFmtId="0" fontId="81" fillId="12" borderId="42" applyNumberFormat="0" applyFont="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12" borderId="42" applyNumberFormat="0" applyFont="0" applyAlignment="0" applyProtection="0">
      <alignment vertical="center"/>
    </xf>
    <xf numFmtId="0" fontId="81" fillId="12" borderId="42" applyNumberFormat="0" applyFont="0" applyAlignment="0" applyProtection="0">
      <alignment vertical="center"/>
    </xf>
    <xf numFmtId="0" fontId="81" fillId="12" borderId="42" applyNumberFormat="0" applyFont="0" applyAlignment="0" applyProtection="0">
      <alignment vertical="center"/>
    </xf>
    <xf numFmtId="0" fontId="81" fillId="12" borderId="42" applyNumberFormat="0" applyFont="0" applyAlignment="0" applyProtection="0">
      <alignment vertical="center"/>
    </xf>
    <xf numFmtId="0" fontId="81" fillId="0" borderId="0" applyBorder="0">
      <alignment vertical="center"/>
    </xf>
    <xf numFmtId="0" fontId="81" fillId="0" borderId="0" applyBorder="0">
      <alignment vertical="center"/>
    </xf>
    <xf numFmtId="0" fontId="81" fillId="12" borderId="42" applyNumberFormat="0" applyFont="0" applyAlignment="0" applyProtection="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12" borderId="42" applyNumberFormat="0" applyFont="0" applyAlignment="0" applyProtection="0">
      <alignment vertical="center"/>
    </xf>
    <xf numFmtId="0" fontId="81" fillId="12" borderId="42" applyNumberFormat="0" applyFont="0" applyAlignment="0" applyProtection="0">
      <alignment vertical="center"/>
    </xf>
    <xf numFmtId="0" fontId="81" fillId="0" borderId="0" applyBorder="0">
      <alignment vertical="center"/>
    </xf>
    <xf numFmtId="0" fontId="81" fillId="12" borderId="42" applyNumberFormat="0" applyFont="0" applyAlignment="0" applyProtection="0">
      <alignment vertical="center"/>
    </xf>
    <xf numFmtId="0" fontId="81" fillId="0" borderId="0"/>
    <xf numFmtId="0" fontId="81" fillId="12" borderId="42" applyNumberFormat="0" applyFont="0" applyAlignment="0" applyProtection="0">
      <alignment vertical="center"/>
    </xf>
    <xf numFmtId="0" fontId="81" fillId="12" borderId="42" applyNumberFormat="0" applyFont="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12" borderId="42" applyNumberFormat="0" applyFont="0" applyAlignment="0" applyProtection="0">
      <alignment vertical="center"/>
    </xf>
    <xf numFmtId="0" fontId="81" fillId="12" borderId="42" applyNumberFormat="0" applyFont="0" applyAlignment="0" applyProtection="0">
      <alignment vertical="center"/>
    </xf>
    <xf numFmtId="0" fontId="81" fillId="0" borderId="0" applyBorder="0">
      <alignment vertical="center"/>
    </xf>
    <xf numFmtId="0" fontId="81" fillId="12" borderId="42" applyNumberFormat="0" applyFont="0" applyAlignment="0" applyProtection="0">
      <alignment vertical="center"/>
    </xf>
    <xf numFmtId="0" fontId="81" fillId="12" borderId="42" applyNumberFormat="0" applyFont="0" applyAlignment="0" applyProtection="0">
      <alignment vertical="center"/>
    </xf>
    <xf numFmtId="0" fontId="81" fillId="12" borderId="42" applyNumberFormat="0" applyFont="0" applyAlignment="0" applyProtection="0">
      <alignment vertical="center"/>
    </xf>
    <xf numFmtId="0" fontId="81" fillId="12" borderId="42" applyNumberFormat="0" applyFont="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12" borderId="42" applyNumberFormat="0" applyFont="0" applyAlignment="0" applyProtection="0">
      <alignment vertical="center"/>
    </xf>
    <xf numFmtId="0" fontId="81" fillId="0" borderId="0" applyBorder="0">
      <alignment vertical="center"/>
    </xf>
    <xf numFmtId="0" fontId="81" fillId="0" borderId="0"/>
    <xf numFmtId="0" fontId="81" fillId="12" borderId="42" applyNumberFormat="0" applyFont="0" applyAlignment="0" applyProtection="0">
      <alignment vertical="center"/>
    </xf>
    <xf numFmtId="0" fontId="81" fillId="12" borderId="42" applyNumberFormat="0" applyFont="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12" borderId="42" applyNumberFormat="0" applyFont="0" applyAlignment="0" applyProtection="0">
      <alignment vertical="center"/>
    </xf>
    <xf numFmtId="0" fontId="81" fillId="12" borderId="42" applyNumberFormat="0" applyFont="0" applyAlignment="0" applyProtection="0">
      <alignment vertical="center"/>
    </xf>
    <xf numFmtId="0" fontId="81" fillId="12" borderId="42" applyNumberFormat="0" applyFont="0" applyAlignment="0" applyProtection="0">
      <alignment vertical="center"/>
    </xf>
    <xf numFmtId="0" fontId="81" fillId="12" borderId="42" applyNumberFormat="0" applyFont="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12" borderId="42" applyNumberFormat="0" applyFont="0" applyAlignment="0" applyProtection="0">
      <alignment vertical="center"/>
    </xf>
    <xf numFmtId="0" fontId="81" fillId="0" borderId="0"/>
    <xf numFmtId="0" fontId="81" fillId="0" borderId="0" applyBorder="0">
      <alignment vertical="center"/>
    </xf>
    <xf numFmtId="0" fontId="81" fillId="0" borderId="0"/>
    <xf numFmtId="0" fontId="81" fillId="0" borderId="0" applyBorder="0">
      <alignment vertical="center"/>
    </xf>
    <xf numFmtId="0" fontId="81" fillId="12" borderId="42" applyNumberFormat="0" applyFont="0" applyAlignment="0" applyProtection="0">
      <alignment vertical="center"/>
    </xf>
    <xf numFmtId="0" fontId="81" fillId="12" borderId="42" applyNumberFormat="0" applyFont="0" applyAlignment="0" applyProtection="0">
      <alignment vertical="center"/>
    </xf>
    <xf numFmtId="0" fontId="81" fillId="0" borderId="0" applyBorder="0">
      <alignment vertical="center"/>
    </xf>
    <xf numFmtId="0" fontId="81" fillId="12" borderId="42" applyNumberFormat="0" applyFont="0" applyAlignment="0" applyProtection="0">
      <alignment vertical="center"/>
    </xf>
    <xf numFmtId="0" fontId="81" fillId="0" borderId="0"/>
    <xf numFmtId="0" fontId="81" fillId="12" borderId="42" applyNumberFormat="0" applyFont="0" applyAlignment="0" applyProtection="0">
      <alignment vertical="center"/>
    </xf>
    <xf numFmtId="0" fontId="81" fillId="12" borderId="42" applyNumberFormat="0" applyFont="0" applyAlignment="0" applyProtection="0">
      <alignment vertical="center"/>
    </xf>
    <xf numFmtId="0" fontId="81" fillId="0" borderId="0" applyBorder="0">
      <alignment vertical="center"/>
    </xf>
    <xf numFmtId="0" fontId="81" fillId="0" borderId="0" applyBorder="0">
      <alignment vertical="center"/>
    </xf>
    <xf numFmtId="0" fontId="81" fillId="0" borderId="0" applyBorder="0">
      <alignment vertical="center"/>
    </xf>
    <xf numFmtId="0" fontId="81" fillId="12" borderId="42" applyNumberFormat="0" applyFont="0" applyAlignment="0" applyProtection="0">
      <alignment vertical="center"/>
    </xf>
    <xf numFmtId="0" fontId="39" fillId="12" borderId="42" applyNumberFormat="0" applyFont="0" applyAlignment="0" applyProtection="0">
      <alignment vertical="center"/>
    </xf>
  </cellStyleXfs>
  <cellXfs count="508">
    <xf numFmtId="0" fontId="0" fillId="0" borderId="0" xfId="0"/>
    <xf numFmtId="0" fontId="1" fillId="0" borderId="1" xfId="0" applyFont="1" applyBorder="1" applyAlignment="1">
      <alignment horizontal="center" vertical="center" wrapText="1"/>
    </xf>
    <xf numFmtId="0" fontId="1" fillId="0" borderId="1" xfId="0" applyFont="1" applyBorder="1" applyAlignment="1">
      <alignment horizontal="center" vertical="center"/>
    </xf>
    <xf numFmtId="0" fontId="2" fillId="0" borderId="0" xfId="0" applyFont="1" applyBorder="1" applyAlignment="1">
      <alignment wrapText="1"/>
    </xf>
    <xf numFmtId="0" fontId="3" fillId="0" borderId="0" xfId="307" applyFont="1" applyBorder="1" applyAlignment="1">
      <alignment horizontal="center" vertical="center"/>
    </xf>
    <xf numFmtId="0" fontId="3" fillId="0" borderId="0" xfId="307" applyFont="1" applyBorder="1"/>
    <xf numFmtId="9" fontId="3" fillId="0" borderId="0" xfId="307" applyNumberFormat="1" applyFont="1" applyBorder="1" applyAlignment="1">
      <alignment horizontal="center" vertical="center"/>
    </xf>
    <xf numFmtId="0" fontId="5" fillId="0" borderId="1" xfId="307" applyFont="1" applyBorder="1" applyAlignment="1">
      <alignment horizontal="center"/>
    </xf>
    <xf numFmtId="0" fontId="5" fillId="0" borderId="1" xfId="307" applyFont="1" applyFill="1" applyBorder="1" applyAlignment="1">
      <alignment horizontal="center"/>
    </xf>
    <xf numFmtId="0" fontId="5" fillId="0" borderId="1" xfId="307" applyFont="1" applyFill="1" applyBorder="1" applyAlignment="1">
      <alignment horizontal="left"/>
    </xf>
    <xf numFmtId="10" fontId="5" fillId="0" borderId="1" xfId="9855" applyNumberFormat="1" applyFont="1" applyFill="1" applyBorder="1" applyAlignment="1">
      <alignment horizontal="center"/>
    </xf>
    <xf numFmtId="0" fontId="5" fillId="0" borderId="1" xfId="1644" applyFont="1" applyFill="1" applyBorder="1"/>
    <xf numFmtId="0" fontId="6" fillId="0" borderId="1" xfId="307" applyFont="1" applyFill="1" applyBorder="1"/>
    <xf numFmtId="0" fontId="6" fillId="0" borderId="1" xfId="1644" applyFont="1" applyFill="1" applyBorder="1"/>
    <xf numFmtId="0" fontId="6" fillId="0" borderId="6" xfId="307" applyFont="1" applyFill="1" applyBorder="1"/>
    <xf numFmtId="0" fontId="4" fillId="0" borderId="0" xfId="41092" applyFont="1"/>
    <xf numFmtId="0" fontId="3" fillId="0" borderId="0" xfId="41092" applyFont="1" applyAlignment="1">
      <alignment horizontal="right"/>
    </xf>
    <xf numFmtId="0" fontId="3" fillId="2" borderId="1" xfId="41092" applyFont="1" applyFill="1" applyBorder="1"/>
    <xf numFmtId="0" fontId="3" fillId="0" borderId="0" xfId="41092" applyFont="1"/>
    <xf numFmtId="0" fontId="7" fillId="3" borderId="1" xfId="41092" applyFont="1" applyFill="1" applyBorder="1" applyAlignment="1">
      <alignment horizontal="center" wrapText="1"/>
    </xf>
    <xf numFmtId="0" fontId="7" fillId="4" borderId="7" xfId="41092" applyFont="1" applyFill="1" applyBorder="1" applyAlignment="1">
      <alignment horizontal="center" wrapText="1"/>
    </xf>
    <xf numFmtId="0" fontId="8" fillId="3" borderId="1" xfId="41092" applyFont="1" applyFill="1" applyBorder="1" applyAlignment="1">
      <alignment horizontal="center" wrapText="1"/>
    </xf>
    <xf numFmtId="0" fontId="3" fillId="3" borderId="1" xfId="41092" applyFont="1" applyFill="1" applyBorder="1" applyAlignment="1">
      <alignment horizontal="justify" wrapText="1"/>
    </xf>
    <xf numFmtId="0" fontId="9" fillId="5" borderId="1" xfId="41092" applyFont="1" applyFill="1" applyBorder="1" applyAlignment="1">
      <alignment horizontal="right" wrapText="1"/>
    </xf>
    <xf numFmtId="0" fontId="9" fillId="4" borderId="1" xfId="41092" applyFont="1" applyFill="1" applyBorder="1" applyAlignment="1">
      <alignment horizontal="right" wrapText="1"/>
    </xf>
    <xf numFmtId="0" fontId="7" fillId="0" borderId="7" xfId="41092" applyFont="1" applyBorder="1" applyAlignment="1">
      <alignment horizontal="center" wrapText="1"/>
    </xf>
    <xf numFmtId="0" fontId="9" fillId="2" borderId="1" xfId="41092" applyFont="1" applyFill="1" applyBorder="1" applyAlignment="1">
      <alignment horizontal="right" wrapText="1"/>
    </xf>
    <xf numFmtId="0" fontId="7" fillId="0" borderId="1" xfId="41092" applyFont="1" applyBorder="1" applyAlignment="1">
      <alignment horizontal="center" wrapText="1"/>
    </xf>
    <xf numFmtId="0" fontId="8" fillId="0" borderId="1" xfId="41092" applyFont="1" applyBorder="1" applyAlignment="1">
      <alignment horizontal="center" wrapText="1"/>
    </xf>
    <xf numFmtId="0" fontId="3" fillId="0" borderId="1" xfId="41092" applyFont="1" applyBorder="1" applyAlignment="1">
      <alignment horizontal="justify" wrapText="1"/>
    </xf>
    <xf numFmtId="0" fontId="9" fillId="6" borderId="1" xfId="41092" applyFont="1" applyFill="1" applyBorder="1" applyAlignment="1">
      <alignment horizontal="right" wrapText="1"/>
    </xf>
    <xf numFmtId="0" fontId="7" fillId="0" borderId="0" xfId="41092" applyFont="1" applyBorder="1" applyAlignment="1">
      <alignment horizontal="center" wrapText="1"/>
    </xf>
    <xf numFmtId="0" fontId="4" fillId="0" borderId="0" xfId="41092" applyFont="1" applyBorder="1" applyAlignment="1">
      <alignment horizontal="center"/>
    </xf>
    <xf numFmtId="0" fontId="7" fillId="0" borderId="8" xfId="41092" applyFont="1" applyBorder="1" applyAlignment="1">
      <alignment horizontal="center"/>
    </xf>
    <xf numFmtId="0" fontId="8" fillId="0" borderId="0" xfId="41092" applyFont="1" applyBorder="1" applyAlignment="1">
      <alignment horizontal="center" wrapText="1"/>
    </xf>
    <xf numFmtId="0" fontId="7" fillId="0" borderId="0" xfId="41092" applyFont="1" applyBorder="1" applyAlignment="1">
      <alignment horizontal="center"/>
    </xf>
    <xf numFmtId="0" fontId="9" fillId="0" borderId="0" xfId="41092" applyFont="1" applyBorder="1" applyAlignment="1">
      <alignment horizontal="right" wrapText="1"/>
    </xf>
    <xf numFmtId="0" fontId="7" fillId="0" borderId="9" xfId="41092" applyFont="1" applyBorder="1" applyAlignment="1">
      <alignment horizontal="center" wrapText="1"/>
    </xf>
    <xf numFmtId="0" fontId="3" fillId="0" borderId="7" xfId="41092" applyFont="1" applyBorder="1" applyAlignment="1">
      <alignment horizontal="center" wrapText="1"/>
    </xf>
    <xf numFmtId="0" fontId="7" fillId="0" borderId="13" xfId="41092" applyFont="1" applyBorder="1" applyAlignment="1">
      <alignment horizontal="center" wrapText="1"/>
    </xf>
    <xf numFmtId="0" fontId="10" fillId="0" borderId="1" xfId="41092" applyFont="1" applyBorder="1" applyAlignment="1">
      <alignment horizontal="center" wrapText="1"/>
    </xf>
    <xf numFmtId="0" fontId="3" fillId="0" borderId="14" xfId="41092" applyFont="1" applyBorder="1" applyAlignment="1">
      <alignment horizontal="center" wrapText="1"/>
    </xf>
    <xf numFmtId="0" fontId="3" fillId="0" borderId="0" xfId="41092" applyFont="1" applyBorder="1" applyAlignment="1">
      <alignment horizontal="justify" wrapText="1"/>
    </xf>
    <xf numFmtId="0" fontId="11" fillId="0" borderId="0" xfId="41092" applyFont="1"/>
    <xf numFmtId="0" fontId="9" fillId="0" borderId="1" xfId="41092" applyFont="1" applyBorder="1" applyAlignment="1">
      <alignment horizontal="right" wrapText="1"/>
    </xf>
    <xf numFmtId="0" fontId="12" fillId="0" borderId="0" xfId="41092" applyFont="1"/>
    <xf numFmtId="0" fontId="5" fillId="0" borderId="0" xfId="307" applyFont="1" applyAlignment="1">
      <alignment horizontal="center"/>
    </xf>
    <xf numFmtId="0" fontId="5" fillId="0" borderId="0" xfId="307" applyFont="1" applyAlignment="1">
      <alignment horizontal="right"/>
    </xf>
    <xf numFmtId="49" fontId="5" fillId="0" borderId="0" xfId="307" applyNumberFormat="1" applyFont="1" applyAlignment="1">
      <alignment horizontal="left"/>
    </xf>
    <xf numFmtId="0" fontId="5" fillId="0" borderId="0" xfId="307" applyFont="1" applyAlignment="1">
      <alignment horizontal="left"/>
    </xf>
    <xf numFmtId="0" fontId="5" fillId="0" borderId="1" xfId="307" applyFont="1" applyBorder="1" applyAlignment="1">
      <alignment horizontal="right"/>
    </xf>
    <xf numFmtId="0" fontId="0" fillId="0" borderId="1" xfId="307" applyFont="1" applyBorder="1" applyAlignment="1">
      <alignment horizontal="center"/>
    </xf>
    <xf numFmtId="0" fontId="5" fillId="0" borderId="1" xfId="307" applyFont="1" applyBorder="1"/>
    <xf numFmtId="178" fontId="5" fillId="0" borderId="1" xfId="307" applyNumberFormat="1" applyFont="1" applyBorder="1" applyAlignment="1">
      <alignment horizontal="center"/>
    </xf>
    <xf numFmtId="179" fontId="5" fillId="0" borderId="1" xfId="307" applyNumberFormat="1" applyFont="1" applyBorder="1" applyAlignment="1">
      <alignment horizontal="center"/>
    </xf>
    <xf numFmtId="2" fontId="5" fillId="0" borderId="1" xfId="307" applyNumberFormat="1" applyFont="1" applyBorder="1" applyAlignment="1">
      <alignment horizontal="center"/>
    </xf>
    <xf numFmtId="10" fontId="5" fillId="0" borderId="1" xfId="307" applyNumberFormat="1" applyFont="1" applyBorder="1" applyAlignment="1">
      <alignment horizontal="center"/>
    </xf>
    <xf numFmtId="180" fontId="5" fillId="0" borderId="0" xfId="307" applyNumberFormat="1" applyFont="1" applyAlignment="1">
      <alignment horizontal="center" vertical="center"/>
    </xf>
    <xf numFmtId="180" fontId="5" fillId="0" borderId="1" xfId="307" applyNumberFormat="1" applyFont="1" applyBorder="1" applyAlignment="1">
      <alignment horizontal="center" vertical="center"/>
    </xf>
    <xf numFmtId="180" fontId="5" fillId="0" borderId="1" xfId="307" applyNumberFormat="1" applyFont="1" applyBorder="1" applyAlignment="1">
      <alignment horizontal="left" vertical="center"/>
    </xf>
    <xf numFmtId="181" fontId="5" fillId="0" borderId="1" xfId="307" applyNumberFormat="1" applyFont="1" applyBorder="1" applyAlignment="1">
      <alignment horizontal="center" vertical="center"/>
    </xf>
    <xf numFmtId="0" fontId="13" fillId="0" borderId="1" xfId="307" applyFont="1" applyBorder="1" applyAlignment="1">
      <alignment horizontal="center" vertical="center" wrapText="1"/>
    </xf>
    <xf numFmtId="180" fontId="14" fillId="0" borderId="1" xfId="307" applyNumberFormat="1" applyFont="1" applyBorder="1" applyAlignment="1">
      <alignment horizontal="center" vertical="center"/>
    </xf>
    <xf numFmtId="10" fontId="5" fillId="0" borderId="1" xfId="307" applyNumberFormat="1" applyFont="1" applyBorder="1" applyAlignment="1">
      <alignment horizontal="center" vertical="center"/>
    </xf>
    <xf numFmtId="10" fontId="5" fillId="0" borderId="1" xfId="56" applyNumberFormat="1" applyFont="1" applyBorder="1" applyAlignment="1">
      <alignment horizontal="center" vertical="center"/>
    </xf>
    <xf numFmtId="180" fontId="5" fillId="0" borderId="0" xfId="307" applyNumberFormat="1" applyFont="1" applyAlignment="1">
      <alignment horizontal="center"/>
    </xf>
    <xf numFmtId="182" fontId="5" fillId="0" borderId="1" xfId="307" applyNumberFormat="1" applyFont="1" applyBorder="1" applyAlignment="1">
      <alignment horizontal="center"/>
    </xf>
    <xf numFmtId="1" fontId="0" fillId="0" borderId="0" xfId="307" applyNumberFormat="1" applyFont="1"/>
    <xf numFmtId="0" fontId="5" fillId="0" borderId="1" xfId="307" applyFont="1" applyBorder="1" applyAlignment="1">
      <alignment horizontal="left"/>
    </xf>
    <xf numFmtId="180" fontId="5" fillId="0" borderId="1" xfId="307" applyNumberFormat="1" applyFont="1" applyBorder="1" applyAlignment="1">
      <alignment horizontal="center"/>
    </xf>
    <xf numFmtId="0" fontId="5" fillId="0" borderId="2" xfId="307" applyFont="1" applyBorder="1" applyAlignment="1">
      <alignment horizontal="right"/>
    </xf>
    <xf numFmtId="0" fontId="5" fillId="0" borderId="0" xfId="307" applyFont="1"/>
    <xf numFmtId="182" fontId="5" fillId="0" borderId="0" xfId="307" applyNumberFormat="1" applyFont="1" applyAlignment="1">
      <alignment horizontal="center"/>
    </xf>
    <xf numFmtId="0" fontId="5" fillId="0" borderId="1" xfId="307" applyFont="1" applyBorder="1" applyAlignment="1">
      <alignment wrapText="1"/>
    </xf>
    <xf numFmtId="185" fontId="5" fillId="0" borderId="1" xfId="307" applyNumberFormat="1" applyFont="1" applyBorder="1" applyAlignment="1">
      <alignment horizontal="center"/>
    </xf>
    <xf numFmtId="9" fontId="5" fillId="0" borderId="1" xfId="307" applyNumberFormat="1" applyFont="1" applyBorder="1" applyAlignment="1">
      <alignment horizontal="center"/>
    </xf>
    <xf numFmtId="186" fontId="5" fillId="0" borderId="1" xfId="307" applyNumberFormat="1" applyFont="1" applyBorder="1" applyAlignment="1">
      <alignment horizontal="center"/>
    </xf>
    <xf numFmtId="184" fontId="5" fillId="0" borderId="1" xfId="307" applyNumberFormat="1" applyFont="1" applyBorder="1" applyAlignment="1">
      <alignment horizontal="center"/>
    </xf>
    <xf numFmtId="0" fontId="5" fillId="0" borderId="1" xfId="307" applyNumberFormat="1" applyFont="1" applyBorder="1" applyAlignment="1">
      <alignment horizontal="center"/>
    </xf>
    <xf numFmtId="0" fontId="16" fillId="0" borderId="0" xfId="307" applyFont="1" applyAlignment="1">
      <alignment horizontal="center"/>
    </xf>
    <xf numFmtId="0" fontId="17" fillId="0" borderId="0" xfId="307" applyFont="1" applyAlignment="1">
      <alignment horizontal="center"/>
    </xf>
    <xf numFmtId="0" fontId="0" fillId="0" borderId="5" xfId="307" applyFont="1" applyBorder="1"/>
    <xf numFmtId="0" fontId="18" fillId="0" borderId="0" xfId="307" applyFont="1"/>
    <xf numFmtId="0" fontId="0" fillId="0" borderId="0" xfId="307" applyFont="1" applyAlignment="1">
      <alignment horizontal="left"/>
    </xf>
    <xf numFmtId="0" fontId="0" fillId="0" borderId="19" xfId="307" applyFont="1" applyBorder="1"/>
    <xf numFmtId="0" fontId="0" fillId="0" borderId="6" xfId="307" applyFont="1" applyBorder="1"/>
    <xf numFmtId="0" fontId="0" fillId="0" borderId="20" xfId="307" applyFont="1" applyBorder="1"/>
    <xf numFmtId="0" fontId="0" fillId="0" borderId="4" xfId="307" applyFont="1" applyBorder="1" applyAlignment="1">
      <alignment horizontal="center" vertical="center"/>
    </xf>
    <xf numFmtId="0" fontId="0" fillId="0" borderId="16" xfId="307" applyFont="1" applyBorder="1" applyAlignment="1">
      <alignment horizontal="left"/>
    </xf>
    <xf numFmtId="0" fontId="0" fillId="0" borderId="17" xfId="307" applyFont="1" applyBorder="1" applyAlignment="1">
      <alignment horizontal="left"/>
    </xf>
    <xf numFmtId="0" fontId="0" fillId="0" borderId="18" xfId="307" applyFont="1" applyBorder="1" applyAlignment="1">
      <alignment horizontal="left"/>
    </xf>
    <xf numFmtId="0" fontId="0" fillId="0" borderId="1" xfId="307" applyFont="1" applyBorder="1"/>
    <xf numFmtId="0" fontId="0" fillId="0" borderId="18" xfId="307" applyFont="1" applyBorder="1" applyAlignment="1">
      <alignment horizontal="center"/>
    </xf>
    <xf numFmtId="1" fontId="0" fillId="0" borderId="16" xfId="307" applyNumberFormat="1" applyFont="1" applyBorder="1" applyAlignment="1">
      <alignment horizontal="center"/>
    </xf>
    <xf numFmtId="0" fontId="17" fillId="0" borderId="19" xfId="307" applyFont="1" applyBorder="1" applyAlignment="1">
      <alignment horizontal="center"/>
    </xf>
    <xf numFmtId="0" fontId="0" fillId="0" borderId="22" xfId="307" applyFont="1" applyBorder="1"/>
    <xf numFmtId="0" fontId="6" fillId="0" borderId="5" xfId="307" applyFont="1" applyBorder="1"/>
    <xf numFmtId="0" fontId="6" fillId="0" borderId="1" xfId="307" applyFont="1" applyBorder="1" applyAlignment="1">
      <alignment horizontal="center"/>
    </xf>
    <xf numFmtId="0" fontId="18" fillId="0" borderId="0" xfId="307" applyFont="1" applyBorder="1"/>
    <xf numFmtId="0" fontId="0" fillId="0" borderId="0" xfId="307" applyFont="1" applyBorder="1"/>
    <xf numFmtId="0" fontId="0" fillId="0" borderId="0" xfId="307" applyFont="1" applyBorder="1" applyAlignment="1">
      <alignment horizontal="left"/>
    </xf>
    <xf numFmtId="0" fontId="0" fillId="0" borderId="1" xfId="307" applyFont="1" applyBorder="1" applyAlignment="1">
      <alignment horizontal="center" vertical="center"/>
    </xf>
    <xf numFmtId="0" fontId="0" fillId="0" borderId="1" xfId="307" applyFont="1" applyBorder="1" applyAlignment="1">
      <alignment horizontal="center" vertical="center" wrapText="1"/>
    </xf>
    <xf numFmtId="0" fontId="0" fillId="0" borderId="0" xfId="307" applyFont="1" applyAlignment="1">
      <alignment horizontal="right"/>
    </xf>
    <xf numFmtId="0" fontId="0" fillId="0" borderId="23" xfId="307" applyFont="1" applyBorder="1"/>
    <xf numFmtId="0" fontId="0" fillId="0" borderId="21" xfId="307" applyFont="1" applyBorder="1"/>
    <xf numFmtId="2" fontId="0" fillId="0" borderId="1" xfId="307" applyNumberFormat="1" applyFont="1" applyBorder="1" applyAlignment="1">
      <alignment horizontal="center"/>
    </xf>
    <xf numFmtId="177" fontId="0" fillId="0" borderId="1" xfId="307" applyNumberFormat="1" applyFont="1" applyFill="1" applyBorder="1" applyAlignment="1">
      <alignment horizontal="center"/>
    </xf>
    <xf numFmtId="1" fontId="0" fillId="0" borderId="1" xfId="307" applyNumberFormat="1" applyFont="1" applyBorder="1" applyAlignment="1">
      <alignment horizontal="center"/>
    </xf>
    <xf numFmtId="0" fontId="0" fillId="0" borderId="21" xfId="307" applyFont="1" applyBorder="1" applyAlignment="1">
      <alignment horizontal="left"/>
    </xf>
    <xf numFmtId="0" fontId="0" fillId="0" borderId="0" xfId="307" applyFont="1" applyBorder="1" applyAlignment="1">
      <alignment horizontal="right"/>
    </xf>
    <xf numFmtId="178" fontId="20" fillId="0" borderId="1" xfId="307" applyNumberFormat="1" applyFont="1" applyBorder="1" applyAlignment="1">
      <alignment horizontal="center"/>
    </xf>
    <xf numFmtId="0" fontId="5" fillId="0" borderId="0" xfId="307" applyFont="1" applyFill="1" applyAlignment="1">
      <alignment horizontal="center" vertical="center"/>
    </xf>
    <xf numFmtId="0" fontId="5" fillId="0" borderId="1" xfId="307" applyFont="1" applyFill="1" applyBorder="1" applyAlignment="1">
      <alignment horizontal="center" vertical="center"/>
    </xf>
    <xf numFmtId="0" fontId="14" fillId="0" borderId="1" xfId="307" applyFont="1" applyFill="1" applyBorder="1" applyAlignment="1">
      <alignment horizontal="center" vertical="center"/>
    </xf>
    <xf numFmtId="0" fontId="21" fillId="0" borderId="0" xfId="307" applyFont="1" applyFill="1" applyAlignment="1">
      <alignment horizontal="center" vertical="center"/>
    </xf>
    <xf numFmtId="0" fontId="5" fillId="0" borderId="1" xfId="317" applyFont="1" applyFill="1" applyBorder="1" applyAlignment="1">
      <alignment horizontal="center" vertical="center"/>
    </xf>
    <xf numFmtId="182" fontId="5" fillId="0" borderId="1" xfId="317" applyNumberFormat="1" applyFont="1" applyFill="1" applyBorder="1" applyAlignment="1">
      <alignment horizontal="center" vertical="center"/>
    </xf>
    <xf numFmtId="2" fontId="5" fillId="0" borderId="1" xfId="307" applyNumberFormat="1" applyFont="1" applyFill="1" applyBorder="1" applyAlignment="1">
      <alignment horizontal="center" vertical="center"/>
    </xf>
    <xf numFmtId="0" fontId="5" fillId="0" borderId="1" xfId="307" applyFont="1" applyFill="1" applyBorder="1" applyAlignment="1">
      <alignment horizontal="left" vertical="center"/>
    </xf>
    <xf numFmtId="0" fontId="21" fillId="0" borderId="0" xfId="307" applyFont="1" applyFill="1" applyAlignment="1">
      <alignment vertical="center"/>
    </xf>
    <xf numFmtId="180" fontId="5" fillId="0" borderId="1" xfId="307" applyNumberFormat="1" applyFont="1" applyFill="1" applyBorder="1" applyAlignment="1">
      <alignment horizontal="center" vertical="center"/>
    </xf>
    <xf numFmtId="58" fontId="5" fillId="0" borderId="1" xfId="307" applyNumberFormat="1" applyFont="1" applyFill="1" applyBorder="1" applyAlignment="1">
      <alignment horizontal="center" vertical="center"/>
    </xf>
    <xf numFmtId="0" fontId="5" fillId="0" borderId="1" xfId="307" applyFont="1" applyFill="1" applyBorder="1" applyAlignment="1">
      <alignment vertical="center"/>
    </xf>
    <xf numFmtId="2" fontId="0" fillId="0" borderId="0" xfId="307" applyNumberFormat="1" applyFont="1" applyFill="1"/>
    <xf numFmtId="0" fontId="0" fillId="0" borderId="0" xfId="38174" applyFont="1" applyFill="1" applyAlignment="1">
      <alignment vertical="center"/>
    </xf>
    <xf numFmtId="0" fontId="5" fillId="0" borderId="1" xfId="38174" applyFont="1" applyFill="1" applyBorder="1" applyAlignment="1">
      <alignment horizontal="center" vertical="center"/>
    </xf>
    <xf numFmtId="0" fontId="5" fillId="0" borderId="16" xfId="38174" applyFont="1" applyFill="1" applyBorder="1" applyAlignment="1">
      <alignment horizontal="center" vertical="center"/>
    </xf>
    <xf numFmtId="0" fontId="5" fillId="0" borderId="18" xfId="38174" applyFont="1" applyFill="1" applyBorder="1" applyAlignment="1">
      <alignment horizontal="center" vertical="center"/>
    </xf>
    <xf numFmtId="0" fontId="20" fillId="0" borderId="1" xfId="38174" applyFont="1" applyFill="1" applyBorder="1" applyAlignment="1">
      <alignment horizontal="center" vertical="center"/>
    </xf>
    <xf numFmtId="182" fontId="20" fillId="0" borderId="16" xfId="38174" applyNumberFormat="1" applyFont="1" applyFill="1" applyBorder="1" applyAlignment="1">
      <alignment horizontal="center" vertical="center"/>
    </xf>
    <xf numFmtId="182" fontId="20" fillId="0" borderId="18" xfId="38174" applyNumberFormat="1" applyFont="1" applyFill="1" applyBorder="1" applyAlignment="1">
      <alignment horizontal="center" vertical="center"/>
    </xf>
    <xf numFmtId="0" fontId="5" fillId="0" borderId="1" xfId="38174" applyFont="1" applyFill="1" applyBorder="1" applyAlignment="1">
      <alignment vertical="center"/>
    </xf>
    <xf numFmtId="182" fontId="5" fillId="0" borderId="16" xfId="38174" applyNumberFormat="1" applyFont="1" applyFill="1" applyBorder="1" applyAlignment="1">
      <alignment horizontal="center" vertical="center"/>
    </xf>
    <xf numFmtId="182" fontId="5" fillId="0" borderId="18" xfId="38174" applyNumberFormat="1" applyFont="1" applyFill="1" applyBorder="1" applyAlignment="1">
      <alignment horizontal="center" vertical="center"/>
    </xf>
    <xf numFmtId="0" fontId="5" fillId="0" borderId="1" xfId="38174" applyFont="1" applyFill="1" applyBorder="1" applyAlignment="1">
      <alignment horizontal="left" vertical="center"/>
    </xf>
    <xf numFmtId="0" fontId="0" fillId="0" borderId="18" xfId="38174" applyFont="1" applyBorder="1" applyAlignment="1">
      <alignment horizontal="center" vertical="center"/>
    </xf>
    <xf numFmtId="0" fontId="5" fillId="0" borderId="1" xfId="38174" applyFont="1" applyFill="1" applyBorder="1" applyAlignment="1">
      <alignment horizontal="left" vertical="center" wrapText="1"/>
    </xf>
    <xf numFmtId="0" fontId="5" fillId="0" borderId="1" xfId="38174" applyFont="1" applyFill="1" applyBorder="1" applyAlignment="1">
      <alignment horizontal="center" vertical="center" wrapText="1"/>
    </xf>
    <xf numFmtId="0" fontId="0" fillId="0" borderId="1" xfId="38174" applyFont="1" applyBorder="1" applyAlignment="1">
      <alignment vertical="center"/>
    </xf>
    <xf numFmtId="182" fontId="5" fillId="7" borderId="16" xfId="38174" applyNumberFormat="1" applyFont="1" applyFill="1" applyBorder="1" applyAlignment="1">
      <alignment horizontal="center" vertical="center"/>
    </xf>
    <xf numFmtId="182" fontId="5" fillId="7" borderId="18" xfId="38174" applyNumberFormat="1" applyFont="1" applyFill="1" applyBorder="1" applyAlignment="1">
      <alignment horizontal="center" vertical="center"/>
    </xf>
    <xf numFmtId="10" fontId="5" fillId="0" borderId="16" xfId="56" applyNumberFormat="1" applyFont="1" applyFill="1" applyBorder="1" applyAlignment="1">
      <alignment horizontal="center" vertical="center"/>
    </xf>
    <xf numFmtId="10" fontId="5" fillId="0" borderId="18" xfId="56" applyNumberFormat="1" applyFont="1" applyFill="1" applyBorder="1" applyAlignment="1">
      <alignment horizontal="center" vertical="center"/>
    </xf>
    <xf numFmtId="10" fontId="5" fillId="0" borderId="1" xfId="56" applyNumberFormat="1" applyFont="1" applyFill="1" applyBorder="1" applyAlignment="1">
      <alignment horizontal="center" vertical="center"/>
    </xf>
    <xf numFmtId="10" fontId="5" fillId="7" borderId="1" xfId="56" applyNumberFormat="1" applyFont="1" applyFill="1" applyBorder="1" applyAlignment="1">
      <alignment horizontal="center" vertical="center"/>
    </xf>
    <xf numFmtId="182" fontId="5" fillId="7" borderId="1" xfId="56" applyNumberFormat="1" applyFont="1" applyFill="1" applyBorder="1" applyAlignment="1">
      <alignment horizontal="center" vertical="center"/>
    </xf>
    <xf numFmtId="10" fontId="5" fillId="7" borderId="16" xfId="56" applyNumberFormat="1" applyFont="1" applyFill="1" applyBorder="1" applyAlignment="1">
      <alignment horizontal="center" vertical="center"/>
    </xf>
    <xf numFmtId="0" fontId="23" fillId="0" borderId="0" xfId="38174" applyFont="1" applyFill="1" applyBorder="1" applyAlignment="1">
      <alignment horizontal="center" vertical="center" wrapText="1"/>
    </xf>
    <xf numFmtId="0" fontId="23" fillId="0" borderId="0" xfId="38174" applyFont="1" applyFill="1" applyBorder="1" applyAlignment="1">
      <alignment horizontal="center" vertical="center"/>
    </xf>
    <xf numFmtId="180" fontId="0" fillId="0" borderId="16" xfId="38174" applyNumberFormat="1" applyFont="1" applyBorder="1" applyAlignment="1">
      <alignment horizontal="center" vertical="center"/>
    </xf>
    <xf numFmtId="0" fontId="5" fillId="4" borderId="1" xfId="38174" applyFont="1" applyFill="1" applyBorder="1" applyAlignment="1">
      <alignment vertical="center"/>
    </xf>
    <xf numFmtId="0" fontId="0" fillId="0" borderId="0" xfId="38174" applyFont="1" applyAlignment="1">
      <alignment horizontal="center" vertical="center"/>
    </xf>
    <xf numFmtId="0" fontId="5" fillId="0" borderId="0" xfId="38174" applyFont="1" applyAlignment="1">
      <alignment horizontal="center" vertical="center"/>
    </xf>
    <xf numFmtId="0" fontId="5" fillId="0" borderId="0" xfId="38174" applyFont="1" applyAlignment="1">
      <alignment vertical="center"/>
    </xf>
    <xf numFmtId="0" fontId="5" fillId="0" borderId="0" xfId="38174" applyFont="1" applyAlignment="1">
      <alignment horizontal="left" vertical="center"/>
    </xf>
    <xf numFmtId="0" fontId="5" fillId="0" borderId="0" xfId="38174" applyFont="1" applyBorder="1" applyAlignment="1">
      <alignment horizontal="center" vertical="center"/>
    </xf>
    <xf numFmtId="0" fontId="5" fillId="7" borderId="0" xfId="38174" applyFont="1" applyFill="1" applyAlignment="1">
      <alignment horizontal="center" vertical="center"/>
    </xf>
    <xf numFmtId="0" fontId="5" fillId="0" borderId="0" xfId="38174" applyFont="1" applyFill="1" applyAlignment="1">
      <alignment horizontal="left" vertical="center"/>
    </xf>
    <xf numFmtId="182" fontId="5" fillId="0" borderId="0" xfId="38174" applyNumberFormat="1" applyFont="1" applyBorder="1" applyAlignment="1">
      <alignment horizontal="center" vertical="center"/>
    </xf>
    <xf numFmtId="10" fontId="5" fillId="0" borderId="22" xfId="56" applyNumberFormat="1" applyFont="1" applyFill="1" applyBorder="1" applyAlignment="1">
      <alignment horizontal="left" vertical="center"/>
    </xf>
    <xf numFmtId="182" fontId="5" fillId="0" borderId="0" xfId="38174" applyNumberFormat="1" applyFont="1" applyAlignment="1">
      <alignment horizontal="center" vertical="center"/>
    </xf>
    <xf numFmtId="0" fontId="5" fillId="0" borderId="0" xfId="38174" applyFont="1" applyFill="1" applyAlignment="1">
      <alignment horizontal="center" vertical="center"/>
    </xf>
    <xf numFmtId="0" fontId="5" fillId="0" borderId="0" xfId="38174" applyFont="1" applyFill="1" applyBorder="1" applyAlignment="1">
      <alignment horizontal="center" vertical="center"/>
    </xf>
    <xf numFmtId="0" fontId="25" fillId="0" borderId="0" xfId="38174" applyFont="1" applyAlignment="1">
      <alignment vertical="center"/>
    </xf>
    <xf numFmtId="179" fontId="0" fillId="0" borderId="0" xfId="38174" applyNumberFormat="1" applyFont="1" applyAlignment="1">
      <alignment horizontal="center" vertical="center"/>
    </xf>
    <xf numFmtId="0" fontId="0" fillId="0" borderId="0" xfId="38174" applyFont="1" applyAlignment="1">
      <alignment horizontal="left" vertical="center"/>
    </xf>
    <xf numFmtId="0" fontId="5" fillId="0" borderId="0" xfId="38174" applyFont="1" applyFill="1" applyBorder="1" applyAlignment="1">
      <alignment vertical="center"/>
    </xf>
    <xf numFmtId="0" fontId="0" fillId="0" borderId="0" xfId="38174" applyFont="1" applyAlignment="1">
      <alignment vertical="center"/>
    </xf>
    <xf numFmtId="0" fontId="0" fillId="0" borderId="1" xfId="38174" applyFont="1" applyBorder="1" applyAlignment="1">
      <alignment horizontal="center" vertical="center"/>
    </xf>
    <xf numFmtId="0" fontId="5" fillId="7" borderId="0" xfId="307" applyFont="1" applyFill="1" applyAlignment="1">
      <alignment horizontal="center"/>
    </xf>
    <xf numFmtId="0" fontId="27" fillId="0" borderId="0" xfId="307" applyFont="1" applyAlignment="1"/>
    <xf numFmtId="0" fontId="5" fillId="0" borderId="24" xfId="307" applyFont="1" applyBorder="1" applyAlignment="1">
      <alignment horizontal="center" vertical="center"/>
    </xf>
    <xf numFmtId="0" fontId="5" fillId="0" borderId="25" xfId="307" applyFont="1" applyBorder="1" applyAlignment="1">
      <alignment horizontal="center" vertical="center" wrapText="1"/>
    </xf>
    <xf numFmtId="0" fontId="5" fillId="0" borderId="25" xfId="307" applyFont="1" applyBorder="1" applyAlignment="1">
      <alignment horizontal="center" vertical="center"/>
    </xf>
    <xf numFmtId="0" fontId="5" fillId="0" borderId="26" xfId="307" applyFont="1" applyBorder="1" applyAlignment="1">
      <alignment horizontal="center" vertical="center"/>
    </xf>
    <xf numFmtId="0" fontId="5" fillId="0" borderId="1" xfId="307" applyFont="1" applyBorder="1" applyAlignment="1">
      <alignment horizontal="center" vertical="center"/>
    </xf>
    <xf numFmtId="0" fontId="5" fillId="0" borderId="26" xfId="307" applyFont="1" applyFill="1" applyBorder="1" applyAlignment="1">
      <alignment horizontal="center" vertical="center" wrapText="1"/>
    </xf>
    <xf numFmtId="0" fontId="5" fillId="0" borderId="1" xfId="677" applyFont="1" applyFill="1" applyBorder="1" applyAlignment="1">
      <alignment horizontal="center" vertical="center"/>
    </xf>
    <xf numFmtId="0" fontId="5" fillId="0" borderId="1" xfId="263" applyFont="1" applyFill="1" applyBorder="1" applyAlignment="1">
      <alignment horizontal="center" vertical="center"/>
    </xf>
    <xf numFmtId="0" fontId="5" fillId="0" borderId="1" xfId="41073" applyFont="1" applyFill="1" applyBorder="1" applyAlignment="1">
      <alignment horizontal="center" vertical="center"/>
    </xf>
    <xf numFmtId="0" fontId="5" fillId="0" borderId="26" xfId="307" applyFont="1" applyFill="1" applyBorder="1" applyAlignment="1">
      <alignment horizontal="center" vertical="center"/>
    </xf>
    <xf numFmtId="0" fontId="5" fillId="8" borderId="26" xfId="307" applyFont="1" applyFill="1" applyBorder="1" applyAlignment="1">
      <alignment horizontal="center" vertical="center"/>
    </xf>
    <xf numFmtId="0" fontId="5" fillId="8" borderId="1" xfId="41073" applyFont="1" applyFill="1" applyBorder="1" applyAlignment="1">
      <alignment horizontal="center" vertical="center"/>
    </xf>
    <xf numFmtId="182" fontId="5" fillId="0" borderId="1" xfId="307" applyNumberFormat="1" applyFont="1" applyFill="1" applyBorder="1" applyAlignment="1">
      <alignment horizontal="center" vertical="center"/>
    </xf>
    <xf numFmtId="0" fontId="5" fillId="0" borderId="1" xfId="677" applyFont="1" applyBorder="1" applyAlignment="1">
      <alignment horizontal="center" vertical="center"/>
    </xf>
    <xf numFmtId="0" fontId="5" fillId="0" borderId="1" xfId="307" applyFont="1" applyFill="1" applyBorder="1"/>
    <xf numFmtId="0" fontId="5" fillId="0" borderId="27" xfId="307" applyFont="1" applyBorder="1"/>
    <xf numFmtId="0" fontId="5" fillId="0" borderId="28" xfId="307" applyFont="1" applyFill="1" applyBorder="1"/>
    <xf numFmtId="0" fontId="5" fillId="0" borderId="28" xfId="307" applyFont="1" applyBorder="1"/>
    <xf numFmtId="0" fontId="5" fillId="0" borderId="25" xfId="307" applyFont="1" applyFill="1" applyBorder="1" applyAlignment="1">
      <alignment horizontal="center" vertical="center" wrapText="1"/>
    </xf>
    <xf numFmtId="0" fontId="5" fillId="0" borderId="29" xfId="317" applyFont="1" applyFill="1" applyBorder="1" applyAlignment="1">
      <alignment horizontal="center" vertical="center" wrapText="1"/>
    </xf>
    <xf numFmtId="0" fontId="5" fillId="0" borderId="30" xfId="317" applyFont="1" applyFill="1" applyBorder="1"/>
    <xf numFmtId="2" fontId="5" fillId="0" borderId="1" xfId="307" applyNumberFormat="1" applyFont="1" applyBorder="1" applyAlignment="1">
      <alignment horizontal="center" vertical="center"/>
    </xf>
    <xf numFmtId="0" fontId="5" fillId="0" borderId="31" xfId="317" applyFont="1" applyFill="1" applyBorder="1"/>
    <xf numFmtId="0" fontId="0" fillId="0" borderId="0" xfId="0" applyFill="1"/>
    <xf numFmtId="0" fontId="5" fillId="0" borderId="0" xfId="307" applyFont="1" applyFill="1"/>
    <xf numFmtId="0" fontId="28" fillId="0" borderId="0" xfId="307" applyFont="1"/>
    <xf numFmtId="0" fontId="10" fillId="0" borderId="1" xfId="307" applyFont="1" applyBorder="1" applyAlignment="1">
      <alignment horizontal="center" vertical="center"/>
    </xf>
    <xf numFmtId="0" fontId="10" fillId="0" borderId="1" xfId="307" applyFont="1" applyBorder="1" applyAlignment="1">
      <alignment horizontal="center"/>
    </xf>
    <xf numFmtId="0" fontId="10" fillId="0" borderId="4" xfId="307" applyFont="1" applyBorder="1" applyAlignment="1"/>
    <xf numFmtId="2" fontId="10" fillId="0" borderId="1" xfId="307" applyNumberFormat="1" applyFont="1" applyBorder="1" applyAlignment="1">
      <alignment horizontal="center"/>
    </xf>
    <xf numFmtId="0" fontId="10" fillId="0" borderId="1" xfId="307" applyFont="1" applyBorder="1" applyAlignment="1"/>
    <xf numFmtId="0" fontId="10" fillId="0" borderId="1" xfId="307" applyFont="1" applyBorder="1" applyAlignment="1">
      <alignment horizontal="left"/>
    </xf>
    <xf numFmtId="0" fontId="10" fillId="0" borderId="1" xfId="307" applyFont="1" applyBorder="1"/>
    <xf numFmtId="0" fontId="10" fillId="0" borderId="1" xfId="307" applyFont="1" applyFill="1" applyBorder="1" applyAlignment="1"/>
    <xf numFmtId="182" fontId="10" fillId="0" borderId="1" xfId="307" applyNumberFormat="1" applyFont="1" applyBorder="1" applyAlignment="1">
      <alignment horizontal="center"/>
    </xf>
    <xf numFmtId="188" fontId="10" fillId="0" borderId="1" xfId="307" applyNumberFormat="1" applyFont="1" applyBorder="1" applyAlignment="1">
      <alignment horizontal="center" vertical="center"/>
    </xf>
    <xf numFmtId="0" fontId="29" fillId="0" borderId="0" xfId="307" applyFont="1"/>
    <xf numFmtId="0" fontId="10" fillId="0" borderId="1" xfId="307" applyFont="1" applyBorder="1" applyAlignment="1">
      <alignment horizontal="center" vertical="center" wrapText="1"/>
    </xf>
    <xf numFmtId="2" fontId="10" fillId="0" borderId="1" xfId="307" applyNumberFormat="1" applyFont="1" applyBorder="1" applyAlignment="1">
      <alignment horizontal="center" vertical="center"/>
    </xf>
    <xf numFmtId="187" fontId="10" fillId="0" borderId="1" xfId="307" applyNumberFormat="1" applyFont="1" applyBorder="1" applyAlignment="1">
      <alignment horizontal="center" vertical="center"/>
    </xf>
    <xf numFmtId="2" fontId="10" fillId="0" borderId="1" xfId="307" applyNumberFormat="1" applyFont="1" applyBorder="1" applyAlignment="1">
      <alignment horizontal="center" vertical="center" wrapText="1"/>
    </xf>
    <xf numFmtId="1" fontId="10" fillId="0" borderId="1" xfId="307" applyNumberFormat="1" applyFont="1" applyBorder="1" applyAlignment="1">
      <alignment horizontal="center" vertical="center"/>
    </xf>
    <xf numFmtId="1" fontId="10" fillId="0" borderId="1" xfId="307" applyNumberFormat="1" applyFont="1" applyBorder="1" applyAlignment="1">
      <alignment horizontal="center"/>
    </xf>
    <xf numFmtId="0" fontId="10" fillId="0" borderId="1" xfId="307" applyFont="1" applyBorder="1" applyAlignment="1">
      <alignment wrapText="1"/>
    </xf>
    <xf numFmtId="178" fontId="10" fillId="0" borderId="1" xfId="307" applyNumberFormat="1" applyFont="1" applyBorder="1" applyAlignment="1">
      <alignment horizontal="center"/>
    </xf>
    <xf numFmtId="0" fontId="10" fillId="0" borderId="0" xfId="307" applyFont="1" applyAlignment="1">
      <alignment horizontal="right"/>
    </xf>
    <xf numFmtId="0" fontId="10" fillId="0" borderId="0" xfId="307" applyFont="1"/>
    <xf numFmtId="0" fontId="10" fillId="0" borderId="0" xfId="307" applyFont="1" applyAlignment="1">
      <alignment horizontal="center"/>
    </xf>
    <xf numFmtId="183" fontId="10" fillId="0" borderId="1" xfId="307" applyNumberFormat="1" applyFont="1" applyBorder="1" applyAlignment="1">
      <alignment horizontal="center"/>
    </xf>
    <xf numFmtId="0" fontId="30" fillId="0" borderId="1" xfId="307" applyFont="1" applyBorder="1" applyAlignment="1">
      <alignment horizontal="center"/>
    </xf>
    <xf numFmtId="0" fontId="30" fillId="0" borderId="1" xfId="307" applyFont="1" applyBorder="1" applyAlignment="1">
      <alignment wrapText="1"/>
    </xf>
    <xf numFmtId="1" fontId="30" fillId="0" borderId="1" xfId="307" applyNumberFormat="1" applyFont="1" applyBorder="1" applyAlignment="1">
      <alignment horizontal="center"/>
    </xf>
    <xf numFmtId="0" fontId="31" fillId="0" borderId="1" xfId="307" applyFont="1" applyBorder="1"/>
    <xf numFmtId="0" fontId="30" fillId="0" borderId="1" xfId="307" applyFont="1" applyBorder="1"/>
    <xf numFmtId="0" fontId="30" fillId="0" borderId="1" xfId="307" applyFont="1" applyBorder="1" applyAlignment="1">
      <alignment horizontal="center" wrapText="1"/>
    </xf>
    <xf numFmtId="49" fontId="30" fillId="0" borderId="1" xfId="307" applyNumberFormat="1" applyFont="1" applyBorder="1" applyAlignment="1">
      <alignment horizontal="center"/>
    </xf>
    <xf numFmtId="178" fontId="30" fillId="0" borderId="1" xfId="307" applyNumberFormat="1" applyFont="1" applyBorder="1"/>
    <xf numFmtId="178" fontId="30" fillId="0" borderId="1" xfId="307" applyNumberFormat="1" applyFont="1" applyBorder="1" applyAlignment="1">
      <alignment horizontal="center"/>
    </xf>
    <xf numFmtId="0" fontId="30" fillId="0" borderId="0" xfId="307" applyFont="1" applyAlignment="1">
      <alignment horizontal="center"/>
    </xf>
    <xf numFmtId="0" fontId="0" fillId="0" borderId="0" xfId="307" applyFont="1" applyBorder="1" applyAlignment="1">
      <alignment horizontal="center" vertical="center"/>
    </xf>
    <xf numFmtId="0" fontId="32" fillId="8" borderId="24" xfId="307" applyFont="1" applyFill="1" applyBorder="1" applyAlignment="1">
      <alignment horizontal="center" vertical="center" wrapText="1"/>
    </xf>
    <xf numFmtId="0" fontId="32" fillId="8" borderId="25" xfId="307" applyFont="1" applyFill="1" applyBorder="1" applyAlignment="1">
      <alignment horizontal="center" vertical="center" wrapText="1"/>
    </xf>
    <xf numFmtId="0" fontId="20" fillId="8" borderId="29" xfId="307" applyFont="1" applyFill="1" applyBorder="1" applyAlignment="1">
      <alignment horizontal="center" vertical="center" wrapText="1"/>
    </xf>
    <xf numFmtId="0" fontId="32" fillId="8" borderId="26" xfId="307" applyFont="1" applyFill="1" applyBorder="1" applyAlignment="1">
      <alignment horizontal="center" vertical="center" wrapText="1"/>
    </xf>
    <xf numFmtId="0" fontId="32" fillId="8" borderId="1" xfId="307" applyFont="1" applyFill="1" applyBorder="1" applyAlignment="1">
      <alignment horizontal="center" vertical="center" wrapText="1"/>
    </xf>
    <xf numFmtId="176" fontId="32" fillId="8" borderId="30" xfId="307" applyNumberFormat="1" applyFont="1" applyFill="1" applyBorder="1" applyAlignment="1">
      <alignment horizontal="center" vertical="center" wrapText="1"/>
    </xf>
    <xf numFmtId="0" fontId="14" fillId="8" borderId="26" xfId="307" applyFont="1" applyFill="1" applyBorder="1" applyAlignment="1">
      <alignment horizontal="center" vertical="center" wrapText="1"/>
    </xf>
    <xf numFmtId="0" fontId="5" fillId="8" borderId="1" xfId="307" applyFont="1" applyFill="1" applyBorder="1" applyAlignment="1">
      <alignment horizontal="center" vertical="center" wrapText="1"/>
    </xf>
    <xf numFmtId="182" fontId="14" fillId="8" borderId="1" xfId="307" applyNumberFormat="1" applyFont="1" applyFill="1" applyBorder="1" applyAlignment="1">
      <alignment horizontal="center" vertical="center" wrapText="1"/>
    </xf>
    <xf numFmtId="0" fontId="14" fillId="8" borderId="1" xfId="307" applyFont="1" applyFill="1" applyBorder="1" applyAlignment="1">
      <alignment horizontal="center" vertical="center" wrapText="1"/>
    </xf>
    <xf numFmtId="176" fontId="14" fillId="8" borderId="30" xfId="307" applyNumberFormat="1" applyFont="1" applyFill="1" applyBorder="1" applyAlignment="1">
      <alignment horizontal="center" vertical="center" wrapText="1"/>
    </xf>
    <xf numFmtId="182" fontId="32" fillId="8" borderId="1" xfId="307" applyNumberFormat="1" applyFont="1" applyFill="1" applyBorder="1" applyAlignment="1">
      <alignment horizontal="center" vertical="center" wrapText="1"/>
    </xf>
    <xf numFmtId="10" fontId="14" fillId="8" borderId="1" xfId="307" applyNumberFormat="1" applyFont="1" applyFill="1" applyBorder="1" applyAlignment="1">
      <alignment horizontal="center" vertical="center" wrapText="1"/>
    </xf>
    <xf numFmtId="10" fontId="32" fillId="8" borderId="1" xfId="307" applyNumberFormat="1" applyFont="1" applyFill="1" applyBorder="1" applyAlignment="1">
      <alignment horizontal="center" vertical="center" wrapText="1"/>
    </xf>
    <xf numFmtId="0" fontId="32" fillId="8" borderId="28" xfId="307" applyFont="1" applyFill="1" applyBorder="1" applyAlignment="1">
      <alignment horizontal="center" vertical="center" wrapText="1"/>
    </xf>
    <xf numFmtId="176" fontId="32" fillId="8" borderId="31" xfId="307" applyNumberFormat="1" applyFont="1" applyFill="1" applyBorder="1" applyAlignment="1">
      <alignment horizontal="center" vertical="center" wrapText="1"/>
    </xf>
    <xf numFmtId="0" fontId="81" fillId="0" borderId="0" xfId="10889"/>
    <xf numFmtId="0" fontId="14" fillId="0" borderId="0" xfId="38176" applyFont="1" applyFill="1" applyAlignment="1">
      <alignment vertical="center"/>
    </xf>
    <xf numFmtId="0" fontId="14" fillId="0" borderId="1" xfId="38176" applyFont="1" applyFill="1" applyBorder="1" applyAlignment="1">
      <alignment horizontal="center" vertical="center"/>
    </xf>
    <xf numFmtId="181" fontId="5" fillId="0" borderId="1" xfId="38176" applyNumberFormat="1" applyFont="1" applyFill="1" applyBorder="1" applyAlignment="1">
      <alignment horizontal="center" vertical="center"/>
    </xf>
    <xf numFmtId="0" fontId="14" fillId="0" borderId="30" xfId="38176" applyFont="1" applyFill="1" applyBorder="1" applyAlignment="1">
      <alignment horizontal="center" vertical="center"/>
    </xf>
    <xf numFmtId="0" fontId="34" fillId="0" borderId="26" xfId="38176" applyFont="1" applyFill="1" applyBorder="1" applyAlignment="1">
      <alignment horizontal="center" vertical="center" wrapText="1"/>
    </xf>
    <xf numFmtId="0" fontId="34" fillId="0" borderId="1" xfId="38176" applyFont="1" applyFill="1" applyBorder="1" applyAlignment="1">
      <alignment horizontal="center" vertical="center"/>
    </xf>
    <xf numFmtId="0" fontId="35" fillId="0" borderId="1" xfId="38176" applyFont="1" applyFill="1" applyBorder="1" applyAlignment="1">
      <alignment horizontal="center" vertical="center" wrapText="1"/>
    </xf>
    <xf numFmtId="181" fontId="35" fillId="0" borderId="1" xfId="38176" applyNumberFormat="1" applyFont="1" applyFill="1" applyBorder="1" applyAlignment="1">
      <alignment horizontal="center" vertical="center" wrapText="1"/>
    </xf>
    <xf numFmtId="0" fontId="35" fillId="0" borderId="1" xfId="38176" applyFont="1" applyFill="1" applyBorder="1" applyAlignment="1">
      <alignment horizontal="center" vertical="center"/>
    </xf>
    <xf numFmtId="181" fontId="36" fillId="0" borderId="1" xfId="38176" applyNumberFormat="1" applyFont="1" applyFill="1" applyBorder="1" applyAlignment="1">
      <alignment horizontal="center" vertical="center"/>
    </xf>
    <xf numFmtId="178" fontId="34" fillId="0" borderId="1" xfId="38176" applyNumberFormat="1" applyFont="1" applyFill="1" applyBorder="1" applyAlignment="1">
      <alignment horizontal="center" vertical="center"/>
    </xf>
    <xf numFmtId="178" fontId="34" fillId="0" borderId="30" xfId="38176" applyNumberFormat="1" applyFont="1" applyFill="1" applyBorder="1" applyAlignment="1">
      <alignment horizontal="center" vertical="center"/>
    </xf>
    <xf numFmtId="0" fontId="5" fillId="0" borderId="26" xfId="41073" applyFont="1" applyFill="1" applyBorder="1" applyAlignment="1">
      <alignment horizontal="center" vertical="center"/>
    </xf>
    <xf numFmtId="0" fontId="14" fillId="0" borderId="1" xfId="0" applyFont="1" applyFill="1" applyBorder="1" applyAlignment="1">
      <alignment vertical="center" wrapText="1"/>
    </xf>
    <xf numFmtId="0" fontId="36" fillId="0" borderId="1" xfId="38176" applyFont="1" applyFill="1" applyBorder="1" applyAlignment="1">
      <alignment horizontal="center" vertical="center" wrapText="1"/>
    </xf>
    <xf numFmtId="180" fontId="35" fillId="0" borderId="1" xfId="38176" applyNumberFormat="1" applyFont="1" applyFill="1" applyBorder="1" applyAlignment="1">
      <alignment horizontal="center" vertical="center" wrapText="1"/>
    </xf>
    <xf numFmtId="181" fontId="35" fillId="0" borderId="1" xfId="14532" applyNumberFormat="1" applyFont="1" applyFill="1" applyBorder="1" applyAlignment="1">
      <alignment horizontal="center" vertical="center"/>
    </xf>
    <xf numFmtId="178" fontId="35" fillId="0" borderId="1" xfId="38176" applyNumberFormat="1" applyFont="1" applyFill="1" applyBorder="1" applyAlignment="1">
      <alignment horizontal="center" vertical="center"/>
    </xf>
    <xf numFmtId="178" fontId="35" fillId="0" borderId="30" xfId="38176" applyNumberFormat="1" applyFont="1" applyFill="1" applyBorder="1" applyAlignment="1">
      <alignment horizontal="center" vertical="center"/>
    </xf>
    <xf numFmtId="0" fontId="36" fillId="0" borderId="1" xfId="38176" applyFont="1" applyFill="1" applyBorder="1" applyAlignment="1">
      <alignment horizontal="center" vertical="center"/>
    </xf>
    <xf numFmtId="0" fontId="5" fillId="0" borderId="27" xfId="41073" applyFont="1" applyFill="1" applyBorder="1" applyAlignment="1">
      <alignment horizontal="center" vertical="center"/>
    </xf>
    <xf numFmtId="0" fontId="14" fillId="0" borderId="28" xfId="0" applyFont="1" applyFill="1" applyBorder="1" applyAlignment="1">
      <alignment vertical="center" wrapText="1"/>
    </xf>
    <xf numFmtId="0" fontId="36" fillId="0" borderId="28" xfId="38176" applyFont="1" applyFill="1" applyBorder="1" applyAlignment="1">
      <alignment horizontal="center" vertical="center"/>
    </xf>
    <xf numFmtId="180" fontId="35" fillId="0" borderId="28" xfId="38176" applyNumberFormat="1" applyFont="1" applyFill="1" applyBorder="1" applyAlignment="1">
      <alignment horizontal="center" vertical="center" wrapText="1"/>
    </xf>
    <xf numFmtId="181" fontId="35" fillId="0" borderId="28" xfId="14532" applyNumberFormat="1" applyFont="1" applyFill="1" applyBorder="1" applyAlignment="1">
      <alignment horizontal="center" vertical="center"/>
    </xf>
    <xf numFmtId="181" fontId="36" fillId="0" borderId="28" xfId="38176" applyNumberFormat="1" applyFont="1" applyFill="1" applyBorder="1" applyAlignment="1">
      <alignment horizontal="center" vertical="center"/>
    </xf>
    <xf numFmtId="180" fontId="0" fillId="0" borderId="0" xfId="0" applyNumberFormat="1"/>
    <xf numFmtId="178" fontId="0" fillId="0" borderId="0" xfId="0" applyNumberFormat="1"/>
    <xf numFmtId="0" fontId="32" fillId="8" borderId="24" xfId="14529" applyFont="1" applyFill="1" applyBorder="1" applyAlignment="1">
      <alignment horizontal="center" vertical="center" wrapText="1"/>
    </xf>
    <xf numFmtId="0" fontId="32" fillId="8" borderId="25" xfId="14529" applyFont="1" applyFill="1" applyBorder="1" applyAlignment="1">
      <alignment horizontal="center" vertical="center" wrapText="1"/>
    </xf>
    <xf numFmtId="180" fontId="32" fillId="8" borderId="25" xfId="14529" applyNumberFormat="1" applyFont="1" applyFill="1" applyBorder="1" applyAlignment="1">
      <alignment horizontal="center" vertical="center" wrapText="1"/>
    </xf>
    <xf numFmtId="178" fontId="32" fillId="8" borderId="25" xfId="14529" applyNumberFormat="1" applyFont="1" applyFill="1" applyBorder="1" applyAlignment="1">
      <alignment horizontal="center" vertical="center" wrapText="1"/>
    </xf>
    <xf numFmtId="0" fontId="32" fillId="8" borderId="29" xfId="14529" applyFont="1" applyFill="1" applyBorder="1" applyAlignment="1">
      <alignment horizontal="center" vertical="center" wrapText="1"/>
    </xf>
    <xf numFmtId="0" fontId="32" fillId="8" borderId="26" xfId="14529" applyFont="1" applyFill="1" applyBorder="1" applyAlignment="1">
      <alignment horizontal="center" vertical="center" wrapText="1"/>
    </xf>
    <xf numFmtId="0" fontId="20" fillId="8" borderId="1" xfId="14529" applyFont="1" applyFill="1" applyBorder="1" applyAlignment="1">
      <alignment horizontal="center" vertical="center" wrapText="1"/>
    </xf>
    <xf numFmtId="182" fontId="32" fillId="8" borderId="1" xfId="41073" applyNumberFormat="1" applyFont="1" applyFill="1" applyBorder="1" applyAlignment="1">
      <alignment horizontal="center" vertical="center"/>
    </xf>
    <xf numFmtId="181" fontId="32" fillId="8" borderId="1" xfId="14529" applyNumberFormat="1" applyFont="1" applyFill="1" applyBorder="1" applyAlignment="1">
      <alignment horizontal="center" vertical="center" wrapText="1"/>
    </xf>
    <xf numFmtId="180" fontId="32" fillId="8" borderId="1" xfId="14529" applyNumberFormat="1" applyFont="1" applyFill="1" applyBorder="1" applyAlignment="1">
      <alignment horizontal="center" vertical="center" wrapText="1"/>
    </xf>
    <xf numFmtId="178" fontId="32" fillId="8" borderId="1" xfId="14529" applyNumberFormat="1" applyFont="1" applyFill="1" applyBorder="1" applyAlignment="1">
      <alignment horizontal="center" vertical="center" wrapText="1"/>
    </xf>
    <xf numFmtId="0" fontId="32" fillId="8" borderId="30" xfId="14529" applyFont="1" applyFill="1" applyBorder="1" applyAlignment="1">
      <alignment horizontal="center" vertical="center" wrapText="1"/>
    </xf>
    <xf numFmtId="0" fontId="20" fillId="8" borderId="26" xfId="14529" applyFont="1" applyFill="1" applyBorder="1" applyAlignment="1">
      <alignment horizontal="center" vertical="center" wrapText="1"/>
    </xf>
    <xf numFmtId="0" fontId="20" fillId="0" borderId="1" xfId="14529" applyFont="1" applyFill="1" applyBorder="1" applyAlignment="1">
      <alignment horizontal="left" vertical="center" wrapText="1"/>
    </xf>
    <xf numFmtId="0" fontId="5" fillId="8" borderId="30" xfId="38173" applyFont="1" applyFill="1" applyBorder="1" applyAlignment="1">
      <alignment horizontal="center" vertical="center"/>
    </xf>
    <xf numFmtId="0" fontId="20" fillId="8" borderId="26" xfId="14529" applyFont="1" applyFill="1" applyBorder="1" applyAlignment="1">
      <alignment horizontal="center" vertical="center"/>
    </xf>
    <xf numFmtId="49" fontId="32" fillId="8" borderId="26" xfId="41073" applyNumberFormat="1" applyFont="1" applyFill="1" applyBorder="1" applyAlignment="1">
      <alignment horizontal="center" vertical="center"/>
    </xf>
    <xf numFmtId="182" fontId="5" fillId="0" borderId="1" xfId="41073" applyNumberFormat="1" applyFont="1" applyFill="1" applyBorder="1" applyAlignment="1">
      <alignment horizontal="left" vertical="center" wrapText="1"/>
    </xf>
    <xf numFmtId="182" fontId="14" fillId="0" borderId="1" xfId="41073" applyNumberFormat="1" applyFont="1" applyFill="1" applyBorder="1" applyAlignment="1">
      <alignment horizontal="center" vertical="center"/>
    </xf>
    <xf numFmtId="180" fontId="14" fillId="0" borderId="1" xfId="41073" applyNumberFormat="1" applyFont="1" applyFill="1" applyBorder="1" applyAlignment="1">
      <alignment horizontal="center" vertical="center"/>
    </xf>
    <xf numFmtId="178" fontId="14" fillId="8" borderId="1" xfId="41073" applyNumberFormat="1" applyFont="1" applyFill="1" applyBorder="1" applyAlignment="1">
      <alignment horizontal="center" vertical="center"/>
    </xf>
    <xf numFmtId="0" fontId="0" fillId="0" borderId="0" xfId="0" applyFont="1"/>
    <xf numFmtId="0" fontId="5" fillId="0" borderId="1" xfId="14529" applyFont="1" applyFill="1" applyBorder="1" applyAlignment="1">
      <alignment horizontal="left" vertical="center" wrapText="1"/>
    </xf>
    <xf numFmtId="180" fontId="14" fillId="8" borderId="1" xfId="14529" applyNumberFormat="1" applyFont="1" applyFill="1" applyBorder="1" applyAlignment="1">
      <alignment horizontal="center" vertical="center" wrapText="1"/>
    </xf>
    <xf numFmtId="180" fontId="14" fillId="0" borderId="1" xfId="14529" applyNumberFormat="1" applyFont="1" applyFill="1" applyBorder="1" applyAlignment="1">
      <alignment horizontal="center" vertical="center" wrapText="1"/>
    </xf>
    <xf numFmtId="0" fontId="20" fillId="8" borderId="1" xfId="14529" applyFont="1" applyFill="1" applyBorder="1" applyAlignment="1">
      <alignment horizontal="left" vertical="center"/>
    </xf>
    <xf numFmtId="182" fontId="20" fillId="0" borderId="1" xfId="41073" applyNumberFormat="1" applyFont="1" applyFill="1" applyBorder="1" applyAlignment="1">
      <alignment horizontal="center" vertical="center"/>
    </xf>
    <xf numFmtId="182" fontId="32" fillId="0" borderId="1" xfId="41073" applyNumberFormat="1" applyFont="1" applyFill="1" applyBorder="1" applyAlignment="1">
      <alignment horizontal="center" vertical="center"/>
    </xf>
    <xf numFmtId="180" fontId="32" fillId="0" borderId="1" xfId="41073" applyNumberFormat="1" applyFont="1" applyFill="1" applyBorder="1" applyAlignment="1">
      <alignment horizontal="center" vertical="center"/>
    </xf>
    <xf numFmtId="178" fontId="32" fillId="8" borderId="1" xfId="41073" applyNumberFormat="1" applyFont="1" applyFill="1" applyBorder="1" applyAlignment="1">
      <alignment horizontal="center" vertical="center"/>
    </xf>
    <xf numFmtId="0" fontId="20" fillId="8" borderId="30" xfId="38173" applyFont="1" applyFill="1" applyBorder="1" applyAlignment="1">
      <alignment horizontal="center" vertical="center"/>
    </xf>
    <xf numFmtId="182" fontId="5" fillId="0" borderId="1" xfId="41073" applyNumberFormat="1" applyFont="1" applyFill="1" applyBorder="1" applyAlignment="1">
      <alignment horizontal="center" vertical="center"/>
    </xf>
    <xf numFmtId="182" fontId="20" fillId="0" borderId="1" xfId="41073" applyNumberFormat="1" applyFont="1" applyFill="1" applyBorder="1" applyAlignment="1">
      <alignment horizontal="left" vertical="center" wrapText="1"/>
    </xf>
    <xf numFmtId="178" fontId="32" fillId="0" borderId="1" xfId="41073" applyNumberFormat="1" applyFont="1" applyFill="1" applyBorder="1" applyAlignment="1">
      <alignment horizontal="center" vertical="center"/>
    </xf>
    <xf numFmtId="182" fontId="14" fillId="8" borderId="30" xfId="41073" applyNumberFormat="1" applyFont="1" applyFill="1" applyBorder="1" applyAlignment="1">
      <alignment horizontal="center" vertical="center"/>
    </xf>
    <xf numFmtId="49" fontId="20" fillId="8" borderId="26" xfId="41073" applyNumberFormat="1" applyFont="1" applyFill="1" applyBorder="1" applyAlignment="1">
      <alignment horizontal="center" vertical="center"/>
    </xf>
    <xf numFmtId="182" fontId="20" fillId="8" borderId="1" xfId="41073" applyNumberFormat="1" applyFont="1" applyFill="1" applyBorder="1" applyAlignment="1">
      <alignment horizontal="center" vertical="center"/>
    </xf>
    <xf numFmtId="181" fontId="0" fillId="0" borderId="0" xfId="0" applyNumberFormat="1"/>
    <xf numFmtId="181" fontId="32" fillId="0" borderId="1" xfId="14529" applyNumberFormat="1" applyFont="1" applyFill="1" applyBorder="1" applyAlignment="1">
      <alignment horizontal="center" vertical="center" wrapText="1"/>
    </xf>
    <xf numFmtId="180" fontId="32" fillId="0" borderId="1" xfId="14529" applyNumberFormat="1" applyFont="1" applyFill="1" applyBorder="1" applyAlignment="1">
      <alignment horizontal="center" vertical="center" wrapText="1"/>
    </xf>
    <xf numFmtId="178" fontId="14" fillId="0" borderId="1" xfId="41073" applyNumberFormat="1" applyFont="1" applyFill="1" applyBorder="1" applyAlignment="1">
      <alignment horizontal="center" vertical="center"/>
    </xf>
    <xf numFmtId="0" fontId="20" fillId="0" borderId="26" xfId="14529" applyFont="1" applyFill="1" applyBorder="1" applyAlignment="1">
      <alignment horizontal="center" vertical="center"/>
    </xf>
    <xf numFmtId="0" fontId="5" fillId="0" borderId="30" xfId="38173" applyFont="1" applyFill="1" applyBorder="1" applyAlignment="1">
      <alignment horizontal="center" vertical="center"/>
    </xf>
    <xf numFmtId="49" fontId="32" fillId="0" borderId="26" xfId="41073" applyNumberFormat="1" applyFont="1" applyFill="1" applyBorder="1" applyAlignment="1">
      <alignment horizontal="center" vertical="center"/>
    </xf>
    <xf numFmtId="0" fontId="20" fillId="0" borderId="26" xfId="14529" applyFont="1" applyFill="1" applyBorder="1" applyAlignment="1">
      <alignment horizontal="center" vertical="center" wrapText="1"/>
    </xf>
    <xf numFmtId="0" fontId="5" fillId="8" borderId="1" xfId="14529" applyFont="1" applyFill="1" applyBorder="1" applyAlignment="1">
      <alignment horizontal="left" vertical="center" wrapText="1"/>
    </xf>
    <xf numFmtId="182" fontId="14" fillId="8" borderId="1" xfId="41073" applyNumberFormat="1" applyFont="1" applyFill="1" applyBorder="1" applyAlignment="1">
      <alignment horizontal="center" vertical="center"/>
    </xf>
    <xf numFmtId="180" fontId="14" fillId="8" borderId="1" xfId="41073" applyNumberFormat="1" applyFont="1" applyFill="1" applyBorder="1" applyAlignment="1">
      <alignment horizontal="center" vertical="center"/>
    </xf>
    <xf numFmtId="182" fontId="5" fillId="8" borderId="1" xfId="41073" applyNumberFormat="1" applyFont="1" applyFill="1" applyBorder="1" applyAlignment="1">
      <alignment horizontal="center" vertical="center"/>
    </xf>
    <xf numFmtId="182" fontId="37" fillId="9" borderId="0" xfId="0" applyNumberFormat="1" applyFont="1" applyFill="1" applyAlignment="1">
      <alignment horizontal="center" vertical="center"/>
    </xf>
    <xf numFmtId="0" fontId="0" fillId="0" borderId="1" xfId="0" applyBorder="1"/>
    <xf numFmtId="0" fontId="0" fillId="0" borderId="30" xfId="0" applyBorder="1"/>
    <xf numFmtId="182" fontId="5" fillId="0" borderId="0" xfId="41073" applyNumberFormat="1" applyFont="1" applyFill="1" applyBorder="1" applyAlignment="1">
      <alignment horizontal="left" vertical="center" wrapText="1"/>
    </xf>
    <xf numFmtId="0" fontId="5" fillId="0" borderId="0" xfId="14529" applyFont="1" applyFill="1" applyBorder="1" applyAlignment="1">
      <alignment horizontal="left" vertical="center" wrapText="1"/>
    </xf>
    <xf numFmtId="0" fontId="0" fillId="0" borderId="32" xfId="0" applyBorder="1"/>
    <xf numFmtId="182" fontId="5" fillId="0" borderId="28" xfId="41073" applyNumberFormat="1" applyFont="1" applyFill="1" applyBorder="1" applyAlignment="1">
      <alignment horizontal="left" vertical="center" wrapText="1"/>
    </xf>
    <xf numFmtId="182" fontId="14" fillId="0" borderId="28" xfId="41073" applyNumberFormat="1" applyFont="1" applyFill="1" applyBorder="1" applyAlignment="1">
      <alignment horizontal="center" vertical="center"/>
    </xf>
    <xf numFmtId="182" fontId="5" fillId="0" borderId="28" xfId="41073" applyNumberFormat="1" applyFont="1" applyFill="1" applyBorder="1" applyAlignment="1">
      <alignment horizontal="center" vertical="center" wrapText="1"/>
    </xf>
    <xf numFmtId="178" fontId="14" fillId="0" borderId="28" xfId="41073" applyNumberFormat="1" applyFont="1" applyFill="1" applyBorder="1" applyAlignment="1">
      <alignment horizontal="center" vertical="center"/>
    </xf>
    <xf numFmtId="182" fontId="5" fillId="0" borderId="31" xfId="41073" applyNumberFormat="1" applyFont="1" applyFill="1" applyBorder="1" applyAlignment="1">
      <alignment horizontal="left" vertical="center" wrapText="1"/>
    </xf>
    <xf numFmtId="180" fontId="31" fillId="0" borderId="0" xfId="263" applyNumberFormat="1" applyFont="1" applyFill="1" applyBorder="1" applyAlignment="1">
      <alignment horizontal="center"/>
    </xf>
    <xf numFmtId="0" fontId="20" fillId="0" borderId="1" xfId="307" applyFont="1" applyBorder="1" applyAlignment="1">
      <alignment horizontal="center" vertical="center"/>
    </xf>
    <xf numFmtId="0" fontId="20" fillId="0" borderId="16" xfId="307" applyFont="1" applyBorder="1" applyAlignment="1">
      <alignment horizontal="center" vertical="center"/>
    </xf>
    <xf numFmtId="0" fontId="20" fillId="0" borderId="2" xfId="307" applyFont="1" applyBorder="1" applyAlignment="1">
      <alignment horizontal="center" vertical="center" wrapText="1"/>
    </xf>
    <xf numFmtId="0" fontId="20" fillId="0" borderId="2" xfId="307" applyFont="1" applyFill="1" applyBorder="1" applyAlignment="1">
      <alignment horizontal="center" vertical="center"/>
    </xf>
    <xf numFmtId="180" fontId="20" fillId="0" borderId="1" xfId="307" applyNumberFormat="1" applyFont="1" applyBorder="1" applyAlignment="1">
      <alignment horizontal="center" vertical="center"/>
    </xf>
    <xf numFmtId="180" fontId="20" fillId="0" borderId="1" xfId="307" applyNumberFormat="1" applyFont="1" applyFill="1" applyBorder="1" applyAlignment="1">
      <alignment horizontal="center" vertical="center"/>
    </xf>
    <xf numFmtId="0" fontId="5" fillId="0" borderId="1" xfId="307" applyFont="1" applyBorder="1" applyAlignment="1">
      <alignment horizontal="left" vertical="center"/>
    </xf>
    <xf numFmtId="0" fontId="5" fillId="0" borderId="16" xfId="307" applyFont="1" applyBorder="1" applyAlignment="1">
      <alignment horizontal="center" vertical="center"/>
    </xf>
    <xf numFmtId="180" fontId="38" fillId="0" borderId="1" xfId="0" applyNumberFormat="1" applyFont="1" applyBorder="1"/>
    <xf numFmtId="0" fontId="82" fillId="0" borderId="0" xfId="263" applyFont="1" applyAlignment="1">
      <alignment horizontal="center"/>
    </xf>
    <xf numFmtId="0" fontId="33" fillId="0" borderId="0" xfId="263" applyFont="1" applyAlignment="1">
      <alignment horizontal="center"/>
    </xf>
    <xf numFmtId="0" fontId="79" fillId="0" borderId="0" xfId="263" applyFont="1" applyBorder="1" applyAlignment="1">
      <alignment horizontal="left"/>
    </xf>
    <xf numFmtId="0" fontId="31" fillId="0" borderId="0" xfId="263" applyFont="1" applyBorder="1" applyAlignment="1">
      <alignment horizontal="left"/>
    </xf>
    <xf numFmtId="0" fontId="20" fillId="0" borderId="16" xfId="307" applyFont="1" applyBorder="1" applyAlignment="1">
      <alignment horizontal="center" vertical="center"/>
    </xf>
    <xf numFmtId="0" fontId="20" fillId="0" borderId="17" xfId="307" applyFont="1" applyBorder="1" applyAlignment="1">
      <alignment horizontal="center" vertical="center"/>
    </xf>
    <xf numFmtId="0" fontId="20" fillId="0" borderId="18" xfId="307" applyFont="1" applyBorder="1" applyAlignment="1">
      <alignment horizontal="center" vertical="center"/>
    </xf>
    <xf numFmtId="0" fontId="20" fillId="0" borderId="16" xfId="10888" applyFont="1" applyBorder="1" applyAlignment="1">
      <alignment horizontal="center" vertical="center"/>
    </xf>
    <xf numFmtId="0" fontId="20" fillId="0" borderId="18" xfId="10888" applyFont="1" applyBorder="1" applyAlignment="1">
      <alignment horizontal="center" vertical="center"/>
    </xf>
    <xf numFmtId="0" fontId="20" fillId="0" borderId="1" xfId="307" applyFont="1" applyBorder="1" applyAlignment="1">
      <alignment horizontal="center" vertical="center"/>
    </xf>
    <xf numFmtId="182" fontId="32" fillId="8" borderId="0" xfId="38175" applyNumberFormat="1" applyFont="1" applyFill="1" applyBorder="1" applyAlignment="1">
      <alignment horizontal="center" vertical="center" wrapText="1"/>
    </xf>
    <xf numFmtId="0" fontId="14" fillId="0" borderId="0" xfId="38176" applyFont="1" applyFill="1" applyBorder="1" applyAlignment="1">
      <alignment horizontal="center"/>
    </xf>
    <xf numFmtId="0" fontId="14" fillId="0" borderId="25" xfId="38176" applyFont="1" applyFill="1" applyBorder="1" applyAlignment="1">
      <alignment horizontal="center" vertical="center"/>
    </xf>
    <xf numFmtId="0" fontId="14" fillId="0" borderId="29" xfId="38176" applyFont="1" applyFill="1" applyBorder="1" applyAlignment="1">
      <alignment horizontal="center" vertical="center"/>
    </xf>
    <xf numFmtId="0" fontId="14" fillId="0" borderId="24" xfId="38176" applyFont="1" applyFill="1" applyBorder="1" applyAlignment="1">
      <alignment horizontal="center" vertical="center" wrapText="1"/>
    </xf>
    <xf numFmtId="0" fontId="14" fillId="0" borderId="26" xfId="38176" applyFont="1" applyFill="1" applyBorder="1" applyAlignment="1">
      <alignment horizontal="center" vertical="center" wrapText="1"/>
    </xf>
    <xf numFmtId="0" fontId="14" fillId="0" borderId="1" xfId="38176" applyFont="1" applyFill="1" applyBorder="1" applyAlignment="1">
      <alignment horizontal="center" vertical="center"/>
    </xf>
    <xf numFmtId="0" fontId="14" fillId="0" borderId="25" xfId="38176" applyFont="1" applyFill="1" applyBorder="1" applyAlignment="1">
      <alignment horizontal="center" vertical="center" wrapText="1"/>
    </xf>
    <xf numFmtId="0" fontId="14" fillId="0" borderId="1" xfId="38176" applyFont="1" applyFill="1" applyBorder="1" applyAlignment="1">
      <alignment horizontal="center" vertical="center" wrapText="1"/>
    </xf>
    <xf numFmtId="181" fontId="14" fillId="0" borderId="25" xfId="38176" applyNumberFormat="1" applyFont="1" applyFill="1" applyBorder="1" applyAlignment="1">
      <alignment horizontal="center" vertical="center" wrapText="1"/>
    </xf>
    <xf numFmtId="181" fontId="14" fillId="0" borderId="1" xfId="38176" applyNumberFormat="1" applyFont="1" applyFill="1" applyBorder="1" applyAlignment="1">
      <alignment horizontal="center" vertical="center" wrapText="1"/>
    </xf>
    <xf numFmtId="0" fontId="33" fillId="0" borderId="0" xfId="38176" applyFont="1" applyFill="1" applyBorder="1" applyAlignment="1">
      <alignment horizontal="center" vertical="center"/>
    </xf>
    <xf numFmtId="0" fontId="32" fillId="8" borderId="27" xfId="307" applyFont="1" applyFill="1" applyBorder="1" applyAlignment="1">
      <alignment horizontal="center" vertical="center" wrapText="1"/>
    </xf>
    <xf numFmtId="0" fontId="32" fillId="8" borderId="28" xfId="307" applyFont="1" applyFill="1" applyBorder="1" applyAlignment="1">
      <alignment horizontal="center" vertical="center" wrapText="1"/>
    </xf>
    <xf numFmtId="0" fontId="28" fillId="0" borderId="0" xfId="307" applyFont="1" applyBorder="1" applyAlignment="1">
      <alignment horizontal="center" vertical="center"/>
    </xf>
    <xf numFmtId="0" fontId="0" fillId="0" borderId="0" xfId="307" applyFont="1" applyBorder="1" applyAlignment="1">
      <alignment horizontal="right" vertical="center"/>
    </xf>
    <xf numFmtId="0" fontId="32" fillId="8" borderId="26" xfId="307" applyFont="1" applyFill="1" applyBorder="1" applyAlignment="1">
      <alignment horizontal="center" vertical="center" wrapText="1"/>
    </xf>
    <xf numFmtId="0" fontId="32" fillId="8" borderId="1" xfId="307" applyFont="1" applyFill="1" applyBorder="1" applyAlignment="1">
      <alignment horizontal="center" vertical="center" wrapText="1"/>
    </xf>
    <xf numFmtId="0" fontId="10" fillId="0" borderId="1" xfId="307" applyFont="1" applyBorder="1" applyAlignment="1">
      <alignment horizontal="center" vertical="center" wrapText="1"/>
    </xf>
    <xf numFmtId="0" fontId="10" fillId="0" borderId="2" xfId="307" applyFont="1" applyBorder="1" applyAlignment="1">
      <alignment horizontal="center" vertical="center" wrapText="1"/>
    </xf>
    <xf numFmtId="0" fontId="10" fillId="0" borderId="4" xfId="307" applyFont="1" applyBorder="1" applyAlignment="1">
      <alignment horizontal="center" vertical="center" wrapText="1"/>
    </xf>
    <xf numFmtId="0" fontId="16" fillId="0" borderId="0" xfId="307" applyFont="1" applyAlignment="1">
      <alignment horizontal="center"/>
    </xf>
    <xf numFmtId="0" fontId="19" fillId="0" borderId="0" xfId="307" applyFont="1" applyAlignment="1">
      <alignment horizontal="center"/>
    </xf>
    <xf numFmtId="0" fontId="10" fillId="0" borderId="16" xfId="307" applyFont="1" applyBorder="1" applyAlignment="1">
      <alignment horizontal="center" vertical="center" wrapText="1"/>
    </xf>
    <xf numFmtId="0" fontId="10" fillId="0" borderId="17" xfId="307" applyFont="1" applyBorder="1" applyAlignment="1">
      <alignment horizontal="center" vertical="center" wrapText="1"/>
    </xf>
    <xf numFmtId="0" fontId="10" fillId="0" borderId="18" xfId="307" applyFont="1" applyBorder="1" applyAlignment="1">
      <alignment horizontal="center" vertical="center" wrapText="1"/>
    </xf>
    <xf numFmtId="0" fontId="10" fillId="0" borderId="0" xfId="307" applyFont="1" applyAlignment="1">
      <alignment horizontal="center" vertical="center"/>
    </xf>
    <xf numFmtId="0" fontId="12" fillId="0" borderId="0" xfId="307" applyFont="1" applyAlignment="1">
      <alignment horizontal="center" vertical="center"/>
    </xf>
    <xf numFmtId="0" fontId="10" fillId="0" borderId="1" xfId="307" applyFont="1" applyBorder="1" applyAlignment="1">
      <alignment horizontal="center" vertical="center"/>
    </xf>
    <xf numFmtId="0" fontId="0" fillId="0" borderId="0" xfId="307" applyFont="1" applyAlignment="1">
      <alignment horizontal="center"/>
    </xf>
    <xf numFmtId="0" fontId="27" fillId="0" borderId="0" xfId="307" applyFont="1" applyAlignment="1">
      <alignment horizontal="center"/>
    </xf>
    <xf numFmtId="0" fontId="22" fillId="0" borderId="0" xfId="38174" applyFont="1" applyFill="1" applyAlignment="1">
      <alignment horizontal="center" vertical="center"/>
    </xf>
    <xf numFmtId="0" fontId="24" fillId="0" borderId="22" xfId="38174" applyFont="1" applyFill="1" applyBorder="1" applyAlignment="1">
      <alignment horizontal="center" vertical="center"/>
    </xf>
    <xf numFmtId="0" fontId="24" fillId="0" borderId="0" xfId="38174" applyFont="1" applyFill="1" applyBorder="1" applyAlignment="1">
      <alignment horizontal="center" vertical="center"/>
    </xf>
    <xf numFmtId="0" fontId="5" fillId="0" borderId="16" xfId="38174" applyFont="1" applyFill="1" applyBorder="1" applyAlignment="1">
      <alignment horizontal="center" vertical="center"/>
    </xf>
    <xf numFmtId="0" fontId="5" fillId="0" borderId="18" xfId="38174" applyFont="1" applyFill="1" applyBorder="1" applyAlignment="1">
      <alignment horizontal="center" vertical="center"/>
    </xf>
    <xf numFmtId="182" fontId="20" fillId="0" borderId="16" xfId="38174" applyNumberFormat="1" applyFont="1" applyFill="1" applyBorder="1" applyAlignment="1">
      <alignment horizontal="center" vertical="center"/>
    </xf>
    <xf numFmtId="182" fontId="20" fillId="0" borderId="18" xfId="38174" applyNumberFormat="1" applyFont="1" applyFill="1" applyBorder="1" applyAlignment="1">
      <alignment horizontal="center" vertical="center"/>
    </xf>
    <xf numFmtId="0" fontId="5" fillId="0" borderId="0" xfId="38174" applyFont="1" applyAlignment="1">
      <alignment horizontal="left" vertical="center"/>
    </xf>
    <xf numFmtId="182" fontId="5" fillId="0" borderId="16" xfId="38174" applyNumberFormat="1" applyFont="1" applyFill="1" applyBorder="1" applyAlignment="1">
      <alignment horizontal="center" vertical="center"/>
    </xf>
    <xf numFmtId="182" fontId="5" fillId="0" borderId="18" xfId="38174" applyNumberFormat="1" applyFont="1" applyFill="1" applyBorder="1" applyAlignment="1">
      <alignment horizontal="center" vertical="center"/>
    </xf>
    <xf numFmtId="182" fontId="0" fillId="0" borderId="16" xfId="38174" applyNumberFormat="1" applyFont="1" applyBorder="1" applyAlignment="1">
      <alignment horizontal="center" vertical="center"/>
    </xf>
    <xf numFmtId="0" fontId="0" fillId="0" borderId="18" xfId="38174" applyFont="1" applyBorder="1" applyAlignment="1">
      <alignment horizontal="center" vertical="center"/>
    </xf>
    <xf numFmtId="182" fontId="5" fillId="7" borderId="16" xfId="38174" applyNumberFormat="1" applyFont="1" applyFill="1" applyBorder="1" applyAlignment="1">
      <alignment horizontal="center" vertical="center"/>
    </xf>
    <xf numFmtId="182" fontId="5" fillId="7" borderId="18" xfId="38174" applyNumberFormat="1" applyFont="1" applyFill="1" applyBorder="1" applyAlignment="1">
      <alignment horizontal="center" vertical="center"/>
    </xf>
    <xf numFmtId="10" fontId="5" fillId="0" borderId="16" xfId="56" applyNumberFormat="1" applyFont="1" applyFill="1" applyBorder="1" applyAlignment="1">
      <alignment horizontal="center" vertical="center"/>
    </xf>
    <xf numFmtId="10" fontId="5" fillId="0" borderId="18" xfId="56" applyNumberFormat="1" applyFont="1" applyFill="1" applyBorder="1" applyAlignment="1">
      <alignment horizontal="center" vertical="center"/>
    </xf>
    <xf numFmtId="0" fontId="5" fillId="0" borderId="0" xfId="38174" applyFont="1" applyAlignment="1">
      <alignment horizontal="center" vertical="center"/>
    </xf>
    <xf numFmtId="0" fontId="5" fillId="0" borderId="0" xfId="38174" applyFont="1" applyAlignment="1">
      <alignment horizontal="justify" vertical="center"/>
    </xf>
    <xf numFmtId="0" fontId="0" fillId="0" borderId="16" xfId="38174" applyFont="1" applyBorder="1" applyAlignment="1">
      <alignment horizontal="center" vertical="center"/>
    </xf>
    <xf numFmtId="182" fontId="20" fillId="0" borderId="16" xfId="56" applyNumberFormat="1" applyFont="1" applyFill="1" applyBorder="1" applyAlignment="1">
      <alignment horizontal="center" vertical="center"/>
    </xf>
    <xf numFmtId="182" fontId="20" fillId="0" borderId="18" xfId="56" applyNumberFormat="1" applyFont="1" applyFill="1" applyBorder="1" applyAlignment="1">
      <alignment horizontal="center" vertical="center"/>
    </xf>
    <xf numFmtId="182" fontId="20" fillId="0" borderId="17" xfId="38174" applyNumberFormat="1" applyFont="1" applyFill="1" applyBorder="1" applyAlignment="1">
      <alignment horizontal="center" vertical="center"/>
    </xf>
    <xf numFmtId="0" fontId="23" fillId="0" borderId="16" xfId="38174" applyFont="1" applyFill="1" applyBorder="1" applyAlignment="1">
      <alignment horizontal="center" vertical="center" wrapText="1"/>
    </xf>
    <xf numFmtId="0" fontId="23" fillId="0" borderId="17" xfId="38174" applyFont="1" applyFill="1" applyBorder="1" applyAlignment="1">
      <alignment horizontal="center" vertical="center" wrapText="1"/>
    </xf>
    <xf numFmtId="0" fontId="23" fillId="0" borderId="18" xfId="38174" applyFont="1" applyFill="1" applyBorder="1" applyAlignment="1">
      <alignment horizontal="center" vertical="center" wrapText="1"/>
    </xf>
    <xf numFmtId="0" fontId="5" fillId="0" borderId="0" xfId="307" applyFont="1" applyAlignment="1">
      <alignment horizontal="center" vertical="center"/>
    </xf>
    <xf numFmtId="0" fontId="5" fillId="0" borderId="0" xfId="38174" applyFont="1" applyAlignment="1">
      <alignment horizontal="center" vertical="center" wrapText="1"/>
    </xf>
    <xf numFmtId="180" fontId="5" fillId="0" borderId="16" xfId="38174" applyNumberFormat="1" applyFont="1" applyFill="1" applyBorder="1" applyAlignment="1">
      <alignment horizontal="center" vertical="center"/>
    </xf>
    <xf numFmtId="180" fontId="5" fillId="0" borderId="18" xfId="38174" applyNumberFormat="1" applyFont="1" applyFill="1" applyBorder="1" applyAlignment="1">
      <alignment horizontal="center" vertical="center"/>
    </xf>
    <xf numFmtId="0" fontId="26" fillId="0" borderId="0" xfId="38174" applyFont="1" applyAlignment="1">
      <alignment horizontal="center" vertical="center"/>
    </xf>
    <xf numFmtId="9" fontId="5" fillId="0" borderId="16" xfId="56" applyFont="1" applyFill="1" applyBorder="1" applyAlignment="1">
      <alignment horizontal="center" vertical="center"/>
    </xf>
    <xf numFmtId="9" fontId="5" fillId="0" borderId="18" xfId="56" applyFont="1" applyFill="1" applyBorder="1" applyAlignment="1">
      <alignment horizontal="center" vertical="center"/>
    </xf>
    <xf numFmtId="182" fontId="5" fillId="0" borderId="16" xfId="56" applyNumberFormat="1" applyFont="1" applyFill="1" applyBorder="1" applyAlignment="1">
      <alignment horizontal="center" vertical="center"/>
    </xf>
    <xf numFmtId="182" fontId="5" fillId="0" borderId="18" xfId="56" applyNumberFormat="1" applyFont="1" applyFill="1" applyBorder="1" applyAlignment="1">
      <alignment horizontal="center" vertical="center"/>
    </xf>
    <xf numFmtId="0" fontId="23" fillId="0" borderId="1" xfId="38174" applyFont="1" applyFill="1" applyBorder="1" applyAlignment="1">
      <alignment horizontal="center" vertical="center" wrapText="1"/>
    </xf>
    <xf numFmtId="0" fontId="23" fillId="0" borderId="1" xfId="38174" applyFont="1" applyFill="1" applyBorder="1" applyAlignment="1">
      <alignment horizontal="center" vertical="center"/>
    </xf>
    <xf numFmtId="0" fontId="24" fillId="0" borderId="0" xfId="307" applyFont="1" applyFill="1" applyAlignment="1">
      <alignment horizontal="center"/>
    </xf>
    <xf numFmtId="0" fontId="0" fillId="0" borderId="0" xfId="38174" applyFont="1" applyAlignment="1">
      <alignment horizontal="center" vertical="center"/>
    </xf>
    <xf numFmtId="0" fontId="0" fillId="0" borderId="0" xfId="38174" applyFont="1" applyBorder="1" applyAlignment="1">
      <alignment horizontal="center" vertical="center"/>
    </xf>
    <xf numFmtId="0" fontId="5" fillId="0" borderId="22" xfId="307" applyFont="1" applyBorder="1" applyAlignment="1">
      <alignment horizontal="center" vertical="center"/>
    </xf>
    <xf numFmtId="0" fontId="5" fillId="0" borderId="22" xfId="38174" applyFont="1" applyBorder="1" applyAlignment="1">
      <alignment horizontal="center" vertical="center"/>
    </xf>
    <xf numFmtId="0" fontId="0" fillId="0" borderId="0" xfId="38174" applyFont="1" applyAlignment="1">
      <alignment horizontal="center" vertical="center" wrapText="1"/>
    </xf>
    <xf numFmtId="0" fontId="5" fillId="0" borderId="1" xfId="307" applyFont="1" applyFill="1" applyBorder="1" applyAlignment="1">
      <alignment horizontal="center" vertical="center"/>
    </xf>
    <xf numFmtId="0" fontId="5" fillId="0" borderId="16" xfId="307" applyFont="1" applyFill="1" applyBorder="1" applyAlignment="1">
      <alignment horizontal="center" vertical="center"/>
    </xf>
    <xf numFmtId="0" fontId="5" fillId="0" borderId="18" xfId="307" applyFont="1" applyFill="1" applyBorder="1" applyAlignment="1">
      <alignment horizontal="center" vertical="center"/>
    </xf>
    <xf numFmtId="0" fontId="5" fillId="0" borderId="16" xfId="307" applyFont="1" applyFill="1" applyBorder="1" applyAlignment="1">
      <alignment vertical="center"/>
    </xf>
    <xf numFmtId="0" fontId="5" fillId="0" borderId="18" xfId="307" applyFont="1" applyFill="1" applyBorder="1" applyAlignment="1">
      <alignment vertical="center"/>
    </xf>
    <xf numFmtId="0" fontId="21" fillId="0" borderId="3" xfId="307" applyFont="1" applyFill="1" applyBorder="1" applyAlignment="1">
      <alignment horizontal="center" vertical="center"/>
    </xf>
    <xf numFmtId="0" fontId="5" fillId="0" borderId="2" xfId="307" applyFont="1" applyFill="1" applyBorder="1" applyAlignment="1">
      <alignment horizontal="center" vertical="center"/>
    </xf>
    <xf numFmtId="0" fontId="5" fillId="0" borderId="3" xfId="307" applyFont="1" applyFill="1" applyBorder="1" applyAlignment="1">
      <alignment horizontal="center" vertical="center"/>
    </xf>
    <xf numFmtId="0" fontId="5" fillId="0" borderId="4" xfId="307" applyFont="1" applyFill="1" applyBorder="1" applyAlignment="1">
      <alignment horizontal="center" vertical="center"/>
    </xf>
    <xf numFmtId="0" fontId="5" fillId="0" borderId="2" xfId="317" applyFont="1" applyFill="1" applyBorder="1" applyAlignment="1">
      <alignment horizontal="center" vertical="center"/>
    </xf>
    <xf numFmtId="0" fontId="5" fillId="0" borderId="3" xfId="317" applyFont="1" applyFill="1" applyBorder="1" applyAlignment="1">
      <alignment horizontal="center" vertical="center"/>
    </xf>
    <xf numFmtId="0" fontId="5" fillId="0" borderId="4" xfId="317" applyFont="1" applyFill="1" applyBorder="1" applyAlignment="1">
      <alignment horizontal="center" vertical="center"/>
    </xf>
    <xf numFmtId="0" fontId="5" fillId="0" borderId="2" xfId="317" applyFont="1" applyFill="1" applyBorder="1" applyAlignment="1">
      <alignment horizontal="center" vertical="center" wrapText="1"/>
    </xf>
    <xf numFmtId="0" fontId="5" fillId="0" borderId="3" xfId="317" applyFont="1" applyFill="1" applyBorder="1" applyAlignment="1">
      <alignment horizontal="center" vertical="center" wrapText="1"/>
    </xf>
    <xf numFmtId="0" fontId="5" fillId="0" borderId="4" xfId="317" applyFont="1" applyFill="1" applyBorder="1" applyAlignment="1">
      <alignment horizontal="center" vertical="center" wrapText="1"/>
    </xf>
    <xf numFmtId="0" fontId="5" fillId="0" borderId="19" xfId="317" applyFont="1" applyFill="1" applyBorder="1" applyAlignment="1">
      <alignment horizontal="center" vertical="center" wrapText="1"/>
    </xf>
    <xf numFmtId="0" fontId="5" fillId="0" borderId="22" xfId="317" applyFont="1" applyFill="1" applyBorder="1" applyAlignment="1">
      <alignment horizontal="center" vertical="center" wrapText="1"/>
    </xf>
    <xf numFmtId="0" fontId="5" fillId="0" borderId="20" xfId="317" applyFont="1" applyFill="1" applyBorder="1" applyAlignment="1">
      <alignment horizontal="center" vertical="center" wrapText="1"/>
    </xf>
    <xf numFmtId="0" fontId="5" fillId="0" borderId="2" xfId="307" applyFont="1" applyFill="1" applyBorder="1" applyAlignment="1">
      <alignment horizontal="center" vertical="center" wrapText="1"/>
    </xf>
    <xf numFmtId="0" fontId="5" fillId="0" borderId="3" xfId="307" applyFont="1" applyFill="1" applyBorder="1" applyAlignment="1">
      <alignment horizontal="center" vertical="center" wrapText="1"/>
    </xf>
    <xf numFmtId="0" fontId="5" fillId="0" borderId="4" xfId="307" applyFont="1" applyFill="1" applyBorder="1" applyAlignment="1">
      <alignment horizontal="center" vertical="center" wrapText="1"/>
    </xf>
    <xf numFmtId="0" fontId="5" fillId="0" borderId="1" xfId="307" applyFont="1" applyFill="1" applyBorder="1" applyAlignment="1">
      <alignment horizontal="center" vertical="center" wrapText="1"/>
    </xf>
    <xf numFmtId="0" fontId="5" fillId="0" borderId="19" xfId="307" applyFont="1" applyFill="1" applyBorder="1" applyAlignment="1">
      <alignment horizontal="center" vertical="center"/>
    </xf>
    <xf numFmtId="0" fontId="5" fillId="0" borderId="6" xfId="307" applyFont="1" applyFill="1" applyBorder="1" applyAlignment="1">
      <alignment horizontal="center" vertical="center"/>
    </xf>
    <xf numFmtId="0" fontId="5" fillId="0" borderId="23" xfId="307" applyFont="1" applyFill="1" applyBorder="1" applyAlignment="1">
      <alignment horizontal="center" vertical="center"/>
    </xf>
    <xf numFmtId="0" fontId="5" fillId="0" borderId="20" xfId="307" applyFont="1" applyFill="1" applyBorder="1" applyAlignment="1">
      <alignment horizontal="center" vertical="center"/>
    </xf>
    <xf numFmtId="0" fontId="5" fillId="0" borderId="5" xfId="307" applyFont="1" applyFill="1" applyBorder="1" applyAlignment="1">
      <alignment horizontal="center" vertical="center"/>
    </xf>
    <xf numFmtId="0" fontId="5" fillId="0" borderId="21" xfId="307" applyFont="1" applyFill="1" applyBorder="1" applyAlignment="1">
      <alignment horizontal="center" vertical="center"/>
    </xf>
    <xf numFmtId="0" fontId="5" fillId="0" borderId="16" xfId="307" applyFont="1" applyBorder="1" applyAlignment="1">
      <alignment horizontal="center"/>
    </xf>
    <xf numFmtId="0" fontId="5" fillId="0" borderId="17" xfId="307" applyFont="1" applyBorder="1" applyAlignment="1">
      <alignment horizontal="center"/>
    </xf>
    <xf numFmtId="0" fontId="5" fillId="0" borderId="18" xfId="307" applyFont="1" applyBorder="1" applyAlignment="1">
      <alignment horizontal="center"/>
    </xf>
    <xf numFmtId="0" fontId="4" fillId="0" borderId="6" xfId="307" applyFont="1" applyBorder="1" applyAlignment="1">
      <alignment horizontal="center"/>
    </xf>
    <xf numFmtId="0" fontId="5" fillId="0" borderId="0" xfId="307" applyFont="1" applyAlignment="1">
      <alignment horizontal="center"/>
    </xf>
    <xf numFmtId="0" fontId="0" fillId="0" borderId="5" xfId="307" applyFont="1" applyBorder="1" applyAlignment="1">
      <alignment horizontal="center"/>
    </xf>
    <xf numFmtId="0" fontId="0" fillId="0" borderId="20" xfId="307" applyFont="1" applyBorder="1" applyAlignment="1">
      <alignment horizontal="center" vertical="center"/>
    </xf>
    <xf numFmtId="0" fontId="0" fillId="0" borderId="5" xfId="307" applyFont="1" applyBorder="1" applyAlignment="1">
      <alignment horizontal="center" vertical="center"/>
    </xf>
    <xf numFmtId="0" fontId="0" fillId="0" borderId="21" xfId="307" applyFont="1" applyBorder="1" applyAlignment="1">
      <alignment horizontal="center" vertical="center"/>
    </xf>
    <xf numFmtId="0" fontId="0" fillId="0" borderId="16" xfId="307" applyFont="1" applyBorder="1" applyAlignment="1">
      <alignment horizontal="center" vertical="center" wrapText="1"/>
    </xf>
    <xf numFmtId="0" fontId="0" fillId="0" borderId="18" xfId="307" applyFont="1" applyBorder="1" applyAlignment="1">
      <alignment horizontal="center" vertical="center" wrapText="1"/>
    </xf>
    <xf numFmtId="0" fontId="0" fillId="0" borderId="16" xfId="307" applyFont="1" applyBorder="1" applyAlignment="1">
      <alignment horizontal="left"/>
    </xf>
    <xf numFmtId="0" fontId="0" fillId="0" borderId="17" xfId="307" applyFont="1" applyBorder="1" applyAlignment="1">
      <alignment horizontal="left"/>
    </xf>
    <xf numFmtId="0" fontId="0" fillId="0" borderId="18" xfId="307" applyFont="1" applyBorder="1" applyAlignment="1">
      <alignment horizontal="left"/>
    </xf>
    <xf numFmtId="0" fontId="0" fillId="0" borderId="16" xfId="307" applyFont="1" applyBorder="1" applyAlignment="1">
      <alignment horizontal="center"/>
    </xf>
    <xf numFmtId="0" fontId="0" fillId="0" borderId="18" xfId="307" applyFont="1" applyBorder="1" applyAlignment="1">
      <alignment horizontal="center"/>
    </xf>
    <xf numFmtId="2" fontId="0" fillId="0" borderId="16" xfId="307" applyNumberFormat="1" applyFont="1" applyBorder="1" applyAlignment="1">
      <alignment horizontal="center"/>
    </xf>
    <xf numFmtId="1" fontId="0" fillId="0" borderId="16" xfId="307" applyNumberFormat="1" applyFont="1" applyBorder="1" applyAlignment="1">
      <alignment horizontal="center"/>
    </xf>
    <xf numFmtId="0" fontId="0" fillId="0" borderId="1" xfId="307" applyFont="1" applyBorder="1" applyAlignment="1">
      <alignment horizontal="center"/>
    </xf>
    <xf numFmtId="0" fontId="0" fillId="0" borderId="1" xfId="307" applyFont="1" applyBorder="1" applyAlignment="1">
      <alignment horizontal="center" vertical="center"/>
    </xf>
    <xf numFmtId="0" fontId="0" fillId="0" borderId="1" xfId="307" applyFont="1" applyBorder="1" applyAlignment="1">
      <alignment horizontal="center" vertical="center" wrapText="1"/>
    </xf>
    <xf numFmtId="0" fontId="4" fillId="0" borderId="0" xfId="307" applyFont="1" applyAlignment="1">
      <alignment horizontal="center"/>
    </xf>
    <xf numFmtId="0" fontId="15" fillId="0" borderId="6" xfId="307" applyFont="1" applyBorder="1" applyAlignment="1">
      <alignment horizontal="center"/>
    </xf>
    <xf numFmtId="0" fontId="5" fillId="0" borderId="0" xfId="307" applyFont="1" applyFill="1" applyAlignment="1">
      <alignment horizontal="center"/>
    </xf>
    <xf numFmtId="0" fontId="5" fillId="0" borderId="1" xfId="307" applyFont="1" applyBorder="1" applyAlignment="1">
      <alignment horizontal="center"/>
    </xf>
    <xf numFmtId="0" fontId="4" fillId="0" borderId="6" xfId="307" applyFont="1" applyFill="1" applyBorder="1" applyAlignment="1">
      <alignment horizontal="center"/>
    </xf>
    <xf numFmtId="0" fontId="5" fillId="0" borderId="16" xfId="307" applyFont="1" applyBorder="1" applyAlignment="1">
      <alignment horizontal="left"/>
    </xf>
    <xf numFmtId="0" fontId="5" fillId="0" borderId="17" xfId="307" applyFont="1" applyBorder="1" applyAlignment="1">
      <alignment horizontal="left"/>
    </xf>
    <xf numFmtId="0" fontId="5" fillId="0" borderId="18" xfId="307" applyFont="1" applyBorder="1" applyAlignment="1">
      <alignment horizontal="left"/>
    </xf>
    <xf numFmtId="0" fontId="5" fillId="0" borderId="1" xfId="307" applyFont="1" applyBorder="1" applyAlignment="1">
      <alignment horizontal="left"/>
    </xf>
    <xf numFmtId="180" fontId="5" fillId="0" borderId="16" xfId="307" applyNumberFormat="1" applyFont="1" applyBorder="1" applyAlignment="1">
      <alignment horizontal="left" vertical="center"/>
    </xf>
    <xf numFmtId="180" fontId="5" fillId="0" borderId="17" xfId="307" applyNumberFormat="1" applyFont="1" applyBorder="1" applyAlignment="1">
      <alignment horizontal="left" vertical="center"/>
    </xf>
    <xf numFmtId="180" fontId="5" fillId="0" borderId="18" xfId="307" applyNumberFormat="1" applyFont="1" applyBorder="1" applyAlignment="1">
      <alignment horizontal="left" vertical="center"/>
    </xf>
    <xf numFmtId="180" fontId="4" fillId="0" borderId="0" xfId="307" applyNumberFormat="1" applyFont="1" applyAlignment="1">
      <alignment horizontal="center" vertical="center"/>
    </xf>
    <xf numFmtId="180" fontId="5" fillId="0" borderId="0" xfId="307" applyNumberFormat="1" applyFont="1" applyAlignment="1">
      <alignment horizontal="center" vertical="center"/>
    </xf>
    <xf numFmtId="181" fontId="5" fillId="0" borderId="5" xfId="307" applyNumberFormat="1" applyFont="1" applyBorder="1" applyAlignment="1">
      <alignment horizontal="left" vertical="center"/>
    </xf>
    <xf numFmtId="0" fontId="7" fillId="0" borderId="10" xfId="41092" applyFont="1" applyBorder="1" applyAlignment="1">
      <alignment horizontal="center" wrapText="1"/>
    </xf>
    <xf numFmtId="0" fontId="7" fillId="0" borderId="11" xfId="41092" applyFont="1" applyBorder="1" applyAlignment="1">
      <alignment horizontal="center" wrapText="1"/>
    </xf>
    <xf numFmtId="0" fontId="7" fillId="0" borderId="15" xfId="41092" applyFont="1" applyBorder="1" applyAlignment="1">
      <alignment horizontal="center" wrapText="1"/>
    </xf>
    <xf numFmtId="0" fontId="7" fillId="0" borderId="1" xfId="41092" applyFont="1" applyBorder="1" applyAlignment="1">
      <alignment horizontal="center" wrapText="1"/>
    </xf>
    <xf numFmtId="0" fontId="7" fillId="3" borderId="1" xfId="41092" applyFont="1" applyFill="1" applyBorder="1" applyAlignment="1">
      <alignment horizontal="center" wrapText="1"/>
    </xf>
    <xf numFmtId="0" fontId="7" fillId="0" borderId="9" xfId="41092" applyFont="1" applyBorder="1" applyAlignment="1">
      <alignment horizontal="center" wrapText="1"/>
    </xf>
    <xf numFmtId="0" fontId="7" fillId="0" borderId="12" xfId="41092" applyFont="1" applyBorder="1" applyAlignment="1">
      <alignment horizontal="center" wrapText="1"/>
    </xf>
    <xf numFmtId="0" fontId="4" fillId="0" borderId="0" xfId="307" applyFont="1" applyBorder="1" applyAlignment="1">
      <alignment horizontal="left" vertical="center"/>
    </xf>
    <xf numFmtId="0" fontId="3" fillId="0" borderId="0" xfId="307" applyFont="1" applyBorder="1" applyAlignment="1">
      <alignment horizontal="left" vertical="center" wrapText="1"/>
    </xf>
    <xf numFmtId="0" fontId="4" fillId="0" borderId="5" xfId="307" applyFont="1" applyBorder="1" applyAlignment="1"/>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4" xfId="0" applyFont="1" applyBorder="1" applyAlignment="1">
      <alignment horizontal="center" vertical="center" wrapText="1"/>
    </xf>
    <xf numFmtId="0" fontId="1" fillId="0" borderId="1" xfId="0" applyFont="1" applyBorder="1" applyAlignment="1">
      <alignment horizontal="center" vertical="center" wrapText="1"/>
    </xf>
  </cellXfs>
  <cellStyles count="42184">
    <cellStyle name="_ET_STYLE_NoName_00_" xfId="261"/>
    <cellStyle name="0,0_x000d__x000a_NA_x000d__x000a_" xfId="307"/>
    <cellStyle name="0,0_x000d__x000a_NA_x000d__x000a_ 10" xfId="13"/>
    <cellStyle name="0,0_x000d__x000a_NA_x000d__x000a_ 10 2" xfId="316"/>
    <cellStyle name="0,0_x000d__x000a_NA_x000d__x000a_ 11" xfId="293"/>
    <cellStyle name="0,0_x000d__x000a_NA_x000d__x000a_ 12" xfId="268"/>
    <cellStyle name="0,0_x000d__x000a_NA_x000d__x000a_ 2" xfId="291"/>
    <cellStyle name="0,0_x000d__x000a_NA_x000d__x000a_ 2 10" xfId="309"/>
    <cellStyle name="0,0_x000d__x000a_NA_x000d__x000a_ 2 11" xfId="264"/>
    <cellStyle name="0,0_x000d__x000a_NA_x000d__x000a_ 2 2" xfId="317"/>
    <cellStyle name="0,0_x000d__x000a_NA_x000d__x000a_ 2 2 2" xfId="276"/>
    <cellStyle name="0,0_x000d__x000a_NA_x000d__x000a_ 2 2 2 2" xfId="263"/>
    <cellStyle name="0,0_x000d__x000a_NA_x000d__x000a_ 2 2 2 2 2" xfId="327"/>
    <cellStyle name="0,0_x000d__x000a_NA_x000d__x000a_ 2 2 2 2 2 2" xfId="82"/>
    <cellStyle name="0,0_x000d__x000a_NA_x000d__x000a_ 2 2 2 2 2 2 2" xfId="329"/>
    <cellStyle name="0,0_x000d__x000a_NA_x000d__x000a_ 2 2 2 2 2 3" xfId="255"/>
    <cellStyle name="0,0_x000d__x000a_NA_x000d__x000a_ 2 2 2 2 3" xfId="335"/>
    <cellStyle name="0,0_x000d__x000a_NA_x000d__x000a_ 2 2 2 2 3 2" xfId="338"/>
    <cellStyle name="0,0_x000d__x000a_NA_x000d__x000a_ 2 2 2 2 4" xfId="346"/>
    <cellStyle name="0,0_x000d__x000a_NA_x000d__x000a_ 2 2 2 2 4 2" xfId="349"/>
    <cellStyle name="0,0_x000d__x000a_NA_x000d__x000a_ 2 2 2 2 5" xfId="352"/>
    <cellStyle name="0,0_x000d__x000a_NA_x000d__x000a_ 2 2 2 3" xfId="354"/>
    <cellStyle name="0,0_x000d__x000a_NA_x000d__x000a_ 2 2 2 3 2" xfId="362"/>
    <cellStyle name="0,0_x000d__x000a_NA_x000d__x000a_ 2 2 2 3 2 2" xfId="363"/>
    <cellStyle name="0,0_x000d__x000a_NA_x000d__x000a_ 2 2 2 3 3" xfId="366"/>
    <cellStyle name="0,0_x000d__x000a_NA_x000d__x000a_ 2 2 2 4" xfId="368"/>
    <cellStyle name="0,0_x000d__x000a_NA_x000d__x000a_ 2 2 2 4 2" xfId="371"/>
    <cellStyle name="0,0_x000d__x000a_NA_x000d__x000a_ 2 2 2 5" xfId="372"/>
    <cellStyle name="0,0_x000d__x000a_NA_x000d__x000a_ 2 2 2 5 2" xfId="378"/>
    <cellStyle name="0,0_x000d__x000a_NA_x000d__x000a_ 2 2 2 6" xfId="387"/>
    <cellStyle name="0,0_x000d__x000a_NA_x000d__x000a_ 2 2 2 7" xfId="401"/>
    <cellStyle name="0,0_x000d__x000a_NA_x000d__x000a_ 2 2 3" xfId="406"/>
    <cellStyle name="0,0_x000d__x000a_NA_x000d__x000a_ 2 2 3 2" xfId="408"/>
    <cellStyle name="0,0_x000d__x000a_NA_x000d__x000a_ 2 2 3 2 2" xfId="418"/>
    <cellStyle name="0,0_x000d__x000a_NA_x000d__x000a_ 2 2 3 2 2 2" xfId="427"/>
    <cellStyle name="0,0_x000d__x000a_NA_x000d__x000a_ 2 2 3 2 2 2 2" xfId="432"/>
    <cellStyle name="0,0_x000d__x000a_NA_x000d__x000a_ 2 2 3 2 2 2 2 2" xfId="359"/>
    <cellStyle name="0,0_x000d__x000a_NA_x000d__x000a_ 2 2 3 2 2 2 3" xfId="438"/>
    <cellStyle name="0,0_x000d__x000a_NA_x000d__x000a_ 2 2 3 2 2 3" xfId="449"/>
    <cellStyle name="0,0_x000d__x000a_NA_x000d__x000a_ 2 2 3 2 2 3 2" xfId="459"/>
    <cellStyle name="0,0_x000d__x000a_NA_x000d__x000a_ 2 2 3 2 2 4" xfId="463"/>
    <cellStyle name="0,0_x000d__x000a_NA_x000d__x000a_ 2 2 3 2 2 4 2" xfId="468"/>
    <cellStyle name="0,0_x000d__x000a_NA_x000d__x000a_ 2 2 3 2 2 5" xfId="478"/>
    <cellStyle name="0,0_x000d__x000a_NA_x000d__x000a_ 2 2 3 2 3" xfId="484"/>
    <cellStyle name="0,0_x000d__x000a_NA_x000d__x000a_ 2 2 3 2 3 2" xfId="488"/>
    <cellStyle name="0,0_x000d__x000a_NA_x000d__x000a_ 2 2 3 2 3 2 2" xfId="493"/>
    <cellStyle name="0,0_x000d__x000a_NA_x000d__x000a_ 2 2 3 2 3 3" xfId="497"/>
    <cellStyle name="0,0_x000d__x000a_NA_x000d__x000a_ 2 2 3 2 4" xfId="504"/>
    <cellStyle name="0,0_x000d__x000a_NA_x000d__x000a_ 2 2 3 2 4 2" xfId="509"/>
    <cellStyle name="0,0_x000d__x000a_NA_x000d__x000a_ 2 2 3 2 5" xfId="515"/>
    <cellStyle name="0,0_x000d__x000a_NA_x000d__x000a_ 2 2 3 2 5 2" xfId="521"/>
    <cellStyle name="0,0_x000d__x000a_NA_x000d__x000a_ 2 2 3 2 6" xfId="527"/>
    <cellStyle name="0,0_x000d__x000a_NA_x000d__x000a_ 2 2 3 2 7" xfId="534"/>
    <cellStyle name="0,0_x000d__x000a_NA_x000d__x000a_ 2 2 3 3" xfId="543"/>
    <cellStyle name="0,0_x000d__x000a_NA_x000d__x000a_ 2 2 3 3 2" xfId="75"/>
    <cellStyle name="0,0_x000d__x000a_NA_x000d__x000a_ 2 2 3 3 2 2" xfId="549"/>
    <cellStyle name="0,0_x000d__x000a_NA_x000d__x000a_ 2 2 3 3 2 2 2" xfId="89"/>
    <cellStyle name="0,0_x000d__x000a_NA_x000d__x000a_ 2 2 3 3 2 3" xfId="69"/>
    <cellStyle name="0,0_x000d__x000a_NA_x000d__x000a_ 2 2 3 3 3" xfId="50"/>
    <cellStyle name="0,0_x000d__x000a_NA_x000d__x000a_ 2 2 3 3 3 2" xfId="552"/>
    <cellStyle name="0,0_x000d__x000a_NA_x000d__x000a_ 2 2 3 3 4" xfId="108"/>
    <cellStyle name="0,0_x000d__x000a_NA_x000d__x000a_ 2 2 3 3 4 2" xfId="555"/>
    <cellStyle name="0,0_x000d__x000a_NA_x000d__x000a_ 2 2 3 3 5" xfId="231"/>
    <cellStyle name="0,0_x000d__x000a_NA_x000d__x000a_ 2 2 3 4" xfId="561"/>
    <cellStyle name="0,0_x000d__x000a_NA_x000d__x000a_ 2 2 3 4 2" xfId="567"/>
    <cellStyle name="0,0_x000d__x000a_NA_x000d__x000a_ 2 2 3 4 2 2" xfId="569"/>
    <cellStyle name="0,0_x000d__x000a_NA_x000d__x000a_ 2 2 3 4 3" xfId="571"/>
    <cellStyle name="0,0_x000d__x000a_NA_x000d__x000a_ 2 2 3 5" xfId="318"/>
    <cellStyle name="0,0_x000d__x000a_NA_x000d__x000a_ 2 2 3 5 2" xfId="278"/>
    <cellStyle name="0,0_x000d__x000a_NA_x000d__x000a_ 2 2 3 6" xfId="583"/>
    <cellStyle name="0,0_x000d__x000a_NA_x000d__x000a_ 2 2 3 6 2" xfId="594"/>
    <cellStyle name="0,0_x000d__x000a_NA_x000d__x000a_ 2 2 3 7" xfId="610"/>
    <cellStyle name="0,0_x000d__x000a_NA_x000d__x000a_ 2 2 3 8" xfId="623"/>
    <cellStyle name="0,0_x000d__x000a_NA_x000d__x000a_ 2 2 4" xfId="627"/>
    <cellStyle name="0,0_x000d__x000a_NA_x000d__x000a_ 2 2 4 2" xfId="628"/>
    <cellStyle name="0,0_x000d__x000a_NA_x000d__x000a_ 2 2 4 2 2" xfId="629"/>
    <cellStyle name="0,0_x000d__x000a_NA_x000d__x000a_ 2 2 4 2 2 2" xfId="632"/>
    <cellStyle name="0,0_x000d__x000a_NA_x000d__x000a_ 2 2 4 2 3" xfId="637"/>
    <cellStyle name="0,0_x000d__x000a_NA_x000d__x000a_ 2 2 4 3" xfId="642"/>
    <cellStyle name="0,0_x000d__x000a_NA_x000d__x000a_ 2 2 4 3 2" xfId="646"/>
    <cellStyle name="0,0_x000d__x000a_NA_x000d__x000a_ 2 2 4 4" xfId="651"/>
    <cellStyle name="0,0_x000d__x000a_NA_x000d__x000a_ 2 2 4 4 2" xfId="454"/>
    <cellStyle name="0,0_x000d__x000a_NA_x000d__x000a_ 2 2 4 5" xfId="665"/>
    <cellStyle name="0,0_x000d__x000a_NA_x000d__x000a_ 2 2 5" xfId="667"/>
    <cellStyle name="0,0_x000d__x000a_NA_x000d__x000a_ 2 2 5 2" xfId="669"/>
    <cellStyle name="0,0_x000d__x000a_NA_x000d__x000a_ 2 2 5 2 2" xfId="672"/>
    <cellStyle name="0,0_x000d__x000a_NA_x000d__x000a_ 2 2 5 3" xfId="676"/>
    <cellStyle name="0,0_x000d__x000a_NA_x000d__x000a_ 2 2 6" xfId="677"/>
    <cellStyle name="0,0_x000d__x000a_NA_x000d__x000a_ 2 2 6 2" xfId="683"/>
    <cellStyle name="0,0_x000d__x000a_NA_x000d__x000a_ 2 2 7" xfId="685"/>
    <cellStyle name="0,0_x000d__x000a_NA_x000d__x000a_ 2 2 7 2" xfId="636"/>
    <cellStyle name="0,0_x000d__x000a_NA_x000d__x000a_ 2 2 8" xfId="693"/>
    <cellStyle name="0,0_x000d__x000a_NA_x000d__x000a_ 2 2 9" xfId="695"/>
    <cellStyle name="0,0_x000d__x000a_NA_x000d__x000a_ 2 3" xfId="578"/>
    <cellStyle name="0,0_x000d__x000a_NA_x000d__x000a_ 2 3 2" xfId="589"/>
    <cellStyle name="0,0_x000d__x000a_NA_x000d__x000a_ 2 3 2 2" xfId="701"/>
    <cellStyle name="0,0_x000d__x000a_NA_x000d__x000a_ 2 3 2 2 2" xfId="705"/>
    <cellStyle name="0,0_x000d__x000a_NA_x000d__x000a_ 2 3 2 2 2 2" xfId="714"/>
    <cellStyle name="0,0_x000d__x000a_NA_x000d__x000a_ 2 3 2 2 3" xfId="725"/>
    <cellStyle name="0,0_x000d__x000a_NA_x000d__x000a_ 2 3 2 3" xfId="732"/>
    <cellStyle name="0,0_x000d__x000a_NA_x000d__x000a_ 2 3 2 3 2" xfId="735"/>
    <cellStyle name="0,0_x000d__x000a_NA_x000d__x000a_ 2 3 2 4" xfId="746"/>
    <cellStyle name="0,0_x000d__x000a_NA_x000d__x000a_ 2 3 2 4 2" xfId="753"/>
    <cellStyle name="0,0_x000d__x000a_NA_x000d__x000a_ 2 3 2 5" xfId="757"/>
    <cellStyle name="0,0_x000d__x000a_NA_x000d__x000a_ 2 3 3" xfId="758"/>
    <cellStyle name="0,0_x000d__x000a_NA_x000d__x000a_ 2 3 3 2" xfId="763"/>
    <cellStyle name="0,0_x000d__x000a_NA_x000d__x000a_ 2 3 3 2 2" xfId="769"/>
    <cellStyle name="0,0_x000d__x000a_NA_x000d__x000a_ 2 3 3 3" xfId="786"/>
    <cellStyle name="0,0_x000d__x000a_NA_x000d__x000a_ 2 3 4" xfId="698"/>
    <cellStyle name="0,0_x000d__x000a_NA_x000d__x000a_ 2 3 4 2" xfId="709"/>
    <cellStyle name="0,0_x000d__x000a_NA_x000d__x000a_ 2 3 5" xfId="729"/>
    <cellStyle name="0,0_x000d__x000a_NA_x000d__x000a_ 2 3 5 2" xfId="736"/>
    <cellStyle name="0,0_x000d__x000a_NA_x000d__x000a_ 2 3 6" xfId="743"/>
    <cellStyle name="0,0_x000d__x000a_NA_x000d__x000a_ 2 3 7" xfId="754"/>
    <cellStyle name="0,0_x000d__x000a_NA_x000d__x000a_ 2 4" xfId="602"/>
    <cellStyle name="0,0_x000d__x000a_NA_x000d__x000a_ 2 4 2" xfId="788"/>
    <cellStyle name="0,0_x000d__x000a_NA_x000d__x000a_ 2 4 2 2" xfId="796"/>
    <cellStyle name="0,0_x000d__x000a_NA_x000d__x000a_ 2 4 2 2 2" xfId="812"/>
    <cellStyle name="0,0_x000d__x000a_NA_x000d__x000a_ 2 4 2 2 2 2" xfId="825"/>
    <cellStyle name="0,0_x000d__x000a_NA_x000d__x000a_ 2 4 2 2 2 2 2" xfId="827"/>
    <cellStyle name="0,0_x000d__x000a_NA_x000d__x000a_ 2 4 2 2 2 3" xfId="831"/>
    <cellStyle name="0,0_x000d__x000a_NA_x000d__x000a_ 2 4 2 2 3" xfId="858"/>
    <cellStyle name="0,0_x000d__x000a_NA_x000d__x000a_ 2 4 2 2 3 2" xfId="865"/>
    <cellStyle name="0,0_x000d__x000a_NA_x000d__x000a_ 2 4 2 2 4" xfId="877"/>
    <cellStyle name="0,0_x000d__x000a_NA_x000d__x000a_ 2 4 2 2 4 2" xfId="246"/>
    <cellStyle name="0,0_x000d__x000a_NA_x000d__x000a_ 2 4 2 2 5" xfId="880"/>
    <cellStyle name="0,0_x000d__x000a_NA_x000d__x000a_ 2 4 2 3" xfId="885"/>
    <cellStyle name="0,0_x000d__x000a_NA_x000d__x000a_ 2 4 2 3 2" xfId="897"/>
    <cellStyle name="0,0_x000d__x000a_NA_x000d__x000a_ 2 4 2 3 2 2" xfId="900"/>
    <cellStyle name="0,0_x000d__x000a_NA_x000d__x000a_ 2 4 2 3 3" xfId="902"/>
    <cellStyle name="0,0_x000d__x000a_NA_x000d__x000a_ 2 4 2 4" xfId="908"/>
    <cellStyle name="0,0_x000d__x000a_NA_x000d__x000a_ 2 4 2 4 2" xfId="912"/>
    <cellStyle name="0,0_x000d__x000a_NA_x000d__x000a_ 2 4 2 5" xfId="918"/>
    <cellStyle name="0,0_x000d__x000a_NA_x000d__x000a_ 2 4 2 5 2" xfId="922"/>
    <cellStyle name="0,0_x000d__x000a_NA_x000d__x000a_ 2 4 2 6" xfId="929"/>
    <cellStyle name="0,0_x000d__x000a_NA_x000d__x000a_ 2 4 2 7" xfId="936"/>
    <cellStyle name="0,0_x000d__x000a_NA_x000d__x000a_ 2 4 3" xfId="121"/>
    <cellStyle name="0,0_x000d__x000a_NA_x000d__x000a_ 2 4 3 2" xfId="29"/>
    <cellStyle name="0,0_x000d__x000a_NA_x000d__x000a_ 2 4 3 2 2" xfId="577"/>
    <cellStyle name="0,0_x000d__x000a_NA_x000d__x000a_ 2 4 3 2 2 2" xfId="588"/>
    <cellStyle name="0,0_x000d__x000a_NA_x000d__x000a_ 2 4 3 2 3" xfId="599"/>
    <cellStyle name="0,0_x000d__x000a_NA_x000d__x000a_ 2 4 3 3" xfId="216"/>
    <cellStyle name="0,0_x000d__x000a_NA_x000d__x000a_ 2 4 3 3 2" xfId="127"/>
    <cellStyle name="0,0_x000d__x000a_NA_x000d__x000a_ 2 4 3 4" xfId="228"/>
    <cellStyle name="0,0_x000d__x000a_NA_x000d__x000a_ 2 4 3 4 2" xfId="940"/>
    <cellStyle name="0,0_x000d__x000a_NA_x000d__x000a_ 2 4 3 5" xfId="248"/>
    <cellStyle name="0,0_x000d__x000a_NA_x000d__x000a_ 2 4 4" xfId="762"/>
    <cellStyle name="0,0_x000d__x000a_NA_x000d__x000a_ 2 4 4 2" xfId="767"/>
    <cellStyle name="0,0_x000d__x000a_NA_x000d__x000a_ 2 4 4 2 2" xfId="949"/>
    <cellStyle name="0,0_x000d__x000a_NA_x000d__x000a_ 2 4 4 3" xfId="951"/>
    <cellStyle name="0,0_x000d__x000a_NA_x000d__x000a_ 2 4 5" xfId="784"/>
    <cellStyle name="0,0_x000d__x000a_NA_x000d__x000a_ 2 4 5 2" xfId="956"/>
    <cellStyle name="0,0_x000d__x000a_NA_x000d__x000a_ 2 4 6" xfId="968"/>
    <cellStyle name="0,0_x000d__x000a_NA_x000d__x000a_ 2 4 6 2" xfId="973"/>
    <cellStyle name="0,0_x000d__x000a_NA_x000d__x000a_ 2 4 7" xfId="980"/>
    <cellStyle name="0,0_x000d__x000a_NA_x000d__x000a_ 2 4 8" xfId="945"/>
    <cellStyle name="0,0_x000d__x000a_NA_x000d__x000a_ 2 5" xfId="619"/>
    <cellStyle name="0,0_x000d__x000a_NA_x000d__x000a_ 2 5 2" xfId="982"/>
    <cellStyle name="0,0_x000d__x000a_NA_x000d__x000a_ 2 5 2 2" xfId="989"/>
    <cellStyle name="0,0_x000d__x000a_NA_x000d__x000a_ 2 5 2 2 2" xfId="995"/>
    <cellStyle name="0,0_x000d__x000a_NA_x000d__x000a_ 2 5 2 2 2 2" xfId="1000"/>
    <cellStyle name="0,0_x000d__x000a_NA_x000d__x000a_ 2 5 2 2 3" xfId="1008"/>
    <cellStyle name="0,0_x000d__x000a_NA_x000d__x000a_ 2 5 2 3" xfId="1013"/>
    <cellStyle name="0,0_x000d__x000a_NA_x000d__x000a_ 2 5 2 3 2" xfId="1017"/>
    <cellStyle name="0,0_x000d__x000a_NA_x000d__x000a_ 2 5 2 4" xfId="1022"/>
    <cellStyle name="0,0_x000d__x000a_NA_x000d__x000a_ 2 5 2 4 2" xfId="933"/>
    <cellStyle name="0,0_x000d__x000a_NA_x000d__x000a_ 2 5 3" xfId="1028"/>
    <cellStyle name="0,0_x000d__x000a_NA_x000d__x000a_ 2 5 3 2" xfId="1031"/>
    <cellStyle name="0,0_x000d__x000a_NA_x000d__x000a_ 2 5 3 2 2" xfId="1033"/>
    <cellStyle name="0,0_x000d__x000a_NA_x000d__x000a_ 2 5 3 2 2 2" xfId="1044"/>
    <cellStyle name="0,0_x000d__x000a_NA_x000d__x000a_ 2 5 3 2 3" xfId="1046"/>
    <cellStyle name="0,0_x000d__x000a_NA_x000d__x000a_ 2 5 3 3" xfId="1048"/>
    <cellStyle name="0,0_x000d__x000a_NA_x000d__x000a_ 2 5 3 3 2" xfId="1050"/>
    <cellStyle name="0,0_x000d__x000a_NA_x000d__x000a_ 2 5 3 4" xfId="1053"/>
    <cellStyle name="0,0_x000d__x000a_NA_x000d__x000a_ 2 5 4" xfId="704"/>
    <cellStyle name="0,0_x000d__x000a_NA_x000d__x000a_ 2 5 4 2" xfId="713"/>
    <cellStyle name="0,0_x000d__x000a_NA_x000d__x000a_ 2 5 5" xfId="723"/>
    <cellStyle name="0,0_x000d__x000a_NA_x000d__x000a_ 2 5 5 2" xfId="1058"/>
    <cellStyle name="0,0_x000d__x000a_NA_x000d__x000a_ 2 6" xfId="1065"/>
    <cellStyle name="0,0_x000d__x000a_NA_x000d__x000a_ 2 6 2" xfId="1070"/>
    <cellStyle name="0,0_x000d__x000a_NA_x000d__x000a_ 2 6 2 2" xfId="1080"/>
    <cellStyle name="0,0_x000d__x000a_NA_x000d__x000a_ 2 6 2 2 2" xfId="1093"/>
    <cellStyle name="0,0_x000d__x000a_NA_x000d__x000a_ 2 6 2 3" xfId="894"/>
    <cellStyle name="0,0_x000d__x000a_NA_x000d__x000a_ 2 6 3" xfId="38"/>
    <cellStyle name="0,0_x000d__x000a_NA_x000d__x000a_ 2 6 3 2" xfId="1098"/>
    <cellStyle name="0,0_x000d__x000a_NA_x000d__x000a_ 2 6 4" xfId="734"/>
    <cellStyle name="0,0_x000d__x000a_NA_x000d__x000a_ 2 6 4 2" xfId="1102"/>
    <cellStyle name="0,0_x000d__x000a_NA_x000d__x000a_ 2 6 5" xfId="1109"/>
    <cellStyle name="0,0_x000d__x000a_NA_x000d__x000a_ 2 7" xfId="1110"/>
    <cellStyle name="0,0_x000d__x000a_NA_x000d__x000a_ 2 7 2" xfId="1116"/>
    <cellStyle name="0,0_x000d__x000a_NA_x000d__x000a_ 2 7 2 2" xfId="660"/>
    <cellStyle name="0,0_x000d__x000a_NA_x000d__x000a_ 2 7 3" xfId="1123"/>
    <cellStyle name="0,0_x000d__x000a_NA_x000d__x000a_ 2 8" xfId="1125"/>
    <cellStyle name="0,0_x000d__x000a_NA_x000d__x000a_ 2 8 2" xfId="1130"/>
    <cellStyle name="0,0_x000d__x000a_NA_x000d__x000a_ 2 9" xfId="102"/>
    <cellStyle name="0,0_x000d__x000a_NA_x000d__x000a_ 2 9 2" xfId="1132"/>
    <cellStyle name="0,0_x000d__x000a_NA_x000d__x000a_ 3" xfId="1114"/>
    <cellStyle name="0,0_x000d__x000a_NA_x000d__x000a_ 3 2" xfId="659"/>
    <cellStyle name="0,0_x000d__x000a_NA_x000d__x000a_ 3 2 2" xfId="496"/>
    <cellStyle name="0,0_x000d__x000a_NA_x000d__x000a_ 3 2 2 2" xfId="1134"/>
    <cellStyle name="0,0_x000d__x000a_NA_x000d__x000a_ 3 2 2 2 2" xfId="1144"/>
    <cellStyle name="0,0_x000d__x000a_NA_x000d__x000a_ 3 2 2 2 2 2" xfId="1157"/>
    <cellStyle name="0,0_x000d__x000a_NA_x000d__x000a_ 3 2 2 2 3" xfId="1170"/>
    <cellStyle name="0,0_x000d__x000a_NA_x000d__x000a_ 3 2 2 3" xfId="1177"/>
    <cellStyle name="0,0_x000d__x000a_NA_x000d__x000a_ 3 2 2 3 2" xfId="143"/>
    <cellStyle name="0,0_x000d__x000a_NA_x000d__x000a_ 3 2 2 4" xfId="1185"/>
    <cellStyle name="0,0_x000d__x000a_NA_x000d__x000a_ 3 2 2 4 2" xfId="848"/>
    <cellStyle name="0,0_x000d__x000a_NA_x000d__x000a_ 3 2 2 5" xfId="1191"/>
    <cellStyle name="0,0_x000d__x000a_NA_x000d__x000a_ 3 2 3" xfId="1197"/>
    <cellStyle name="0,0_x000d__x000a_NA_x000d__x000a_ 3 2 3 2" xfId="1199"/>
    <cellStyle name="0,0_x000d__x000a_NA_x000d__x000a_ 3 2 3 2 2" xfId="1214"/>
    <cellStyle name="0,0_x000d__x000a_NA_x000d__x000a_ 3 2 3 3" xfId="1220"/>
    <cellStyle name="0,0_x000d__x000a_NA_x000d__x000a_ 3 2 4" xfId="1225"/>
    <cellStyle name="0,0_x000d__x000a_NA_x000d__x000a_ 3 2 4 2" xfId="1231"/>
    <cellStyle name="0,0_x000d__x000a_NA_x000d__x000a_ 3 2 5" xfId="1234"/>
    <cellStyle name="0,0_x000d__x000a_NA_x000d__x000a_ 3 2 5 2" xfId="1011"/>
    <cellStyle name="0,0_x000d__x000a_NA_x000d__x000a_ 3 2 6" xfId="1240"/>
    <cellStyle name="0,0_x000d__x000a_NA_x000d__x000a_ 3 2 7" xfId="1243"/>
    <cellStyle name="0,0_x000d__x000a_NA_x000d__x000a_ 3 3" xfId="128"/>
    <cellStyle name="0,0_x000d__x000a_NA_x000d__x000a_ 3 3 2" xfId="1246"/>
    <cellStyle name="0,0_x000d__x000a_NA_x000d__x000a_ 3 3 2 2" xfId="1250"/>
    <cellStyle name="0,0_x000d__x000a_NA_x000d__x000a_ 3 3 2 2 2" xfId="1256"/>
    <cellStyle name="0,0_x000d__x000a_NA_x000d__x000a_ 3 3 2 2 2 2" xfId="1263"/>
    <cellStyle name="0,0_x000d__x000a_NA_x000d__x000a_ 3 3 2 2 2 2 2" xfId="1265"/>
    <cellStyle name="0,0_x000d__x000a_NA_x000d__x000a_ 3 3 2 2 2 3" xfId="433"/>
    <cellStyle name="0,0_x000d__x000a_NA_x000d__x000a_ 3 3 2 2 3" xfId="1269"/>
    <cellStyle name="0,0_x000d__x000a_NA_x000d__x000a_ 3 3 2 2 3 2" xfId="1272"/>
    <cellStyle name="0,0_x000d__x000a_NA_x000d__x000a_ 3 3 2 2 4" xfId="1279"/>
    <cellStyle name="0,0_x000d__x000a_NA_x000d__x000a_ 3 3 2 2 4 2" xfId="472"/>
    <cellStyle name="0,0_x000d__x000a_NA_x000d__x000a_ 3 3 2 2 5" xfId="1282"/>
    <cellStyle name="0,0_x000d__x000a_NA_x000d__x000a_ 3 3 2 3" xfId="1138"/>
    <cellStyle name="0,0_x000d__x000a_NA_x000d__x000a_ 3 3 2 3 2" xfId="1152"/>
    <cellStyle name="0,0_x000d__x000a_NA_x000d__x000a_ 3 3 2 3 2 2" xfId="1284"/>
    <cellStyle name="0,0_x000d__x000a_NA_x000d__x000a_ 3 3 2 3 3" xfId="331"/>
    <cellStyle name="0,0_x000d__x000a_NA_x000d__x000a_ 3 3 2 4" xfId="1164"/>
    <cellStyle name="0,0_x000d__x000a_NA_x000d__x000a_ 3 3 2 4 2" xfId="1003"/>
    <cellStyle name="0,0_x000d__x000a_NA_x000d__x000a_ 3 3 2 5" xfId="1287"/>
    <cellStyle name="0,0_x000d__x000a_NA_x000d__x000a_ 3 3 2 5 2" xfId="1289"/>
    <cellStyle name="0,0_x000d__x000a_NA_x000d__x000a_ 3 3 2 6" xfId="1292"/>
    <cellStyle name="0,0_x000d__x000a_NA_x000d__x000a_ 3 3 2 7" xfId="862"/>
    <cellStyle name="0,0_x000d__x000a_NA_x000d__x000a_ 3 3 3" xfId="1295"/>
    <cellStyle name="0,0_x000d__x000a_NA_x000d__x000a_ 3 3 3 2" xfId="175"/>
    <cellStyle name="0,0_x000d__x000a_NA_x000d__x000a_ 3 3 3 2 2" xfId="1297"/>
    <cellStyle name="0,0_x000d__x000a_NA_x000d__x000a_ 3 3 3 2 2 2" xfId="1299"/>
    <cellStyle name="0,0_x000d__x000a_NA_x000d__x000a_ 3 3 3 2 3" xfId="1303"/>
    <cellStyle name="0,0_x000d__x000a_NA_x000d__x000a_ 3 3 3 3" xfId="148"/>
    <cellStyle name="0,0_x000d__x000a_NA_x000d__x000a_ 3 3 3 3 2" xfId="1306"/>
    <cellStyle name="0,0_x000d__x000a_NA_x000d__x000a_ 3 3 3 4" xfId="207"/>
    <cellStyle name="0,0_x000d__x000a_NA_x000d__x000a_ 3 3 3 4 2" xfId="1045"/>
    <cellStyle name="0,0_x000d__x000a_NA_x000d__x000a_ 3 3 3 5" xfId="210"/>
    <cellStyle name="0,0_x000d__x000a_NA_x000d__x000a_ 3 3 4" xfId="795"/>
    <cellStyle name="0,0_x000d__x000a_NA_x000d__x000a_ 3 3 4 2" xfId="810"/>
    <cellStyle name="0,0_x000d__x000a_NA_x000d__x000a_ 3 3 4 2 2" xfId="822"/>
    <cellStyle name="0,0_x000d__x000a_NA_x000d__x000a_ 3 3 4 3" xfId="844"/>
    <cellStyle name="0,0_x000d__x000a_NA_x000d__x000a_ 3 3 5" xfId="883"/>
    <cellStyle name="0,0_x000d__x000a_NA_x000d__x000a_ 3 3 5 2" xfId="893"/>
    <cellStyle name="0,0_x000d__x000a_NA_x000d__x000a_ 3 3 6" xfId="906"/>
    <cellStyle name="0,0_x000d__x000a_NA_x000d__x000a_ 3 3 6 2" xfId="910"/>
    <cellStyle name="0,0_x000d__x000a_NA_x000d__x000a_ 3 3 7" xfId="915"/>
    <cellStyle name="0,0_x000d__x000a_NA_x000d__x000a_ 3 3 8" xfId="926"/>
    <cellStyle name="0,0_x000d__x000a_NA_x000d__x000a_ 3 4" xfId="1311"/>
    <cellStyle name="0,0_x000d__x000a_NA_x000d__x000a_ 3 4 2" xfId="183"/>
    <cellStyle name="0,0_x000d__x000a_NA_x000d__x000a_ 3 4 2 2" xfId="1327"/>
    <cellStyle name="0,0_x000d__x000a_NA_x000d__x000a_ 3 4 2 2 2" xfId="1339"/>
    <cellStyle name="0,0_x000d__x000a_NA_x000d__x000a_ 3 4 2 3" xfId="1210"/>
    <cellStyle name="0,0_x000d__x000a_NA_x000d__x000a_ 3 4 3" xfId="197"/>
    <cellStyle name="0,0_x000d__x000a_NA_x000d__x000a_ 3 4 3 2" xfId="392"/>
    <cellStyle name="0,0_x000d__x000a_NA_x000d__x000a_ 3 4 4" xfId="31"/>
    <cellStyle name="0,0_x000d__x000a_NA_x000d__x000a_ 3 4 4 2" xfId="575"/>
    <cellStyle name="0,0_x000d__x000a_NA_x000d__x000a_ 3 4 5" xfId="219"/>
    <cellStyle name="0,0_x000d__x000a_NA_x000d__x000a_ 3 5" xfId="1340"/>
    <cellStyle name="0,0_x000d__x000a_NA_x000d__x000a_ 3 5 2" xfId="300"/>
    <cellStyle name="0,0_x000d__x000a_NA_x000d__x000a_ 3 5 2 2" xfId="687"/>
    <cellStyle name="0,0_x000d__x000a_NA_x000d__x000a_ 3 5 3" xfId="273"/>
    <cellStyle name="0,0_x000d__x000a_NA_x000d__x000a_ 3 6" xfId="1345"/>
    <cellStyle name="0,0_x000d__x000a_NA_x000d__x000a_ 3 6 2" xfId="1349"/>
    <cellStyle name="0,0_x000d__x000a_NA_x000d__x000a_ 3 7" xfId="1353"/>
    <cellStyle name="0,0_x000d__x000a_NA_x000d__x000a_ 3 7 2" xfId="1358"/>
    <cellStyle name="0,0_x000d__x000a_NA_x000d__x000a_ 3 8" xfId="1366"/>
    <cellStyle name="0,0_x000d__x000a_NA_x000d__x000a_ 3 9" xfId="1373"/>
    <cellStyle name="0,0_x000d__x000a_NA_x000d__x000a_ 4" xfId="1122"/>
    <cellStyle name="0,0_x000d__x000a_NA_x000d__x000a_ 4 2" xfId="1381"/>
    <cellStyle name="0,0_x000d__x000a_NA_x000d__x000a_ 4 2 2" xfId="1383"/>
    <cellStyle name="0,0_x000d__x000a_NA_x000d__x000a_ 4 2 2 2" xfId="1385"/>
    <cellStyle name="0,0_x000d__x000a_NA_x000d__x000a_ 4 2 2 2 2" xfId="1390"/>
    <cellStyle name="0,0_x000d__x000a_NA_x000d__x000a_ 4 2 2 3" xfId="1397"/>
    <cellStyle name="0,0_x000d__x000a_NA_x000d__x000a_ 4 2 3" xfId="1400"/>
    <cellStyle name="0,0_x000d__x000a_NA_x000d__x000a_ 4 2 3 2" xfId="1404"/>
    <cellStyle name="0,0_x000d__x000a_NA_x000d__x000a_ 4 2 4" xfId="1410"/>
    <cellStyle name="0,0_x000d__x000a_NA_x000d__x000a_ 4 2 4 2" xfId="1412"/>
    <cellStyle name="0,0_x000d__x000a_NA_x000d__x000a_ 4 2 5" xfId="1227"/>
    <cellStyle name="0,0_x000d__x000a_NA_x000d__x000a_ 4 3" xfId="939"/>
    <cellStyle name="0,0_x000d__x000a_NA_x000d__x000a_ 4 3 2" xfId="1414"/>
    <cellStyle name="0,0_x000d__x000a_NA_x000d__x000a_ 4 3 2 2" xfId="1420"/>
    <cellStyle name="0,0_x000d__x000a_NA_x000d__x000a_ 4 3 3" xfId="1422"/>
    <cellStyle name="0,0_x000d__x000a_NA_x000d__x000a_ 4 4" xfId="1036"/>
    <cellStyle name="0,0_x000d__x000a_NA_x000d__x000a_ 4 4 2" xfId="1424"/>
    <cellStyle name="0,0_x000d__x000a_NA_x000d__x000a_ 4 5" xfId="1429"/>
    <cellStyle name="0,0_x000d__x000a_NA_x000d__x000a_ 4 5 2" xfId="312"/>
    <cellStyle name="0,0_x000d__x000a_NA_x000d__x000a_ 4 6" xfId="1435"/>
    <cellStyle name="0,0_x000d__x000a_NA_x000d__x000a_ 4 7" xfId="1437"/>
    <cellStyle name="0,0_x000d__x000a_NA_x000d__x000a_ 5" xfId="748"/>
    <cellStyle name="0,0_x000d__x000a_NA_x000d__x000a_ 5 2" xfId="1443"/>
    <cellStyle name="0,0_x000d__x000a_NA_x000d__x000a_ 5 2 2" xfId="19"/>
    <cellStyle name="0,0_x000d__x000a_NA_x000d__x000a_ 5 2 2 2" xfId="1449"/>
    <cellStyle name="0,0_x000d__x000a_NA_x000d__x000a_ 5 2 2 2 2" xfId="1459"/>
    <cellStyle name="0,0_x000d__x000a_NA_x000d__x000a_ 5 2 2 2 2 2" xfId="1464"/>
    <cellStyle name="0,0_x000d__x000a_NA_x000d__x000a_ 5 2 2 2 3" xfId="1471"/>
    <cellStyle name="0,0_x000d__x000a_NA_x000d__x000a_ 5 2 2 3" xfId="1476"/>
    <cellStyle name="0,0_x000d__x000a_NA_x000d__x000a_ 5 2 2 3 2" xfId="1486"/>
    <cellStyle name="0,0_x000d__x000a_NA_x000d__x000a_ 5 2 2 4" xfId="1491"/>
    <cellStyle name="0,0_x000d__x000a_NA_x000d__x000a_ 5 2 2 4 2" xfId="1493"/>
    <cellStyle name="0,0_x000d__x000a_NA_x000d__x000a_ 5 2 2 5" xfId="548"/>
    <cellStyle name="0,0_x000d__x000a_NA_x000d__x000a_ 5 2 3" xfId="1497"/>
    <cellStyle name="0,0_x000d__x000a_NA_x000d__x000a_ 5 2 3 2" xfId="1501"/>
    <cellStyle name="0,0_x000d__x000a_NA_x000d__x000a_ 5 2 3 2 2" xfId="871"/>
    <cellStyle name="0,0_x000d__x000a_NA_x000d__x000a_ 5 2 3 3" xfId="1510"/>
    <cellStyle name="0,0_x000d__x000a_NA_x000d__x000a_ 5 2 4" xfId="1513"/>
    <cellStyle name="0,0_x000d__x000a_NA_x000d__x000a_ 5 2 4 2" xfId="1521"/>
    <cellStyle name="0,0_x000d__x000a_NA_x000d__x000a_ 5 2 5" xfId="807"/>
    <cellStyle name="0,0_x000d__x000a_NA_x000d__x000a_ 5 2 5 2" xfId="815"/>
    <cellStyle name="0,0_x000d__x000a_NA_x000d__x000a_ 5 2 6" xfId="837"/>
    <cellStyle name="0,0_x000d__x000a_NA_x000d__x000a_ 5 2 7" xfId="868"/>
    <cellStyle name="0,0_x000d__x000a_NA_x000d__x000a_ 5 3" xfId="1525"/>
    <cellStyle name="0,0_x000d__x000a_NA_x000d__x000a_ 5 3 2" xfId="1534"/>
    <cellStyle name="0,0_x000d__x000a_NA_x000d__x000a_ 5 3 2 2" xfId="1539"/>
    <cellStyle name="0,0_x000d__x000a_NA_x000d__x000a_ 5 3 2 2 2" xfId="1542"/>
    <cellStyle name="0,0_x000d__x000a_NA_x000d__x000a_ 5 3 2 3" xfId="1337"/>
    <cellStyle name="0,0_x000d__x000a_NA_x000d__x000a_ 5 3 3" xfId="1547"/>
    <cellStyle name="0,0_x000d__x000a_NA_x000d__x000a_ 5 3 3 2" xfId="256"/>
    <cellStyle name="0,0_x000d__x000a_NA_x000d__x000a_ 5 3 4" xfId="1075"/>
    <cellStyle name="0,0_x000d__x000a_NA_x000d__x000a_ 5 3 4 2" xfId="1089"/>
    <cellStyle name="0,0_x000d__x000a_NA_x000d__x000a_ 5 3 5" xfId="889"/>
    <cellStyle name="0,0_x000d__x000a_NA_x000d__x000a_ 5 4" xfId="1551"/>
    <cellStyle name="0,0_x000d__x000a_NA_x000d__x000a_ 5 4 2" xfId="1562"/>
    <cellStyle name="0,0_x000d__x000a_NA_x000d__x000a_ 5 4 2 2" xfId="1566"/>
    <cellStyle name="0,0_x000d__x000a_NA_x000d__x000a_ 5 4 3" xfId="1570"/>
    <cellStyle name="0,0_x000d__x000a_NA_x000d__x000a_ 5 5" xfId="1572"/>
    <cellStyle name="0,0_x000d__x000a_NA_x000d__x000a_ 5 5 2" xfId="63"/>
    <cellStyle name="0,0_x000d__x000a_NA_x000d__x000a_ 5 6" xfId="152"/>
    <cellStyle name="0,0_x000d__x000a_NA_x000d__x000a_ 5 6 2" xfId="502"/>
    <cellStyle name="0,0_x000d__x000a_NA_x000d__x000a_ 5 7" xfId="1576"/>
    <cellStyle name="0,0_x000d__x000a_NA_x000d__x000a_ 5 8" xfId="1581"/>
    <cellStyle name="0,0_x000d__x000a_NA_x000d__x000a_ 6" xfId="1583"/>
    <cellStyle name="0,0_x000d__x000a_NA_x000d__x000a_ 6 2" xfId="441"/>
    <cellStyle name="0,0_x000d__x000a_NA_x000d__x000a_ 6 2 2" xfId="542"/>
    <cellStyle name="0,0_x000d__x000a_NA_x000d__x000a_ 6 2 2 2" xfId="76"/>
    <cellStyle name="0,0_x000d__x000a_NA_x000d__x000a_ 6 2 2 2 2" xfId="546"/>
    <cellStyle name="0,0_x000d__x000a_NA_x000d__x000a_ 6 2 2 3" xfId="51"/>
    <cellStyle name="0,0_x000d__x000a_NA_x000d__x000a_ 6 2 3" xfId="560"/>
    <cellStyle name="0,0_x000d__x000a_NA_x000d__x000a_ 6 2 3 2" xfId="566"/>
    <cellStyle name="0,0_x000d__x000a_NA_x000d__x000a_ 6 2 4" xfId="323"/>
    <cellStyle name="0,0_x000d__x000a_NA_x000d__x000a_ 6 2 4 2" xfId="283"/>
    <cellStyle name="0,0_x000d__x000a_NA_x000d__x000a_ 6 3" xfId="1588"/>
    <cellStyle name="0,0_x000d__x000a_NA_x000d__x000a_ 6 3 2" xfId="641"/>
    <cellStyle name="0,0_x000d__x000a_NA_x000d__x000a_ 6 3 2 2" xfId="645"/>
    <cellStyle name="0,0_x000d__x000a_NA_x000d__x000a_ 6 3 2 2 2" xfId="237"/>
    <cellStyle name="0,0_x000d__x000a_NA_x000d__x000a_ 6 3 2 3" xfId="1593"/>
    <cellStyle name="0,0_x000d__x000a_NA_x000d__x000a_ 6 3 3" xfId="650"/>
    <cellStyle name="0,0_x000d__x000a_NA_x000d__x000a_ 6 3 3 2" xfId="450"/>
    <cellStyle name="0,0_x000d__x000a_NA_x000d__x000a_ 6 3 4" xfId="655"/>
    <cellStyle name="0,0_x000d__x000a_NA_x000d__x000a_ 6 4" xfId="1595"/>
    <cellStyle name="0,0_x000d__x000a_NA_x000d__x000a_ 6 4 2" xfId="675"/>
    <cellStyle name="0,0_x000d__x000a_NA_x000d__x000a_ 6 5" xfId="1418"/>
    <cellStyle name="0,0_x000d__x000a_NA_x000d__x000a_ 6 5 2" xfId="1602"/>
    <cellStyle name="0,0_x000d__x000a_NA_x000d__x000a_ 7" xfId="1604"/>
    <cellStyle name="0,0_x000d__x000a_NA_x000d__x000a_ 7 2" xfId="1611"/>
    <cellStyle name="0,0_x000d__x000a_NA_x000d__x000a_ 7 2 2" xfId="777"/>
    <cellStyle name="0,0_x000d__x000a_NA_x000d__x000a_ 7 2 2 2" xfId="955"/>
    <cellStyle name="0,0_x000d__x000a_NA_x000d__x000a_ 7 2 3" xfId="967"/>
    <cellStyle name="0,0_x000d__x000a_NA_x000d__x000a_ 7 3" xfId="1619"/>
    <cellStyle name="0,0_x000d__x000a_NA_x000d__x000a_ 7 3 2" xfId="720"/>
    <cellStyle name="0,0_x000d__x000a_NA_x000d__x000a_ 7 4" xfId="1628"/>
    <cellStyle name="0,0_x000d__x000a_NA_x000d__x000a_ 7 4 2" xfId="1108"/>
    <cellStyle name="0,0_x000d__x000a_NA_x000d__x000a_ 7 5" xfId="1636"/>
    <cellStyle name="0,0_x000d__x000a_NA_x000d__x000a_ 8" xfId="1644"/>
    <cellStyle name="0,0_x000d__x000a_NA_x000d__x000a_ 8 2" xfId="1648"/>
    <cellStyle name="0,0_x000d__x000a_NA_x000d__x000a_ 8 2 2" xfId="221"/>
    <cellStyle name="0,0_x000d__x000a_NA_x000d__x000a_ 8 3" xfId="1651"/>
    <cellStyle name="0,0_x000d__x000a_NA_x000d__x000a_ 9" xfId="1653"/>
    <cellStyle name="0,0_x000d__x000a_NA_x000d__x000a_ 9 2" xfId="1238"/>
    <cellStyle name="20% - 强调文字颜色 1 2" xfId="1656"/>
    <cellStyle name="20% - 强调文字颜色 1 2 10" xfId="1663"/>
    <cellStyle name="20% - 强调文字颜色 1 2 10 2" xfId="1667"/>
    <cellStyle name="20% - 强调文字颜色 1 2 11" xfId="1671"/>
    <cellStyle name="20% - 强调文字颜色 1 2 11 2" xfId="1674"/>
    <cellStyle name="20% - 强调文字颜色 1 2 2" xfId="377"/>
    <cellStyle name="20% - 强调文字颜色 1 2 2 2" xfId="383"/>
    <cellStyle name="20% - 强调文字颜色 1 2 2 2 2" xfId="1677"/>
    <cellStyle name="20% - 强调文字颜色 1 2 2 2 2 2" xfId="1684"/>
    <cellStyle name="20% - 强调文字颜色 1 2 2 2 2 2 2" xfId="1685"/>
    <cellStyle name="20% - 强调文字颜色 1 2 2 2 2 2 2 2" xfId="1686"/>
    <cellStyle name="20% - 强调文字颜色 1 2 2 2 2 2 2 2 2" xfId="72"/>
    <cellStyle name="20% - 强调文字颜色 1 2 2 2 2 2 2 3" xfId="1378"/>
    <cellStyle name="20% - 强调文字颜色 1 2 2 2 2 2 3" xfId="1687"/>
    <cellStyle name="20% - 强调文字颜色 1 2 2 2 2 2 3 2" xfId="1690"/>
    <cellStyle name="20% - 强调文字颜色 1 2 2 2 2 2 4" xfId="428"/>
    <cellStyle name="20% - 强调文字颜色 1 2 2 2 2 2 4 2" xfId="435"/>
    <cellStyle name="20% - 强调文字颜色 1 2 2 2 2 2 5" xfId="455"/>
    <cellStyle name="20% - 强调文字颜色 1 2 2 2 2 3" xfId="1694"/>
    <cellStyle name="20% - 强调文字颜色 1 2 2 2 2 3 2" xfId="1696"/>
    <cellStyle name="20% - 强调文字颜色 1 2 2 2 2 3 2 2" xfId="1698"/>
    <cellStyle name="20% - 强调文字颜色 1 2 2 2 2 3 3" xfId="1701"/>
    <cellStyle name="20% - 强调文字颜色 1 2 2 2 2 4" xfId="43"/>
    <cellStyle name="20% - 强调文字颜色 1 2 2 2 2 4 2" xfId="1706"/>
    <cellStyle name="20% - 强调文字颜色 1 2 2 2 2 4 2 2" xfId="1709"/>
    <cellStyle name="20% - 强调文字颜色 1 2 2 2 2 4 3" xfId="1715"/>
    <cellStyle name="20% - 强调文字颜色 1 2 2 2 2 5" xfId="1720"/>
    <cellStyle name="20% - 强调文字颜色 1 2 2 2 2 5 2" xfId="1301"/>
    <cellStyle name="20% - 强调文字颜色 1 2 2 2 2 6" xfId="342"/>
    <cellStyle name="20% - 强调文字颜色 1 2 2 2 2 6 2" xfId="1731"/>
    <cellStyle name="20% - 强调文字颜色 1 2 2 2 2 7" xfId="1086"/>
    <cellStyle name="20% - 强调文字颜色 1 2 2 2 2 8" xfId="1736"/>
    <cellStyle name="20% - 强调文字颜色 1 2 2 2 3" xfId="519"/>
    <cellStyle name="20% - 强调文字颜色 1 2 2 2 3 2" xfId="214"/>
    <cellStyle name="20% - 强调文字颜色 1 2 2 2 3 2 2" xfId="1472"/>
    <cellStyle name="20% - 强调文字颜色 1 2 2 2 3 2 2 2" xfId="1479"/>
    <cellStyle name="20% - 强调文字颜色 1 2 2 2 3 2 3" xfId="1487"/>
    <cellStyle name="20% - 强调文字颜色 1 2 2 2 3 3" xfId="169"/>
    <cellStyle name="20% - 强调文字颜色 1 2 2 2 3 3 2" xfId="1504"/>
    <cellStyle name="20% - 强调文字颜色 1 2 2 2 3 4" xfId="134"/>
    <cellStyle name="20% - 强调文字颜色 1 2 2 2 4" xfId="188"/>
    <cellStyle name="20% - 强调文字颜色 1 2 2 2 4 2" xfId="1320"/>
    <cellStyle name="20% - 强调文字颜色 1 2 2 2 4 2 2" xfId="1329"/>
    <cellStyle name="20% - 强调文字颜色 1 2 2 2 4 3" xfId="1204"/>
    <cellStyle name="20% - 强调文字颜色 1 2 2 2 5" xfId="195"/>
    <cellStyle name="20% - 强调文字颜色 1 2 2 2 5 2" xfId="394"/>
    <cellStyle name="20% - 强调文字颜色 1 2 2 2 5 2 2" xfId="1743"/>
    <cellStyle name="20% - 强调文字颜色 1 2 2 2 5 3" xfId="404"/>
    <cellStyle name="20% - 强调文字颜色 1 2 2 2 6" xfId="33"/>
    <cellStyle name="20% - 强调文字颜色 1 2 2 2 6 2" xfId="573"/>
    <cellStyle name="20% - 强调文字颜色 1 2 2 2 7" xfId="223"/>
    <cellStyle name="20% - 强调文字颜色 1 2 2 2 7 2" xfId="130"/>
    <cellStyle name="20% - 强调文字颜色 1 2 2 3" xfId="1744"/>
    <cellStyle name="20% - 强调文字颜色 1 2 2 3 2" xfId="1747"/>
    <cellStyle name="20% - 强调文字颜色 1 2 2 3 2 2" xfId="1749"/>
    <cellStyle name="20% - 强调文字颜色 1 2 2 3 2 2 2" xfId="367"/>
    <cellStyle name="20% - 强调文字颜色 1 2 2 3 2 2 2 2" xfId="1753"/>
    <cellStyle name="20% - 强调文字颜色 1 2 2 3 2 2 2 2 2" xfId="1758"/>
    <cellStyle name="20% - 强调文字颜色 1 2 2 3 2 2 2 2 2 2" xfId="1766"/>
    <cellStyle name="20% - 强调文字颜色 1 2 2 3 2 2 2 2 3" xfId="415"/>
    <cellStyle name="20% - 强调文字颜色 1 2 2 3 2 2 2 3" xfId="1775"/>
    <cellStyle name="20% - 强调文字颜色 1 2 2 3 2 2 2 3 2" xfId="1788"/>
    <cellStyle name="20% - 强调文字颜色 1 2 2 3 2 2 2 4" xfId="1797"/>
    <cellStyle name="20% - 强调文字颜色 1 2 2 3 2 2 2 4 2" xfId="162"/>
    <cellStyle name="20% - 强调文字颜色 1 2 2 3 2 2 2 5" xfId="1784"/>
    <cellStyle name="20% - 强调文字颜色 1 2 2 3 2 2 3" xfId="1799"/>
    <cellStyle name="20% - 强调文字颜色 1 2 2 3 2 2 3 2" xfId="1801"/>
    <cellStyle name="20% - 强调文字颜色 1 2 2 3 2 2 3 2 2" xfId="122"/>
    <cellStyle name="20% - 强调文字颜色 1 2 2 3 2 2 3 3" xfId="1804"/>
    <cellStyle name="20% - 强调文字颜色 1 2 2 3 2 2 4" xfId="631"/>
    <cellStyle name="20% - 强调文字颜色 1 2 2 3 2 2 4 2" xfId="1806"/>
    <cellStyle name="20% - 强调文字颜色 1 2 2 3 2 2 4 2 2" xfId="201"/>
    <cellStyle name="20% - 强调文字颜色 1 2 2 3 2 2 4 3" xfId="1809"/>
    <cellStyle name="20% - 强调文字颜色 1 2 2 3 2 2 5" xfId="1811"/>
    <cellStyle name="20% - 强调文字颜色 1 2 2 3 2 2 5 2" xfId="1812"/>
    <cellStyle name="20% - 强调文字颜色 1 2 2 3 2 2 6" xfId="1814"/>
    <cellStyle name="20% - 强调文字颜色 1 2 2 3 2 2 6 2" xfId="1815"/>
    <cellStyle name="20% - 强调文字颜色 1 2 2 3 2 2 7" xfId="1679"/>
    <cellStyle name="20% - 强调文字颜色 1 2 2 3 2 2 8" xfId="1691"/>
    <cellStyle name="20% - 强调文字颜色 1 2 2 3 2 3" xfId="1402"/>
    <cellStyle name="20% - 强调文字颜色 1 2 2 3 2 3 2" xfId="1817"/>
    <cellStyle name="20% - 强调文字颜色 1 2 2 3 2 3 2 2" xfId="1820"/>
    <cellStyle name="20% - 强调文字颜色 1 2 2 3 2 3 2 2 2" xfId="1822"/>
    <cellStyle name="20% - 强调文字颜色 1 2 2 3 2 3 2 3" xfId="1826"/>
    <cellStyle name="20% - 强调文字颜色 1 2 2 3 2 3 3" xfId="1829"/>
    <cellStyle name="20% - 强调文字颜色 1 2 2 3 2 3 3 2" xfId="1831"/>
    <cellStyle name="20% - 强调文字颜色 1 2 2 3 2 3 4" xfId="1837"/>
    <cellStyle name="20% - 强调文字颜色 1 2 2 3 2 4" xfId="1838"/>
    <cellStyle name="20% - 强调文字颜色 1 2 2 3 2 4 2" xfId="1841"/>
    <cellStyle name="20% - 强调文字颜色 1 2 2 3 2 4 2 2" xfId="1845"/>
    <cellStyle name="20% - 强调文字颜色 1 2 2 3 2 4 3" xfId="1849"/>
    <cellStyle name="20% - 强调文字颜色 1 2 2 3 2 5" xfId="1851"/>
    <cellStyle name="20% - 强调文字颜色 1 2 2 3 2 5 2" xfId="1855"/>
    <cellStyle name="20% - 强调文字颜色 1 2 2 3 2 5 2 2" xfId="1857"/>
    <cellStyle name="20% - 强调文字颜色 1 2 2 3 2 5 3" xfId="262"/>
    <cellStyle name="20% - 强调文字颜色 1 2 2 3 2 6" xfId="1859"/>
    <cellStyle name="20% - 强调文字颜色 1 2 2 3 2 6 2" xfId="1861"/>
    <cellStyle name="20% - 强调文字颜色 1 2 2 3 2 7" xfId="1864"/>
    <cellStyle name="20% - 强调文字颜色 1 2 2 3 2 7 2" xfId="1866"/>
    <cellStyle name="20% - 强调文字颜色 1 2 2 3 3" xfId="1869"/>
    <cellStyle name="20% - 强调文字颜色 1 2 2 3 3 2" xfId="1871"/>
    <cellStyle name="20% - 强调文字颜色 1 2 2 3 3 2 2" xfId="45"/>
    <cellStyle name="20% - 强调文字颜色 1 2 2 3 3 2 2 2" xfId="1874"/>
    <cellStyle name="20% - 强调文字颜色 1 2 2 3 3 2 2 2 2" xfId="1882"/>
    <cellStyle name="20% - 强调文字颜色 1 2 2 3 3 2 2 3" xfId="1888"/>
    <cellStyle name="20% - 强调文字颜色 1 2 2 3 3 2 3" xfId="105"/>
    <cellStyle name="20% - 强调文字颜色 1 2 2 3 3 2 3 2" xfId="1894"/>
    <cellStyle name="20% - 强调文字颜色 1 2 2 3 3 2 4" xfId="235"/>
    <cellStyle name="20% - 强调文字颜色 1 2 2 3 3 2 4 2" xfId="1899"/>
    <cellStyle name="20% - 强调文字颜色 1 2 2 3 3 2 5" xfId="252"/>
    <cellStyle name="20% - 强调文字颜色 1 2 2 3 3 3" xfId="1900"/>
    <cellStyle name="20% - 强调文字颜色 1 2 2 3 3 3 2" xfId="1902"/>
    <cellStyle name="20% - 强调文字颜色 1 2 2 3 3 3 2 2" xfId="1903"/>
    <cellStyle name="20% - 强调文字颜色 1 2 2 3 3 3 3" xfId="1905"/>
    <cellStyle name="20% - 强调文字颜色 1 2 2 3 3 4" xfId="1906"/>
    <cellStyle name="20% - 强调文字颜色 1 2 2 3 3 4 2" xfId="1908"/>
    <cellStyle name="20% - 强调文字颜色 1 2 2 3 3 4 2 2" xfId="413"/>
    <cellStyle name="20% - 强调文字颜色 1 2 2 3 3 4 3" xfId="1910"/>
    <cellStyle name="20% - 强调文字颜色 1 2 2 3 3 5" xfId="1911"/>
    <cellStyle name="20% - 强调文字颜色 1 2 2 3 3 5 2" xfId="1913"/>
    <cellStyle name="20% - 强调文字颜色 1 2 2 3 3 6" xfId="1914"/>
    <cellStyle name="20% - 强调文字颜色 1 2 2 3 3 6 2" xfId="1917"/>
    <cellStyle name="20% - 强调文字颜色 1 2 2 3 3 7" xfId="1919"/>
    <cellStyle name="20% - 强调文字颜色 1 2 2 3 3 8" xfId="1924"/>
    <cellStyle name="20% - 强调文字颜色 1 2 2 3 4" xfId="1926"/>
    <cellStyle name="20% - 强调文字颜色 1 2 2 3 4 2" xfId="1929"/>
    <cellStyle name="20% - 强调文字颜色 1 2 2 3 4 2 2" xfId="1931"/>
    <cellStyle name="20% - 强调文字颜色 1 2 2 3 4 2 2 2" xfId="1932"/>
    <cellStyle name="20% - 强调文字颜色 1 2 2 3 4 2 3" xfId="1937"/>
    <cellStyle name="20% - 强调文字颜色 1 2 2 3 4 3" xfId="1938"/>
    <cellStyle name="20% - 强调文字颜色 1 2 2 3 4 3 2" xfId="1940"/>
    <cellStyle name="20% - 强调文字颜色 1 2 2 3 4 4" xfId="1941"/>
    <cellStyle name="20% - 强调文字颜色 1 2 2 3 5" xfId="1942"/>
    <cellStyle name="20% - 强调文字颜色 1 2 2 3 5 2" xfId="1943"/>
    <cellStyle name="20% - 强调文字颜色 1 2 2 3 5 2 2" xfId="1946"/>
    <cellStyle name="20% - 强调文字颜色 1 2 2 3 5 3" xfId="1947"/>
    <cellStyle name="20% - 强调文字颜色 1 2 2 3 6" xfId="1948"/>
    <cellStyle name="20% - 强调文字颜色 1 2 2 3 6 2" xfId="1950"/>
    <cellStyle name="20% - 强调文字颜色 1 2 2 3 6 2 2" xfId="1952"/>
    <cellStyle name="20% - 强调文字颜色 1 2 2 3 6 3" xfId="1954"/>
    <cellStyle name="20% - 强调文字颜色 1 2 2 3 7" xfId="1955"/>
    <cellStyle name="20% - 强调文字颜色 1 2 2 3 7 2" xfId="1960"/>
    <cellStyle name="20% - 强调文字颜色 1 2 2 3 8" xfId="1965"/>
    <cellStyle name="20% - 强调文字颜色 1 2 2 3 8 2" xfId="1971"/>
    <cellStyle name="20% - 强调文字颜色 1 2 2 4" xfId="1973"/>
    <cellStyle name="20% - 强调文字颜色 1 2 2 4 2" xfId="1974"/>
    <cellStyle name="20% - 强调文字颜色 1 2 2 4 2 2" xfId="1977"/>
    <cellStyle name="20% - 强调文字颜色 1 2 2 4 2 2 2" xfId="1978"/>
    <cellStyle name="20% - 强调文字颜色 1 2 2 4 2 2 2 2" xfId="1980"/>
    <cellStyle name="20% - 强调文字颜色 1 2 2 4 2 2 3" xfId="1982"/>
    <cellStyle name="20% - 强调文字颜色 1 2 2 4 2 3" xfId="1986"/>
    <cellStyle name="20% - 强调文字颜色 1 2 2 4 2 3 2" xfId="1988"/>
    <cellStyle name="20% - 强调文字颜色 1 2 2 4 2 4" xfId="1153"/>
    <cellStyle name="20% - 强调文字颜色 1 2 2 4 2 4 2" xfId="1285"/>
    <cellStyle name="20% - 强调文字颜色 1 2 2 4 2 5" xfId="330"/>
    <cellStyle name="20% - 强调文字颜色 1 2 2 4 3" xfId="1989"/>
    <cellStyle name="20% - 强调文字颜色 1 2 2 4 3 2" xfId="1990"/>
    <cellStyle name="20% - 强调文字颜色 1 2 2 4 3 2 2" xfId="1991"/>
    <cellStyle name="20% - 强调文字颜色 1 2 2 4 3 3" xfId="1992"/>
    <cellStyle name="20% - 强调文字颜色 1 2 2 4 4" xfId="1994"/>
    <cellStyle name="20% - 强调文字颜色 1 2 2 4 4 2" xfId="1997"/>
    <cellStyle name="20% - 强调文字颜色 1 2 2 4 4 2 2" xfId="1998"/>
    <cellStyle name="20% - 强调文字颜色 1 2 2 4 4 3" xfId="2000"/>
    <cellStyle name="20% - 强调文字颜色 1 2 2 4 5" xfId="2002"/>
    <cellStyle name="20% - 强调文字颜色 1 2 2 4 5 2" xfId="2003"/>
    <cellStyle name="20% - 强调文字颜色 1 2 2 4 6" xfId="2005"/>
    <cellStyle name="20% - 强调文字颜色 1 2 2 4 6 2" xfId="2007"/>
    <cellStyle name="20% - 强调文字颜色 1 2 2 4 7" xfId="2009"/>
    <cellStyle name="20% - 强调文字颜色 1 2 2 4 8" xfId="2014"/>
    <cellStyle name="20% - 强调文字颜色 1 2 2 5" xfId="2017"/>
    <cellStyle name="20% - 强调文字颜色 1 2 2 5 2" xfId="2018"/>
    <cellStyle name="20% - 强调文字颜色 1 2 2 5 2 2" xfId="2025"/>
    <cellStyle name="20% - 强调文字颜色 1 2 2 5 2 2 2" xfId="2031"/>
    <cellStyle name="20% - 强调文字颜色 1 2 2 5 2 3" xfId="2041"/>
    <cellStyle name="20% - 强调文字颜色 1 2 2 5 3" xfId="2047"/>
    <cellStyle name="20% - 强调文字颜色 1 2 2 5 3 2" xfId="2052"/>
    <cellStyle name="20% - 强调文字颜色 1 2 2 5 4" xfId="2054"/>
    <cellStyle name="20% - 强调文字颜色 1 2 2 6" xfId="2058"/>
    <cellStyle name="20% - 强调文字颜色 1 2 2 6 2" xfId="2063"/>
    <cellStyle name="20% - 强调文字颜色 1 2 2 6 2 2" xfId="2070"/>
    <cellStyle name="20% - 强调文字颜色 1 2 2 6 3" xfId="2078"/>
    <cellStyle name="20% - 强调文字颜色 1 2 2 7" xfId="2085"/>
    <cellStyle name="20% - 强调文字颜色 1 2 2 7 2" xfId="2090"/>
    <cellStyle name="20% - 强调文字颜色 1 2 2 7 2 2" xfId="2094"/>
    <cellStyle name="20% - 强调文字颜色 1 2 2 7 3" xfId="2097"/>
    <cellStyle name="20% - 强调文字颜色 1 2 2 8" xfId="1323"/>
    <cellStyle name="20% - 强调文字颜色 1 2 2 8 2" xfId="1331"/>
    <cellStyle name="20% - 强调文字颜色 1 2 2 9" xfId="1207"/>
    <cellStyle name="20% - 强调文字颜色 1 2 2 9 2" xfId="2102"/>
    <cellStyle name="20% - 强调文字颜色 1 2 3" xfId="2105"/>
    <cellStyle name="20% - 强调文字颜色 1 2 3 2" xfId="2111"/>
    <cellStyle name="20% - 强调文字颜色 1 2 3 2 2" xfId="2119"/>
    <cellStyle name="20% - 强调文字颜色 1 2 3 2 2 2" xfId="2123"/>
    <cellStyle name="20% - 强调文字颜色 1 2 3 2 2 2 2" xfId="2124"/>
    <cellStyle name="20% - 强调文字颜色 1 2 3 2 2 2 2 2" xfId="2126"/>
    <cellStyle name="20% - 强调文字颜色 1 2 3 2 2 2 3" xfId="2128"/>
    <cellStyle name="20% - 强调文字颜色 1 2 3 2 2 3" xfId="2131"/>
    <cellStyle name="20% - 强调文字颜色 1 2 3 2 2 3 2" xfId="2132"/>
    <cellStyle name="20% - 强调文字颜色 1 2 3 2 2 4" xfId="2134"/>
    <cellStyle name="20% - 强调文字颜色 1 2 3 2 2 4 2" xfId="2138"/>
    <cellStyle name="20% - 强调文字颜色 1 2 3 2 2 5" xfId="2140"/>
    <cellStyle name="20% - 强调文字颜色 1 2 3 2 3" xfId="2144"/>
    <cellStyle name="20% - 强调文字颜色 1 2 3 2 3 2" xfId="2145"/>
    <cellStyle name="20% - 强调文字颜色 1 2 3 2 3 2 2" xfId="226"/>
    <cellStyle name="20% - 强调文字颜色 1 2 3 2 3 3" xfId="2146"/>
    <cellStyle name="20% - 强调文字颜色 1 2 3 2 4" xfId="2150"/>
    <cellStyle name="20% - 强调文字颜色 1 2 3 2 4 2" xfId="2153"/>
    <cellStyle name="20% - 强调文字颜色 1 2 3 2 4 2 2" xfId="2157"/>
    <cellStyle name="20% - 强调文字颜色 1 2 3 2 4 3" xfId="2162"/>
    <cellStyle name="20% - 强调文字颜色 1 2 3 2 5" xfId="2167"/>
    <cellStyle name="20% - 强调文字颜色 1 2 3 2 5 2" xfId="61"/>
    <cellStyle name="20% - 强调文字颜色 1 2 3 2 6" xfId="2171"/>
    <cellStyle name="20% - 强调文字颜色 1 2 3 2 6 2" xfId="2176"/>
    <cellStyle name="20% - 强调文字颜色 1 2 3 2 7" xfId="2181"/>
    <cellStyle name="20% - 强调文字颜色 1 2 3 2 8" xfId="2183"/>
    <cellStyle name="20% - 强调文字颜色 1 2 3 3" xfId="2185"/>
    <cellStyle name="20% - 强调文字颜色 1 2 3 3 2" xfId="2189"/>
    <cellStyle name="20% - 强调文字颜色 1 2 3 3 2 2" xfId="2193"/>
    <cellStyle name="20% - 强调文字颜色 1 2 3 3 2 2 2" xfId="204"/>
    <cellStyle name="20% - 强调文字颜色 1 2 3 3 2 3" xfId="2194"/>
    <cellStyle name="20% - 强调文字颜色 1 2 3 3 3" xfId="2201"/>
    <cellStyle name="20% - 强调文字颜色 1 2 3 3 3 2" xfId="2203"/>
    <cellStyle name="20% - 强调文字颜色 1 2 3 3 4" xfId="2205"/>
    <cellStyle name="20% - 强调文字颜色 1 2 3 4" xfId="2207"/>
    <cellStyle name="20% - 强调文字颜色 1 2 3 4 2" xfId="2209"/>
    <cellStyle name="20% - 强调文字颜色 1 2 3 4 2 2" xfId="2211"/>
    <cellStyle name="20% - 强调文字颜色 1 2 3 4 3" xfId="2212"/>
    <cellStyle name="20% - 强调文字颜色 1 2 3 5" xfId="2214"/>
    <cellStyle name="20% - 强调文字颜色 1 2 3 5 2" xfId="2215"/>
    <cellStyle name="20% - 强调文字颜色 1 2 3 5 2 2" xfId="2218"/>
    <cellStyle name="20% - 强调文字颜色 1 2 3 5 3" xfId="2222"/>
    <cellStyle name="20% - 强调文字颜色 1 2 3 6" xfId="2226"/>
    <cellStyle name="20% - 强调文字颜色 1 2 3 6 2" xfId="2230"/>
    <cellStyle name="20% - 强调文字颜色 1 2 3 7" xfId="2234"/>
    <cellStyle name="20% - 强调文字颜色 1 2 3 7 2" xfId="2237"/>
    <cellStyle name="20% - 强调文字颜色 1 2 4" xfId="2239"/>
    <cellStyle name="20% - 强调文字颜色 1 2 4 2" xfId="2244"/>
    <cellStyle name="20% - 强调文字颜色 1 2 4 2 2" xfId="2249"/>
    <cellStyle name="20% - 强调文字颜色 1 2 4 2 2 2" xfId="2250"/>
    <cellStyle name="20% - 强调文字颜色 1 2 4 2 2 2 2" xfId="2252"/>
    <cellStyle name="20% - 强调文字颜色 1 2 4 2 2 2 2 2" xfId="2255"/>
    <cellStyle name="20% - 强调文字颜色 1 2 4 2 2 2 2 2 2" xfId="2257"/>
    <cellStyle name="20% - 强调文字颜色 1 2 4 2 2 2 2 3" xfId="2259"/>
    <cellStyle name="20% - 强调文字颜色 1 2 4 2 2 2 3" xfId="2262"/>
    <cellStyle name="20% - 强调文字颜色 1 2 4 2 2 2 3 2" xfId="2264"/>
    <cellStyle name="20% - 强调文字颜色 1 2 4 2 2 2 4" xfId="2265"/>
    <cellStyle name="20% - 强调文字颜色 1 2 4 2 2 2 4 2" xfId="2269"/>
    <cellStyle name="20% - 强调文字颜色 1 2 4 2 2 2 5" xfId="2270"/>
    <cellStyle name="20% - 强调文字颜色 1 2 4 2 2 3" xfId="2271"/>
    <cellStyle name="20% - 强调文字颜色 1 2 4 2 2 3 2" xfId="2275"/>
    <cellStyle name="20% - 强调文字颜色 1 2 4 2 2 3 2 2" xfId="2278"/>
    <cellStyle name="20% - 强调文字颜色 1 2 4 2 2 3 3" xfId="2279"/>
    <cellStyle name="20% - 强调文字颜色 1 2 4 2 2 4" xfId="2280"/>
    <cellStyle name="20% - 强调文字颜色 1 2 4 2 2 4 2" xfId="2283"/>
    <cellStyle name="20% - 强调文字颜色 1 2 4 2 2 4 2 2" xfId="2288"/>
    <cellStyle name="20% - 强调文字颜色 1 2 4 2 2 4 3" xfId="2289"/>
    <cellStyle name="20% - 强调文字颜色 1 2 4 2 2 5" xfId="2292"/>
    <cellStyle name="20% - 强调文字颜色 1 2 4 2 2 5 2" xfId="2298"/>
    <cellStyle name="20% - 强调文字颜色 1 2 4 2 2 6" xfId="2308"/>
    <cellStyle name="20% - 强调文字颜色 1 2 4 2 2 6 2" xfId="2314"/>
    <cellStyle name="20% - 强调文字颜色 1 2 4 2 2 7" xfId="2321"/>
    <cellStyle name="20% - 强调文字颜色 1 2 4 2 2 8" xfId="2327"/>
    <cellStyle name="20% - 强调文字颜色 1 2 4 2 3" xfId="2329"/>
    <cellStyle name="20% - 强调文字颜色 1 2 4 2 3 2" xfId="2330"/>
    <cellStyle name="20% - 强调文字颜色 1 2 4 2 3 2 2" xfId="2332"/>
    <cellStyle name="20% - 强调文字颜色 1 2 4 2 3 2 2 2" xfId="2334"/>
    <cellStyle name="20% - 强调文字颜色 1 2 4 2 3 2 3" xfId="2335"/>
    <cellStyle name="20% - 强调文字颜色 1 2 4 2 3 3" xfId="2336"/>
    <cellStyle name="20% - 强调文字颜色 1 2 4 2 3 3 2" xfId="2338"/>
    <cellStyle name="20% - 强调文字颜色 1 2 4 2 3 4" xfId="2339"/>
    <cellStyle name="20% - 强调文字颜色 1 2 4 2 4" xfId="2343"/>
    <cellStyle name="20% - 强调文字颜色 1 2 4 2 4 2" xfId="2347"/>
    <cellStyle name="20% - 强调文字颜色 1 2 4 2 4 2 2" xfId="2352"/>
    <cellStyle name="20% - 强调文字颜色 1 2 4 2 4 3" xfId="2365"/>
    <cellStyle name="20% - 强调文字颜色 1 2 4 2 5" xfId="2370"/>
    <cellStyle name="20% - 强调文字颜色 1 2 4 2 5 2" xfId="2371"/>
    <cellStyle name="20% - 强调文字颜色 1 2 4 2 5 2 2" xfId="2372"/>
    <cellStyle name="20% - 强调文字颜色 1 2 4 2 5 3" xfId="2373"/>
    <cellStyle name="20% - 强调文字颜色 1 2 4 2 6" xfId="2375"/>
    <cellStyle name="20% - 强调文字颜色 1 2 4 2 6 2" xfId="1778"/>
    <cellStyle name="20% - 强调文字颜色 1 2 4 2 7" xfId="2376"/>
    <cellStyle name="20% - 强调文字颜色 1 2 4 2 7 2" xfId="1805"/>
    <cellStyle name="20% - 强调文字颜色 1 2 4 3" xfId="2378"/>
    <cellStyle name="20% - 强调文字颜色 1 2 4 3 2" xfId="2379"/>
    <cellStyle name="20% - 强调文字颜色 1 2 4 3 2 2" xfId="2381"/>
    <cellStyle name="20% - 强调文字颜色 1 2 4 3 2 2 2" xfId="2382"/>
    <cellStyle name="20% - 强调文字颜色 1 2 4 3 2 2 2 2" xfId="2384"/>
    <cellStyle name="20% - 强调文字颜色 1 2 4 3 2 2 3" xfId="2386"/>
    <cellStyle name="20% - 强调文字颜色 1 2 4 3 2 3" xfId="2387"/>
    <cellStyle name="20% - 强调文字颜色 1 2 4 3 2 3 2" xfId="2391"/>
    <cellStyle name="20% - 强调文字颜色 1 2 4 3 2 4" xfId="2396"/>
    <cellStyle name="20% - 强调文字颜色 1 2 4 3 2 4 2" xfId="2400"/>
    <cellStyle name="20% - 强调文字颜色 1 2 4 3 2 5" xfId="2401"/>
    <cellStyle name="20% - 强调文字颜色 1 2 4 3 3" xfId="2405"/>
    <cellStyle name="20% - 强调文字颜色 1 2 4 3 3 2" xfId="2407"/>
    <cellStyle name="20% - 强调文字颜色 1 2 4 3 3 2 2" xfId="2408"/>
    <cellStyle name="20% - 强调文字颜色 1 2 4 3 3 3" xfId="2410"/>
    <cellStyle name="20% - 强调文字颜色 1 2 4 3 4" xfId="2412"/>
    <cellStyle name="20% - 强调文字颜色 1 2 4 3 4 2" xfId="2413"/>
    <cellStyle name="20% - 强调文字颜色 1 2 4 3 4 2 2" xfId="2414"/>
    <cellStyle name="20% - 强调文字颜色 1 2 4 3 4 3" xfId="2418"/>
    <cellStyle name="20% - 强调文字颜色 1 2 4 3 5" xfId="2419"/>
    <cellStyle name="20% - 强调文字颜色 1 2 4 3 5 2" xfId="2420"/>
    <cellStyle name="20% - 强调文字颜色 1 2 4 3 6" xfId="2421"/>
    <cellStyle name="20% - 强调文字颜色 1 2 4 3 6 2" xfId="1827"/>
    <cellStyle name="20% - 强调文字颜色 1 2 4 3 7" xfId="2422"/>
    <cellStyle name="20% - 强调文字颜色 1 2 4 3 8" xfId="306"/>
    <cellStyle name="20% - 强调文字颜色 1 2 4 4" xfId="2427"/>
    <cellStyle name="20% - 强调文字颜色 1 2 4 4 2" xfId="2429"/>
    <cellStyle name="20% - 强调文字颜色 1 2 4 4 2 2" xfId="2430"/>
    <cellStyle name="20% - 强调文字颜色 1 2 4 4 2 2 2" xfId="2431"/>
    <cellStyle name="20% - 强调文字颜色 1 2 4 4 2 3" xfId="2432"/>
    <cellStyle name="20% - 强调文字颜色 1 2 4 4 3" xfId="2434"/>
    <cellStyle name="20% - 强调文字颜色 1 2 4 4 3 2" xfId="2435"/>
    <cellStyle name="20% - 强调文字颜色 1 2 4 4 4" xfId="2439"/>
    <cellStyle name="20% - 强调文字颜色 1 2 4 5" xfId="2440"/>
    <cellStyle name="20% - 强调文字颜色 1 2 4 5 2" xfId="2442"/>
    <cellStyle name="20% - 强调文字颜色 1 2 4 5 2 2" xfId="2445"/>
    <cellStyle name="20% - 强调文字颜色 1 2 4 5 3" xfId="2447"/>
    <cellStyle name="20% - 强调文字颜色 1 2 4 6" xfId="2449"/>
    <cellStyle name="20% - 强调文字颜色 1 2 4 6 2" xfId="2452"/>
    <cellStyle name="20% - 强调文字颜色 1 2 4 6 2 2" xfId="2456"/>
    <cellStyle name="20% - 强调文字颜色 1 2 4 6 3" xfId="2459"/>
    <cellStyle name="20% - 强调文字颜色 1 2 4 7" xfId="2461"/>
    <cellStyle name="20% - 强调文字颜色 1 2 4 7 2" xfId="2464"/>
    <cellStyle name="20% - 强调文字颜色 1 2 4 8" xfId="574"/>
    <cellStyle name="20% - 强调文字颜色 1 2 4 8 2" xfId="2467"/>
    <cellStyle name="20% - 强调文字颜色 1 2 5" xfId="2469"/>
    <cellStyle name="20% - 强调文字颜色 1 2 5 2" xfId="2471"/>
    <cellStyle name="20% - 强调文字颜色 1 2 5 2 2" xfId="2472"/>
    <cellStyle name="20% - 强调文字颜色 1 2 5 2 2 2" xfId="2473"/>
    <cellStyle name="20% - 强调文字颜色 1 2 5 2 2 2 2" xfId="2477"/>
    <cellStyle name="20% - 强调文字颜色 1 2 5 2 2 3" xfId="2480"/>
    <cellStyle name="20% - 强调文字颜色 1 2 5 2 3" xfId="2483"/>
    <cellStyle name="20% - 强调文字颜色 1 2 5 2 3 2" xfId="2485"/>
    <cellStyle name="20% - 强调文字颜色 1 2 5 2 4" xfId="2490"/>
    <cellStyle name="20% - 强调文字颜色 1 2 5 3" xfId="2491"/>
    <cellStyle name="20% - 强调文字颜色 1 2 5 3 2" xfId="2492"/>
    <cellStyle name="20% - 强调文字颜色 1 2 5 3 2 2" xfId="2496"/>
    <cellStyle name="20% - 强调文字颜色 1 2 5 3 3" xfId="2502"/>
    <cellStyle name="20% - 强调文字颜色 1 2 5 4" xfId="2507"/>
    <cellStyle name="20% - 强调文字颜色 1 2 5 4 2" xfId="2508"/>
    <cellStyle name="20% - 强调文字颜色 1 2 5 4 2 2" xfId="2515"/>
    <cellStyle name="20% - 强调文字颜色 1 2 5 4 3" xfId="2522"/>
    <cellStyle name="20% - 强调文字颜色 1 2 5 5" xfId="2530"/>
    <cellStyle name="20% - 强调文字颜色 1 2 5 5 2" xfId="2533"/>
    <cellStyle name="20% - 强调文字颜色 1 2 5 6" xfId="2541"/>
    <cellStyle name="20% - 强调文字颜色 1 2 5 7" xfId="661"/>
    <cellStyle name="20% - 强调文字颜色 1 2 6" xfId="2551"/>
    <cellStyle name="20% - 强调文字颜色 1 2 6 2" xfId="2553"/>
    <cellStyle name="20% - 强调文字颜色 1 2 6 2 2" xfId="2554"/>
    <cellStyle name="20% - 强调文字颜色 1 2 6 2 2 2" xfId="2555"/>
    <cellStyle name="20% - 强调文字颜色 1 2 6 2 3" xfId="2557"/>
    <cellStyle name="20% - 强调文字颜色 1 2 6 3" xfId="2559"/>
    <cellStyle name="20% - 强调文字颜色 1 2 6 3 2" xfId="2560"/>
    <cellStyle name="20% - 强调文字颜色 1 2 6 4" xfId="2561"/>
    <cellStyle name="20% - 强调文字颜色 1 2 7" xfId="2566"/>
    <cellStyle name="20% - 强调文字颜色 1 2 7 2" xfId="2568"/>
    <cellStyle name="20% - 强调文字颜色 1 2 7 2 2" xfId="2570"/>
    <cellStyle name="20% - 强调文字颜色 1 2 7 3" xfId="2572"/>
    <cellStyle name="20% - 强调文字颜色 1 2 8" xfId="2573"/>
    <cellStyle name="20% - 强调文字颜色 1 2 8 2" xfId="2578"/>
    <cellStyle name="20% - 强调文字颜色 1 2 8 2 2" xfId="2581"/>
    <cellStyle name="20% - 强调文字颜色 1 2 8 3" xfId="2583"/>
    <cellStyle name="20% - 强调文字颜色 1 2 9" xfId="2585"/>
    <cellStyle name="20% - 强调文字颜色 1 2 9 2" xfId="2590"/>
    <cellStyle name="20% - 强调文字颜色 1 3" xfId="2592"/>
    <cellStyle name="20% - 强调文字颜色 1 3 2" xfId="2595"/>
    <cellStyle name="20% - 强调文字颜色 2 2" xfId="2599"/>
    <cellStyle name="20% - 强调文字颜色 2 2 10" xfId="1229"/>
    <cellStyle name="20% - 强调文字颜色 2 2 10 2" xfId="697"/>
    <cellStyle name="20% - 强调文字颜色 2 2 11" xfId="2600"/>
    <cellStyle name="20% - 强调文字颜色 2 2 11 2" xfId="2602"/>
    <cellStyle name="20% - 强调文字颜色 2 2 2" xfId="2605"/>
    <cellStyle name="20% - 强调文字颜色 2 2 2 2" xfId="2608"/>
    <cellStyle name="20% - 强调文字颜色 2 2 2 2 2" xfId="2613"/>
    <cellStyle name="20% - 强调文字颜色 2 2 2 2 2 2" xfId="2616"/>
    <cellStyle name="20% - 强调文字颜色 2 2 2 2 2 2 2" xfId="218"/>
    <cellStyle name="20% - 强调文字颜色 2 2 2 2 2 2 2 2" xfId="2618"/>
    <cellStyle name="20% - 强调文字颜色 2 2 2 2 2 2 2 2 2" xfId="2619"/>
    <cellStyle name="20% - 强调文字颜色 2 2 2 2 2 2 2 3" xfId="2620"/>
    <cellStyle name="20% - 强调文字颜色 2 2 2 2 2 2 3" xfId="2626"/>
    <cellStyle name="20% - 强调文字颜色 2 2 2 2 2 2 3 2" xfId="2634"/>
    <cellStyle name="20% - 强调文字颜色 2 2 2 2 2 2 4" xfId="2636"/>
    <cellStyle name="20% - 强调文字颜色 2 2 2 2 2 2 4 2" xfId="2638"/>
    <cellStyle name="20% - 强调文字颜色 2 2 2 2 2 2 5" xfId="2641"/>
    <cellStyle name="20% - 强调文字颜色 2 2 2 2 2 3" xfId="2644"/>
    <cellStyle name="20% - 强调文字颜色 2 2 2 2 2 3 2" xfId="2649"/>
    <cellStyle name="20% - 强调文字颜色 2 2 2 2 2 3 2 2" xfId="2653"/>
    <cellStyle name="20% - 强调文字颜色 2 2 2 2 2 3 3" xfId="2661"/>
    <cellStyle name="20% - 强调文字颜色 2 2 2 2 2 4" xfId="2667"/>
    <cellStyle name="20% - 强调文字颜色 2 2 2 2 2 4 2" xfId="2673"/>
    <cellStyle name="20% - 强调文字颜色 2 2 2 2 2 4 2 2" xfId="2679"/>
    <cellStyle name="20% - 强调文字颜色 2 2 2 2 2 4 3" xfId="2687"/>
    <cellStyle name="20% - 强调文字颜色 2 2 2 2 2 5" xfId="2694"/>
    <cellStyle name="20% - 强调文字颜色 2 2 2 2 2 5 2" xfId="2698"/>
    <cellStyle name="20% - 强调文字颜色 2 2 2 2 2 6" xfId="2708"/>
    <cellStyle name="20% - 强调文字颜色 2 2 2 2 2 6 2" xfId="2710"/>
    <cellStyle name="20% - 强调文字颜色 2 2 2 2 2 7" xfId="2724"/>
    <cellStyle name="20% - 强调文字颜色 2 2 2 2 2 8" xfId="2299"/>
    <cellStyle name="20% - 强调文字颜色 2 2 2 2 3" xfId="2726"/>
    <cellStyle name="20% - 强调文字颜色 2 2 2 2 3 2" xfId="2728"/>
    <cellStyle name="20% - 强调文字颜色 2 2 2 2 3 2 2" xfId="2729"/>
    <cellStyle name="20% - 强调文字颜色 2 2 2 2 3 2 2 2" xfId="2730"/>
    <cellStyle name="20% - 强调文字颜色 2 2 2 2 3 2 3" xfId="2731"/>
    <cellStyle name="20% - 强调文字颜色 2 2 2 2 3 3" xfId="2733"/>
    <cellStyle name="20% - 强调文字颜色 2 2 2 2 3 3 2" xfId="2734"/>
    <cellStyle name="20% - 强调文字颜色 2 2 2 2 3 4" xfId="2736"/>
    <cellStyle name="20% - 强调文字颜色 2 2 2 2 4" xfId="2740"/>
    <cellStyle name="20% - 强调文字颜色 2 2 2 2 4 2" xfId="2745"/>
    <cellStyle name="20% - 强调文字颜色 2 2 2 2 4 2 2" xfId="2747"/>
    <cellStyle name="20% - 强调文字颜色 2 2 2 2 4 3" xfId="2751"/>
    <cellStyle name="20% - 强调文字颜色 2 2 2 2 5" xfId="2754"/>
    <cellStyle name="20% - 强调文字颜色 2 2 2 2 5 2" xfId="2757"/>
    <cellStyle name="20% - 强调文字颜色 2 2 2 2 5 2 2" xfId="2758"/>
    <cellStyle name="20% - 强调文字颜色 2 2 2 2 5 3" xfId="2760"/>
    <cellStyle name="20% - 强调文字颜色 2 2 2 2 6" xfId="2763"/>
    <cellStyle name="20% - 强调文字颜色 2 2 2 2 6 2" xfId="2764"/>
    <cellStyle name="20% - 强调文字颜色 2 2 2 2 7" xfId="2766"/>
    <cellStyle name="20% - 强调文字颜色 2 2 2 2 7 2" xfId="2768"/>
    <cellStyle name="20% - 强调文字颜色 2 2 2 3" xfId="2769"/>
    <cellStyle name="20% - 强调文字颜色 2 2 2 3 2" xfId="2772"/>
    <cellStyle name="20% - 强调文字颜色 2 2 2 3 2 2" xfId="2773"/>
    <cellStyle name="20% - 强调文字颜色 2 2 2 3 2 2 2" xfId="2775"/>
    <cellStyle name="20% - 强调文字颜色 2 2 2 3 2 2 2 2" xfId="2779"/>
    <cellStyle name="20% - 强调文字颜色 2 2 2 3 2 2 2 2 2" xfId="2783"/>
    <cellStyle name="20% - 强调文字颜色 2 2 2 3 2 2 2 2 2 2" xfId="2788"/>
    <cellStyle name="20% - 强调文字颜色 2 2 2 3 2 2 2 2 3" xfId="2792"/>
    <cellStyle name="20% - 强调文字颜色 2 2 2 3 2 2 2 3" xfId="1760"/>
    <cellStyle name="20% - 强调文字颜色 2 2 2 3 2 2 2 3 2" xfId="1769"/>
    <cellStyle name="20% - 强调文字颜色 2 2 2 3 2 2 2 4" xfId="412"/>
    <cellStyle name="20% - 强调文字颜色 2 2 2 3 2 2 2 4 2" xfId="2795"/>
    <cellStyle name="20% - 强调文字颜色 2 2 2 3 2 2 2 5" xfId="2797"/>
    <cellStyle name="20% - 强调文字颜色 2 2 2 3 2 2 3" xfId="2801"/>
    <cellStyle name="20% - 强调文字颜色 2 2 2 3 2 2 3 2" xfId="2807"/>
    <cellStyle name="20% - 强调文字颜色 2 2 2 3 2 2 3 2 2" xfId="155"/>
    <cellStyle name="20% - 强调文字颜色 2 2 2 3 2 2 3 3" xfId="1791"/>
    <cellStyle name="20% - 强调文字颜色 2 2 2 3 2 2 4" xfId="2812"/>
    <cellStyle name="20% - 强调文字颜色 2 2 2 3 2 2 4 2" xfId="2817"/>
    <cellStyle name="20% - 强调文字颜色 2 2 2 3 2 2 4 2 2" xfId="2821"/>
    <cellStyle name="20% - 强调文字颜色 2 2 2 3 2 2 4 3" xfId="160"/>
    <cellStyle name="20% - 强调文字颜色 2 2 2 3 2 2 5" xfId="2824"/>
    <cellStyle name="20% - 强调文字颜色 2 2 2 3 2 2 5 2" xfId="2829"/>
    <cellStyle name="20% - 强调文字颜色 2 2 2 3 2 2 6" xfId="2833"/>
    <cellStyle name="20% - 强调文字颜色 2 2 2 3 2 2 6 2" xfId="2836"/>
    <cellStyle name="20% - 强调文字颜色 2 2 2 3 2 2 7" xfId="2839"/>
    <cellStyle name="20% - 强调文字颜色 2 2 2 3 2 2 8" xfId="2844"/>
    <cellStyle name="20% - 强调文字颜色 2 2 2 3 2 3" xfId="2847"/>
    <cellStyle name="20% - 强调文字颜色 2 2 2 3 2 3 2" xfId="605"/>
    <cellStyle name="20% - 强调文字颜色 2 2 2 3 2 3 2 2" xfId="790"/>
    <cellStyle name="20% - 强调文字颜色 2 2 2 3 2 3 2 2 2" xfId="799"/>
    <cellStyle name="20% - 强调文字颜色 2 2 2 3 2 3 2 3" xfId="119"/>
    <cellStyle name="20% - 强调文字颜色 2 2 2 3 2 3 3" xfId="616"/>
    <cellStyle name="20% - 强调文字颜色 2 2 2 3 2 3 3 2" xfId="986"/>
    <cellStyle name="20% - 强调文字颜色 2 2 2 3 2 3 4" xfId="1067"/>
    <cellStyle name="20% - 强调文字颜色 2 2 2 3 2 4" xfId="2849"/>
    <cellStyle name="20% - 强调文字颜色 2 2 2 3 2 4 2" xfId="1314"/>
    <cellStyle name="20% - 强调文字颜色 2 2 2 3 2 4 2 2" xfId="181"/>
    <cellStyle name="20% - 强调文字颜色 2 2 2 3 2 4 3" xfId="1342"/>
    <cellStyle name="20% - 强调文字颜色 2 2 2 3 2 5" xfId="2852"/>
    <cellStyle name="20% - 强调文字颜色 2 2 2 3 2 5 2" xfId="1039"/>
    <cellStyle name="20% - 强调文字颜色 2 2 2 3 2 5 2 2" xfId="1426"/>
    <cellStyle name="20% - 强调文字颜色 2 2 2 3 2 5 3" xfId="1432"/>
    <cellStyle name="20% - 强调文字颜色 2 2 2 3 2 6" xfId="2855"/>
    <cellStyle name="20% - 强调文字颜色 2 2 2 3 2 6 2" xfId="1555"/>
    <cellStyle name="20% - 强调文字颜色 2 2 2 3 2 7" xfId="2860"/>
    <cellStyle name="20% - 强调文字颜色 2 2 2 3 2 7 2" xfId="1599"/>
    <cellStyle name="20% - 强调文字颜色 2 2 2 3 3" xfId="2862"/>
    <cellStyle name="20% - 强调文字颜色 2 2 2 3 3 2" xfId="2863"/>
    <cellStyle name="20% - 强调文字颜色 2 2 2 3 3 2 2" xfId="2864"/>
    <cellStyle name="20% - 强调文字颜色 2 2 2 3 3 2 2 2" xfId="2866"/>
    <cellStyle name="20% - 强调文字颜色 2 2 2 3 3 2 2 2 2" xfId="2868"/>
    <cellStyle name="20% - 强调文字颜色 2 2 2 3 3 2 2 3" xfId="1823"/>
    <cellStyle name="20% - 强调文字颜色 2 2 2 3 3 2 3" xfId="2870"/>
    <cellStyle name="20% - 强调文字颜色 2 2 2 3 3 2 3 2" xfId="2874"/>
    <cellStyle name="20% - 强调文字颜色 2 2 2 3 3 2 4" xfId="2876"/>
    <cellStyle name="20% - 强调文字颜色 2 2 2 3 3 2 4 2" xfId="2878"/>
    <cellStyle name="20% - 强调文字颜色 2 2 2 3 3 2 5" xfId="2879"/>
    <cellStyle name="20% - 强调文字颜色 2 2 2 3 3 3" xfId="2881"/>
    <cellStyle name="20% - 强调文字颜色 2 2 2 3 3 3 2" xfId="2882"/>
    <cellStyle name="20% - 强调文字颜色 2 2 2 3 3 3 2 2" xfId="2886"/>
    <cellStyle name="20% - 强调文字颜色 2 2 2 3 3 3 3" xfId="828"/>
    <cellStyle name="20% - 强调文字颜色 2 2 2 3 3 4" xfId="2888"/>
    <cellStyle name="20% - 强调文字颜色 2 2 2 3 3 4 2" xfId="2890"/>
    <cellStyle name="20% - 强调文字颜色 2 2 2 3 3 4 2 2" xfId="2893"/>
    <cellStyle name="20% - 强调文字颜色 2 2 2 3 3 4 3" xfId="2897"/>
    <cellStyle name="20% - 强调文字颜色 2 2 2 3 3 5" xfId="2898"/>
    <cellStyle name="20% - 强调文字颜色 2 2 2 3 3 5 2" xfId="2899"/>
    <cellStyle name="20% - 强调文字颜色 2 2 2 3 3 6" xfId="2900"/>
    <cellStyle name="20% - 强调文字颜色 2 2 2 3 3 6 2" xfId="2741"/>
    <cellStyle name="20% - 强调文字颜色 2 2 2 3 3 7" xfId="2902"/>
    <cellStyle name="20% - 强调文字颜色 2 2 2 3 3 8" xfId="2904"/>
    <cellStyle name="20% - 强调文字颜色 2 2 2 3 4" xfId="2906"/>
    <cellStyle name="20% - 强调文字颜色 2 2 2 3 4 2" xfId="2908"/>
    <cellStyle name="20% - 强调文字颜色 2 2 2 3 4 2 2" xfId="2910"/>
    <cellStyle name="20% - 强调文字颜色 2 2 2 3 4 2 2 2" xfId="2914"/>
    <cellStyle name="20% - 强调文字颜色 2 2 2 3 4 2 3" xfId="2916"/>
    <cellStyle name="20% - 强调文字颜色 2 2 2 3 4 3" xfId="2922"/>
    <cellStyle name="20% - 强调文字颜色 2 2 2 3 4 3 2" xfId="2924"/>
    <cellStyle name="20% - 强调文字颜色 2 2 2 3 4 4" xfId="2925"/>
    <cellStyle name="20% - 强调文字颜色 2 2 2 3 5" xfId="2930"/>
    <cellStyle name="20% - 强调文字颜色 2 2 2 3 5 2" xfId="2931"/>
    <cellStyle name="20% - 强调文字颜色 2 2 2 3 5 2 2" xfId="2934"/>
    <cellStyle name="20% - 强调文字颜色 2 2 2 3 5 3" xfId="2935"/>
    <cellStyle name="20% - 强调文字颜色 2 2 2 3 6" xfId="2936"/>
    <cellStyle name="20% - 强调文字颜色 2 2 2 3 6 2" xfId="2937"/>
    <cellStyle name="20% - 强调文字颜色 2 2 2 3 6 2 2" xfId="2939"/>
    <cellStyle name="20% - 强调文字颜色 2 2 2 3 6 3" xfId="86"/>
    <cellStyle name="20% - 强调文字颜色 2 2 2 3 7" xfId="2940"/>
    <cellStyle name="20% - 强调文字颜色 2 2 2 3 7 2" xfId="2943"/>
    <cellStyle name="20% - 强调文字颜色 2 2 2 3 8" xfId="2947"/>
    <cellStyle name="20% - 强调文字颜色 2 2 2 3 8 2" xfId="2949"/>
    <cellStyle name="20% - 强调文字颜色 2 2 2 4" xfId="2950"/>
    <cellStyle name="20% - 强调文字颜色 2 2 2 4 2" xfId="1178"/>
    <cellStyle name="20% - 强调文字颜色 2 2 2 4 2 2" xfId="141"/>
    <cellStyle name="20% - 强调文字颜色 2 2 2 4 2 2 2" xfId="2955"/>
    <cellStyle name="20% - 强调文字颜色 2 2 2 4 2 2 2 2" xfId="2962"/>
    <cellStyle name="20% - 强调文字颜色 2 2 2 4 2 2 3" xfId="2963"/>
    <cellStyle name="20% - 强调文字颜色 2 2 2 4 2 3" xfId="2967"/>
    <cellStyle name="20% - 强调文字颜色 2 2 2 4 2 3 2" xfId="1047"/>
    <cellStyle name="20% - 强调文字颜色 2 2 2 4 2 4" xfId="2971"/>
    <cellStyle name="20% - 强调文字颜色 2 2 2 4 2 4 2" xfId="2976"/>
    <cellStyle name="20% - 强调文字颜色 2 2 2 4 2 5" xfId="2978"/>
    <cellStyle name="20% - 强调文字颜色 2 2 2 4 3" xfId="1186"/>
    <cellStyle name="20% - 强调文字颜色 2 2 2 4 3 2" xfId="851"/>
    <cellStyle name="20% - 强调文字颜色 2 2 2 4 3 2 2" xfId="2980"/>
    <cellStyle name="20% - 强调文字颜色 2 2 2 4 3 3" xfId="2981"/>
    <cellStyle name="20% - 强调文字颜色 2 2 2 4 4" xfId="1193"/>
    <cellStyle name="20% - 强调文字颜色 2 2 2 4 4 2" xfId="2983"/>
    <cellStyle name="20% - 强调文字颜色 2 2 2 4 4 2 2" xfId="2987"/>
    <cellStyle name="20% - 强调文字颜色 2 2 2 4 4 3" xfId="2993"/>
    <cellStyle name="20% - 强调文字颜色 2 2 2 4 5" xfId="2996"/>
    <cellStyle name="20% - 强调文字颜色 2 2 2 4 5 2" xfId="2999"/>
    <cellStyle name="20% - 强调文字颜色 2 2 2 4 6" xfId="3000"/>
    <cellStyle name="20% - 强调文字颜色 2 2 2 4 6 2" xfId="3003"/>
    <cellStyle name="20% - 强调文字颜色 2 2 2 4 7" xfId="3004"/>
    <cellStyle name="20% - 强调文字颜色 2 2 2 4 8" xfId="3007"/>
    <cellStyle name="20% - 强调文字颜色 2 2 2 5" xfId="3008"/>
    <cellStyle name="20% - 强调文字颜色 2 2 2 5 2" xfId="1221"/>
    <cellStyle name="20% - 强调文字颜色 2 2 2 5 2 2" xfId="3013"/>
    <cellStyle name="20% - 强调文字颜色 2 2 2 5 2 2 2" xfId="3017"/>
    <cellStyle name="20% - 强调文字颜色 2 2 2 5 2 3" xfId="3021"/>
    <cellStyle name="20% - 强调文字颜色 2 2 2 5 3" xfId="3023"/>
    <cellStyle name="20% - 强调文字颜色 2 2 2 5 3 2" xfId="3028"/>
    <cellStyle name="20% - 强调文字颜色 2 2 2 5 4" xfId="3033"/>
    <cellStyle name="20% - 强调文字颜色 2 2 2 6" xfId="3037"/>
    <cellStyle name="20% - 强调文字颜色 2 2 2 6 2" xfId="3041"/>
    <cellStyle name="20% - 强调文字颜色 2 2 2 6 2 2" xfId="3045"/>
    <cellStyle name="20% - 强调文字颜色 2 2 2 6 3" xfId="3051"/>
    <cellStyle name="20% - 强调文字颜色 2 2 2 7" xfId="3052"/>
    <cellStyle name="20% - 强调文字颜色 2 2 2 7 2" xfId="3056"/>
    <cellStyle name="20% - 强调文字颜色 2 2 2 7 2 2" xfId="3059"/>
    <cellStyle name="20% - 强调文字颜色 2 2 2 7 3" xfId="1482"/>
    <cellStyle name="20% - 强调文字颜色 2 2 2 8" xfId="2154"/>
    <cellStyle name="20% - 强调文字颜色 2 2 2 8 2" xfId="2160"/>
    <cellStyle name="20% - 强调文字颜色 2 2 2 9" xfId="2164"/>
    <cellStyle name="20% - 强调文字颜色 2 2 2 9 2" xfId="3064"/>
    <cellStyle name="20% - 强调文字颜色 2 2 3" xfId="3069"/>
    <cellStyle name="20% - 强调文字颜色 2 2 3 2" xfId="3075"/>
    <cellStyle name="20% - 强调文字颜色 2 2 3 2 2" xfId="3080"/>
    <cellStyle name="20% - 强调文字颜色 2 2 3 2 2 2" xfId="41"/>
    <cellStyle name="20% - 强调文字颜色 2 2 3 2 2 2 2" xfId="1708"/>
    <cellStyle name="20% - 强调文字颜色 2 2 3 2 2 2 2 2" xfId="1711"/>
    <cellStyle name="20% - 强调文字颜色 2 2 3 2 2 2 3" xfId="1717"/>
    <cellStyle name="20% - 强调文字颜色 2 2 3 2 2 3" xfId="1722"/>
    <cellStyle name="20% - 强调文字颜色 2 2 3 2 2 3 2" xfId="1305"/>
    <cellStyle name="20% - 强调文字颜色 2 2 3 2 2 4" xfId="344"/>
    <cellStyle name="20% - 强调文字颜色 2 2 3 2 2 4 2" xfId="1729"/>
    <cellStyle name="20% - 强调文字颜色 2 2 3 2 2 5" xfId="1085"/>
    <cellStyle name="20% - 强调文字颜色 2 2 3 2 3" xfId="3083"/>
    <cellStyle name="20% - 强调文字颜色 2 2 3 2 3 2" xfId="133"/>
    <cellStyle name="20% - 强调文字颜色 2 2 3 2 3 2 2" xfId="3085"/>
    <cellStyle name="20% - 强调文字颜色 2 2 3 2 3 3" xfId="3086"/>
    <cellStyle name="20% - 强调文字颜色 2 2 3 2 4" xfId="3088"/>
    <cellStyle name="20% - 强调文字颜色 2 2 3 2 4 2" xfId="3090"/>
    <cellStyle name="20% - 强调文字颜色 2 2 3 2 4 2 2" xfId="3091"/>
    <cellStyle name="20% - 强调文字颜色 2 2 3 2 4 3" xfId="3092"/>
    <cellStyle name="20% - 强调文字颜色 2 2 3 2 5" xfId="3094"/>
    <cellStyle name="20% - 强调文字颜色 2 2 3 2 5 2" xfId="3096"/>
    <cellStyle name="20% - 强调文字颜色 2 2 3 2 6" xfId="3099"/>
    <cellStyle name="20% - 强调文字颜色 2 2 3 2 6 2" xfId="3102"/>
    <cellStyle name="20% - 强调文字颜色 2 2 3 2 7" xfId="3106"/>
    <cellStyle name="20% - 强调文字颜色 2 2 3 2 8" xfId="3109"/>
    <cellStyle name="20% - 强调文字颜色 2 2 3 3" xfId="3112"/>
    <cellStyle name="20% - 强调文字颜色 2 2 3 3 2" xfId="3114"/>
    <cellStyle name="20% - 强调文字颜色 2 2 3 3 2 2" xfId="1839"/>
    <cellStyle name="20% - 强调文字颜色 2 2 3 3 2 2 2" xfId="1843"/>
    <cellStyle name="20% - 强调文字颜色 2 2 3 3 2 3" xfId="1852"/>
    <cellStyle name="20% - 强调文字颜色 2 2 3 3 3" xfId="3115"/>
    <cellStyle name="20% - 强调文字颜色 2 2 3 3 3 2" xfId="1907"/>
    <cellStyle name="20% - 强调文字颜色 2 2 3 3 4" xfId="3116"/>
    <cellStyle name="20% - 强调文字颜色 2 2 3 4" xfId="3118"/>
    <cellStyle name="20% - 强调文字颜色 2 2 3 4 2" xfId="1139"/>
    <cellStyle name="20% - 强调文字颜色 2 2 3 4 2 2" xfId="1154"/>
    <cellStyle name="20% - 强调文字颜色 2 2 3 4 3" xfId="1165"/>
    <cellStyle name="20% - 强调文字颜色 2 2 3 5" xfId="3122"/>
    <cellStyle name="20% - 强调文字颜色 2 2 3 5 2" xfId="147"/>
    <cellStyle name="20% - 强调文字颜色 2 2 3 5 2 2" xfId="1308"/>
    <cellStyle name="20% - 强调文字颜色 2 2 3 5 3" xfId="205"/>
    <cellStyle name="20% - 强调文字颜色 2 2 3 6" xfId="3123"/>
    <cellStyle name="20% - 强调文字颜色 2 2 3 6 2" xfId="846"/>
    <cellStyle name="20% - 强调文字颜色 2 2 3 7" xfId="3125"/>
    <cellStyle name="20% - 强调文字颜色 2 2 3 7 2" xfId="3128"/>
    <cellStyle name="20% - 强调文字颜色 2 2 4" xfId="3130"/>
    <cellStyle name="20% - 强调文字颜色 2 2 4 2" xfId="3135"/>
    <cellStyle name="20% - 强调文字颜色 2 2 4 2 2" xfId="3138"/>
    <cellStyle name="20% - 强调文字颜色 2 2 4 2 2 2" xfId="2135"/>
    <cellStyle name="20% - 强调文字颜色 2 2 4 2 2 2 2" xfId="2137"/>
    <cellStyle name="20% - 强调文字颜色 2 2 4 2 2 2 2 2" xfId="3139"/>
    <cellStyle name="20% - 强调文字颜色 2 2 4 2 2 2 2 2 2" xfId="2199"/>
    <cellStyle name="20% - 强调文字颜色 2 2 4 2 2 2 2 3" xfId="3142"/>
    <cellStyle name="20% - 强调文字颜色 2 2 4 2 2 2 3" xfId="3144"/>
    <cellStyle name="20% - 强调文字颜色 2 2 4 2 2 2 3 2" xfId="3148"/>
    <cellStyle name="20% - 强调文字颜色 2 2 4 2 2 2 4" xfId="3150"/>
    <cellStyle name="20% - 强调文字颜色 2 2 4 2 2 2 4 2" xfId="3152"/>
    <cellStyle name="20% - 强调文字颜色 2 2 4 2 2 2 5" xfId="3154"/>
    <cellStyle name="20% - 强调文字颜色 2 2 4 2 2 3" xfId="2141"/>
    <cellStyle name="20% - 强调文字颜色 2 2 4 2 2 3 2" xfId="1606"/>
    <cellStyle name="20% - 强调文字颜色 2 2 4 2 2 3 2 2" xfId="1612"/>
    <cellStyle name="20% - 强调文字颜色 2 2 4 2 2 3 3" xfId="1645"/>
    <cellStyle name="20% - 强调文字颜色 2 2 4 2 2 4" xfId="3158"/>
    <cellStyle name="20% - 强调文字颜色 2 2 4 2 2 4 2" xfId="2952"/>
    <cellStyle name="20% - 强调文字颜色 2 2 4 2 2 4 2 2" xfId="1180"/>
    <cellStyle name="20% - 强调文字颜色 2 2 4 2 2 4 3" xfId="3010"/>
    <cellStyle name="20% - 强调文字颜色 2 2 4 2 2 5" xfId="3162"/>
    <cellStyle name="20% - 强调文字颜色 2 2 4 2 2 5 2" xfId="3120"/>
    <cellStyle name="20% - 强调文字颜色 2 2 4 2 2 6" xfId="3165"/>
    <cellStyle name="20% - 强调文字颜色 2 2 4 2 2 6 2" xfId="3167"/>
    <cellStyle name="20% - 强调文字颜色 2 2 4 2 2 7" xfId="3170"/>
    <cellStyle name="20% - 强调文字颜色 2 2 4 2 2 8" xfId="3173"/>
    <cellStyle name="20% - 强调文字颜色 2 2 4 2 3" xfId="3175"/>
    <cellStyle name="20% - 强调文字颜色 2 2 4 2 3 2" xfId="3176"/>
    <cellStyle name="20% - 强调文字颜色 2 2 4 2 3 2 2" xfId="3177"/>
    <cellStyle name="20% - 强调文字颜色 2 2 4 2 3 2 2 2" xfId="3178"/>
    <cellStyle name="20% - 强调文字颜色 2 2 4 2 3 2 3" xfId="3179"/>
    <cellStyle name="20% - 强调文字颜色 2 2 4 2 3 3" xfId="3180"/>
    <cellStyle name="20% - 强调文字颜色 2 2 4 2 3 3 2" xfId="259"/>
    <cellStyle name="20% - 强调文字颜色 2 2 4 2 3 4" xfId="3182"/>
    <cellStyle name="20% - 强调文字颜色 2 2 4 2 4" xfId="3184"/>
    <cellStyle name="20% - 强调文字颜色 2 2 4 2 4 2" xfId="3186"/>
    <cellStyle name="20% - 强调文字颜色 2 2 4 2 4 2 2" xfId="3188"/>
    <cellStyle name="20% - 强调文字颜色 2 2 4 2 4 3" xfId="3192"/>
    <cellStyle name="20% - 强调文字颜色 2 2 4 2 5" xfId="336"/>
    <cellStyle name="20% - 强调文字颜色 2 2 4 2 5 2" xfId="3195"/>
    <cellStyle name="20% - 强调文字颜色 2 2 4 2 5 2 2" xfId="8"/>
    <cellStyle name="20% - 强调文字颜色 2 2 4 2 5 3" xfId="3197"/>
    <cellStyle name="20% - 强调文字颜色 2 2 4 2 6" xfId="1096"/>
    <cellStyle name="20% - 强调文字颜色 2 2 4 2 6 2" xfId="3200"/>
    <cellStyle name="20% - 强调文字颜色 2 2 4 2 7" xfId="3205"/>
    <cellStyle name="20% - 强调文字颜色 2 2 4 2 7 2" xfId="3208"/>
    <cellStyle name="20% - 强调文字颜色 2 2 4 3" xfId="3212"/>
    <cellStyle name="20% - 强调文字颜色 2 2 4 3 2" xfId="3213"/>
    <cellStyle name="20% - 强调文字颜色 2 2 4 3 2 2" xfId="3214"/>
    <cellStyle name="20% - 强调文字颜色 2 2 4 3 2 2 2" xfId="3219"/>
    <cellStyle name="20% - 强调文字颜色 2 2 4 3 2 2 2 2" xfId="2574"/>
    <cellStyle name="20% - 强调文字颜色 2 2 4 3 2 2 3" xfId="3223"/>
    <cellStyle name="20% - 强调文字颜色 2 2 4 3 2 3" xfId="3225"/>
    <cellStyle name="20% - 强调文字颜色 2 2 4 3 2 3 2" xfId="3226"/>
    <cellStyle name="20% - 强调文字颜色 2 2 4 3 2 4" xfId="3228"/>
    <cellStyle name="20% - 强调文字颜色 2 2 4 3 2 4 2" xfId="3231"/>
    <cellStyle name="20% - 强调文字颜色 2 2 4 3 2 5" xfId="3236"/>
    <cellStyle name="20% - 强调文字颜色 2 2 4 3 3" xfId="3237"/>
    <cellStyle name="20% - 强调文字颜色 2 2 4 3 3 2" xfId="3238"/>
    <cellStyle name="20% - 强调文字颜色 2 2 4 3 3 2 2" xfId="3239"/>
    <cellStyle name="20% - 强调文字颜色 2 2 4 3 3 3" xfId="3240"/>
    <cellStyle name="20% - 强调文字颜色 2 2 4 3 4" xfId="3241"/>
    <cellStyle name="20% - 强调文字颜色 2 2 4 3 4 2" xfId="3242"/>
    <cellStyle name="20% - 强调文字颜色 2 2 4 3 4 2 2" xfId="3244"/>
    <cellStyle name="20% - 强调文字颜色 2 2 4 3 4 3" xfId="3247"/>
    <cellStyle name="20% - 强调文字颜色 2 2 4 3 5" xfId="347"/>
    <cellStyle name="20% - 强调文字颜色 2 2 4 3 5 2" xfId="3250"/>
    <cellStyle name="20% - 强调文字颜色 2 2 4 3 6" xfId="3253"/>
    <cellStyle name="20% - 强调文字颜色 2 2 4 3 6 2" xfId="3257"/>
    <cellStyle name="20% - 强调文字颜色 2 2 4 3 7" xfId="3262"/>
    <cellStyle name="20% - 强调文字颜色 2 2 4 3 8" xfId="3265"/>
    <cellStyle name="20% - 强调文字颜色 2 2 4 4" xfId="3168"/>
    <cellStyle name="20% - 强调文字颜色 2 2 4 4 2" xfId="1212"/>
    <cellStyle name="20% - 强调文字颜色 2 2 4 4 2 2" xfId="3268"/>
    <cellStyle name="20% - 强调文字颜色 2 2 4 4 2 2 2" xfId="3270"/>
    <cellStyle name="20% - 强调文字颜色 2 2 4 4 2 3" xfId="3272"/>
    <cellStyle name="20% - 强调文字颜色 2 2 4 4 3" xfId="3274"/>
    <cellStyle name="20% - 强调文字颜色 2 2 4 4 3 2" xfId="3276"/>
    <cellStyle name="20% - 强调文字颜色 2 2 4 4 4" xfId="3278"/>
    <cellStyle name="20% - 强调文字颜色 2 2 4 5" xfId="3279"/>
    <cellStyle name="20% - 强调文字颜色 2 2 4 5 2" xfId="3281"/>
    <cellStyle name="20% - 强调文字颜色 2 2 4 5 2 2" xfId="3285"/>
    <cellStyle name="20% - 强调文字颜色 2 2 4 5 3" xfId="3288"/>
    <cellStyle name="20% - 强调文字颜色 2 2 4 6" xfId="3289"/>
    <cellStyle name="20% - 强调文字颜色 2 2 4 6 2" xfId="3293"/>
    <cellStyle name="20% - 强调文字颜色 2 2 4 6 2 2" xfId="3295"/>
    <cellStyle name="20% - 强调文字颜色 2 2 4 6 3" xfId="3297"/>
    <cellStyle name="20% - 强调文字颜色 2 2 4 7" xfId="3299"/>
    <cellStyle name="20% - 强调文字颜色 2 2 4 7 2" xfId="2625"/>
    <cellStyle name="20% - 强调文字颜色 2 2 4 8" xfId="2178"/>
    <cellStyle name="20% - 强调文字颜色 2 2 4 8 2" xfId="3301"/>
    <cellStyle name="20% - 强调文字颜色 2 2 5" xfId="3303"/>
    <cellStyle name="20% - 强调文字颜色 2 2 5 2" xfId="3304"/>
    <cellStyle name="20% - 强调文字颜色 2 2 5 2 2" xfId="3307"/>
    <cellStyle name="20% - 强调文字颜色 2 2 5 2 2 2" xfId="2281"/>
    <cellStyle name="20% - 强调文字颜色 2 2 5 2 2 2 2" xfId="2285"/>
    <cellStyle name="20% - 强调文字颜色 2 2 5 2 2 3" xfId="2293"/>
    <cellStyle name="20% - 强调文字颜色 2 2 5 2 3" xfId="3308"/>
    <cellStyle name="20% - 强调文字颜色 2 2 5 2 3 2" xfId="2340"/>
    <cellStyle name="20% - 强调文字颜色 2 2 5 2 4" xfId="3310"/>
    <cellStyle name="20% - 强调文字颜色 2 2 5 3" xfId="3311"/>
    <cellStyle name="20% - 强调文字颜色 2 2 5 3 2" xfId="3313"/>
    <cellStyle name="20% - 强调文字颜色 2 2 5 3 2 2" xfId="2397"/>
    <cellStyle name="20% - 强调文字颜色 2 2 5 3 3" xfId="3317"/>
    <cellStyle name="20% - 强调文字颜色 2 2 5 4" xfId="3320"/>
    <cellStyle name="20% - 强调文字颜色 2 2 5 4 2" xfId="3323"/>
    <cellStyle name="20% - 强调文字颜色 2 2 5 4 2 2" xfId="3330"/>
    <cellStyle name="20% - 强调文字颜色 2 2 5 4 3" xfId="3334"/>
    <cellStyle name="20% - 强调文字颜色 2 2 5 5" xfId="3338"/>
    <cellStyle name="20% - 强调文字颜色 2 2 5 5 2" xfId="3342"/>
    <cellStyle name="20% - 强调文字颜色 2 2 5 6" xfId="3348"/>
    <cellStyle name="20% - 强调文字颜色 2 2 5 7" xfId="3351"/>
    <cellStyle name="20% - 强调文字颜色 2 2 6" xfId="3356"/>
    <cellStyle name="20% - 强调文字颜色 2 2 6 2" xfId="3358"/>
    <cellStyle name="20% - 强调文字颜色 2 2 6 2 2" xfId="3359"/>
    <cellStyle name="20% - 强调文字颜色 2 2 6 2 2 2" xfId="3360"/>
    <cellStyle name="20% - 强调文字颜色 2 2 6 2 3" xfId="3362"/>
    <cellStyle name="20% - 强调文字颜色 2 2 6 3" xfId="3364"/>
    <cellStyle name="20% - 强调文字颜色 2 2 6 3 2" xfId="3368"/>
    <cellStyle name="20% - 强调文字颜色 2 2 6 4" xfId="3371"/>
    <cellStyle name="20% - 强调文字颜色 2 2 7" xfId="3375"/>
    <cellStyle name="20% - 强调文字颜色 2 2 7 2" xfId="2169"/>
    <cellStyle name="20% - 强调文字颜色 2 2 7 2 2" xfId="58"/>
    <cellStyle name="20% - 强调文字颜色 2 2 7 3" xfId="2173"/>
    <cellStyle name="20% - 强调文字颜色 2 2 8" xfId="3377"/>
    <cellStyle name="20% - 强调文字颜色 2 2 8 2" xfId="3379"/>
    <cellStyle name="20% - 强调文字颜色 2 2 8 2 2" xfId="3381"/>
    <cellStyle name="20% - 强调文字颜色 2 2 8 3" xfId="3383"/>
    <cellStyle name="20% - 强调文字颜色 2 2 9" xfId="3386"/>
    <cellStyle name="20% - 强调文字颜色 2 2 9 2" xfId="3388"/>
    <cellStyle name="20% - 强调文字颜色 2 3" xfId="3391"/>
    <cellStyle name="20% - 强调文字颜色 2 3 2" xfId="3395"/>
    <cellStyle name="20% - 强调文字颜色 3 2" xfId="3401"/>
    <cellStyle name="20% - 强调文字颜色 3 2 10" xfId="3404"/>
    <cellStyle name="20% - 强调文字颜色 3 2 10 2" xfId="3406"/>
    <cellStyle name="20% - 强调文字颜色 3 2 11" xfId="3407"/>
    <cellStyle name="20% - 强调文字颜色 3 2 11 2" xfId="3413"/>
    <cellStyle name="20% - 强调文字颜色 3 2 2" xfId="3416"/>
    <cellStyle name="20% - 强调文字颜色 3 2 2 2" xfId="3422"/>
    <cellStyle name="20% - 强调文字颜色 3 2 2 2 2" xfId="3426"/>
    <cellStyle name="20% - 强调文字颜色 3 2 2 2 2 2" xfId="1517"/>
    <cellStyle name="20% - 强调文字颜色 3 2 2 2 2 2 2" xfId="1522"/>
    <cellStyle name="20% - 强调文字颜色 3 2 2 2 2 2 2 2" xfId="3429"/>
    <cellStyle name="20% - 强调文字颜色 3 2 2 2 2 2 2 2 2" xfId="3437"/>
    <cellStyle name="20% - 强调文字颜色 3 2 2 2 2 2 2 3" xfId="3444"/>
    <cellStyle name="20% - 强调文字颜色 3 2 2 2 2 2 3" xfId="3448"/>
    <cellStyle name="20% - 强调文字颜色 3 2 2 2 2 2 3 2" xfId="3456"/>
    <cellStyle name="20% - 强调文字颜色 3 2 2 2 2 2 4" xfId="3458"/>
    <cellStyle name="20% - 强调文字颜色 3 2 2 2 2 2 4 2" xfId="3461"/>
    <cellStyle name="20% - 强调文字颜色 3 2 2 2 2 2 5" xfId="3462"/>
    <cellStyle name="20% - 强调文字颜色 3 2 2 2 2 3" xfId="809"/>
    <cellStyle name="20% - 强调文字颜色 3 2 2 2 2 3 2" xfId="818"/>
    <cellStyle name="20% - 强调文字颜色 3 2 2 2 2 3 2 2" xfId="3466"/>
    <cellStyle name="20% - 强调文字颜色 3 2 2 2 2 3 3" xfId="3468"/>
    <cellStyle name="20% - 强调文字颜色 3 2 2 2 2 4" xfId="839"/>
    <cellStyle name="20% - 强调文字颜色 3 2 2 2 2 4 2" xfId="3470"/>
    <cellStyle name="20% - 强调文字颜色 3 2 2 2 2 4 2 2" xfId="3478"/>
    <cellStyle name="20% - 强调文字颜色 3 2 2 2 2 4 3" xfId="3483"/>
    <cellStyle name="20% - 强调文字颜色 3 2 2 2 2 5" xfId="872"/>
    <cellStyle name="20% - 强调文字颜色 3 2 2 2 2 5 2" xfId="3489"/>
    <cellStyle name="20% - 强调文字颜色 3 2 2 2 2 6" xfId="3500"/>
    <cellStyle name="20% - 强调文字颜色 3 2 2 2 2 6 2" xfId="3506"/>
    <cellStyle name="20% - 强调文字颜色 3 2 2 2 2 7" xfId="3511"/>
    <cellStyle name="20% - 强调文字颜色 3 2 2 2 2 8" xfId="3513"/>
    <cellStyle name="20% - 强调文字颜色 3 2 2 2 3" xfId="3519"/>
    <cellStyle name="20% - 强调文字颜色 3 2 2 2 3 2" xfId="1078"/>
    <cellStyle name="20% - 强调文字颜色 3 2 2 2 3 2 2" xfId="1091"/>
    <cellStyle name="20% - 强调文字颜色 3 2 2 2 3 2 2 2" xfId="2858"/>
    <cellStyle name="20% - 强调文字颜色 3 2 2 2 3 2 3" xfId="3521"/>
    <cellStyle name="20% - 强调文字颜色 3 2 2 2 3 3" xfId="890"/>
    <cellStyle name="20% - 强调文字颜色 3 2 2 2 3 3 2" xfId="3525"/>
    <cellStyle name="20% - 强调文字颜色 3 2 2 2 3 4" xfId="3528"/>
    <cellStyle name="20% - 强调文字颜色 3 2 2 2 4" xfId="3533"/>
    <cellStyle name="20% - 强调文字颜色 3 2 2 2 4 2" xfId="3536"/>
    <cellStyle name="20% - 强调文字颜色 3 2 2 2 4 2 2" xfId="3539"/>
    <cellStyle name="20% - 强调文字颜色 3 2 2 2 4 3" xfId="2748"/>
    <cellStyle name="20% - 强调文字颜色 3 2 2 2 5" xfId="738"/>
    <cellStyle name="20% - 强调文字颜色 3 2 2 2 5 2" xfId="3541"/>
    <cellStyle name="20% - 强调文字颜色 3 2 2 2 5 2 2" xfId="2291"/>
    <cellStyle name="20% - 强调文字颜色 3 2 2 2 5 3" xfId="3543"/>
    <cellStyle name="20% - 强调文字颜色 3 2 2 2 6" xfId="3546"/>
    <cellStyle name="20% - 强调文字颜色 3 2 2 2 6 2" xfId="3547"/>
    <cellStyle name="20% - 强调文字颜色 3 2 2 2 7" xfId="1700"/>
    <cellStyle name="20% - 强调文字颜色 3 2 2 2 7 2" xfId="251"/>
    <cellStyle name="20% - 强调文字颜色 3 2 2 3" xfId="3549"/>
    <cellStyle name="20% - 强调文字颜色 3 2 2 3 2" xfId="3554"/>
    <cellStyle name="20% - 强调文字颜色 3 2 2 3 2 2" xfId="321"/>
    <cellStyle name="20% - 强调文字颜色 3 2 2 3 2 2 2" xfId="281"/>
    <cellStyle name="20% - 强调文字颜色 3 2 2 3 2 2 2 2" xfId="3556"/>
    <cellStyle name="20% - 强调文字颜色 3 2 2 3 2 2 2 2 2" xfId="3559"/>
    <cellStyle name="20% - 强调文字颜色 3 2 2 3 2 2 2 2 2 2" xfId="3566"/>
    <cellStyle name="20% - 强调文字颜色 3 2 2 3 2 2 2 2 3" xfId="3575"/>
    <cellStyle name="20% - 强调文字颜色 3 2 2 3 2 2 2 3" xfId="3584"/>
    <cellStyle name="20% - 强调文字颜色 3 2 2 3 2 2 2 3 2" xfId="3589"/>
    <cellStyle name="20% - 强调文字颜色 3 2 2 3 2 2 2 4" xfId="2894"/>
    <cellStyle name="20% - 强调文字颜色 3 2 2 3 2 2 2 4 2" xfId="3593"/>
    <cellStyle name="20% - 强调文字颜色 3 2 2 3 2 2 2 5" xfId="3597"/>
    <cellStyle name="20% - 强调文字颜色 3 2 2 3 2 2 3" xfId="3602"/>
    <cellStyle name="20% - 强调文字颜色 3 2 2 3 2 2 3 2" xfId="3605"/>
    <cellStyle name="20% - 强调文字颜色 3 2 2 3 2 2 3 2 2" xfId="2845"/>
    <cellStyle name="20% - 强调文字颜色 3 2 2 3 2 2 3 3" xfId="3608"/>
    <cellStyle name="20% - 强调文字颜色 3 2 2 3 2 2 4" xfId="3611"/>
    <cellStyle name="20% - 强调文字颜色 3 2 2 3 2 2 4 2" xfId="3613"/>
    <cellStyle name="20% - 强调文字颜色 3 2 2 3 2 2 4 2 2" xfId="2584"/>
    <cellStyle name="20% - 强调文字颜色 3 2 2 3 2 2 4 3" xfId="3616"/>
    <cellStyle name="20% - 强调文字颜色 3 2 2 3 2 2 5" xfId="3619"/>
    <cellStyle name="20% - 强调文字颜色 3 2 2 3 2 2 5 2" xfId="3622"/>
    <cellStyle name="20% - 强调文字颜色 3 2 2 3 2 2 6" xfId="3623"/>
    <cellStyle name="20% - 强调文字颜色 3 2 2 3 2 2 6 2" xfId="3627"/>
    <cellStyle name="20% - 强调文字颜色 3 2 2 3 2 2 7" xfId="3632"/>
    <cellStyle name="20% - 强调文字颜色 3 2 2 3 2 2 8" xfId="688"/>
    <cellStyle name="20% - 强调文字颜色 3 2 2 3 2 3" xfId="3634"/>
    <cellStyle name="20% - 强调文字颜色 3 2 2 3 2 3 2" xfId="3635"/>
    <cellStyle name="20% - 强调文字颜色 3 2 2 3 2 3 2 2" xfId="3637"/>
    <cellStyle name="20% - 强调文字颜色 3 2 2 3 2 3 2 2 2" xfId="3640"/>
    <cellStyle name="20% - 强调文字颜色 3 2 2 3 2 3 2 3" xfId="3644"/>
    <cellStyle name="20% - 强调文字颜色 3 2 2 3 2 3 3" xfId="3646"/>
    <cellStyle name="20% - 强调文字颜色 3 2 2 3 2 3 3 2" xfId="3648"/>
    <cellStyle name="20% - 强调文字颜色 3 2 2 3 2 3 4" xfId="3649"/>
    <cellStyle name="20% - 强调文字颜色 3 2 2 3 2 4" xfId="3651"/>
    <cellStyle name="20% - 强调文字颜色 3 2 2 3 2 4 2" xfId="3658"/>
    <cellStyle name="20% - 强调文字颜色 3 2 2 3 2 4 2 2" xfId="3661"/>
    <cellStyle name="20% - 强调文字颜色 3 2 2 3 2 4 3" xfId="3662"/>
    <cellStyle name="20% - 强调文字颜色 3 2 2 3 2 5" xfId="3432"/>
    <cellStyle name="20% - 强调文字颜色 3 2 2 3 2 5 2" xfId="3439"/>
    <cellStyle name="20% - 强调文字颜色 3 2 2 3 2 5 2 2" xfId="3663"/>
    <cellStyle name="20% - 强调文字颜色 3 2 2 3 2 5 3" xfId="3666"/>
    <cellStyle name="20% - 强调文字颜色 3 2 2 3 2 6" xfId="3446"/>
    <cellStyle name="20% - 强调文字颜色 3 2 2 3 2 6 2" xfId="3669"/>
    <cellStyle name="20% - 强调文字颜色 3 2 2 3 2 7" xfId="3672"/>
    <cellStyle name="20% - 强调文字颜色 3 2 2 3 2 7 2" xfId="3674"/>
    <cellStyle name="20% - 强调文字颜色 3 2 2 3 3" xfId="3678"/>
    <cellStyle name="20% - 强调文字颜色 3 2 2 3 3 2" xfId="657"/>
    <cellStyle name="20% - 强调文字颜色 3 2 2 3 3 2 2" xfId="3679"/>
    <cellStyle name="20% - 强调文字颜色 3 2 2 3 3 2 2 2" xfId="3681"/>
    <cellStyle name="20% - 强调文字颜色 3 2 2 3 3 2 2 2 2" xfId="3682"/>
    <cellStyle name="20% - 强调文字颜色 3 2 2 3 3 2 2 3" xfId="3683"/>
    <cellStyle name="20% - 强调文字颜色 3 2 2 3 3 2 3" xfId="3685"/>
    <cellStyle name="20% - 强调文字颜色 3 2 2 3 3 2 3 2" xfId="3686"/>
    <cellStyle name="20% - 强调文字颜色 3 2 2 3 3 2 4" xfId="3687"/>
    <cellStyle name="20% - 强调文字颜色 3 2 2 3 3 2 4 2" xfId="3688"/>
    <cellStyle name="20% - 强调文字颜色 3 2 2 3 3 2 5" xfId="3689"/>
    <cellStyle name="20% - 强调文字颜色 3 2 2 3 3 3" xfId="3692"/>
    <cellStyle name="20% - 强调文字颜色 3 2 2 3 3 3 2" xfId="3694"/>
    <cellStyle name="20% - 强调文字颜色 3 2 2 3 3 3 2 2" xfId="3695"/>
    <cellStyle name="20% - 强调文字颜色 3 2 2 3 3 3 3" xfId="3696"/>
    <cellStyle name="20% - 强调文字颜色 3 2 2 3 3 4" xfId="3698"/>
    <cellStyle name="20% - 强调文字颜色 3 2 2 3 3 4 2" xfId="187"/>
    <cellStyle name="20% - 强调文字颜色 3 2 2 3 3 4 2 2" xfId="1324"/>
    <cellStyle name="20% - 强调文字颜色 3 2 2 3 3 4 3" xfId="194"/>
    <cellStyle name="20% - 强调文字颜色 3 2 2 3 3 5" xfId="3457"/>
    <cellStyle name="20% - 强调文字颜色 3 2 2 3 3 5 2" xfId="1927"/>
    <cellStyle name="20% - 强调文字颜色 3 2 2 3 3 6" xfId="3704"/>
    <cellStyle name="20% - 强调文字颜色 3 2 2 3 3 6 2" xfId="1995"/>
    <cellStyle name="20% - 强调文字颜色 3 2 2 3 3 7" xfId="3707"/>
    <cellStyle name="20% - 强调文字颜色 3 2 2 3 3 8" xfId="3713"/>
    <cellStyle name="20% - 强调文字颜色 3 2 2 3 4" xfId="2475"/>
    <cellStyle name="20% - 强调文字颜色 3 2 2 3 4 2" xfId="2478"/>
    <cellStyle name="20% - 强调文字颜色 3 2 2 3 4 2 2" xfId="3715"/>
    <cellStyle name="20% - 强调文字颜色 3 2 2 3 4 2 2 2" xfId="3716"/>
    <cellStyle name="20% - 强调文字颜色 3 2 2 3 4 2 3" xfId="3306"/>
    <cellStyle name="20% - 强调文字颜色 3 2 2 3 4 3" xfId="2759"/>
    <cellStyle name="20% - 强调文字颜色 3 2 2 3 4 3 2" xfId="3717"/>
    <cellStyle name="20% - 强调文字颜色 3 2 2 3 4 4" xfId="3718"/>
    <cellStyle name="20% - 强调文字颜色 3 2 2 3 5" xfId="2481"/>
    <cellStyle name="20% - 强调文字颜色 3 2 2 3 5 2" xfId="3722"/>
    <cellStyle name="20% - 强调文字颜色 3 2 2 3 5 2 2" xfId="3723"/>
    <cellStyle name="20% - 强调文字颜色 3 2 2 3 5 3" xfId="3724"/>
    <cellStyle name="20% - 强调文字颜色 3 2 2 3 6" xfId="3361"/>
    <cellStyle name="20% - 强调文字颜色 3 2 2 3 6 2" xfId="3726"/>
    <cellStyle name="20% - 强调文字颜色 3 2 2 3 6 2 2" xfId="3727"/>
    <cellStyle name="20% - 强调文字颜色 3 2 2 3 6 3" xfId="3729"/>
    <cellStyle name="20% - 强调文字颜色 3 2 2 3 7" xfId="3730"/>
    <cellStyle name="20% - 强调文字颜色 3 2 2 3 7 2" xfId="3731"/>
    <cellStyle name="20% - 强调文字颜色 3 2 2 3 8" xfId="3733"/>
    <cellStyle name="20% - 强调文字颜色 3 2 2 3 8 2" xfId="3735"/>
    <cellStyle name="20% - 强调文字颜色 3 2 2 4" xfId="3234"/>
    <cellStyle name="20% - 强调文字颜色 3 2 2 4 2" xfId="3738"/>
    <cellStyle name="20% - 强调文字颜色 3 2 2 4 2 2" xfId="3741"/>
    <cellStyle name="20% - 强调文字颜色 3 2 2 4 2 2 2" xfId="3746"/>
    <cellStyle name="20% - 强调文字颜色 3 2 2 4 2 2 2 2" xfId="3751"/>
    <cellStyle name="20% - 强调文字颜色 3 2 2 4 2 2 3" xfId="3754"/>
    <cellStyle name="20% - 强调文字颜色 3 2 2 4 2 3" xfId="3755"/>
    <cellStyle name="20% - 强调文字颜色 3 2 2 4 2 3 2" xfId="3760"/>
    <cellStyle name="20% - 强调文字颜色 3 2 2 4 2 4" xfId="3762"/>
    <cellStyle name="20% - 强调文字颜色 3 2 2 4 2 4 2" xfId="3764"/>
    <cellStyle name="20% - 强调文字颜色 3 2 2 4 2 5" xfId="3467"/>
    <cellStyle name="20% - 强调文字颜色 3 2 2 4 3" xfId="3767"/>
    <cellStyle name="20% - 强调文字颜色 3 2 2 4 3 2" xfId="3770"/>
    <cellStyle name="20% - 强调文字颜色 3 2 2 4 3 2 2" xfId="190"/>
    <cellStyle name="20% - 强调文字颜色 3 2 2 4 3 3" xfId="3775"/>
    <cellStyle name="20% - 强调文字颜色 3 2 2 4 4" xfId="2487"/>
    <cellStyle name="20% - 强调文字颜色 3 2 2 4 4 2" xfId="3776"/>
    <cellStyle name="20% - 强调文字颜色 3 2 2 4 4 2 2" xfId="3780"/>
    <cellStyle name="20% - 强调文字颜色 3 2 2 4 4 3" xfId="3782"/>
    <cellStyle name="20% - 强调文字颜色 3 2 2 4 5" xfId="3783"/>
    <cellStyle name="20% - 强调文字颜色 3 2 2 4 5 2" xfId="3785"/>
    <cellStyle name="20% - 强调文字颜色 3 2 2 4 6" xfId="3787"/>
    <cellStyle name="20% - 强调文字颜色 3 2 2 4 6 2" xfId="3789"/>
    <cellStyle name="20% - 强调文字颜色 3 2 2 4 7" xfId="3791"/>
    <cellStyle name="20% - 强调文字颜色 3 2 2 4 8" xfId="3797"/>
    <cellStyle name="20% - 强调文字颜色 3 2 2 5" xfId="3801"/>
    <cellStyle name="20% - 强调文字颜色 3 2 2 5 2" xfId="3806"/>
    <cellStyle name="20% - 强调文字颜色 3 2 2 5 2 2" xfId="3813"/>
    <cellStyle name="20% - 强调文字颜色 3 2 2 5 2 2 2" xfId="3820"/>
    <cellStyle name="20% - 强调文字颜色 3 2 2 5 2 3" xfId="3824"/>
    <cellStyle name="20% - 强调文字颜色 3 2 2 5 3" xfId="3832"/>
    <cellStyle name="20% - 强调文字颜色 3 2 2 5 3 2" xfId="3839"/>
    <cellStyle name="20% - 强调文字颜色 3 2 2 5 4" xfId="1659"/>
    <cellStyle name="20% - 强调文字颜色 3 2 2 6" xfId="3845"/>
    <cellStyle name="20% - 强调文字颜色 3 2 2 6 2" xfId="3851"/>
    <cellStyle name="20% - 强调文字颜色 3 2 2 6 2 2" xfId="3857"/>
    <cellStyle name="20% - 强调文字颜色 3 2 2 6 3" xfId="3868"/>
    <cellStyle name="20% - 强调文字颜色 3 2 2 7" xfId="3872"/>
    <cellStyle name="20% - 强调文字颜色 3 2 2 7 2" xfId="3875"/>
    <cellStyle name="20% - 强调文字颜色 3 2 2 7 2 2" xfId="3882"/>
    <cellStyle name="20% - 强调文字颜色 3 2 2 7 3" xfId="1877"/>
    <cellStyle name="20% - 强调文字颜色 3 2 2 8" xfId="2350"/>
    <cellStyle name="20% - 强调文字颜色 3 2 2 8 2" xfId="2356"/>
    <cellStyle name="20% - 强调文字颜色 3 2 2 9" xfId="2368"/>
    <cellStyle name="20% - 强调文字颜色 3 2 2 9 2" xfId="3888"/>
    <cellStyle name="20% - 强调文字颜色 3 2 3" xfId="3891"/>
    <cellStyle name="20% - 强调文字颜色 3 2 3 2" xfId="3895"/>
    <cellStyle name="20% - 强调文字颜色 3 2 3 2 2" xfId="3898"/>
    <cellStyle name="20% - 强调文字颜色 3 2 3 2 2 2" xfId="2669"/>
    <cellStyle name="20% - 强调文字颜色 3 2 3 2 2 2 2" xfId="2675"/>
    <cellStyle name="20% - 强调文字颜色 3 2 3 2 2 2 2 2" xfId="2684"/>
    <cellStyle name="20% - 强调文字颜色 3 2 3 2 2 2 3" xfId="2688"/>
    <cellStyle name="20% - 强调文字颜色 3 2 3 2 2 3" xfId="2696"/>
    <cellStyle name="20% - 强调文字颜色 3 2 3 2 2 3 2" xfId="2701"/>
    <cellStyle name="20% - 强调文字颜色 3 2 3 2 2 4" xfId="2705"/>
    <cellStyle name="20% - 强调文字颜色 3 2 3 2 2 4 2" xfId="2714"/>
    <cellStyle name="20% - 强调文字颜色 3 2 3 2 2 5" xfId="2719"/>
    <cellStyle name="20% - 强调文字颜色 3 2 3 2 3" xfId="3900"/>
    <cellStyle name="20% - 强调文字颜色 3 2 3 2 3 2" xfId="2737"/>
    <cellStyle name="20% - 强调文字颜色 3 2 3 2 3 2 2" xfId="3901"/>
    <cellStyle name="20% - 强调文字颜色 3 2 3 2 3 3" xfId="3902"/>
    <cellStyle name="20% - 强调文字颜色 3 2 3 2 4" xfId="3904"/>
    <cellStyle name="20% - 强调文字颜色 3 2 3 2 4 2" xfId="3908"/>
    <cellStyle name="20% - 强调文字颜色 3 2 3 2 4 2 2" xfId="3912"/>
    <cellStyle name="20% - 强调文字颜色 3 2 3 2 4 3" xfId="2911"/>
    <cellStyle name="20% - 强调文字颜色 3 2 3 2 5" xfId="958"/>
    <cellStyle name="20% - 强调文字颜色 3 2 3 2 5 2" xfId="3914"/>
    <cellStyle name="20% - 强调文字颜色 3 2 3 2 6" xfId="3919"/>
    <cellStyle name="20% - 强调文字颜色 3 2 3 2 6 2" xfId="3924"/>
    <cellStyle name="20% - 强调文字颜色 3 2 3 2 7" xfId="1713"/>
    <cellStyle name="20% - 强调文字颜色 3 2 3 2 8" xfId="3926"/>
    <cellStyle name="20% - 强调文字颜色 3 2 3 3" xfId="3929"/>
    <cellStyle name="20% - 强调文字颜色 3 2 3 3 2" xfId="3930"/>
    <cellStyle name="20% - 强调文字颜色 3 2 3 3 2 2" xfId="2850"/>
    <cellStyle name="20% - 强调文字颜色 3 2 3 3 2 2 2" xfId="1316"/>
    <cellStyle name="20% - 强调文字颜色 3 2 3 3 2 3" xfId="2853"/>
    <cellStyle name="20% - 强调文字颜色 3 2 3 3 3" xfId="3933"/>
    <cellStyle name="20% - 强调文字颜色 3 2 3 3 3 2" xfId="2889"/>
    <cellStyle name="20% - 强调文字颜色 3 2 3 3 4" xfId="2497"/>
    <cellStyle name="20% - 强调文字颜色 3 2 3 4" xfId="3935"/>
    <cellStyle name="20% - 强调文字颜色 3 2 3 4 2" xfId="3936"/>
    <cellStyle name="20% - 强调文字颜色 3 2 3 4 2 2" xfId="2972"/>
    <cellStyle name="20% - 强调文字颜色 3 2 3 4 3" xfId="3938"/>
    <cellStyle name="20% - 强调文字颜色 3 2 3 5" xfId="3943"/>
    <cellStyle name="20% - 强调文字颜色 3 2 3 5 2" xfId="3946"/>
    <cellStyle name="20% - 强调文字颜色 3 2 3 5 2 2" xfId="3947"/>
    <cellStyle name="20% - 强调文字颜色 3 2 3 5 3" xfId="3949"/>
    <cellStyle name="20% - 强调文字颜色 3 2 3 6" xfId="3951"/>
    <cellStyle name="20% - 强调文字颜色 3 2 3 6 2" xfId="3953"/>
    <cellStyle name="20% - 强调文字颜色 3 2 3 7" xfId="3955"/>
    <cellStyle name="20% - 强调文字颜色 3 2 3 7 2" xfId="3957"/>
    <cellStyle name="20% - 强调文字颜色 3 2 4" xfId="3960"/>
    <cellStyle name="20% - 强调文字颜色 3 2 4 2" xfId="3966"/>
    <cellStyle name="20% - 强调文字颜色 3 2 4 2 2" xfId="3580"/>
    <cellStyle name="20% - 强调文字颜色 3 2 4 2 2 2" xfId="341"/>
    <cellStyle name="20% - 强调文字颜色 3 2 4 2 2 2 2" xfId="1732"/>
    <cellStyle name="20% - 强调文字颜色 3 2 4 2 2 2 2 2" xfId="3967"/>
    <cellStyle name="20% - 强调文字颜色 3 2 4 2 2 2 2 2 2" xfId="3972"/>
    <cellStyle name="20% - 强调文字颜色 3 2 4 2 2 2 2 3" xfId="1386"/>
    <cellStyle name="20% - 强调文字颜色 3 2 4 2 2 2 3" xfId="3975"/>
    <cellStyle name="20% - 强调文字颜色 3 2 4 2 2 2 3 2" xfId="3977"/>
    <cellStyle name="20% - 强调文字颜色 3 2 4 2 2 2 4" xfId="3984"/>
    <cellStyle name="20% - 强调文字颜色 3 2 4 2 2 2 4 2" xfId="3989"/>
    <cellStyle name="20% - 强调文字颜色 3 2 4 2 2 2 5" xfId="3991"/>
    <cellStyle name="20% - 强调文字颜色 3 2 4 2 2 3" xfId="1087"/>
    <cellStyle name="20% - 强调文字颜色 3 2 4 2 2 3 2" xfId="3994"/>
    <cellStyle name="20% - 强调文字颜色 3 2 4 2 2 3 2 2" xfId="3995"/>
    <cellStyle name="20% - 强调文字颜色 3 2 4 2 2 3 3" xfId="3998"/>
    <cellStyle name="20% - 强调文字颜色 3 2 4 2 2 4" xfId="1737"/>
    <cellStyle name="20% - 强调文字颜色 3 2 4 2 2 4 2" xfId="4001"/>
    <cellStyle name="20% - 强调文字颜色 3 2 4 2 2 4 2 2" xfId="4005"/>
    <cellStyle name="20% - 强调文字颜色 3 2 4 2 2 4 3" xfId="4010"/>
    <cellStyle name="20% - 强调文字颜色 3 2 4 2 2 5" xfId="4014"/>
    <cellStyle name="20% - 强调文字颜色 3 2 4 2 2 5 2" xfId="4019"/>
    <cellStyle name="20% - 强调文字颜色 3 2 4 2 2 6" xfId="4026"/>
    <cellStyle name="20% - 强调文字颜色 3 2 4 2 2 6 2" xfId="4029"/>
    <cellStyle name="20% - 强调文字颜色 3 2 4 2 2 7" xfId="4033"/>
    <cellStyle name="20% - 强调文字颜色 3 2 4 2 2 8" xfId="4037"/>
    <cellStyle name="20% - 强调文字颜色 3 2 4 2 3" xfId="4039"/>
    <cellStyle name="20% - 强调文字颜色 3 2 4 2 3 2" xfId="4043"/>
    <cellStyle name="20% - 强调文字颜色 3 2 4 2 3 2 2" xfId="4044"/>
    <cellStyle name="20% - 强调文字颜色 3 2 4 2 3 2 2 2" xfId="4053"/>
    <cellStyle name="20% - 强调文字颜色 3 2 4 2 3 2 3" xfId="4057"/>
    <cellStyle name="20% - 强调文字颜色 3 2 4 2 3 3" xfId="4059"/>
    <cellStyle name="20% - 强调文字颜色 3 2 4 2 3 3 2" xfId="4060"/>
    <cellStyle name="20% - 强调文字颜色 3 2 4 2 3 4" xfId="4064"/>
    <cellStyle name="20% - 强调文字颜色 3 2 4 2 4" xfId="4073"/>
    <cellStyle name="20% - 强调文字颜色 3 2 4 2 4 2" xfId="4077"/>
    <cellStyle name="20% - 强调文字颜色 3 2 4 2 4 2 2" xfId="4081"/>
    <cellStyle name="20% - 强调文字颜色 3 2 4 2 4 3" xfId="2990"/>
    <cellStyle name="20% - 强调文字颜色 3 2 4 2 5" xfId="1059"/>
    <cellStyle name="20% - 强调文字颜色 3 2 4 2 5 2" xfId="4085"/>
    <cellStyle name="20% - 强调文字颜色 3 2 4 2 5 2 2" xfId="4087"/>
    <cellStyle name="20% - 强调文字颜色 3 2 4 2 5 3" xfId="4092"/>
    <cellStyle name="20% - 强调文字颜色 3 2 4 2 6" xfId="4097"/>
    <cellStyle name="20% - 强调文字颜色 3 2 4 2 6 2" xfId="4101"/>
    <cellStyle name="20% - 强调文字颜色 3 2 4 2 7" xfId="4106"/>
    <cellStyle name="20% - 强调文字颜色 3 2 4 2 7 2" xfId="4109"/>
    <cellStyle name="20% - 强调文字颜色 3 2 4 3" xfId="4110"/>
    <cellStyle name="20% - 强调文字颜色 3 2 4 3 2" xfId="4113"/>
    <cellStyle name="20% - 强调文字颜色 3 2 4 3 2 2" xfId="1860"/>
    <cellStyle name="20% - 强调文字颜色 3 2 4 3 2 2 2" xfId="1862"/>
    <cellStyle name="20% - 强调文字颜色 3 2 4 3 2 2 2 2" xfId="4115"/>
    <cellStyle name="20% - 强调文字颜色 3 2 4 3 2 2 3" xfId="407"/>
    <cellStyle name="20% - 强调文字颜色 3 2 4 3 2 3" xfId="1865"/>
    <cellStyle name="20% - 强调文字颜色 3 2 4 3 2 3 2" xfId="1867"/>
    <cellStyle name="20% - 强调文字颜色 3 2 4 3 2 4" xfId="4120"/>
    <cellStyle name="20% - 强调文字颜色 3 2 4 3 2 4 2" xfId="4124"/>
    <cellStyle name="20% - 强调文字颜色 3 2 4 3 2 5" xfId="4127"/>
    <cellStyle name="20% - 强调文字颜色 3 2 4 3 3" xfId="4131"/>
    <cellStyle name="20% - 强调文字颜色 3 2 4 3 3 2" xfId="1915"/>
    <cellStyle name="20% - 强调文字颜色 3 2 4 3 3 2 2" xfId="1918"/>
    <cellStyle name="20% - 强调文字颜色 3 2 4 3 3 3" xfId="1920"/>
    <cellStyle name="20% - 强调文字颜色 3 2 4 3 4" xfId="2516"/>
    <cellStyle name="20% - 强调文字颜色 3 2 4 3 4 2" xfId="4133"/>
    <cellStyle name="20% - 强调文字颜色 3 2 4 3 4 2 2" xfId="4138"/>
    <cellStyle name="20% - 强调文字颜色 3 2 4 3 4 3" xfId="4142"/>
    <cellStyle name="20% - 强调文字颜色 3 2 4 3 5" xfId="4149"/>
    <cellStyle name="20% - 强调文字颜色 3 2 4 3 5 2" xfId="4152"/>
    <cellStyle name="20% - 强调文字颜色 3 2 4 3 6" xfId="4160"/>
    <cellStyle name="20% - 强调文字颜色 3 2 4 3 6 2" xfId="4162"/>
    <cellStyle name="20% - 强调文字颜色 3 2 4 3 7" xfId="4167"/>
    <cellStyle name="20% - 强调文字颜色 3 2 4 3 8" xfId="4168"/>
    <cellStyle name="20% - 强调文字颜色 3 2 4 4" xfId="4169"/>
    <cellStyle name="20% - 强调文字颜色 3 2 4 4 2" xfId="4171"/>
    <cellStyle name="20% - 强调文字颜色 3 2 4 4 2 2" xfId="4175"/>
    <cellStyle name="20% - 强调文字颜色 3 2 4 4 2 2 2" xfId="4181"/>
    <cellStyle name="20% - 强调文字颜色 3 2 4 4 2 3" xfId="4183"/>
    <cellStyle name="20% - 强调文字颜色 3 2 4 4 3" xfId="4186"/>
    <cellStyle name="20% - 强调文字颜色 3 2 4 4 3 2" xfId="4190"/>
    <cellStyle name="20% - 强调文字颜色 3 2 4 4 4" xfId="4195"/>
    <cellStyle name="20% - 强调文字颜色 3 2 4 5" xfId="4197"/>
    <cellStyle name="20% - 强调文字颜色 3 2 4 5 2" xfId="4199"/>
    <cellStyle name="20% - 强调文字颜色 3 2 4 5 2 2" xfId="3976"/>
    <cellStyle name="20% - 强调文字颜色 3 2 4 5 3" xfId="4203"/>
    <cellStyle name="20% - 强调文字颜色 3 2 4 6" xfId="4205"/>
    <cellStyle name="20% - 强调文字颜色 3 2 4 6 2" xfId="4209"/>
    <cellStyle name="20% - 强调文字颜色 3 2 4 6 2 2" xfId="4056"/>
    <cellStyle name="20% - 强调文字颜色 3 2 4 6 3" xfId="4215"/>
    <cellStyle name="20% - 强调文字颜色 3 2 4 7" xfId="1756"/>
    <cellStyle name="20% - 强调文字颜色 3 2 4 7 2" xfId="1762"/>
    <cellStyle name="20% - 强调文字颜色 3 2 4 8" xfId="1780"/>
    <cellStyle name="20% - 强调文字颜色 3 2 4 8 2" xfId="1793"/>
    <cellStyle name="20% - 强调文字颜色 3 2 5" xfId="4217"/>
    <cellStyle name="20% - 强调文字颜色 3 2 5 2" xfId="4220"/>
    <cellStyle name="20% - 强调文字颜色 3 2 5 2 2" xfId="4224"/>
    <cellStyle name="20% - 强调文字颜色 3 2 5 2 2 2" xfId="3160"/>
    <cellStyle name="20% - 强调文字颜色 3 2 5 2 2 2 2" xfId="2954"/>
    <cellStyle name="20% - 强调文字颜色 3 2 5 2 2 3" xfId="3163"/>
    <cellStyle name="20% - 强调文字颜色 3 2 5 2 3" xfId="4226"/>
    <cellStyle name="20% - 强调文字颜色 3 2 5 2 3 2" xfId="3183"/>
    <cellStyle name="20% - 强调文字颜色 3 2 5 2 4" xfId="4234"/>
    <cellStyle name="20% - 强调文字颜色 3 2 5 3" xfId="4237"/>
    <cellStyle name="20% - 强调文字颜色 3 2 5 3 2" xfId="4239"/>
    <cellStyle name="20% - 强调文字颜色 3 2 5 3 2 2" xfId="3229"/>
    <cellStyle name="20% - 强调文字颜色 3 2 5 3 3" xfId="4241"/>
    <cellStyle name="20% - 强调文字颜色 3 2 5 4" xfId="4243"/>
    <cellStyle name="20% - 强调文字颜色 3 2 5 4 2" xfId="4247"/>
    <cellStyle name="20% - 强调文字颜色 3 2 5 4 2 2" xfId="4252"/>
    <cellStyle name="20% - 强调文字颜色 3 2 5 4 3" xfId="4258"/>
    <cellStyle name="20% - 强调文字颜色 3 2 5 5" xfId="4259"/>
    <cellStyle name="20% - 强调文字颜色 3 2 5 5 2" xfId="405"/>
    <cellStyle name="20% - 强调文字颜色 3 2 5 6" xfId="4261"/>
    <cellStyle name="20% - 强调文字颜色 3 2 5 7" xfId="1802"/>
    <cellStyle name="20% - 强调文字颜色 3 2 6" xfId="4262"/>
    <cellStyle name="20% - 强调文字颜色 3 2 6 2" xfId="4265"/>
    <cellStyle name="20% - 强调文字颜色 3 2 6 2 2" xfId="4266"/>
    <cellStyle name="20% - 强调文字颜色 3 2 6 2 2 2" xfId="2309"/>
    <cellStyle name="20% - 强调文字颜色 3 2 6 2 3" xfId="4268"/>
    <cellStyle name="20% - 强调文字颜色 3 2 6 3" xfId="4273"/>
    <cellStyle name="20% - 强调文字颜色 3 2 6 3 2" xfId="4274"/>
    <cellStyle name="20% - 强调文字颜色 3 2 6 4" xfId="4276"/>
    <cellStyle name="20% - 强调文字颜色 3 2 7" xfId="4277"/>
    <cellStyle name="20% - 强调文字颜色 3 2 7 2" xfId="4278"/>
    <cellStyle name="20% - 强调文字颜色 3 2 7 2 2" xfId="4283"/>
    <cellStyle name="20% - 强调文字颜色 3 2 7 3" xfId="4289"/>
    <cellStyle name="20% - 强调文字颜色 3 2 8" xfId="3739"/>
    <cellStyle name="20% - 强调文字颜色 3 2 8 2" xfId="3745"/>
    <cellStyle name="20% - 强调文字颜色 3 2 8 2 2" xfId="3749"/>
    <cellStyle name="20% - 强调文字颜色 3 2 8 3" xfId="3757"/>
    <cellStyle name="20% - 强调文字颜色 3 2 9" xfId="3768"/>
    <cellStyle name="20% - 强调文字颜色 3 2 9 2" xfId="3774"/>
    <cellStyle name="20% - 强调文字颜色 3 3" xfId="4301"/>
    <cellStyle name="20% - 强调文字颜色 3 3 2" xfId="4306"/>
    <cellStyle name="20% - 强调文字颜色 4 2" xfId="4311"/>
    <cellStyle name="20% - 强调文字颜色 4 2 10" xfId="4313"/>
    <cellStyle name="20% - 强调文字颜色 4 2 10 2" xfId="4314"/>
    <cellStyle name="20% - 强调文字颜色 4 2 11" xfId="2104"/>
    <cellStyle name="20% - 强调文字颜色 4 2 11 2" xfId="4315"/>
    <cellStyle name="20% - 强调文字颜色 4 2 2" xfId="4317"/>
    <cellStyle name="20% - 强调文字颜色 4 2 2 2" xfId="4320"/>
    <cellStyle name="20% - 强调文字颜色 4 2 2 2 2" xfId="4322"/>
    <cellStyle name="20% - 强调文字颜色 4 2 2 2 2 2" xfId="4325"/>
    <cellStyle name="20% - 强调文字颜色 4 2 2 2 2 2 2" xfId="4327"/>
    <cellStyle name="20% - 强调文字颜色 4 2 2 2 2 2 2 2" xfId="4330"/>
    <cellStyle name="20% - 强调文字颜色 4 2 2 2 2 2 2 2 2" xfId="4332"/>
    <cellStyle name="20% - 强调文字颜色 4 2 2 2 2 2 2 3" xfId="4337"/>
    <cellStyle name="20% - 强调文字颜色 4 2 2 2 2 2 3" xfId="1999"/>
    <cellStyle name="20% - 强调文字颜色 4 2 2 2 2 2 3 2" xfId="4340"/>
    <cellStyle name="20% - 强调文字颜色 4 2 2 2 2 2 4" xfId="2945"/>
    <cellStyle name="20% - 强调文字颜色 4 2 2 2 2 2 4 2" xfId="4341"/>
    <cellStyle name="20% - 强调文字颜色 4 2 2 2 2 2 5" xfId="4342"/>
    <cellStyle name="20% - 强调文字颜色 4 2 2 2 2 3" xfId="4344"/>
    <cellStyle name="20% - 强调文字颜色 4 2 2 2 2 3 2" xfId="4347"/>
    <cellStyle name="20% - 强调文字颜色 4 2 2 2 2 3 2 2" xfId="4349"/>
    <cellStyle name="20% - 强调文字颜色 4 2 2 2 2 3 3" xfId="4350"/>
    <cellStyle name="20% - 强调文字颜色 4 2 2 2 2 4" xfId="4355"/>
    <cellStyle name="20% - 强调文字颜色 4 2 2 2 2 4 2" xfId="4359"/>
    <cellStyle name="20% - 强调文字颜色 4 2 2 2 2 4 2 2" xfId="4361"/>
    <cellStyle name="20% - 强调文字颜色 4 2 2 2 2 4 3" xfId="4363"/>
    <cellStyle name="20% - 强调文字颜色 4 2 2 2 2 5" xfId="2654"/>
    <cellStyle name="20% - 强调文字颜色 4 2 2 2 2 5 2" xfId="4370"/>
    <cellStyle name="20% - 强调文字颜色 4 2 2 2 2 6" xfId="4372"/>
    <cellStyle name="20% - 强调文字颜色 4 2 2 2 2 6 2" xfId="4378"/>
    <cellStyle name="20% - 强调文字颜色 4 2 2 2 2 7" xfId="4388"/>
    <cellStyle name="20% - 强调文字颜色 4 2 2 2 2 8" xfId="4393"/>
    <cellStyle name="20% - 强调文字颜色 4 2 2 2 3" xfId="4396"/>
    <cellStyle name="20% - 强调文字颜色 4 2 2 2 3 2" xfId="4397"/>
    <cellStyle name="20% - 强调文字颜色 4 2 2 2 3 2 2" xfId="4399"/>
    <cellStyle name="20% - 强调文字颜色 4 2 2 2 3 2 2 2" xfId="3987"/>
    <cellStyle name="20% - 强调文字颜色 4 2 2 2 3 2 3" xfId="4400"/>
    <cellStyle name="20% - 强调文字颜色 4 2 2 2 3 3" xfId="4401"/>
    <cellStyle name="20% - 强调文字颜色 4 2 2 2 3 3 2" xfId="4402"/>
    <cellStyle name="20% - 强调文字颜色 4 2 2 2 3 4" xfId="4406"/>
    <cellStyle name="20% - 强调文字颜色 4 2 2 2 4" xfId="4407"/>
    <cellStyle name="20% - 强调文字颜色 4 2 2 2 4 2" xfId="4408"/>
    <cellStyle name="20% - 强调文字颜色 4 2 2 2 4 2 2" xfId="4410"/>
    <cellStyle name="20% - 强调文字颜色 4 2 2 2 4 3" xfId="4411"/>
    <cellStyle name="20% - 强调文字颜色 4 2 2 2 5" xfId="4413"/>
    <cellStyle name="20% - 强调文字颜色 4 2 2 2 5 2" xfId="4414"/>
    <cellStyle name="20% - 强调文字颜色 4 2 2 2 5 2 2" xfId="3011"/>
    <cellStyle name="20% - 强调文字颜色 4 2 2 2 5 3" xfId="4415"/>
    <cellStyle name="20% - 强调文字颜色 4 2 2 2 6" xfId="4417"/>
    <cellStyle name="20% - 强调文字颜色 4 2 2 2 6 2" xfId="4420"/>
    <cellStyle name="20% - 强调文字颜色 4 2 2 2 7" xfId="1821"/>
    <cellStyle name="20% - 强调文字颜色 4 2 2 2 7 2" xfId="1824"/>
    <cellStyle name="20% - 强调文字颜色 4 2 2 3" xfId="4421"/>
    <cellStyle name="20% - 强调文字颜色 4 2 2 3 2" xfId="4422"/>
    <cellStyle name="20% - 强调文字颜色 4 2 2 3 2 2" xfId="1958"/>
    <cellStyle name="20% - 强调文字颜色 4 2 2 3 2 2 2" xfId="1963"/>
    <cellStyle name="20% - 强调文字颜色 4 2 2 3 2 2 2 2" xfId="2059"/>
    <cellStyle name="20% - 强调文字颜色 4 2 2 3 2 2 2 2 2" xfId="2067"/>
    <cellStyle name="20% - 强调文字颜色 4 2 2 3 2 2 2 2 2 2" xfId="2071"/>
    <cellStyle name="20% - 强调文字颜色 4 2 2 3 2 2 2 2 3" xfId="2082"/>
    <cellStyle name="20% - 强调文字颜色 4 2 2 3 2 2 2 3" xfId="2086"/>
    <cellStyle name="20% - 强调文字颜色 4 2 2 3 2 2 2 3 2" xfId="2092"/>
    <cellStyle name="20% - 强调文字颜色 4 2 2 3 2 2 2 4" xfId="1325"/>
    <cellStyle name="20% - 强调文字颜色 4 2 2 3 2 2 2 4 2" xfId="1333"/>
    <cellStyle name="20% - 强调文字颜色 4 2 2 3 2 2 2 5" xfId="1208"/>
    <cellStyle name="20% - 强调文字颜色 4 2 2 3 2 2 3" xfId="4424"/>
    <cellStyle name="20% - 强调文字颜色 4 2 2 3 2 2 3 2" xfId="2227"/>
    <cellStyle name="20% - 强调文字颜色 4 2 2 3 2 2 3 2 2" xfId="2233"/>
    <cellStyle name="20% - 强调文字颜色 4 2 2 3 2 2 3 3" xfId="2235"/>
    <cellStyle name="20% - 强调文字颜色 4 2 2 3 2 2 4" xfId="4425"/>
    <cellStyle name="20% - 强调文字颜色 4 2 2 3 2 2 4 2" xfId="2450"/>
    <cellStyle name="20% - 强调文字颜色 4 2 2 3 2 2 4 2 2" xfId="2454"/>
    <cellStyle name="20% - 强调文字颜色 4 2 2 3 2 2 4 3" xfId="2462"/>
    <cellStyle name="20% - 强调文字颜色 4 2 2 3 2 2 5" xfId="4429"/>
    <cellStyle name="20% - 强调文字颜色 4 2 2 3 2 2 5 2" xfId="2545"/>
    <cellStyle name="20% - 强调文字颜色 4 2 2 3 2 2 6" xfId="4435"/>
    <cellStyle name="20% - 强调文字颜色 4 2 2 3 2 2 6 2" xfId="4439"/>
    <cellStyle name="20% - 强调文字颜色 4 2 2 3 2 2 7" xfId="4445"/>
    <cellStyle name="20% - 强调文字颜色 4 2 2 3 2 2 8" xfId="425"/>
    <cellStyle name="20% - 强调文字颜色 4 2 2 3 2 3" xfId="1967"/>
    <cellStyle name="20% - 强调文字颜色 4 2 2 3 2 3 2" xfId="1972"/>
    <cellStyle name="20% - 强调文字颜色 4 2 2 3 2 3 2 2" xfId="4446"/>
    <cellStyle name="20% - 强调文字颜色 4 2 2 3 2 3 2 2 2" xfId="4447"/>
    <cellStyle name="20% - 强调文字颜色 4 2 2 3 2 3 2 3" xfId="4448"/>
    <cellStyle name="20% - 强调文字颜色 4 2 2 3 2 3 3" xfId="4449"/>
    <cellStyle name="20% - 强调文字颜色 4 2 2 3 2 3 3 2" xfId="4450"/>
    <cellStyle name="20% - 强调文字颜色 4 2 2 3 2 3 4" xfId="4452"/>
    <cellStyle name="20% - 强调文字颜色 4 2 2 3 2 4" xfId="4455"/>
    <cellStyle name="20% - 强调文字颜色 4 2 2 3 2 4 2" xfId="4462"/>
    <cellStyle name="20% - 强调文字颜色 4 2 2 3 2 4 2 2" xfId="4464"/>
    <cellStyle name="20% - 强调文字颜色 4 2 2 3 2 4 3" xfId="4467"/>
    <cellStyle name="20% - 强调文字颜色 4 2 2 3 2 5" xfId="2681"/>
    <cellStyle name="20% - 强调文字颜色 4 2 2 3 2 5 2" xfId="4471"/>
    <cellStyle name="20% - 强调文字颜色 4 2 2 3 2 5 2 2" xfId="4472"/>
    <cellStyle name="20% - 强调文字颜色 4 2 2 3 2 5 3" xfId="4006"/>
    <cellStyle name="20% - 强调文字颜色 4 2 2 3 2 6" xfId="4475"/>
    <cellStyle name="20% - 强调文字颜色 4 2 2 3 2 6 2" xfId="4480"/>
    <cellStyle name="20% - 强调文字颜色 4 2 2 3 2 7" xfId="4051"/>
    <cellStyle name="20% - 强调文字颜色 4 2 2 3 2 7 2" xfId="4483"/>
    <cellStyle name="20% - 强调文字颜色 4 2 2 3 3" xfId="4487"/>
    <cellStyle name="20% - 强调文字颜色 4 2 2 3 3 2" xfId="2011"/>
    <cellStyle name="20% - 强调文字颜色 4 2 2 3 3 2 2" xfId="4489"/>
    <cellStyle name="20% - 强调文字颜色 4 2 2 3 3 2 2 2" xfId="3039"/>
    <cellStyle name="20% - 强调文字颜色 4 2 2 3 3 2 2 2 2" xfId="3043"/>
    <cellStyle name="20% - 强调文字颜色 4 2 2 3 3 2 2 3" xfId="3053"/>
    <cellStyle name="20% - 强调文字颜色 4 2 2 3 3 2 3" xfId="4491"/>
    <cellStyle name="20% - 强调文字颜色 4 2 2 3 3 2 3 2" xfId="3124"/>
    <cellStyle name="20% - 强调文字颜色 4 2 2 3 3 2 4" xfId="4492"/>
    <cellStyle name="20% - 强调文字颜色 4 2 2 3 3 2 4 2" xfId="3290"/>
    <cellStyle name="20% - 强调文字颜色 4 2 2 3 3 2 5" xfId="4493"/>
    <cellStyle name="20% - 强调文字颜色 4 2 2 3 3 3" xfId="2016"/>
    <cellStyle name="20% - 强调文字颜色 4 2 2 3 3 3 2" xfId="4494"/>
    <cellStyle name="20% - 强调文字颜色 4 2 2 3 3 3 2 2" xfId="4495"/>
    <cellStyle name="20% - 强调文字颜色 4 2 2 3 3 3 3" xfId="4496"/>
    <cellStyle name="20% - 强调文字颜色 4 2 2 3 3 4" xfId="4498"/>
    <cellStyle name="20% - 强调文字颜色 4 2 2 3 3 4 2" xfId="4500"/>
    <cellStyle name="20% - 强调文字颜色 4 2 2 3 3 4 2 2" xfId="4503"/>
    <cellStyle name="20% - 强调文字颜色 4 2 2 3 3 4 3" xfId="4508"/>
    <cellStyle name="20% - 强调文字颜色 4 2 2 3 3 5" xfId="4514"/>
    <cellStyle name="20% - 强调文字颜色 4 2 2 3 3 5 2" xfId="4516"/>
    <cellStyle name="20% - 强调文字颜色 4 2 2 3 3 6" xfId="4521"/>
    <cellStyle name="20% - 强调文字颜色 4 2 2 3 3 6 2" xfId="4524"/>
    <cellStyle name="20% - 强调文字颜色 4 2 2 3 3 7" xfId="4529"/>
    <cellStyle name="20% - 强调文字颜色 4 2 2 3 3 8" xfId="1503"/>
    <cellStyle name="20% - 强调文字颜色 4 2 2 3 4" xfId="4532"/>
    <cellStyle name="20% - 强调文字颜色 4 2 2 3 4 2" xfId="4535"/>
    <cellStyle name="20% - 强调文字颜色 4 2 2 3 4 2 2" xfId="4537"/>
    <cellStyle name="20% - 强调文字颜色 4 2 2 3 4 2 2 2" xfId="3847"/>
    <cellStyle name="20% - 强调文字颜色 4 2 2 3 4 2 3" xfId="4538"/>
    <cellStyle name="20% - 强调文字颜色 4 2 2 3 4 3" xfId="4539"/>
    <cellStyle name="20% - 强调文字颜色 4 2 2 3 4 3 2" xfId="4541"/>
    <cellStyle name="20% - 强调文字颜色 4 2 2 3 4 4" xfId="4545"/>
    <cellStyle name="20% - 强调文字颜色 4 2 2 3 5" xfId="4547"/>
    <cellStyle name="20% - 强调文字颜色 4 2 2 3 5 2" xfId="4550"/>
    <cellStyle name="20% - 强调文字颜色 4 2 2 3 5 2 2" xfId="3802"/>
    <cellStyle name="20% - 强调文字颜色 4 2 2 3 5 3" xfId="4551"/>
    <cellStyle name="20% - 强调文字颜色 4 2 2 3 6" xfId="4553"/>
    <cellStyle name="20% - 强调文字颜色 4 2 2 3 6 2" xfId="4557"/>
    <cellStyle name="20% - 强调文字颜色 4 2 2 3 6 2 2" xfId="4558"/>
    <cellStyle name="20% - 强调文字颜色 4 2 2 3 6 3" xfId="4559"/>
    <cellStyle name="20% - 强调文字颜色 4 2 2 3 7" xfId="1836"/>
    <cellStyle name="20% - 强调文字颜色 4 2 2 3 7 2" xfId="4560"/>
    <cellStyle name="20% - 强调文字颜色 4 2 2 3 8" xfId="4563"/>
    <cellStyle name="20% - 强调文字颜色 4 2 2 3 8 2" xfId="4564"/>
    <cellStyle name="20% - 强调文字颜色 4 2 2 4" xfId="4569"/>
    <cellStyle name="20% - 强调文字颜色 4 2 2 4 2" xfId="4570"/>
    <cellStyle name="20% - 强调文字颜色 4 2 2 4 2 2" xfId="4572"/>
    <cellStyle name="20% - 强调文字颜色 4 2 2 4 2 2 2" xfId="4576"/>
    <cellStyle name="20% - 强调文字颜色 4 2 2 4 2 2 2 2" xfId="4583"/>
    <cellStyle name="20% - 强调文字颜色 4 2 2 4 2 2 3" xfId="4587"/>
    <cellStyle name="20% - 强调文字颜色 4 2 2 4 2 3" xfId="4588"/>
    <cellStyle name="20% - 强调文字颜色 4 2 2 4 2 3 2" xfId="4592"/>
    <cellStyle name="20% - 强调文字颜色 4 2 2 4 2 4" xfId="88"/>
    <cellStyle name="20% - 强调文字颜色 4 2 2 4 2 4 2" xfId="4595"/>
    <cellStyle name="20% - 强调文字颜色 4 2 2 4 2 5" xfId="4598"/>
    <cellStyle name="20% - 强调文字颜色 4 2 2 4 3" xfId="4599"/>
    <cellStyle name="20% - 强调文字颜色 4 2 2 4 3 2" xfId="4601"/>
    <cellStyle name="20% - 强调文字颜色 4 2 2 4 3 2 2" xfId="4605"/>
    <cellStyle name="20% - 强调文字颜色 4 2 2 4 3 3" xfId="4608"/>
    <cellStyle name="20% - 强调文字颜色 4 2 2 4 4" xfId="4609"/>
    <cellStyle name="20% - 强调文字颜色 4 2 2 4 4 2" xfId="4611"/>
    <cellStyle name="20% - 强调文字颜色 4 2 2 4 4 2 2" xfId="4612"/>
    <cellStyle name="20% - 强调文字颜色 4 2 2 4 4 3" xfId="4615"/>
    <cellStyle name="20% - 强调文字颜色 4 2 2 4 5" xfId="4617"/>
    <cellStyle name="20% - 强调文字颜色 4 2 2 4 5 2" xfId="4619"/>
    <cellStyle name="20% - 强调文字颜色 4 2 2 4 6" xfId="4620"/>
    <cellStyle name="20% - 强调文字颜色 4 2 2 4 6 2" xfId="4624"/>
    <cellStyle name="20% - 强调文字颜色 4 2 2 4 7" xfId="4626"/>
    <cellStyle name="20% - 强调文字颜色 4 2 2 4 8" xfId="288"/>
    <cellStyle name="20% - 强调文字颜色 4 2 2 5" xfId="4627"/>
    <cellStyle name="20% - 强调文字颜色 4 2 2 5 2" xfId="4631"/>
    <cellStyle name="20% - 强调文字颜色 4 2 2 5 2 2" xfId="2424"/>
    <cellStyle name="20% - 强调文字颜色 4 2 2 5 2 2 2" xfId="4561"/>
    <cellStyle name="20% - 强调文字颜色 4 2 2 5 2 3" xfId="304"/>
    <cellStyle name="20% - 强调文字颜色 4 2 2 5 3" xfId="4634"/>
    <cellStyle name="20% - 强调文字颜色 4 2 2 5 3 2" xfId="4638"/>
    <cellStyle name="20% - 强调文字颜色 4 2 2 5 4" xfId="4642"/>
    <cellStyle name="20% - 强调文字颜色 4 2 2 6" xfId="3810"/>
    <cellStyle name="20% - 强调文字颜色 4 2 2 6 2" xfId="3818"/>
    <cellStyle name="20% - 强调文字颜色 4 2 2 6 2 2" xfId="3823"/>
    <cellStyle name="20% - 强调文字颜色 4 2 2 6 3" xfId="3828"/>
    <cellStyle name="20% - 强调文字颜色 4 2 2 7" xfId="3835"/>
    <cellStyle name="20% - 强调文字颜色 4 2 2 7 2" xfId="3843"/>
    <cellStyle name="20% - 强调文字颜色 4 2 2 7 2 2" xfId="4646"/>
    <cellStyle name="20% - 强调文字颜色 4 2 2 7 3" xfId="4649"/>
    <cellStyle name="20% - 强调文字颜色 4 2 2 8" xfId="1664"/>
    <cellStyle name="20% - 强调文字颜色 4 2 2 8 2" xfId="1668"/>
    <cellStyle name="20% - 强调文字颜色 4 2 2 9" xfId="1672"/>
    <cellStyle name="20% - 强调文字颜色 4 2 2 9 2" xfId="1675"/>
    <cellStyle name="20% - 强调文字颜色 4 2 3" xfId="4653"/>
    <cellStyle name="20% - 强调文字颜色 4 2 3 2" xfId="4656"/>
    <cellStyle name="20% - 强调文字颜色 4 2 3 2 2" xfId="4657"/>
    <cellStyle name="20% - 强调文字颜色 4 2 3 2 2 2" xfId="841"/>
    <cellStyle name="20% - 强调文字颜色 4 2 3 2 2 2 2" xfId="3473"/>
    <cellStyle name="20% - 强调文字颜色 4 2 3 2 2 2 2 2" xfId="3481"/>
    <cellStyle name="20% - 强调文字颜色 4 2 3 2 2 2 3" xfId="3485"/>
    <cellStyle name="20% - 强调文字颜色 4 2 3 2 2 3" xfId="874"/>
    <cellStyle name="20% - 强调文字颜色 4 2 3 2 2 3 2" xfId="3493"/>
    <cellStyle name="20% - 强调文字颜色 4 2 3 2 2 4" xfId="3498"/>
    <cellStyle name="20% - 强调文字颜色 4 2 3 2 2 4 2" xfId="3505"/>
    <cellStyle name="20% - 强调文字颜色 4 2 3 2 2 5" xfId="3509"/>
    <cellStyle name="20% - 强调文字颜色 4 2 3 2 3" xfId="4658"/>
    <cellStyle name="20% - 强调文字颜色 4 2 3 2 3 2" xfId="3531"/>
    <cellStyle name="20% - 强调文字颜色 4 2 3 2 3 2 2" xfId="4659"/>
    <cellStyle name="20% - 强调文字颜色 4 2 3 2 3 3" xfId="4662"/>
    <cellStyle name="20% - 强调文字颜色 4 2 3 2 4" xfId="4669"/>
    <cellStyle name="20% - 强调文字颜色 4 2 3 2 4 2" xfId="4672"/>
    <cellStyle name="20% - 强调文字颜色 4 2 3 2 4 2 2" xfId="4677"/>
    <cellStyle name="20% - 强调文字颜色 4 2 3 2 4 3" xfId="4681"/>
    <cellStyle name="20% - 强调文字颜色 4 2 3 2 5" xfId="4687"/>
    <cellStyle name="20% - 强调文字颜色 4 2 3 2 5 2" xfId="4691"/>
    <cellStyle name="20% - 强调文字颜色 4 2 3 2 6" xfId="4696"/>
    <cellStyle name="20% - 强调文字颜色 4 2 3 2 6 2" xfId="4697"/>
    <cellStyle name="20% - 强调文字颜色 4 2 3 2 7" xfId="1846"/>
    <cellStyle name="20% - 强调文字颜色 4 2 3 2 8" xfId="4698"/>
    <cellStyle name="20% - 强调文字颜色 4 2 3 3" xfId="4701"/>
    <cellStyle name="20% - 强调文字颜色 4 2 3 3 2" xfId="4703"/>
    <cellStyle name="20% - 强调文字颜色 4 2 3 3 2 2" xfId="3654"/>
    <cellStyle name="20% - 强调文字颜色 4 2 3 3 2 2 2" xfId="3660"/>
    <cellStyle name="20% - 强调文字颜色 4 2 3 3 2 3" xfId="3433"/>
    <cellStyle name="20% - 强调文字颜色 4 2 3 3 3" xfId="4707"/>
    <cellStyle name="20% - 强调文字颜色 4 2 3 3 3 2" xfId="3700"/>
    <cellStyle name="20% - 强调文字颜色 4 2 3 3 4" xfId="4714"/>
    <cellStyle name="20% - 强调文字颜色 4 2 3 4" xfId="4717"/>
    <cellStyle name="20% - 强调文字颜色 4 2 3 4 2" xfId="4721"/>
    <cellStyle name="20% - 强调文字颜色 4 2 3 4 2 2" xfId="3763"/>
    <cellStyle name="20% - 强调文字颜色 4 2 3 4 3" xfId="4723"/>
    <cellStyle name="20% - 强调文字颜色 4 2 3 5" xfId="4725"/>
    <cellStyle name="20% - 强调文字颜色 4 2 3 5 2" xfId="4728"/>
    <cellStyle name="20% - 强调文字颜色 4 2 3 5 2 2" xfId="4731"/>
    <cellStyle name="20% - 强调文字颜色 4 2 3 5 3" xfId="4738"/>
    <cellStyle name="20% - 强调文字颜色 4 2 3 6" xfId="3854"/>
    <cellStyle name="20% - 强调文字颜色 4 2 3 6 2" xfId="3860"/>
    <cellStyle name="20% - 强调文字颜色 4 2 3 7" xfId="3870"/>
    <cellStyle name="20% - 强调文字颜色 4 2 3 7 2" xfId="4741"/>
    <cellStyle name="20% - 强调文字颜色 4 2 4" xfId="4743"/>
    <cellStyle name="20% - 强调文字颜色 4 2 4 2" xfId="4745"/>
    <cellStyle name="20% - 强调文字颜色 4 2 4 2 2" xfId="4746"/>
    <cellStyle name="20% - 强调文字颜色 4 2 4 2 2 2" xfId="2709"/>
    <cellStyle name="20% - 强调文字颜色 4 2 4 2 2 2 2" xfId="2711"/>
    <cellStyle name="20% - 强调文字颜色 4 2 4 2 2 2 2 2" xfId="4751"/>
    <cellStyle name="20% - 强调文字颜色 4 2 4 2 2 2 2 2 2" xfId="4753"/>
    <cellStyle name="20% - 强调文字颜色 4 2 4 2 2 2 2 3" xfId="4756"/>
    <cellStyle name="20% - 强调文字颜色 4 2 4 2 2 2 3" xfId="4764"/>
    <cellStyle name="20% - 强调文字颜色 4 2 4 2 2 2 3 2" xfId="4766"/>
    <cellStyle name="20% - 强调文字颜色 4 2 4 2 2 2 4" xfId="4772"/>
    <cellStyle name="20% - 强调文字颜色 4 2 4 2 2 2 4 2" xfId="4773"/>
    <cellStyle name="20% - 强调文字颜色 4 2 4 2 2 2 5" xfId="4774"/>
    <cellStyle name="20% - 强调文字颜色 4 2 4 2 2 3" xfId="2723"/>
    <cellStyle name="20% - 强调文字颜色 4 2 4 2 2 3 2" xfId="4775"/>
    <cellStyle name="20% - 强调文字颜色 4 2 4 2 2 3 2 2" xfId="151"/>
    <cellStyle name="20% - 强调文字颜色 4 2 4 2 2 3 3" xfId="4778"/>
    <cellStyle name="20% - 强调文字颜色 4 2 4 2 2 4" xfId="2300"/>
    <cellStyle name="20% - 强调文字颜色 4 2 4 2 2 4 2" xfId="4782"/>
    <cellStyle name="20% - 强调文字颜色 4 2 4 2 2 4 2 2" xfId="4784"/>
    <cellStyle name="20% - 强调文字颜色 4 2 4 2 2 4 3" xfId="4790"/>
    <cellStyle name="20% - 强调文字颜色 4 2 4 2 2 5" xfId="4796"/>
    <cellStyle name="20% - 强调文字颜色 4 2 4 2 2 5 2" xfId="4798"/>
    <cellStyle name="20% - 强调文字颜色 4 2 4 2 2 6" xfId="4802"/>
    <cellStyle name="20% - 强调文字颜色 4 2 4 2 2 6 2" xfId="4804"/>
    <cellStyle name="20% - 强调文字颜色 4 2 4 2 2 7" xfId="36"/>
    <cellStyle name="20% - 强调文字颜色 4 2 4 2 2 8" xfId="4807"/>
    <cellStyle name="20% - 强调文字颜色 4 2 4 2 3" xfId="4812"/>
    <cellStyle name="20% - 强调文字颜色 4 2 4 2 3 2" xfId="4813"/>
    <cellStyle name="20% - 强调文字颜色 4 2 4 2 3 2 2" xfId="4815"/>
    <cellStyle name="20% - 强调文字颜色 4 2 4 2 3 2 2 2" xfId="4816"/>
    <cellStyle name="20% - 强调文字颜色 4 2 4 2 3 2 3" xfId="4819"/>
    <cellStyle name="20% - 强调文字颜色 4 2 4 2 3 3" xfId="4820"/>
    <cellStyle name="20% - 强调文字颜色 4 2 4 2 3 3 2" xfId="4821"/>
    <cellStyle name="20% - 强调文字颜色 4 2 4 2 3 4" xfId="2315"/>
    <cellStyle name="20% - 强调文字颜色 4 2 4 2 4" xfId="4824"/>
    <cellStyle name="20% - 强调文字颜色 4 2 4 2 4 2" xfId="2919"/>
    <cellStyle name="20% - 强调文字颜色 4 2 4 2 4 2 2" xfId="4825"/>
    <cellStyle name="20% - 强调文字颜色 4 2 4 2 4 3" xfId="4828"/>
    <cellStyle name="20% - 强调文字颜色 4 2 4 2 5" xfId="863"/>
    <cellStyle name="20% - 强调文字颜色 4 2 4 2 5 2" xfId="4830"/>
    <cellStyle name="20% - 强调文字颜色 4 2 4 2 5 2 2" xfId="4832"/>
    <cellStyle name="20% - 强调文字颜色 4 2 4 2 5 3" xfId="4834"/>
    <cellStyle name="20% - 强调文字颜色 4 2 4 2 6" xfId="4836"/>
    <cellStyle name="20% - 强调文字颜色 4 2 4 2 6 2" xfId="4837"/>
    <cellStyle name="20% - 强调文字颜色 4 2 4 2 7" xfId="1858"/>
    <cellStyle name="20% - 强调文字颜色 4 2 4 2 7 2" xfId="4839"/>
    <cellStyle name="20% - 强调文字颜色 4 2 4 3" xfId="4840"/>
    <cellStyle name="20% - 强调文字颜色 4 2 4 3 2" xfId="4843"/>
    <cellStyle name="20% - 强调文字颜色 4 2 4 3 2 2" xfId="2856"/>
    <cellStyle name="20% - 强调文字颜色 4 2 4 3 2 2 2" xfId="1553"/>
    <cellStyle name="20% - 强调文字颜色 4 2 4 3 2 2 2 2" xfId="1563"/>
    <cellStyle name="20% - 强调文字颜色 4 2 4 3 2 2 3" xfId="1573"/>
    <cellStyle name="20% - 强调文字颜色 4 2 4 3 2 3" xfId="2861"/>
    <cellStyle name="20% - 强调文字颜色 4 2 4 3 2 3 2" xfId="1598"/>
    <cellStyle name="20% - 强调文字颜色 4 2 4 3 2 4" xfId="4853"/>
    <cellStyle name="20% - 强调文字颜色 4 2 4 3 2 4 2" xfId="1631"/>
    <cellStyle name="20% - 强调文字颜色 4 2 4 3 2 5" xfId="4854"/>
    <cellStyle name="20% - 强调文字颜色 4 2 4 3 3" xfId="4856"/>
    <cellStyle name="20% - 强调文字颜色 4 2 4 3 3 2" xfId="2901"/>
    <cellStyle name="20% - 强调文字颜色 4 2 4 3 3 2 2" xfId="2742"/>
    <cellStyle name="20% - 强调文字颜色 4 2 4 3 3 3" xfId="2903"/>
    <cellStyle name="20% - 强调文字颜色 4 2 4 3 4" xfId="4860"/>
    <cellStyle name="20% - 强调文字颜色 4 2 4 3 4 2" xfId="4861"/>
    <cellStyle name="20% - 强调文字颜色 4 2 4 3 4 2 2" xfId="3089"/>
    <cellStyle name="20% - 强调文字颜色 4 2 4 3 4 3" xfId="4863"/>
    <cellStyle name="20% - 强调文字颜色 4 2 4 3 5" xfId="245"/>
    <cellStyle name="20% - 强调文字颜色 4 2 4 3 5 2" xfId="4865"/>
    <cellStyle name="20% - 强调文字颜色 4 2 4 3 6" xfId="4866"/>
    <cellStyle name="20% - 强调文字颜色 4 2 4 3 6 2" xfId="4867"/>
    <cellStyle name="20% - 强调文字颜色 4 2 4 3 7" xfId="326"/>
    <cellStyle name="20% - 强调文字颜色 4 2 4 3 8" xfId="334"/>
    <cellStyle name="20% - 强调文字颜色 4 2 4 4" xfId="4869"/>
    <cellStyle name="20% - 强调文字颜色 4 2 4 4 2" xfId="4871"/>
    <cellStyle name="20% - 强调文字颜色 4 2 4 4 2 2" xfId="4872"/>
    <cellStyle name="20% - 强调文字颜色 4 2 4 4 2 2 2" xfId="4873"/>
    <cellStyle name="20% - 强调文字颜色 4 2 4 4 2 3" xfId="4875"/>
    <cellStyle name="20% - 强调文字颜色 4 2 4 4 3" xfId="4876"/>
    <cellStyle name="20% - 强调文字颜色 4 2 4 4 3 2" xfId="4877"/>
    <cellStyle name="20% - 强调文字颜色 4 2 4 4 4" xfId="4879"/>
    <cellStyle name="20% - 强调文字颜色 4 2 4 5" xfId="4880"/>
    <cellStyle name="20% - 强调文字颜色 4 2 4 5 2" xfId="4883"/>
    <cellStyle name="20% - 强调文字颜色 4 2 4 5 2 2" xfId="4334"/>
    <cellStyle name="20% - 强调文字颜色 4 2 4 5 3" xfId="4885"/>
    <cellStyle name="20% - 强调文字颜色 4 2 4 6" xfId="3878"/>
    <cellStyle name="20% - 强调文字颜色 4 2 4 6 2" xfId="3884"/>
    <cellStyle name="20% - 强调文字颜色 4 2 4 6 2 2" xfId="4888"/>
    <cellStyle name="20% - 强调文字颜色 4 2 4 6 3" xfId="4891"/>
    <cellStyle name="20% - 强调文字颜色 4 2 4 7" xfId="1880"/>
    <cellStyle name="20% - 强调文字颜色 4 2 4 7 2" xfId="1884"/>
    <cellStyle name="20% - 强调文字颜色 4 2 4 8" xfId="1891"/>
    <cellStyle name="20% - 强调文字颜色 4 2 4 8 2" xfId="4897"/>
    <cellStyle name="20% - 强调文字颜色 4 2 5" xfId="4899"/>
    <cellStyle name="20% - 强调文字颜色 4 2 5 2" xfId="4901"/>
    <cellStyle name="20% - 强调文字颜色 4 2 5 2 2" xfId="4903"/>
    <cellStyle name="20% - 强调文字颜色 4 2 5 2 2 2" xfId="1739"/>
    <cellStyle name="20% - 强调文字颜色 4 2 5 2 2 2 2" xfId="4002"/>
    <cellStyle name="20% - 强调文字颜色 4 2 5 2 2 3" xfId="4016"/>
    <cellStyle name="20% - 强调文字颜色 4 2 5 2 3" xfId="4905"/>
    <cellStyle name="20% - 强调文字颜色 4 2 5 2 3 2" xfId="4061"/>
    <cellStyle name="20% - 强调文字颜色 4 2 5 2 4" xfId="4908"/>
    <cellStyle name="20% - 强调文字颜色 4 2 5 3" xfId="4912"/>
    <cellStyle name="20% - 强调文字颜色 4 2 5 3 2" xfId="4916"/>
    <cellStyle name="20% - 强调文字颜色 4 2 5 3 2 2" xfId="4118"/>
    <cellStyle name="20% - 强调文字颜色 4 2 5 3 3" xfId="4917"/>
    <cellStyle name="20% - 强调文字颜色 4 2 5 4" xfId="4920"/>
    <cellStyle name="20% - 强调文字颜色 4 2 5 4 2" xfId="624"/>
    <cellStyle name="20% - 强调文字颜色 4 2 5 4 2 2" xfId="4921"/>
    <cellStyle name="20% - 强调文字颜色 4 2 5 4 3" xfId="4922"/>
    <cellStyle name="20% - 强调文字颜色 4 2 5 5" xfId="4927"/>
    <cellStyle name="20% - 强调文字颜色 4 2 5 5 2" xfId="4930"/>
    <cellStyle name="20% - 强调文字颜色 4 2 5 6" xfId="2358"/>
    <cellStyle name="20% - 强调文字颜色 4 2 5 7" xfId="1896"/>
    <cellStyle name="20% - 强调文字颜色 4 2 6" xfId="4933"/>
    <cellStyle name="20% - 强调文字颜色 4 2 6 2" xfId="4936"/>
    <cellStyle name="20% - 强调文字颜色 4 2 6 2 2" xfId="4937"/>
    <cellStyle name="20% - 强调文字颜色 4 2 6 2 2 2" xfId="3166"/>
    <cellStyle name="20% - 强调文字颜色 4 2 6 2 3" xfId="4938"/>
    <cellStyle name="20% - 强调文字颜色 4 2 6 3" xfId="4939"/>
    <cellStyle name="20% - 强调文字颜色 4 2 6 3 2" xfId="4941"/>
    <cellStyle name="20% - 强调文字颜色 4 2 6 4" xfId="4944"/>
    <cellStyle name="20% - 强调文字颜色 4 2 7" xfId="4947"/>
    <cellStyle name="20% - 强调文字颜色 4 2 7 2" xfId="4948"/>
    <cellStyle name="20% - 强调文字颜色 4 2 7 2 2" xfId="4955"/>
    <cellStyle name="20% - 强调文字颜色 4 2 7 3" xfId="4956"/>
    <cellStyle name="20% - 强调文字颜色 4 2 8" xfId="3937"/>
    <cellStyle name="20% - 强调文字颜色 4 2 8 2" xfId="2975"/>
    <cellStyle name="20% - 强调文字颜色 4 2 8 2 2" xfId="2977"/>
    <cellStyle name="20% - 强调文字颜色 4 2 8 3" xfId="2979"/>
    <cellStyle name="20% - 强调文字颜色 4 2 9" xfId="3940"/>
    <cellStyle name="20% - 强调文字颜色 4 2 9 2" xfId="4961"/>
    <cellStyle name="20% - 强调文字颜色 4 3" xfId="4965"/>
    <cellStyle name="20% - 强调文字颜色 4 3 2" xfId="4967"/>
    <cellStyle name="20% - 强调文字颜色 5 2" xfId="4969"/>
    <cellStyle name="20% - 强调文字颜色 5 2 10" xfId="4972"/>
    <cellStyle name="20% - 强调文字颜色 5 2 10 2" xfId="4976"/>
    <cellStyle name="20% - 强调文字颜色 5 2 11" xfId="4977"/>
    <cellStyle name="20% - 强调文字颜色 5 2 11 2" xfId="4980"/>
    <cellStyle name="20% - 强调文字颜色 5 2 2" xfId="4982"/>
    <cellStyle name="20% - 强调文字颜色 5 2 2 2" xfId="4988"/>
    <cellStyle name="20% - 强调文字颜色 5 2 2 2 2" xfId="4992"/>
    <cellStyle name="20% - 强调文字颜色 5 2 2 2 2 2" xfId="4070"/>
    <cellStyle name="20% - 强调文字颜色 5 2 2 2 2 2 2" xfId="4075"/>
    <cellStyle name="20% - 强调文字颜色 5 2 2 2 2 2 2 2" xfId="4079"/>
    <cellStyle name="20% - 强调文字颜色 5 2 2 2 2 2 2 2 2" xfId="4996"/>
    <cellStyle name="20% - 强调文字颜色 5 2 2 2 2 2 2 3" xfId="1770"/>
    <cellStyle name="20% - 强调文字颜色 5 2 2 2 2 2 3" xfId="2992"/>
    <cellStyle name="20% - 强调文字颜色 5 2 2 2 2 2 3 2" xfId="4997"/>
    <cellStyle name="20% - 强调文字颜色 5 2 2 2 2 2 4" xfId="4999"/>
    <cellStyle name="20% - 强调文字颜色 5 2 2 2 2 2 4 2" xfId="5000"/>
    <cellStyle name="20% - 强调文字颜色 5 2 2 2 2 2 5" xfId="2380"/>
    <cellStyle name="20% - 强调文字颜色 5 2 2 2 2 3" xfId="1062"/>
    <cellStyle name="20% - 强调文字颜色 5 2 2 2 2 3 2" xfId="4083"/>
    <cellStyle name="20% - 强调文字颜色 5 2 2 2 2 3 2 2" xfId="4086"/>
    <cellStyle name="20% - 强调文字颜色 5 2 2 2 2 3 3" xfId="4091"/>
    <cellStyle name="20% - 强调文字颜色 5 2 2 2 2 4" xfId="4095"/>
    <cellStyle name="20% - 强调文字颜色 5 2 2 2 2 4 2" xfId="4100"/>
    <cellStyle name="20% - 强调文字颜色 5 2 2 2 2 4 2 2" xfId="5005"/>
    <cellStyle name="20% - 强调文字颜色 5 2 2 2 2 4 3" xfId="5009"/>
    <cellStyle name="20% - 强调文字颜色 5 2 2 2 2 5" xfId="4104"/>
    <cellStyle name="20% - 强调文字颜色 5 2 2 2 2 5 2" xfId="4108"/>
    <cellStyle name="20% - 强调文字颜色 5 2 2 2 2 6" xfId="5012"/>
    <cellStyle name="20% - 强调文字颜色 5 2 2 2 2 6 2" xfId="5015"/>
    <cellStyle name="20% - 强调文字颜色 5 2 2 2 2 7" xfId="5020"/>
    <cellStyle name="20% - 强调文字颜色 5 2 2 2 2 8" xfId="5021"/>
    <cellStyle name="20% - 强调文字颜色 5 2 2 2 3" xfId="2510"/>
    <cellStyle name="20% - 强调文字颜色 5 2 2 2 3 2" xfId="2518"/>
    <cellStyle name="20% - 强调文字颜色 5 2 2 2 3 2 2" xfId="4134"/>
    <cellStyle name="20% - 强调文字颜色 5 2 2 2 3 2 2 2" xfId="4140"/>
    <cellStyle name="20% - 强调文字颜色 5 2 2 2 3 2 3" xfId="4143"/>
    <cellStyle name="20% - 强调文字颜色 5 2 2 2 3 3" xfId="4147"/>
    <cellStyle name="20% - 强调文字颜色 5 2 2 2 3 3 2" xfId="4153"/>
    <cellStyle name="20% - 强调文字颜色 5 2 2 2 3 4" xfId="4158"/>
    <cellStyle name="20% - 强调文字颜色 5 2 2 2 4" xfId="2525"/>
    <cellStyle name="20% - 强调文字颜色 5 2 2 2 4 2" xfId="4193"/>
    <cellStyle name="20% - 强调文字颜色 5 2 2 2 4 2 2" xfId="5022"/>
    <cellStyle name="20% - 强调文字颜色 5 2 2 2 4 3" xfId="5024"/>
    <cellStyle name="20% - 强调文字颜色 5 2 2 2 5" xfId="5026"/>
    <cellStyle name="20% - 强调文字颜色 5 2 2 2 5 2" xfId="5027"/>
    <cellStyle name="20% - 强调文字颜色 5 2 2 2 5 2 2" xfId="4011"/>
    <cellStyle name="20% - 强调文字颜色 5 2 2 2 5 3" xfId="5030"/>
    <cellStyle name="20% - 强调文字颜色 5 2 2 2 6" xfId="5032"/>
    <cellStyle name="20% - 强调文字颜色 5 2 2 2 6 2" xfId="5035"/>
    <cellStyle name="20% - 强调文字颜色 5 2 2 2 7" xfId="5036"/>
    <cellStyle name="20% - 强调文字颜色 5 2 2 2 7 2" xfId="2798"/>
    <cellStyle name="20% - 强调文字颜色 5 2 2 3" xfId="5037"/>
    <cellStyle name="20% - 强调文字颜色 5 2 2 3 2" xfId="5043"/>
    <cellStyle name="20% - 强调文字颜色 5 2 2 3 2 2" xfId="4231"/>
    <cellStyle name="20% - 强调文字颜色 5 2 2 3 2 2 2" xfId="5050"/>
    <cellStyle name="20% - 强调文字颜色 5 2 2 3 2 2 2 2" xfId="5053"/>
    <cellStyle name="20% - 强调文字颜色 5 2 2 3 2 2 2 2 2" xfId="1474"/>
    <cellStyle name="20% - 强调文字颜色 5 2 2 3 2 2 2 2 2 2" xfId="1484"/>
    <cellStyle name="20% - 强调文字颜色 5 2 2 3 2 2 2 2 3" xfId="1489"/>
    <cellStyle name="20% - 强调文字颜色 5 2 2 3 2 2 2 3" xfId="5054"/>
    <cellStyle name="20% - 强调文字颜色 5 2 2 3 2 2 2 3 2" xfId="1508"/>
    <cellStyle name="20% - 强调文字颜色 5 2 2 3 2 2 2 4" xfId="4502"/>
    <cellStyle name="20% - 强调文字颜色 5 2 2 3 2 2 2 4 2" xfId="3451"/>
    <cellStyle name="20% - 强调文字颜色 5 2 2 3 2 2 2 5" xfId="5055"/>
    <cellStyle name="20% - 强调文字颜色 5 2 2 3 2 2 3" xfId="5058"/>
    <cellStyle name="20% - 强调文字颜色 5 2 2 3 2 2 3 2" xfId="5061"/>
    <cellStyle name="20% - 强调文字颜色 5 2 2 3 2 2 3 2 2" xfId="1335"/>
    <cellStyle name="20% - 强调文字颜色 5 2 2 3 2 2 3 3" xfId="5062"/>
    <cellStyle name="20% - 强调文字颜色 5 2 2 3 2 2 4" xfId="5064"/>
    <cellStyle name="20% - 强调文字颜色 5 2 2 3 2 2 4 2" xfId="2106"/>
    <cellStyle name="20% - 强调文字颜色 5 2 2 3 2 2 4 2 2" xfId="2112"/>
    <cellStyle name="20% - 强调文字颜色 5 2 2 3 2 2 4 3" xfId="2240"/>
    <cellStyle name="20% - 强调文字颜色 5 2 2 3 2 2 5" xfId="5066"/>
    <cellStyle name="20% - 强调文字颜色 5 2 2 3 2 2 5 2" xfId="5068"/>
    <cellStyle name="20% - 强调文字颜色 5 2 2 3 2 2 6" xfId="220"/>
    <cellStyle name="20% - 强调文字颜色 5 2 2 3 2 2 6 2" xfId="5070"/>
    <cellStyle name="20% - 强调文字颜色 5 2 2 3 2 2 7" xfId="5071"/>
    <cellStyle name="20% - 强调文字颜色 5 2 2 3 2 2 8" xfId="3819"/>
    <cellStyle name="20% - 强调文字颜色 5 2 2 3 2 3" xfId="5075"/>
    <cellStyle name="20% - 强调文字颜色 5 2 2 3 2 3 2" xfId="15"/>
    <cellStyle name="20% - 强调文字颜色 5 2 2 3 2 3 2 2" xfId="314"/>
    <cellStyle name="20% - 强调文字颜色 5 2 2 3 2 3 2 2 2" xfId="53"/>
    <cellStyle name="20% - 强调文字颜色 5 2 2 3 2 3 2 3" xfId="5078"/>
    <cellStyle name="20% - 强调文字颜色 5 2 2 3 2 3 3" xfId="292"/>
    <cellStyle name="20% - 强调文字颜色 5 2 2 3 2 3 3 2" xfId="5079"/>
    <cellStyle name="20% - 强调文字颜色 5 2 2 3 2 3 4" xfId="267"/>
    <cellStyle name="20% - 强调文字颜色 5 2 2 3 2 4" xfId="5083"/>
    <cellStyle name="20% - 强调文字颜色 5 2 2 3 2 4 2" xfId="5087"/>
    <cellStyle name="20% - 强调文字颜色 5 2 2 3 2 4 2 2" xfId="5092"/>
    <cellStyle name="20% - 强调文字颜色 5 2 2 3 2 4 3" xfId="5094"/>
    <cellStyle name="20% - 强调文字颜色 5 2 2 3 2 5" xfId="3969"/>
    <cellStyle name="20% - 强调文字颜色 5 2 2 3 2 5 2" xfId="3973"/>
    <cellStyle name="20% - 强调文字颜色 5 2 2 3 2 5 2 2" xfId="5096"/>
    <cellStyle name="20% - 强调文字颜色 5 2 2 3 2 5 3" xfId="5097"/>
    <cellStyle name="20% - 强调文字颜色 5 2 2 3 2 6" xfId="1387"/>
    <cellStyle name="20% - 强调文字颜色 5 2 2 3 2 6 2" xfId="1392"/>
    <cellStyle name="20% - 强调文字颜色 5 2 2 3 2 7" xfId="1398"/>
    <cellStyle name="20% - 强调文字颜色 5 2 2 3 2 7 2" xfId="5098"/>
    <cellStyle name="20% - 强调文字颜色 5 2 2 3 3" xfId="2536"/>
    <cellStyle name="20% - 强调文字颜色 5 2 2 3 3 2" xfId="5103"/>
    <cellStyle name="20% - 强调文字颜色 5 2 2 3 3 2 2" xfId="5109"/>
    <cellStyle name="20% - 强调文字颜色 5 2 2 3 3 2 2 2" xfId="5115"/>
    <cellStyle name="20% - 强调文字颜色 5 2 2 3 3 2 2 2 2" xfId="2629"/>
    <cellStyle name="20% - 强调文字颜色 5 2 2 3 3 2 2 3" xfId="5121"/>
    <cellStyle name="20% - 强调文字颜色 5 2 2 3 3 2 3" xfId="5125"/>
    <cellStyle name="20% - 强调文字颜色 5 2 2 3 3 2 3 2" xfId="5130"/>
    <cellStyle name="20% - 强调文字颜色 5 2 2 3 3 2 4" xfId="5136"/>
    <cellStyle name="20% - 强调文字颜色 5 2 2 3 3 2 4 2" xfId="4667"/>
    <cellStyle name="20% - 强调文字颜色 5 2 2 3 3 2 5" xfId="5142"/>
    <cellStyle name="20% - 强调文字颜色 5 2 2 3 3 3" xfId="5147"/>
    <cellStyle name="20% - 强调文字颜色 5 2 2 3 3 3 2" xfId="5154"/>
    <cellStyle name="20% - 强调文字颜色 5 2 2 3 3 3 2 2" xfId="5162"/>
    <cellStyle name="20% - 强调文字颜色 5 2 2 3 3 3 3" xfId="5167"/>
    <cellStyle name="20% - 强调文字颜色 5 2 2 3 3 4" xfId="5171"/>
    <cellStyle name="20% - 强调文字颜色 5 2 2 3 3 4 2" xfId="5178"/>
    <cellStyle name="20% - 强调文字颜色 5 2 2 3 3 4 2 2" xfId="5183"/>
    <cellStyle name="20% - 强调文字颜色 5 2 2 3 3 4 3" xfId="5187"/>
    <cellStyle name="20% - 强调文字颜色 5 2 2 3 3 5" xfId="3982"/>
    <cellStyle name="20% - 强调文字颜色 5 2 2 3 3 5 2" xfId="5191"/>
    <cellStyle name="20% - 强调文字颜色 5 2 2 3 3 6" xfId="1407"/>
    <cellStyle name="20% - 强调文字颜色 5 2 2 3 3 6 2" xfId="5198"/>
    <cellStyle name="20% - 强调文字颜色 5 2 2 3 3 7" xfId="5201"/>
    <cellStyle name="20% - 强调文字颜色 5 2 2 3 3 8" xfId="5203"/>
    <cellStyle name="20% - 强调文字颜色 5 2 2 3 4" xfId="5209"/>
    <cellStyle name="20% - 强调文字颜色 5 2 2 3 4 2" xfId="92"/>
    <cellStyle name="20% - 强调文字颜色 5 2 2 3 4 2 2" xfId="5211"/>
    <cellStyle name="20% - 强调文字颜色 5 2 2 3 4 2 2 2" xfId="5213"/>
    <cellStyle name="20% - 强调文字颜色 5 2 2 3 4 2 3" xfId="5214"/>
    <cellStyle name="20% - 强调文字颜色 5 2 2 3 4 3" xfId="5215"/>
    <cellStyle name="20% - 强调文字颜色 5 2 2 3 4 3 2" xfId="5218"/>
    <cellStyle name="20% - 强调文字颜色 5 2 2 3 4 4" xfId="5221"/>
    <cellStyle name="20% - 强调文字颜色 5 2 2 3 5" xfId="5226"/>
    <cellStyle name="20% - 强调文字颜色 5 2 2 3 5 2" xfId="666"/>
    <cellStyle name="20% - 强调文字颜色 5 2 2 3 5 2 2" xfId="671"/>
    <cellStyle name="20% - 强调文字颜色 5 2 2 3 5 3" xfId="681"/>
    <cellStyle name="20% - 强调文字颜色 5 2 2 3 6" xfId="5227"/>
    <cellStyle name="20% - 强调文字颜色 5 2 2 3 6 2" xfId="730"/>
    <cellStyle name="20% - 强调文字颜色 5 2 2 3 6 2 2" xfId="741"/>
    <cellStyle name="20% - 强调文字颜色 5 2 2 3 6 3" xfId="745"/>
    <cellStyle name="20% - 强调文字颜色 5 2 2 3 7" xfId="5229"/>
    <cellStyle name="20% - 强调文字颜色 5 2 2 3 7 2" xfId="785"/>
    <cellStyle name="20% - 强调文字颜色 5 2 2 3 8" xfId="5231"/>
    <cellStyle name="20% - 强调文字颜色 5 2 2 3 8 2" xfId="728"/>
    <cellStyle name="20% - 强调文字颜色 5 2 2 4" xfId="416"/>
    <cellStyle name="20% - 强调文字颜色 5 2 2 4 2" xfId="422"/>
    <cellStyle name="20% - 强调文字颜色 5 2 2 4 2 2" xfId="431"/>
    <cellStyle name="20% - 强调文字颜色 5 2 2 4 2 2 2" xfId="357"/>
    <cellStyle name="20% - 强调文字颜色 5 2 2 4 2 2 2 2" xfId="5233"/>
    <cellStyle name="20% - 强调文字颜色 5 2 2 4 2 2 3" xfId="5236"/>
    <cellStyle name="20% - 强调文字颜色 5 2 2 4 2 3" xfId="436"/>
    <cellStyle name="20% - 强调文字颜色 5 2 2 4 2 3 2" xfId="5237"/>
    <cellStyle name="20% - 强调文字颜色 5 2 2 4 2 4" xfId="5241"/>
    <cellStyle name="20% - 强调文字颜色 5 2 2 4 2 4 2" xfId="5243"/>
    <cellStyle name="20% - 强调文字颜色 5 2 2 4 2 5" xfId="3997"/>
    <cellStyle name="20% - 强调文字颜色 5 2 2 4 3" xfId="448"/>
    <cellStyle name="20% - 强调文字颜色 5 2 2 4 3 2" xfId="458"/>
    <cellStyle name="20% - 强调文字颜色 5 2 2 4 3 2 2" xfId="5245"/>
    <cellStyle name="20% - 强调文字颜色 5 2 2 4 3 3" xfId="5249"/>
    <cellStyle name="20% - 强调文字颜色 5 2 2 4 4" xfId="462"/>
    <cellStyle name="20% - 强调文字颜色 5 2 2 4 4 2" xfId="470"/>
    <cellStyle name="20% - 强调文字颜色 5 2 2 4 4 2 2" xfId="5252"/>
    <cellStyle name="20% - 强调文字颜色 5 2 2 4 4 3" xfId="5253"/>
    <cellStyle name="20% - 强调文字颜色 5 2 2 4 5" xfId="480"/>
    <cellStyle name="20% - 强调文字颜色 5 2 2 4 5 2" xfId="1235"/>
    <cellStyle name="20% - 强调文字颜色 5 2 2 4 6" xfId="5256"/>
    <cellStyle name="20% - 强调文字颜色 5 2 2 4 6 2" xfId="884"/>
    <cellStyle name="20% - 强调文字颜色 5 2 2 4 7" xfId="2617"/>
    <cellStyle name="20% - 强调文字颜色 5 2 2 4 8" xfId="2647"/>
    <cellStyle name="20% - 强调文字颜色 5 2 2 5" xfId="487"/>
    <cellStyle name="20% - 强调文字颜色 5 2 2 5 2" xfId="491"/>
    <cellStyle name="20% - 强调文字颜色 5 2 2 5 2 2" xfId="494"/>
    <cellStyle name="20% - 强调文字颜色 5 2 2 5 2 2 2" xfId="5259"/>
    <cellStyle name="20% - 强调文字颜色 5 2 2 5 2 3" xfId="5261"/>
    <cellStyle name="20% - 强调文字颜色 5 2 2 5 3" xfId="498"/>
    <cellStyle name="20% - 强调文字颜色 5 2 2 5 3 2" xfId="5263"/>
    <cellStyle name="20% - 强调文字颜色 5 2 2 5 4" xfId="5265"/>
    <cellStyle name="20% - 强调文字颜色 5 2 2 6" xfId="507"/>
    <cellStyle name="20% - 强调文字颜色 5 2 2 6 2" xfId="511"/>
    <cellStyle name="20% - 强调文字颜色 5 2 2 6 2 2" xfId="5267"/>
    <cellStyle name="20% - 强调文字颜色 5 2 2 6 3" xfId="5269"/>
    <cellStyle name="20% - 强调文字颜色 5 2 2 7" xfId="518"/>
    <cellStyle name="20% - 强调文字颜色 5 2 2 7 2" xfId="523"/>
    <cellStyle name="20% - 强调文字颜色 5 2 2 7 2 2" xfId="212"/>
    <cellStyle name="20% - 强调文字颜色 5 2 2 7 3" xfId="5271"/>
    <cellStyle name="20% - 强调文字颜色 5 2 2 8" xfId="528"/>
    <cellStyle name="20% - 强调文字颜色 5 2 2 8 2" xfId="5276"/>
    <cellStyle name="20% - 强调文字颜色 5 2 2 9" xfId="535"/>
    <cellStyle name="20% - 强调文字颜色 5 2 2 9 2" xfId="5280"/>
    <cellStyle name="20% - 强调文字颜色 5 2 3" xfId="5283"/>
    <cellStyle name="20% - 强调文字颜色 5 2 3 2" xfId="5284"/>
    <cellStyle name="20% - 强调文字颜色 5 2 3 2 2" xfId="5287"/>
    <cellStyle name="20% - 强调文字颜色 5 2 3 2 2 2" xfId="4353"/>
    <cellStyle name="20% - 强调文字颜色 5 2 3 2 2 2 2" xfId="4356"/>
    <cellStyle name="20% - 强调文字颜色 5 2 3 2 2 2 2 2" xfId="4360"/>
    <cellStyle name="20% - 强调文字颜色 5 2 3 2 2 2 3" xfId="4362"/>
    <cellStyle name="20% - 强调文字颜色 5 2 3 2 2 3" xfId="2656"/>
    <cellStyle name="20% - 强调文字颜色 5 2 3 2 2 3 2" xfId="4369"/>
    <cellStyle name="20% - 强调文字颜色 5 2 3 2 2 4" xfId="4376"/>
    <cellStyle name="20% - 强调文字颜色 5 2 3 2 2 4 2" xfId="4386"/>
    <cellStyle name="20% - 强调文字颜色 5 2 3 2 2 5" xfId="4391"/>
    <cellStyle name="20% - 强调文字颜色 5 2 3 2 3" xfId="5290"/>
    <cellStyle name="20% - 强调文字颜色 5 2 3 2 3 2" xfId="4404"/>
    <cellStyle name="20% - 强调文字颜色 5 2 3 2 3 2 2" xfId="5292"/>
    <cellStyle name="20% - 强调文字颜色 5 2 3 2 3 3" xfId="5296"/>
    <cellStyle name="20% - 强调文字颜色 5 2 3 2 4" xfId="5300"/>
    <cellStyle name="20% - 强调文字颜色 5 2 3 2 4 2" xfId="5303"/>
    <cellStyle name="20% - 强调文字颜色 5 2 3 2 4 2 2" xfId="5306"/>
    <cellStyle name="20% - 强调文字颜色 5 2 3 2 4 3" xfId="5310"/>
    <cellStyle name="20% - 强调文字颜色 5 2 3 2 5" xfId="5315"/>
    <cellStyle name="20% - 强调文字颜色 5 2 3 2 5 2" xfId="5319"/>
    <cellStyle name="20% - 强调文字颜色 5 2 3 2 6" xfId="5322"/>
    <cellStyle name="20% - 强调文字颜色 5 2 3 2 6 2" xfId="5323"/>
    <cellStyle name="20% - 强调文字颜色 5 2 3 2 7" xfId="5324"/>
    <cellStyle name="20% - 强调文字颜色 5 2 3 2 8" xfId="5325"/>
    <cellStyle name="20% - 强调文字颜色 5 2 3 3" xfId="5326"/>
    <cellStyle name="20% - 强调文字颜色 5 2 3 3 2" xfId="5329"/>
    <cellStyle name="20% - 强调文字颜色 5 2 3 3 2 2" xfId="4453"/>
    <cellStyle name="20% - 强调文字颜色 5 2 3 3 2 2 2" xfId="4459"/>
    <cellStyle name="20% - 强调文字颜色 5 2 3 3 2 3" xfId="2682"/>
    <cellStyle name="20% - 强调文字颜色 5 2 3 3 3" xfId="5331"/>
    <cellStyle name="20% - 强调文字颜色 5 2 3 3 3 2" xfId="4497"/>
    <cellStyle name="20% - 强调文字颜色 5 2 3 3 4" xfId="5335"/>
    <cellStyle name="20% - 强调文字颜色 5 2 3 4" xfId="73"/>
    <cellStyle name="20% - 强调文字颜色 5 2 3 4 2" xfId="550"/>
    <cellStyle name="20% - 强调文字颜色 5 2 3 4 2 2" xfId="87"/>
    <cellStyle name="20% - 强调文字颜色 5 2 3 4 3" xfId="68"/>
    <cellStyle name="20% - 强调文字颜色 5 2 3 5" xfId="46"/>
    <cellStyle name="20% - 强调文字颜色 5 2 3 5 2" xfId="553"/>
    <cellStyle name="20% - 强调文字颜色 5 2 3 5 2 2" xfId="5336"/>
    <cellStyle name="20% - 强调文字颜色 5 2 3 5 3" xfId="5337"/>
    <cellStyle name="20% - 强调文字颜色 5 2 3 6" xfId="107"/>
    <cellStyle name="20% - 强调文字颜色 5 2 3 6 2" xfId="557"/>
    <cellStyle name="20% - 强调文字颜色 5 2 3 7" xfId="230"/>
    <cellStyle name="20% - 强调文字颜色 5 2 3 7 2" xfId="5338"/>
    <cellStyle name="20% - 强调文字颜色 5 2 4" xfId="5341"/>
    <cellStyle name="20% - 强调文字颜色 5 2 4 2" xfId="5344"/>
    <cellStyle name="20% - 强调文字颜色 5 2 4 2 2" xfId="5348"/>
    <cellStyle name="20% - 强调文字颜色 5 2 4 2 2 2" xfId="3501"/>
    <cellStyle name="20% - 强调文字颜色 5 2 4 2 2 2 2" xfId="3507"/>
    <cellStyle name="20% - 强调文字颜色 5 2 4 2 2 2 2 2" xfId="5352"/>
    <cellStyle name="20% - 强调文字颜色 5 2 4 2 2 2 2 2 2" xfId="2142"/>
    <cellStyle name="20% - 强调文字颜色 5 2 4 2 2 2 2 3" xfId="4974"/>
    <cellStyle name="20% - 强调文字颜色 5 2 4 2 2 2 3" xfId="5355"/>
    <cellStyle name="20% - 强调文字颜色 5 2 4 2 2 2 3 2" xfId="5356"/>
    <cellStyle name="20% - 强调文字颜色 5 2 4 2 2 2 4" xfId="3587"/>
    <cellStyle name="20% - 强调文字颜色 5 2 4 2 2 2 4 2" xfId="5357"/>
    <cellStyle name="20% - 强调文字颜色 5 2 4 2 2 2 5" xfId="4111"/>
    <cellStyle name="20% - 强调文字颜色 5 2 4 2 2 3" xfId="3512"/>
    <cellStyle name="20% - 强调文字颜色 5 2 4 2 2 3 2" xfId="5360"/>
    <cellStyle name="20% - 强调文字颜色 5 2 4 2 2 3 2 2" xfId="5364"/>
    <cellStyle name="20% - 强调文字颜色 5 2 4 2 2 3 3" xfId="5367"/>
    <cellStyle name="20% - 强调文字颜色 5 2 4 2 2 4" xfId="3514"/>
    <cellStyle name="20% - 强调文字颜色 5 2 4 2 2 4 2" xfId="5371"/>
    <cellStyle name="20% - 强调文字颜色 5 2 4 2 2 4 2 2" xfId="1703"/>
    <cellStyle name="20% - 强调文字颜色 5 2 4 2 2 4 3" xfId="5212"/>
    <cellStyle name="20% - 强调文字颜色 5 2 4 2 2 5" xfId="5374"/>
    <cellStyle name="20% - 强调文字颜色 5 2 4 2 2 5 2" xfId="5376"/>
    <cellStyle name="20% - 强调文字颜色 5 2 4 2 2 6" xfId="5377"/>
    <cellStyle name="20% - 强调文字颜色 5 2 4 2 2 6 2" xfId="5380"/>
    <cellStyle name="20% - 强调文字颜色 5 2 4 2 2 7" xfId="5382"/>
    <cellStyle name="20% - 强调文字颜色 5 2 4 2 2 8" xfId="5385"/>
    <cellStyle name="20% - 强调文字颜色 5 2 4 2 3" xfId="5388"/>
    <cellStyle name="20% - 强调文字颜色 5 2 4 2 3 2" xfId="5389"/>
    <cellStyle name="20% - 强调文字颜色 5 2 4 2 3 2 2" xfId="1126"/>
    <cellStyle name="20% - 强调文字颜色 5 2 4 2 3 2 2 2" xfId="1131"/>
    <cellStyle name="20% - 强调文字颜色 5 2 4 2 3 2 3" xfId="101"/>
    <cellStyle name="20% - 强调文字颜色 5 2 4 2 3 3" xfId="5394"/>
    <cellStyle name="20% - 强调文字颜色 5 2 4 2 3 3 2" xfId="1368"/>
    <cellStyle name="20% - 强调文字颜色 5 2 4 2 3 4" xfId="4580"/>
    <cellStyle name="20% - 强调文字颜色 5 2 4 2 4" xfId="5398"/>
    <cellStyle name="20% - 强调文字颜色 5 2 4 2 4 2" xfId="5401"/>
    <cellStyle name="20% - 强调文字颜色 5 2 4 2 4 2 2" xfId="5403"/>
    <cellStyle name="20% - 强调文字颜色 5 2 4 2 4 3" xfId="5404"/>
    <cellStyle name="20% - 强调文字颜色 5 2 4 2 5" xfId="5408"/>
    <cellStyle name="20% - 强调文字颜色 5 2 4 2 5 2" xfId="5409"/>
    <cellStyle name="20% - 强调文字颜色 5 2 4 2 5 2 2" xfId="166"/>
    <cellStyle name="20% - 强调文字颜色 5 2 4 2 5 3" xfId="5410"/>
    <cellStyle name="20% - 强调文字颜色 5 2 4 2 6" xfId="5413"/>
    <cellStyle name="20% - 强调文字颜色 5 2 4 2 6 2" xfId="5415"/>
    <cellStyle name="20% - 强调文字颜色 5 2 4 2 7" xfId="5418"/>
    <cellStyle name="20% - 强调文字颜色 5 2 4 2 7 2" xfId="5422"/>
    <cellStyle name="20% - 强调文字颜色 5 2 4 3" xfId="5423"/>
    <cellStyle name="20% - 强调文字颜色 5 2 4 3 2" xfId="5428"/>
    <cellStyle name="20% - 强调文字颜色 5 2 4 3 2 2" xfId="3447"/>
    <cellStyle name="20% - 强调文字颜色 5 2 4 3 2 2 2" xfId="3670"/>
    <cellStyle name="20% - 强调文字颜色 5 2 4 3 2 2 2 2" xfId="5429"/>
    <cellStyle name="20% - 强调文字颜色 5 2 4 3 2 2 3" xfId="5430"/>
    <cellStyle name="20% - 强调文字颜色 5 2 4 3 2 3" xfId="3673"/>
    <cellStyle name="20% - 强调文字颜色 5 2 4 3 2 3 2" xfId="3675"/>
    <cellStyle name="20% - 强调文字颜色 5 2 4 3 2 4" xfId="5433"/>
    <cellStyle name="20% - 强调文字颜色 5 2 4 3 2 4 2" xfId="5434"/>
    <cellStyle name="20% - 强调文字颜色 5 2 4 3 2 5" xfId="4994"/>
    <cellStyle name="20% - 强调文字颜色 5 2 4 3 3" xfId="5437"/>
    <cellStyle name="20% - 强调文字颜色 5 2 4 3 3 2" xfId="3705"/>
    <cellStyle name="20% - 强调文字颜色 5 2 4 3 3 2 2" xfId="1996"/>
    <cellStyle name="20% - 强调文字颜色 5 2 4 3 3 3" xfId="3708"/>
    <cellStyle name="20% - 强调文字颜色 5 2 4 3 4" xfId="5441"/>
    <cellStyle name="20% - 强调文字颜色 5 2 4 3 4 2" xfId="5442"/>
    <cellStyle name="20% - 强调文字颜色 5 2 4 3 4 2 2" xfId="5443"/>
    <cellStyle name="20% - 强调文字颜色 5 2 4 3 4 3" xfId="5445"/>
    <cellStyle name="20% - 强调文字颜色 5 2 4 3 5" xfId="5448"/>
    <cellStyle name="20% - 强调文字颜色 5 2 4 3 5 2" xfId="5451"/>
    <cellStyle name="20% - 强调文字颜色 5 2 4 3 6" xfId="5453"/>
    <cellStyle name="20% - 强调文字颜色 5 2 4 3 6 2" xfId="5458"/>
    <cellStyle name="20% - 强调文字颜色 5 2 4 3 7" xfId="1146"/>
    <cellStyle name="20% - 强调文字颜色 5 2 4 3 8" xfId="1172"/>
    <cellStyle name="20% - 强调文字颜色 5 2 4 4" xfId="568"/>
    <cellStyle name="20% - 强调文字颜色 5 2 4 4 2" xfId="570"/>
    <cellStyle name="20% - 强调文字颜色 5 2 4 4 2 2" xfId="5460"/>
    <cellStyle name="20% - 强调文字颜色 5 2 4 4 2 2 2" xfId="1548"/>
    <cellStyle name="20% - 强调文字颜色 5 2 4 4 2 3" xfId="1816"/>
    <cellStyle name="20% - 强调文字颜色 5 2 4 4 3" xfId="5464"/>
    <cellStyle name="20% - 强调文字颜色 5 2 4 4 3 2" xfId="5465"/>
    <cellStyle name="20% - 强调文字颜色 5 2 4 4 4" xfId="5468"/>
    <cellStyle name="20% - 强调文字颜色 5 2 4 5" xfId="572"/>
    <cellStyle name="20% - 强调文字颜色 5 2 4 5 2" xfId="5470"/>
    <cellStyle name="20% - 强调文字颜色 5 2 4 5 2 2" xfId="5471"/>
    <cellStyle name="20% - 强调文字颜色 5 2 4 5 3" xfId="5473"/>
    <cellStyle name="20% - 强调文字颜色 5 2 4 6" xfId="5474"/>
    <cellStyle name="20% - 强调文字颜色 5 2 4 6 2" xfId="5478"/>
    <cellStyle name="20% - 强调文字颜色 5 2 4 6 2 2" xfId="5483"/>
    <cellStyle name="20% - 强调文字颜色 5 2 4 6 3" xfId="5485"/>
    <cellStyle name="20% - 强调文字颜色 5 2 4 7" xfId="1935"/>
    <cellStyle name="20% - 强调文字颜色 5 2 4 7 2" xfId="4971"/>
    <cellStyle name="20% - 强调文字颜色 5 2 4 8" xfId="5490"/>
    <cellStyle name="20% - 强调文字颜色 5 2 4 8 2" xfId="5496"/>
    <cellStyle name="20% - 强调文字颜色 5 2 5" xfId="5359"/>
    <cellStyle name="20% - 强调文字颜色 5 2 5 2" xfId="5361"/>
    <cellStyle name="20% - 强调文字颜色 5 2 5 2 2" xfId="2296"/>
    <cellStyle name="20% - 强调文字颜色 5 2 5 2 2 2" xfId="2306"/>
    <cellStyle name="20% - 强调文字颜色 5 2 5 2 2 2 2" xfId="4779"/>
    <cellStyle name="20% - 强调文字颜色 5 2 5 2 2 3" xfId="4792"/>
    <cellStyle name="20% - 强调文字颜色 5 2 5 2 3" xfId="2312"/>
    <cellStyle name="20% - 强调文字颜色 5 2 5 2 3 2" xfId="2320"/>
    <cellStyle name="20% - 强调文字颜色 5 2 5 2 4" xfId="2324"/>
    <cellStyle name="20% - 强调文字颜色 5 2 5 3" xfId="5498"/>
    <cellStyle name="20% - 强调文字颜色 5 2 5 3 2" xfId="5501"/>
    <cellStyle name="20% - 强调文字颜色 5 2 5 3 2 2" xfId="4848"/>
    <cellStyle name="20% - 强调文字颜色 5 2 5 3 3" xfId="5504"/>
    <cellStyle name="20% - 强调文字颜色 5 2 5 4" xfId="277"/>
    <cellStyle name="20% - 强调文字颜色 5 2 5 4 2" xfId="5507"/>
    <cellStyle name="20% - 强调文字颜色 5 2 5 4 2 2" xfId="5509"/>
    <cellStyle name="20% - 强调文字颜色 5 2 5 4 3" xfId="355"/>
    <cellStyle name="20% - 强调文字颜色 5 2 5 5" xfId="5512"/>
    <cellStyle name="20% - 强调文字颜色 5 2 5 5 2" xfId="5514"/>
    <cellStyle name="20% - 强调文字颜色 5 2 5 6" xfId="2416"/>
    <cellStyle name="20% - 强调文字颜色 5 2 5 7" xfId="5517"/>
    <cellStyle name="20% - 强调文字颜色 5 2 6" xfId="5366"/>
    <cellStyle name="20% - 强调文字颜色 5 2 6 2" xfId="5519"/>
    <cellStyle name="20% - 强调文字颜色 5 2 6 2 2" xfId="2404"/>
    <cellStyle name="20% - 强调文字颜色 5 2 6 2 2 2" xfId="4023"/>
    <cellStyle name="20% - 强调文字颜色 5 2 6 2 3" xfId="5520"/>
    <cellStyle name="20% - 强调文字颜色 5 2 6 3" xfId="5523"/>
    <cellStyle name="20% - 强调文字颜色 5 2 6 3 2" xfId="5524"/>
    <cellStyle name="20% - 强调文字颜色 5 2 6 4" xfId="595"/>
    <cellStyle name="20% - 强调文字颜色 5 2 7" xfId="3595"/>
    <cellStyle name="20% - 强调文字颜色 5 2 7 2" xfId="1280"/>
    <cellStyle name="20% - 强调文字颜色 5 2 7 2 2" xfId="473"/>
    <cellStyle name="20% - 强调文字颜色 5 2 7 3" xfId="1283"/>
    <cellStyle name="20% - 强调文字颜色 5 2 8" xfId="4170"/>
    <cellStyle name="20% - 强调文字颜色 5 2 8 2" xfId="4173"/>
    <cellStyle name="20% - 强调文字颜色 5 2 8 2 2" xfId="4179"/>
    <cellStyle name="20% - 强调文字颜色 5 2 8 3" xfId="4182"/>
    <cellStyle name="20% - 强调文字颜色 5 2 9" xfId="4184"/>
    <cellStyle name="20% - 强调文字颜色 5 2 9 2" xfId="4188"/>
    <cellStyle name="20% - 强调文字颜色 5 3" xfId="5528"/>
    <cellStyle name="20% - 强调文字颜色 5 3 2" xfId="5532"/>
    <cellStyle name="20% - 强调文字颜色 6 2" xfId="5534"/>
    <cellStyle name="20% - 强调文字颜色 6 2 10" xfId="529"/>
    <cellStyle name="20% - 强调文字颜色 6 2 10 2" xfId="5275"/>
    <cellStyle name="20% - 强调文字颜色 6 2 11" xfId="536"/>
    <cellStyle name="20% - 强调文字颜色 6 2 11 2" xfId="5279"/>
    <cellStyle name="20% - 强调文字颜色 6 2 2" xfId="1343"/>
    <cellStyle name="20% - 强调文字颜色 6 2 2 2" xfId="297"/>
    <cellStyle name="20% - 强调文字颜色 6 2 2 2 2" xfId="691"/>
    <cellStyle name="20% - 强调文字颜色 6 2 2 2 2 2" xfId="5538"/>
    <cellStyle name="20% - 强调文字颜色 6 2 2 2 2 2 2" xfId="2260"/>
    <cellStyle name="20% - 强调文字颜色 6 2 2 2 2 2 2 2" xfId="5541"/>
    <cellStyle name="20% - 强调文字颜色 6 2 2 2 2 2 2 2 2" xfId="81"/>
    <cellStyle name="20% - 强调文字颜色 6 2 2 2 2 2 2 3" xfId="5545"/>
    <cellStyle name="20% - 强调文字颜色 6 2 2 2 2 2 3" xfId="3781"/>
    <cellStyle name="20% - 强调文字颜色 6 2 2 2 2 2 3 2" xfId="5547"/>
    <cellStyle name="20% - 强调文字颜色 6 2 2 2 2 2 4" xfId="4219"/>
    <cellStyle name="20% - 强调文字颜色 6 2 2 2 2 2 4 2" xfId="4223"/>
    <cellStyle name="20% - 强调文字颜色 6 2 2 2 2 2 5" xfId="4236"/>
    <cellStyle name="20% - 强调文字颜色 6 2 2 2 2 3" xfId="1277"/>
    <cellStyle name="20% - 强调文字颜色 6 2 2 2 2 3 2" xfId="5548"/>
    <cellStyle name="20% - 强调文字颜色 6 2 2 2 2 3 2 2" xfId="2565"/>
    <cellStyle name="20% - 强调文字颜色 6 2 2 2 2 3 3" xfId="5552"/>
    <cellStyle name="20% - 强调文字颜色 6 2 2 2 2 4" xfId="5556"/>
    <cellStyle name="20% - 强调文字颜色 6 2 2 2 2 4 2" xfId="5561"/>
    <cellStyle name="20% - 强调文字颜色 6 2 2 2 2 4 2 2" xfId="4806"/>
    <cellStyle name="20% - 强调文字颜色 6 2 2 2 2 4 3" xfId="5566"/>
    <cellStyle name="20% - 强调文字颜色 6 2 2 2 2 5" xfId="1617"/>
    <cellStyle name="20% - 强调文字颜色 6 2 2 2 2 5 2" xfId="783"/>
    <cellStyle name="20% - 强调文字颜色 6 2 2 2 2 6" xfId="1624"/>
    <cellStyle name="20% - 强调文字颜色 6 2 2 2 2 6 2" xfId="722"/>
    <cellStyle name="20% - 强调文字颜色 6 2 2 2 2 7" xfId="1633"/>
    <cellStyle name="20% - 强调文字颜色 6 2 2 2 2 8" xfId="1639"/>
    <cellStyle name="20% - 强调文字颜色 6 2 2 2 3" xfId="3326"/>
    <cellStyle name="20% - 强调文字颜色 6 2 2 2 3 2" xfId="3332"/>
    <cellStyle name="20% - 强调文字颜色 6 2 2 2 3 2 2" xfId="5571"/>
    <cellStyle name="20% - 强调文字颜色 6 2 2 2 3 2 2 2" xfId="5572"/>
    <cellStyle name="20% - 强调文字颜色 6 2 2 2 3 2 3" xfId="5573"/>
    <cellStyle name="20% - 强调文字颜色 6 2 2 2 3 3" xfId="477"/>
    <cellStyle name="20% - 强调文字颜色 6 2 2 2 3 3 2" xfId="3174"/>
    <cellStyle name="20% - 强调文字颜色 6 2 2 2 3 4" xfId="5574"/>
    <cellStyle name="20% - 强调文字颜色 6 2 2 2 4" xfId="3337"/>
    <cellStyle name="20% - 强调文字颜色 6 2 2 2 4 2" xfId="5579"/>
    <cellStyle name="20% - 强调文字颜色 6 2 2 2 4 2 2" xfId="5580"/>
    <cellStyle name="20% - 强调文字颜色 6 2 2 2 4 3" xfId="5582"/>
    <cellStyle name="20% - 强调文字颜色 6 2 2 2 5" xfId="5586"/>
    <cellStyle name="20% - 强调文字颜色 6 2 2 2 5 2" xfId="5589"/>
    <cellStyle name="20% - 强调文字颜色 6 2 2 2 5 2 2" xfId="4789"/>
    <cellStyle name="20% - 强调文字颜色 6 2 2 2 5 3" xfId="5590"/>
    <cellStyle name="20% - 强调文字颜色 6 2 2 2 6" xfId="5594"/>
    <cellStyle name="20% - 强调文字颜色 6 2 2 2 6 2" xfId="193"/>
    <cellStyle name="20% - 强调文字颜色 6 2 2 2 7" xfId="5599"/>
    <cellStyle name="20% - 强调文字颜色 6 2 2 2 7 2" xfId="5600"/>
    <cellStyle name="20% - 强调文字颜色 6 2 2 3" xfId="270"/>
    <cellStyle name="20% - 强调文字颜色 6 2 2 3 2" xfId="5601"/>
    <cellStyle name="20% - 强调文字颜色 6 2 2 3 2 2" xfId="5603"/>
    <cellStyle name="20% - 强调文字颜色 6 2 2 3 2 2 2" xfId="5605"/>
    <cellStyle name="20% - 强调文字颜色 6 2 2 3 2 2 2 2" xfId="5606"/>
    <cellStyle name="20% - 强调文字颜色 6 2 2 3 2 2 2 2 2" xfId="5608"/>
    <cellStyle name="20% - 强调文字颜色 6 2 2 3 2 2 2 2 2 2" xfId="5611"/>
    <cellStyle name="20% - 强调文字颜色 6 2 2 3 2 2 2 2 3" xfId="5613"/>
    <cellStyle name="20% - 强调文字颜色 6 2 2 3 2 2 2 3" xfId="5619"/>
    <cellStyle name="20% - 强调文字颜色 6 2 2 3 2 2 2 3 2" xfId="5624"/>
    <cellStyle name="20% - 强调文字颜色 6 2 2 3 2 2 2 4" xfId="5182"/>
    <cellStyle name="20% - 强调文字颜色 6 2 2 3 2 2 2 4 2" xfId="2964"/>
    <cellStyle name="20% - 强调文字颜色 6 2 2 3 2 2 2 5" xfId="5626"/>
    <cellStyle name="20% - 强调文字颜色 6 2 2 3 2 2 3" xfId="5627"/>
    <cellStyle name="20% - 强调文字颜色 6 2 2 3 2 2 3 2" xfId="5628"/>
    <cellStyle name="20% - 强调文字颜色 6 2 2 3 2 2 3 2 2" xfId="5630"/>
    <cellStyle name="20% - 强调文字颜色 6 2 2 3 2 2 3 3" xfId="5631"/>
    <cellStyle name="20% - 强调文字颜色 6 2 2 3 2 2 4" xfId="4900"/>
    <cellStyle name="20% - 强调文字颜色 6 2 2 3 2 2 4 2" xfId="4902"/>
    <cellStyle name="20% - 强调文字颜色 6 2 2 3 2 2 4 2 2" xfId="1740"/>
    <cellStyle name="20% - 强调文字颜色 6 2 2 3 2 2 4 3" xfId="4904"/>
    <cellStyle name="20% - 强调文字颜色 6 2 2 3 2 2 5" xfId="4910"/>
    <cellStyle name="20% - 强调文字颜色 6 2 2 3 2 2 5 2" xfId="4914"/>
    <cellStyle name="20% - 强调文字颜色 6 2 2 3 2 2 6" xfId="4918"/>
    <cellStyle name="20% - 强调文字颜色 6 2 2 3 2 2 6 2" xfId="626"/>
    <cellStyle name="20% - 强调文字颜色 6 2 2 3 2 2 7" xfId="4923"/>
    <cellStyle name="20% - 强调文字颜色 6 2 2 3 2 2 8" xfId="2362"/>
    <cellStyle name="20% - 强调文字颜色 6 2 2 3 2 3" xfId="5632"/>
    <cellStyle name="20% - 强调文字颜色 6 2 2 3 2 3 2" xfId="5417"/>
    <cellStyle name="20% - 强调文字颜色 6 2 2 3 2 3 2 2" xfId="5420"/>
    <cellStyle name="20% - 强调文字颜色 6 2 2 3 2 3 2 2 2" xfId="5634"/>
    <cellStyle name="20% - 强调文字颜色 6 2 2 3 2 3 2 3" xfId="5635"/>
    <cellStyle name="20% - 强调文字颜色 6 2 2 3 2 3 3" xfId="5636"/>
    <cellStyle name="20% - 强调文字颜色 6 2 2 3 2 3 3 2" xfId="5637"/>
    <cellStyle name="20% - 强调文字颜色 6 2 2 3 2 3 4" xfId="4934"/>
    <cellStyle name="20% - 强调文字颜色 6 2 2 3 2 4" xfId="1136"/>
    <cellStyle name="20% - 强调文字颜色 6 2 2 3 2 4 2" xfId="1149"/>
    <cellStyle name="20% - 强调文字颜色 6 2 2 3 2 4 2 2" xfId="1161"/>
    <cellStyle name="20% - 强调文字颜色 6 2 2 3 2 4 3" xfId="1174"/>
    <cellStyle name="20% - 强调文字颜色 6 2 2 3 2 5" xfId="1183"/>
    <cellStyle name="20% - 强调文字颜色 6 2 2 3 2 5 2" xfId="139"/>
    <cellStyle name="20% - 强调文字颜色 6 2 2 3 2 5 2 2" xfId="2958"/>
    <cellStyle name="20% - 强调文字颜色 6 2 2 3 2 5 3" xfId="2969"/>
    <cellStyle name="20% - 强调文字颜色 6 2 2 3 2 6" xfId="1188"/>
    <cellStyle name="20% - 强调文字颜色 6 2 2 3 2 6 2" xfId="853"/>
    <cellStyle name="20% - 强调文字颜色 6 2 2 3 2 7" xfId="1195"/>
    <cellStyle name="20% - 强调文字颜色 6 2 2 3 2 7 2" xfId="2985"/>
    <cellStyle name="20% - 强调文字颜色 6 2 2 3 3" xfId="3345"/>
    <cellStyle name="20% - 强调文字颜色 6 2 2 3 3 2" xfId="5638"/>
    <cellStyle name="20% - 强调文字颜色 6 2 2 3 3 2 2" xfId="5639"/>
    <cellStyle name="20% - 强调文字颜色 6 2 2 3 3 2 2 2" xfId="5641"/>
    <cellStyle name="20% - 强调文字颜色 6 2 2 3 3 2 2 2 2" xfId="1984"/>
    <cellStyle name="20% - 强调文字颜色 6 2 2 3 3 2 2 3" xfId="5643"/>
    <cellStyle name="20% - 强调文字颜色 6 2 2 3 3 2 3" xfId="5644"/>
    <cellStyle name="20% - 强调文字颜色 6 2 2 3 3 2 3 2" xfId="2767"/>
    <cellStyle name="20% - 强调文字颜色 6 2 2 3 3 2 4" xfId="5647"/>
    <cellStyle name="20% - 强调文字颜色 6 2 2 3 3 2 4 2" xfId="2942"/>
    <cellStyle name="20% - 强调文字颜色 6 2 2 3 3 2 5" xfId="5650"/>
    <cellStyle name="20% - 强调文字颜色 6 2 2 3 3 3" xfId="4177"/>
    <cellStyle name="20% - 强调文字颜色 6 2 2 3 3 3 2" xfId="5654"/>
    <cellStyle name="20% - 强调文字颜色 6 2 2 3 3 3 2 2" xfId="5657"/>
    <cellStyle name="20% - 强调文字颜色 6 2 2 3 3 3 3" xfId="5658"/>
    <cellStyle name="20% - 强调文字颜色 6 2 2 3 3 4" xfId="1202"/>
    <cellStyle name="20% - 强调文字颜色 6 2 2 3 3 4 2" xfId="1218"/>
    <cellStyle name="20% - 强调文字颜色 6 2 2 3 3 4 2 2" xfId="5661"/>
    <cellStyle name="20% - 强调文字颜色 6 2 2 3 3 4 3" xfId="5665"/>
    <cellStyle name="20% - 强调文字颜色 6 2 2 3 3 5" xfId="1223"/>
    <cellStyle name="20% - 强调文字颜色 6 2 2 3 3 5 2" xfId="3016"/>
    <cellStyle name="20% - 强调文字颜色 6 2 2 3 3 6" xfId="3025"/>
    <cellStyle name="20% - 强调文字颜色 6 2 2 3 3 6 2" xfId="3030"/>
    <cellStyle name="20% - 强调文字颜色 6 2 2 3 3 7" xfId="3035"/>
    <cellStyle name="20% - 强调文字颜色 6 2 2 3 3 8" xfId="5668"/>
    <cellStyle name="20% - 强调文字颜色 6 2 2 3 4" xfId="5670"/>
    <cellStyle name="20% - 强调文字颜色 6 2 2 3 4 2" xfId="5674"/>
    <cellStyle name="20% - 强调文字颜色 6 2 2 3 4 2 2" xfId="5675"/>
    <cellStyle name="20% - 强调文字颜色 6 2 2 3 4 2 2 2" xfId="5677"/>
    <cellStyle name="20% - 强调文字颜色 6 2 2 3 4 2 3" xfId="5681"/>
    <cellStyle name="20% - 强调文字颜色 6 2 2 3 4 3" xfId="5683"/>
    <cellStyle name="20% - 强调文字颜色 6 2 2 3 4 3 2" xfId="5685"/>
    <cellStyle name="20% - 强调文字颜色 6 2 2 3 4 4" xfId="1232"/>
    <cellStyle name="20% - 强调文字颜色 6 2 2 3 5" xfId="5687"/>
    <cellStyle name="20% - 强调文字颜色 6 2 2 3 5 2" xfId="5688"/>
    <cellStyle name="20% - 强调文字颜色 6 2 2 3 5 2 2" xfId="1642"/>
    <cellStyle name="20% - 强调文字颜色 6 2 2 3 5 3" xfId="5689"/>
    <cellStyle name="20% - 强调文字颜色 6 2 2 3 6" xfId="5693"/>
    <cellStyle name="20% - 强调文字颜色 6 2 2 3 6 2" xfId="5694"/>
    <cellStyle name="20% - 强调文字颜色 6 2 2 3 6 2 2" xfId="2998"/>
    <cellStyle name="20% - 强调文字颜色 6 2 2 3 6 3" xfId="5696"/>
    <cellStyle name="20% - 强调文字颜色 6 2 2 3 7" xfId="5701"/>
    <cellStyle name="20% - 强调文字颜色 6 2 2 3 7 2" xfId="5702"/>
    <cellStyle name="20% - 强调文字颜色 6 2 2 3 8" xfId="5703"/>
    <cellStyle name="20% - 强调文字颜色 6 2 2 3 8 2" xfId="351"/>
    <cellStyle name="20% - 强调文字颜色 6 2 2 4" xfId="772"/>
    <cellStyle name="20% - 强调文字颜色 6 2 2 4 2" xfId="5704"/>
    <cellStyle name="20% - 强调文字颜色 6 2 2 4 2 2" xfId="5706"/>
    <cellStyle name="20% - 强调文字颜色 6 2 2 4 2 2 2" xfId="5707"/>
    <cellStyle name="20% - 强调文字颜色 6 2 2 4 2 2 2 2" xfId="5708"/>
    <cellStyle name="20% - 强调文字颜色 6 2 2 4 2 2 3" xfId="5710"/>
    <cellStyle name="20% - 强调文字颜色 6 2 2 4 2 3" xfId="5711"/>
    <cellStyle name="20% - 强调文字颜色 6 2 2 4 2 3 2" xfId="5712"/>
    <cellStyle name="20% - 强调文字颜色 6 2 2 4 2 4" xfId="1252"/>
    <cellStyle name="20% - 强调文字颜色 6 2 2 4 2 4 2" xfId="1257"/>
    <cellStyle name="20% - 强调文字颜色 6 2 2 4 2 5" xfId="1141"/>
    <cellStyle name="20% - 强调文字颜色 6 2 2 4 3" xfId="5713"/>
    <cellStyle name="20% - 强调文字颜色 6 2 2 4 3 2" xfId="5714"/>
    <cellStyle name="20% - 强调文字颜色 6 2 2 4 3 2 2" xfId="5716"/>
    <cellStyle name="20% - 强调文字颜色 6 2 2 4 3 3" xfId="5719"/>
    <cellStyle name="20% - 强调文字颜色 6 2 2 4 4" xfId="5722"/>
    <cellStyle name="20% - 强调文字颜色 6 2 2 4 4 2" xfId="5724"/>
    <cellStyle name="20% - 强调文字颜色 6 2 2 4 4 2 2" xfId="5728"/>
    <cellStyle name="20% - 强调文字颜色 6 2 2 4 4 3" xfId="5732"/>
    <cellStyle name="20% - 强调文字颜色 6 2 2 4 5" xfId="5735"/>
    <cellStyle name="20% - 强调文字颜色 6 2 2 4 5 2" xfId="5741"/>
    <cellStyle name="20% - 强调文字颜色 6 2 2 4 6" xfId="5745"/>
    <cellStyle name="20% - 强调文字颜色 6 2 2 4 6 2" xfId="5747"/>
    <cellStyle name="20% - 强调文字颜色 6 2 2 4 7" xfId="5749"/>
    <cellStyle name="20% - 强调文字颜色 6 2 2 4 8" xfId="5752"/>
    <cellStyle name="20% - 强调文字颜色 6 2 2 5" xfId="2652"/>
    <cellStyle name="20% - 强调文字颜色 6 2 2 5 2" xfId="2659"/>
    <cellStyle name="20% - 强调文字颜色 6 2 2 5 2 2" xfId="4368"/>
    <cellStyle name="20% - 强调文字颜色 6 2 2 5 2 2 2" xfId="5756"/>
    <cellStyle name="20% - 强调文字颜色 6 2 2 5 2 3" xfId="5762"/>
    <cellStyle name="20% - 强调文字颜色 6 2 2 5 3" xfId="4373"/>
    <cellStyle name="20% - 强调文字颜色 6 2 2 5 3 2" xfId="4383"/>
    <cellStyle name="20% - 强调文字颜色 6 2 2 5 4" xfId="4389"/>
    <cellStyle name="20% - 强调文字颜色 6 2 2 6" xfId="2663"/>
    <cellStyle name="20% - 强调文字颜色 6 2 2 6 2" xfId="5294"/>
    <cellStyle name="20% - 强调文字颜色 6 2 2 6 2 2" xfId="3624"/>
    <cellStyle name="20% - 强调文字颜色 6 2 2 6 3" xfId="5765"/>
    <cellStyle name="20% - 强调文字颜色 6 2 2 7" xfId="5768"/>
    <cellStyle name="20% - 强调文字颜色 6 2 2 7 2" xfId="5308"/>
    <cellStyle name="20% - 强调文字颜色 6 2 2 7 2 2" xfId="5771"/>
    <cellStyle name="20% - 强调文字颜色 6 2 2 7 3" xfId="5777"/>
    <cellStyle name="20% - 强调文字颜色 6 2 2 8" xfId="5780"/>
    <cellStyle name="20% - 强调文字颜色 6 2 2 8 2" xfId="5782"/>
    <cellStyle name="20% - 强调文字颜色 6 2 2 9" xfId="5786"/>
    <cellStyle name="20% - 强调文字颜色 6 2 2 9 2" xfId="5789"/>
    <cellStyle name="20% - 强调文字颜色 6 2 3" xfId="1346"/>
    <cellStyle name="20% - 强调文字颜色 6 2 3 2" xfId="1352"/>
    <cellStyle name="20% - 强调文字颜色 6 2 3 2 2" xfId="5790"/>
    <cellStyle name="20% - 强调文字颜色 6 2 3 2 2 2" xfId="4094"/>
    <cellStyle name="20% - 强调文字颜色 6 2 3 2 2 2 2" xfId="4098"/>
    <cellStyle name="20% - 强调文字颜色 6 2 3 2 2 2 2 2" xfId="5004"/>
    <cellStyle name="20% - 强调文字颜色 6 2 3 2 2 2 3" xfId="5007"/>
    <cellStyle name="20% - 强调文字颜色 6 2 3 2 2 3" xfId="4103"/>
    <cellStyle name="20% - 强调文字颜色 6 2 3 2 2 3 2" xfId="4107"/>
    <cellStyle name="20% - 强调文字颜色 6 2 3 2 2 4" xfId="5010"/>
    <cellStyle name="20% - 强调文字颜色 6 2 3 2 2 4 2" xfId="5013"/>
    <cellStyle name="20% - 强调文字颜色 6 2 3 2 2 5" xfId="5017"/>
    <cellStyle name="20% - 强调文字颜色 6 2 3 2 3" xfId="5792"/>
    <cellStyle name="20% - 强调文字颜色 6 2 3 2 3 2" xfId="4157"/>
    <cellStyle name="20% - 强调文字颜色 6 2 3 2 3 2 2" xfId="4164"/>
    <cellStyle name="20% - 强调文字颜色 6 2 3 2 3 3" xfId="4165"/>
    <cellStyle name="20% - 强调文字颜色 6 2 3 2 4" xfId="5794"/>
    <cellStyle name="20% - 强调文字颜色 6 2 3 2 4 2" xfId="5796"/>
    <cellStyle name="20% - 强调文字颜色 6 2 3 2 4 2 2" xfId="5799"/>
    <cellStyle name="20% - 强调文字颜色 6 2 3 2 4 3" xfId="5801"/>
    <cellStyle name="20% - 强调文字颜色 6 2 3 2 5" xfId="5805"/>
    <cellStyle name="20% - 强调文字颜色 6 2 3 2 5 2" xfId="5808"/>
    <cellStyle name="20% - 强调文字颜色 6 2 3 2 6" xfId="5811"/>
    <cellStyle name="20% - 强调文字颜色 6 2 3 2 6 2" xfId="5813"/>
    <cellStyle name="20% - 强调文字颜色 6 2 3 2 7" xfId="5814"/>
    <cellStyle name="20% - 强调文字颜色 6 2 3 2 8" xfId="5815"/>
    <cellStyle name="20% - 强调文字颜色 6 2 3 3" xfId="5816"/>
    <cellStyle name="20% - 强调文字颜色 6 2 3 3 2" xfId="5819"/>
    <cellStyle name="20% - 强调文字颜色 6 2 3 3 2 2" xfId="5080"/>
    <cellStyle name="20% - 强调文字颜色 6 2 3 3 2 2 2" xfId="5085"/>
    <cellStyle name="20% - 强调文字颜色 6 2 3 3 2 3" xfId="3971"/>
    <cellStyle name="20% - 强调文字颜色 6 2 3 3 3" xfId="5822"/>
    <cellStyle name="20% - 强调文字颜色 6 2 3 3 3 2" xfId="5169"/>
    <cellStyle name="20% - 强调文字颜色 6 2 3 3 4" xfId="5826"/>
    <cellStyle name="20% - 强调文字颜色 6 2 3 4" xfId="5828"/>
    <cellStyle name="20% - 强调文字颜色 6 2 3 4 2" xfId="5830"/>
    <cellStyle name="20% - 强调文字颜色 6 2 3 4 2 2" xfId="5239"/>
    <cellStyle name="20% - 强调文字颜色 6 2 3 4 3" xfId="5832"/>
    <cellStyle name="20% - 强调文字颜色 6 2 3 5" xfId="2677"/>
    <cellStyle name="20% - 强调文字颜色 6 2 3 5 2" xfId="2685"/>
    <cellStyle name="20% - 强调文字颜色 6 2 3 5 2 2" xfId="4469"/>
    <cellStyle name="20% - 强调文字颜色 6 2 3 5 3" xfId="4477"/>
    <cellStyle name="20% - 强调文字颜色 6 2 3 6" xfId="2690"/>
    <cellStyle name="20% - 强调文字颜色 6 2 3 6 2" xfId="4511"/>
    <cellStyle name="20% - 强调文字颜色 6 2 3 7" xfId="5835"/>
    <cellStyle name="20% - 强调文字颜色 6 2 3 7 2" xfId="5838"/>
    <cellStyle name="20% - 强调文字颜色 6 2 4" xfId="1355"/>
    <cellStyle name="20% - 强调文字颜色 6 2 4 2" xfId="1361"/>
    <cellStyle name="20% - 强调文字颜色 6 2 4 2 2" xfId="3354"/>
    <cellStyle name="20% - 强调文字颜色 6 2 4 2 2 2" xfId="4371"/>
    <cellStyle name="20% - 强调文字颜色 6 2 4 2 2 2 2" xfId="4377"/>
    <cellStyle name="20% - 强调文字颜色 6 2 4 2 2 2 2 2" xfId="5841"/>
    <cellStyle name="20% - 强调文字颜色 6 2 4 2 2 2 2 2 2" xfId="5843"/>
    <cellStyle name="20% - 强调文字颜色 6 2 4 2 2 2 2 3" xfId="1819"/>
    <cellStyle name="20% - 强调文字颜色 6 2 4 2 2 2 3" xfId="5846"/>
    <cellStyle name="20% - 强调文字颜色 6 2 4 2 2 2 3 2" xfId="5847"/>
    <cellStyle name="20% - 强调文字颜色 6 2 4 2 2 2 4" xfId="390"/>
    <cellStyle name="20% - 强调文字颜色 6 2 4 2 2 2 4 2" xfId="5849"/>
    <cellStyle name="20% - 强调文字颜色 6 2 4 2 2 2 5" xfId="3282"/>
    <cellStyle name="20% - 强调文字颜色 6 2 4 2 2 3" xfId="4387"/>
    <cellStyle name="20% - 强调文字颜色 6 2 4 2 2 3 2" xfId="5852"/>
    <cellStyle name="20% - 强调文字颜色 6 2 4 2 2 3 2 2" xfId="5853"/>
    <cellStyle name="20% - 强调文字颜色 6 2 4 2 2 3 3" xfId="5855"/>
    <cellStyle name="20% - 强调文字颜色 6 2 4 2 2 4" xfId="4392"/>
    <cellStyle name="20% - 强调文字颜色 6 2 4 2 2 4 2" xfId="5856"/>
    <cellStyle name="20% - 强调文字颜色 6 2 4 2 2 4 2 2" xfId="5858"/>
    <cellStyle name="20% - 强调文字颜色 6 2 4 2 2 4 3" xfId="5861"/>
    <cellStyle name="20% - 强调文字颜色 6 2 4 2 2 5" xfId="5864"/>
    <cellStyle name="20% - 强调文字颜色 6 2 4 2 2 5 2" xfId="5866"/>
    <cellStyle name="20% - 强调文字颜色 6 2 4 2 2 6" xfId="5869"/>
    <cellStyle name="20% - 强调文字颜色 6 2 4 2 2 6 2" xfId="5872"/>
    <cellStyle name="20% - 强调文字颜色 6 2 4 2 2 7" xfId="5875"/>
    <cellStyle name="20% - 强调文字颜色 6 2 4 2 2 8" xfId="5857"/>
    <cellStyle name="20% - 强调文字颜色 6 2 4 2 3" xfId="5878"/>
    <cellStyle name="20% - 强调文字颜色 6 2 4 2 3 2" xfId="5764"/>
    <cellStyle name="20% - 强调文字颜色 6 2 4 2 3 2 2" xfId="5881"/>
    <cellStyle name="20% - 强调文字颜色 6 2 4 2 3 2 2 2" xfId="5882"/>
    <cellStyle name="20% - 强调文字颜色 6 2 4 2 3 2 3" xfId="5884"/>
    <cellStyle name="20% - 强调文字颜色 6 2 4 2 3 3" xfId="5889"/>
    <cellStyle name="20% - 强调文字颜色 6 2 4 2 3 3 2" xfId="5895"/>
    <cellStyle name="20% - 强调文字颜色 6 2 4 2 3 4" xfId="5900"/>
    <cellStyle name="20% - 强调文字颜色 6 2 4 2 4" xfId="5903"/>
    <cellStyle name="20% - 强调文字颜色 6 2 4 2 4 2" xfId="5776"/>
    <cellStyle name="20% - 强调文字颜色 6 2 4 2 4 2 2" xfId="5904"/>
    <cellStyle name="20% - 强调文字颜色 6 2 4 2 4 3" xfId="5907"/>
    <cellStyle name="20% - 强调文字颜色 6 2 4 2 5" xfId="3209"/>
    <cellStyle name="20% - 强调文字颜色 6 2 4 2 5 2" xfId="5912"/>
    <cellStyle name="20% - 强调文字颜色 6 2 4 2 5 2 2" xfId="5913"/>
    <cellStyle name="20% - 强调文字颜色 6 2 4 2 5 3" xfId="5916"/>
    <cellStyle name="20% - 强调文字颜色 6 2 4 2 6" xfId="5917"/>
    <cellStyle name="20% - 强调文字颜色 6 2 4 2 6 2" xfId="5918"/>
    <cellStyle name="20% - 强调文字颜色 6 2 4 2 7" xfId="3974"/>
    <cellStyle name="20% - 强调文字颜色 6 2 4 2 7 2" xfId="5095"/>
    <cellStyle name="20% - 强调文字颜色 6 2 4 3" xfId="5921"/>
    <cellStyle name="20% - 强调文字颜色 6 2 4 3 2" xfId="5924"/>
    <cellStyle name="20% - 强调文字颜色 6 2 4 3 2 2" xfId="4474"/>
    <cellStyle name="20% - 强调文字颜色 6 2 4 3 2 2 2" xfId="4479"/>
    <cellStyle name="20% - 强调文字颜色 6 2 4 3 2 2 2 2" xfId="5929"/>
    <cellStyle name="20% - 强调文字颜色 6 2 4 3 2 2 3" xfId="5931"/>
    <cellStyle name="20% - 强调文字颜色 6 2 4 3 2 3" xfId="4050"/>
    <cellStyle name="20% - 强调文字颜色 6 2 4 3 2 3 2" xfId="4482"/>
    <cellStyle name="20% - 强调文字颜色 6 2 4 3 2 4" xfId="1452"/>
    <cellStyle name="20% - 强调文字颜色 6 2 4 3 2 4 2" xfId="1460"/>
    <cellStyle name="20% - 强调文字颜色 6 2 4 3 2 5" xfId="1478"/>
    <cellStyle name="20% - 强调文字颜色 6 2 4 3 3" xfId="5932"/>
    <cellStyle name="20% - 强调文字颜色 6 2 4 3 3 2" xfId="4520"/>
    <cellStyle name="20% - 强调文字颜色 6 2 4 3 3 2 2" xfId="4523"/>
    <cellStyle name="20% - 强调文字颜色 6 2 4 3 3 3" xfId="4528"/>
    <cellStyle name="20% - 强调文字颜色 6 2 4 3 4" xfId="5936"/>
    <cellStyle name="20% - 强调文字颜色 6 2 4 3 4 2" xfId="5938"/>
    <cellStyle name="20% - 强调文字颜色 6 2 4 3 4 2 2" xfId="5940"/>
    <cellStyle name="20% - 强调文字颜色 6 2 4 3 4 3" xfId="5941"/>
    <cellStyle name="20% - 强调文字颜色 6 2 4 3 5" xfId="5942"/>
    <cellStyle name="20% - 强调文字颜色 6 2 4 3 5 2" xfId="5944"/>
    <cellStyle name="20% - 强调文字颜色 6 2 4 3 6" xfId="5946"/>
    <cellStyle name="20% - 强调文字颜色 6 2 4 3 6 2" xfId="5948"/>
    <cellStyle name="20% - 强调文字颜色 6 2 4 3 7" xfId="1395"/>
    <cellStyle name="20% - 强调文字颜色 6 2 4 3 8" xfId="5950"/>
    <cellStyle name="20% - 强调文字颜色 6 2 4 4" xfId="5952"/>
    <cellStyle name="20% - 强调文字颜色 6 2 4 4 2" xfId="5955"/>
    <cellStyle name="20% - 强调文字颜色 6 2 4 4 2 2" xfId="5959"/>
    <cellStyle name="20% - 强调文字颜色 6 2 4 4 2 2 2" xfId="5961"/>
    <cellStyle name="20% - 强调文字颜色 6 2 4 4 2 3" xfId="5963"/>
    <cellStyle name="20% - 强调文字颜色 6 2 4 4 3" xfId="5965"/>
    <cellStyle name="20% - 强调文字颜色 6 2 4 4 3 2" xfId="5968"/>
    <cellStyle name="20% - 强调文字颜色 6 2 4 4 4" xfId="5971"/>
    <cellStyle name="20% - 强调文字颜色 6 2 4 5" xfId="2700"/>
    <cellStyle name="20% - 强调文字颜色 6 2 4 5 2" xfId="4596"/>
    <cellStyle name="20% - 强调文字颜色 6 2 4 5 2 2" xfId="4754"/>
    <cellStyle name="20% - 强调文字颜色 6 2 4 5 3" xfId="5957"/>
    <cellStyle name="20% - 强调文字颜色 6 2 4 6" xfId="5975"/>
    <cellStyle name="20% - 强调文字颜色 6 2 4 6 2" xfId="5978"/>
    <cellStyle name="20% - 强调文字颜色 6 2 4 6 2 2" xfId="5980"/>
    <cellStyle name="20% - 强调文字颜色 6 2 4 6 3" xfId="5967"/>
    <cellStyle name="20% - 强调文字颜色 6 2 4 7" xfId="5982"/>
    <cellStyle name="20% - 强调文字颜色 6 2 4 7 2" xfId="5983"/>
    <cellStyle name="20% - 强调文字颜色 6 2 4 8" xfId="5985"/>
    <cellStyle name="20% - 强调文字颜色 6 2 4 8 2" xfId="5988"/>
    <cellStyle name="20% - 强调文字颜色 6 2 5" xfId="1370"/>
    <cellStyle name="20% - 强调文字颜色 6 2 5 2" xfId="5991"/>
    <cellStyle name="20% - 强调文字颜色 6 2 5 2 2" xfId="5995"/>
    <cellStyle name="20% - 强调文字颜色 6 2 5 2 2 2" xfId="3516"/>
    <cellStyle name="20% - 强调文字颜色 6 2 5 2 2 2 2" xfId="5369"/>
    <cellStyle name="20% - 强调文字颜色 6 2 5 2 2 3" xfId="5372"/>
    <cellStyle name="20% - 强调文字颜色 6 2 5 2 3" xfId="4574"/>
    <cellStyle name="20% - 强调文字颜色 6 2 5 2 3 2" xfId="4577"/>
    <cellStyle name="20% - 强调文字颜色 6 2 5 2 4" xfId="4585"/>
    <cellStyle name="20% - 强调文字颜色 6 2 5 3" xfId="5998"/>
    <cellStyle name="20% - 强调文字颜色 6 2 5 3 2" xfId="6000"/>
    <cellStyle name="20% - 强调文字颜色 6 2 5 3 2 2" xfId="5431"/>
    <cellStyle name="20% - 强调文字颜色 6 2 5 3 3" xfId="4589"/>
    <cellStyle name="20% - 强调文字颜色 6 2 5 4" xfId="6003"/>
    <cellStyle name="20% - 强调文字颜色 6 2 5 4 2" xfId="6004"/>
    <cellStyle name="20% - 强调文字颜色 6 2 5 4 2 2" xfId="6007"/>
    <cellStyle name="20% - 强调文字颜色 6 2 5 4 3" xfId="4593"/>
    <cellStyle name="20% - 强调文字颜色 6 2 5 5" xfId="2715"/>
    <cellStyle name="20% - 强调文字颜色 6 2 5 5 2" xfId="4747"/>
    <cellStyle name="20% - 强调文字颜色 6 2 5 6" xfId="4761"/>
    <cellStyle name="20% - 强调文字颜色 6 2 5 7" xfId="4770"/>
    <cellStyle name="20% - 强调文字颜色 6 2 6" xfId="1375"/>
    <cellStyle name="20% - 强调文字颜色 6 2 6 2" xfId="6009"/>
    <cellStyle name="20% - 强调文字颜色 6 2 6 2 2" xfId="6010"/>
    <cellStyle name="20% - 强调文字颜色 6 2 6 2 2 2" xfId="4801"/>
    <cellStyle name="20% - 强调文字颜色 6 2 6 2 3" xfId="4602"/>
    <cellStyle name="20% - 强调文字颜色 6 2 6 3" xfId="6013"/>
    <cellStyle name="20% - 强调文字颜色 6 2 6 3 2" xfId="6014"/>
    <cellStyle name="20% - 强调文字颜色 6 2 6 4" xfId="6017"/>
    <cellStyle name="20% - 强调文字颜色 6 2 7" xfId="6020"/>
    <cellStyle name="20% - 强调文字颜色 6 2 7 2" xfId="6022"/>
    <cellStyle name="20% - 强调文字颜色 6 2 7 2 2" xfId="3"/>
    <cellStyle name="20% - 强调文字颜色 6 2 7 3" xfId="6024"/>
    <cellStyle name="20% - 强调文字颜色 6 2 8" xfId="4244"/>
    <cellStyle name="20% - 强调文字颜色 6 2 8 2" xfId="4250"/>
    <cellStyle name="20% - 强调文字颜色 6 2 8 2 2" xfId="4566"/>
    <cellStyle name="20% - 强调文字颜色 6 2 8 3" xfId="6025"/>
    <cellStyle name="20% - 强调文字颜色 6 2 9" xfId="4254"/>
    <cellStyle name="20% - 强调文字颜色 6 2 9 2" xfId="6027"/>
    <cellStyle name="20% - 强调文字颜色 6 3" xfId="6029"/>
    <cellStyle name="20% - 强调文字颜色 6 3 2" xfId="1434"/>
    <cellStyle name="40% - 强调文字颜色 1 2" xfId="6030"/>
    <cellStyle name="40% - 强调文字颜色 1 2 10" xfId="6034"/>
    <cellStyle name="40% - 强调文字颜色 1 2 10 2" xfId="6040"/>
    <cellStyle name="40% - 强调文字颜色 1 2 11" xfId="6044"/>
    <cellStyle name="40% - 强调文字颜色 1 2 11 2" xfId="6056"/>
    <cellStyle name="40% - 强调文字颜色 1 2 2" xfId="6059"/>
    <cellStyle name="40% - 强调文字颜色 1 2 2 2" xfId="6062"/>
    <cellStyle name="40% - 强调文字颜色 1 2 2 2 2" xfId="6064"/>
    <cellStyle name="40% - 强调文字颜色 1 2 2 2 2 2" xfId="6067"/>
    <cellStyle name="40% - 强调文字颜色 1 2 2 2 2 2 2" xfId="6069"/>
    <cellStyle name="40% - 强调文字颜色 1 2 2 2 2 2 2 2" xfId="6071"/>
    <cellStyle name="40% - 强调文字颜色 1 2 2 2 2 2 2 2 2" xfId="5392"/>
    <cellStyle name="40% - 强调文字颜色 1 2 2 2 2 2 2 3" xfId="6074"/>
    <cellStyle name="40% - 强调文字颜色 1 2 2 2 2 2 3" xfId="6077"/>
    <cellStyle name="40% - 强调文字颜色 1 2 2 2 2 2 3 2" xfId="6079"/>
    <cellStyle name="40% - 强调文字颜色 1 2 2 2 2 2 4" xfId="6084"/>
    <cellStyle name="40% - 强调文字颜色 1 2 2 2 2 2 4 2" xfId="1680"/>
    <cellStyle name="40% - 强调文字颜色 1 2 2 2 2 2 5" xfId="6086"/>
    <cellStyle name="40% - 强调文字颜色 1 2 2 2 2 3" xfId="6088"/>
    <cellStyle name="40% - 强调文字颜色 1 2 2 2 2 3 2" xfId="4686"/>
    <cellStyle name="40% - 强调文字颜色 1 2 2 2 2 3 2 2" xfId="4692"/>
    <cellStyle name="40% - 强调文字颜色 1 2 2 2 2 3 3" xfId="4695"/>
    <cellStyle name="40% - 强调文字颜色 1 2 2 2 2 4" xfId="6095"/>
    <cellStyle name="40% - 强调文字颜色 1 2 2 2 2 4 2" xfId="6100"/>
    <cellStyle name="40% - 强调文字颜色 1 2 2 2 2 4 2 2" xfId="6103"/>
    <cellStyle name="40% - 强调文字颜色 1 2 2 2 2 4 3" xfId="6106"/>
    <cellStyle name="40% - 强调文字颜色 1 2 2 2 2 5" xfId="6108"/>
    <cellStyle name="40% - 强调文字颜色 1 2 2 2 2 5 2" xfId="6111"/>
    <cellStyle name="40% - 强调文字颜色 1 2 2 2 2 6" xfId="6113"/>
    <cellStyle name="40% - 强调文字颜色 1 2 2 2 2 6 2" xfId="6117"/>
    <cellStyle name="40% - 强调文字颜色 1 2 2 2 2 7" xfId="3495"/>
    <cellStyle name="40% - 强调文字颜色 1 2 2 2 2 8" xfId="6123"/>
    <cellStyle name="40% - 强调文字颜色 1 2 2 2 3" xfId="801"/>
    <cellStyle name="40% - 强调文字颜色 1 2 2 2 3 2" xfId="813"/>
    <cellStyle name="40% - 强调文字颜色 1 2 2 2 3 2 2" xfId="824"/>
    <cellStyle name="40% - 强调文字颜色 1 2 2 2 3 2 2 2" xfId="830"/>
    <cellStyle name="40% - 强调文字颜色 1 2 2 2 3 2 3" xfId="833"/>
    <cellStyle name="40% - 强调文字颜色 1 2 2 2 3 3" xfId="860"/>
    <cellStyle name="40% - 强调文字颜色 1 2 2 2 3 3 2" xfId="864"/>
    <cellStyle name="40% - 强调文字颜色 1 2 2 2 3 4" xfId="878"/>
    <cellStyle name="40% - 强调文字颜色 1 2 2 2 4" xfId="886"/>
    <cellStyle name="40% - 强调文字颜色 1 2 2 2 4 2" xfId="898"/>
    <cellStyle name="40% - 强调文字颜色 1 2 2 2 4 2 2" xfId="899"/>
    <cellStyle name="40% - 强调文字颜色 1 2 2 2 4 3" xfId="904"/>
    <cellStyle name="40% - 强调文字颜色 1 2 2 2 5" xfId="909"/>
    <cellStyle name="40% - 强调文字颜色 1 2 2 2 5 2" xfId="913"/>
    <cellStyle name="40% - 强调文字颜色 1 2 2 2 5 2 2" xfId="6125"/>
    <cellStyle name="40% - 强调文字颜色 1 2 2 2 5 3" xfId="6126"/>
    <cellStyle name="40% - 强调文字颜色 1 2 2 2 6" xfId="919"/>
    <cellStyle name="40% - 强调文字颜色 1 2 2 2 6 2" xfId="923"/>
    <cellStyle name="40% - 强调文字颜色 1 2 2 2 7" xfId="930"/>
    <cellStyle name="40% - 强调文字颜色 1 2 2 2 7 2" xfId="6129"/>
    <cellStyle name="40% - 强调文字颜色 1 2 2 3" xfId="4132"/>
    <cellStyle name="40% - 强调文字颜色 1 2 2 3 2" xfId="4137"/>
    <cellStyle name="40% - 强调文字颜色 1 2 2 3 2 2" xfId="6130"/>
    <cellStyle name="40% - 强调文字颜色 1 2 2 3 2 2 2" xfId="6133"/>
    <cellStyle name="40% - 强调文字颜色 1 2 2 3 2 2 2 2" xfId="6135"/>
    <cellStyle name="40% - 强调文字颜色 1 2 2 3 2 2 2 2 2" xfId="5886"/>
    <cellStyle name="40% - 强调文字颜色 1 2 2 3 2 2 2 2 2 2" xfId="5892"/>
    <cellStyle name="40% - 强调文字颜色 1 2 2 3 2 2 2 2 3" xfId="5898"/>
    <cellStyle name="40% - 强调文字颜色 1 2 2 3 2 2 2 3" xfId="6137"/>
    <cellStyle name="40% - 强调文字颜色 1 2 2 3 2 2 2 3 2" xfId="5905"/>
    <cellStyle name="40% - 强调文字颜色 1 2 2 3 2 2 2 4" xfId="6138"/>
    <cellStyle name="40% - 强调文字颜色 1 2 2 3 2 2 2 4 2" xfId="5915"/>
    <cellStyle name="40% - 强调文字颜色 1 2 2 3 2 2 2 5" xfId="6142"/>
    <cellStyle name="40% - 强调文字颜色 1 2 2 3 2 2 3" xfId="4207"/>
    <cellStyle name="40% - 强调文字颜色 1 2 2 3 2 2 3 2" xfId="4055"/>
    <cellStyle name="40% - 强调文字颜色 1 2 2 3 2 2 3 2 2" xfId="4527"/>
    <cellStyle name="40% - 强调文字颜色 1 2 2 3 2 2 3 3" xfId="6143"/>
    <cellStyle name="40% - 强调文字颜色 1 2 2 3 2 2 4" xfId="4213"/>
    <cellStyle name="40% - 强调文字颜色 1 2 2 3 2 2 4 2" xfId="6144"/>
    <cellStyle name="40% - 强调文字颜色 1 2 2 3 2 2 4 2 2" xfId="6145"/>
    <cellStyle name="40% - 强调文字颜色 1 2 2 3 2 2 4 3" xfId="6147"/>
    <cellStyle name="40% - 强调文字颜色 1 2 2 3 2 2 5" xfId="5034"/>
    <cellStyle name="40% - 强调文字颜色 1 2 2 3 2 2 5 2" xfId="6148"/>
    <cellStyle name="40% - 强调文字颜色 1 2 2 3 2 2 6" xfId="6149"/>
    <cellStyle name="40% - 强调文字颜色 1 2 2 3 2 2 6 2" xfId="2272"/>
    <cellStyle name="40% - 强调文字颜色 1 2 2 3 2 2 7" xfId="5812"/>
    <cellStyle name="40% - 强调文字颜色 1 2 2 3 2 2 8" xfId="6151"/>
    <cellStyle name="40% - 强调文字颜色 1 2 2 3 2 3" xfId="2777"/>
    <cellStyle name="40% - 强调文字颜色 1 2 2 3 2 3 2" xfId="2781"/>
    <cellStyle name="40% - 强调文字颜色 1 2 2 3 2 3 2 2" xfId="2785"/>
    <cellStyle name="40% - 强调文字颜色 1 2 2 3 2 3 2 2 2" xfId="2789"/>
    <cellStyle name="40% - 强调文字颜色 1 2 2 3 2 3 2 3" xfId="2793"/>
    <cellStyle name="40% - 强调文字颜色 1 2 2 3 2 3 3" xfId="1764"/>
    <cellStyle name="40% - 强调文字颜色 1 2 2 3 2 3 3 2" xfId="1771"/>
    <cellStyle name="40% - 强调文字颜色 1 2 2 3 2 3 4" xfId="409"/>
    <cellStyle name="40% - 强调文字颜色 1 2 2 3 2 4" xfId="2803"/>
    <cellStyle name="40% - 强调文字颜色 1 2 2 3 2 4 2" xfId="2809"/>
    <cellStyle name="40% - 强调文字颜色 1 2 2 3 2 4 2 2" xfId="158"/>
    <cellStyle name="40% - 强调文字颜色 1 2 2 3 2 4 3" xfId="1794"/>
    <cellStyle name="40% - 强调文字颜色 1 2 2 3 2 5" xfId="2814"/>
    <cellStyle name="40% - 强调文字颜色 1 2 2 3 2 5 2" xfId="2818"/>
    <cellStyle name="40% - 强调文字颜色 1 2 2 3 2 5 2 2" xfId="2819"/>
    <cellStyle name="40% - 强调文字颜色 1 2 2 3 2 5 3" xfId="159"/>
    <cellStyle name="40% - 强调文字颜色 1 2 2 3 2 6" xfId="2825"/>
    <cellStyle name="40% - 强调文字颜色 1 2 2 3 2 6 2" xfId="2831"/>
    <cellStyle name="40% - 强调文字颜色 1 2 2 3 2 7" xfId="2834"/>
    <cellStyle name="40% - 强调文字颜色 1 2 2 3 2 7 2" xfId="2837"/>
    <cellStyle name="40% - 强调文字颜色 1 2 2 3 3" xfId="27"/>
    <cellStyle name="40% - 强调文字颜色 1 2 2 3 3 2" xfId="580"/>
    <cellStyle name="40% - 强调文字颜色 1 2 2 3 3 2 2" xfId="591"/>
    <cellStyle name="40% - 强调文字颜色 1 2 2 3 3 2 2 2" xfId="703"/>
    <cellStyle name="40% - 强调文字颜色 1 2 2 3 3 2 2 2 2" xfId="708"/>
    <cellStyle name="40% - 强调文字颜色 1 2 2 3 3 2 2 3" xfId="733"/>
    <cellStyle name="40% - 强调文字颜色 1 2 2 3 3 2 3" xfId="760"/>
    <cellStyle name="40% - 强调文字颜色 1 2 2 3 3 2 3 2" xfId="766"/>
    <cellStyle name="40% - 强调文字颜色 1 2 2 3 3 2 4" xfId="700"/>
    <cellStyle name="40% - 强调文字颜色 1 2 2 3 3 2 4 2" xfId="711"/>
    <cellStyle name="40% - 强调文字颜色 1 2 2 3 3 2 5" xfId="731"/>
    <cellStyle name="40% - 强调文字颜色 1 2 2 3 3 3" xfId="607"/>
    <cellStyle name="40% - 强调文字颜色 1 2 2 3 3 3 2" xfId="792"/>
    <cellStyle name="40% - 强调文字颜色 1 2 2 3 3 3 2 2" xfId="803"/>
    <cellStyle name="40% - 强调文字颜色 1 2 2 3 3 3 3" xfId="118"/>
    <cellStyle name="40% - 强调文字颜色 1 2 2 3 3 4" xfId="618"/>
    <cellStyle name="40% - 强调文字颜色 1 2 2 3 3 4 2" xfId="988"/>
    <cellStyle name="40% - 强调文字颜色 1 2 2 3 3 4 2 2" xfId="993"/>
    <cellStyle name="40% - 强调文字颜色 1 2 2 3 3 4 3" xfId="1030"/>
    <cellStyle name="40% - 强调文字颜色 1 2 2 3 3 5" xfId="1069"/>
    <cellStyle name="40% - 强调文字颜色 1 2 2 3 3 5 2" xfId="1071"/>
    <cellStyle name="40% - 强调文字颜色 1 2 2 3 3 6" xfId="1112"/>
    <cellStyle name="40% - 强调文字颜色 1 2 2 3 3 6 2" xfId="1118"/>
    <cellStyle name="40% - 强调文字颜色 1 2 2 3 3 7" xfId="1127"/>
    <cellStyle name="40% - 强调文字颜色 1 2 2 3 3 8" xfId="100"/>
    <cellStyle name="40% - 强调文字颜色 1 2 2 3 4" xfId="215"/>
    <cellStyle name="40% - 强调文字颜色 1 2 2 3 4 2" xfId="125"/>
    <cellStyle name="40% - 强调文字颜色 1 2 2 3 4 2 2" xfId="1247"/>
    <cellStyle name="40% - 强调文字颜色 1 2 2 3 4 2 2 2" xfId="1253"/>
    <cellStyle name="40% - 强调文字颜色 1 2 2 3 4 2 3" xfId="1296"/>
    <cellStyle name="40% - 强调文字颜色 1 2 2 3 4 3" xfId="1318"/>
    <cellStyle name="40% - 强调文字颜色 1 2 2 3 4 3 2" xfId="179"/>
    <cellStyle name="40% - 强调文字颜色 1 2 2 3 4 4" xfId="1344"/>
    <cellStyle name="40% - 强调文字颜色 1 2 2 3 5" xfId="227"/>
    <cellStyle name="40% - 强调文字颜色 1 2 2 3 5 2" xfId="944"/>
    <cellStyle name="40% - 强调文字颜色 1 2 2 3 5 2 2" xfId="1416"/>
    <cellStyle name="40% - 强调文字颜色 1 2 2 3 5 3" xfId="1043"/>
    <cellStyle name="40% - 强调文字颜色 1 2 2 3 6" xfId="247"/>
    <cellStyle name="40% - 强调文字颜色 1 2 2 3 6 2" xfId="1527"/>
    <cellStyle name="40% - 强调文字颜色 1 2 2 3 6 2 2" xfId="1535"/>
    <cellStyle name="40% - 强调文字颜色 1 2 2 3 6 3" xfId="1558"/>
    <cellStyle name="40% - 强调文字颜色 1 2 2 3 7" xfId="6154"/>
    <cellStyle name="40% - 强调文字颜色 1 2 2 3 7 2" xfId="1590"/>
    <cellStyle name="40% - 强调文字颜色 1 2 2 3 8" xfId="6157"/>
    <cellStyle name="40% - 强调文字颜色 1 2 2 3 8 2" xfId="1626"/>
    <cellStyle name="40% - 强调文字颜色 1 2 2 4" xfId="4141"/>
    <cellStyle name="40% - 强调文字颜色 1 2 2 4 2" xfId="6159"/>
    <cellStyle name="40% - 强调文字颜色 1 2 2 4 2 2" xfId="6160"/>
    <cellStyle name="40% - 强调文字颜色 1 2 2 4 2 2 2" xfId="6161"/>
    <cellStyle name="40% - 强调文字颜色 1 2 2 4 2 2 2 2" xfId="6162"/>
    <cellStyle name="40% - 强调文字颜色 1 2 2 4 2 2 3" xfId="4419"/>
    <cellStyle name="40% - 强调文字颜色 1 2 2 4 2 3" xfId="2865"/>
    <cellStyle name="40% - 强调文字颜色 1 2 2 4 2 3 2" xfId="2867"/>
    <cellStyle name="40% - 强调文字颜色 1 2 2 4 2 4" xfId="2871"/>
    <cellStyle name="40% - 强调文字颜色 1 2 2 4 2 4 2" xfId="2875"/>
    <cellStyle name="40% - 强调文字颜色 1 2 2 4 2 5" xfId="2877"/>
    <cellStyle name="40% - 强调文字颜色 1 2 2 4 3" xfId="768"/>
    <cellStyle name="40% - 强调文字颜色 1 2 2 4 3 2" xfId="950"/>
    <cellStyle name="40% - 强调文字颜色 1 2 2 4 3 2 2" xfId="6163"/>
    <cellStyle name="40% - 强调文字颜色 1 2 2 4 3 3" xfId="2883"/>
    <cellStyle name="40% - 强调文字颜色 1 2 2 4 4" xfId="952"/>
    <cellStyle name="40% - 强调文字颜色 1 2 2 4 4 2" xfId="6164"/>
    <cellStyle name="40% - 强调文字颜色 1 2 2 4 4 2 2" xfId="6167"/>
    <cellStyle name="40% - 强调文字颜色 1 2 2 4 4 3" xfId="2891"/>
    <cellStyle name="40% - 强调文字颜色 1 2 2 4 5" xfId="6169"/>
    <cellStyle name="40% - 强调文字颜色 1 2 2 4 5 2" xfId="6170"/>
    <cellStyle name="40% - 强调文字颜色 1 2 2 4 6" xfId="6173"/>
    <cellStyle name="40% - 强调文字颜色 1 2 2 4 6 2" xfId="2727"/>
    <cellStyle name="40% - 强调文字颜色 1 2 2 4 7" xfId="6174"/>
    <cellStyle name="40% - 强调文字颜色 1 2 2 4 8" xfId="6176"/>
    <cellStyle name="40% - 强调文字颜色 1 2 2 5" xfId="6178"/>
    <cellStyle name="40% - 强调文字颜色 1 2 2 5 2" xfId="3907"/>
    <cellStyle name="40% - 强调文字颜色 1 2 2 5 2 2" xfId="3910"/>
    <cellStyle name="40% - 强调文字颜色 1 2 2 5 2 2 2" xfId="3913"/>
    <cellStyle name="40% - 强调文字颜色 1 2 2 5 2 3" xfId="2912"/>
    <cellStyle name="40% - 强调文字颜色 1 2 2 5 3" xfId="961"/>
    <cellStyle name="40% - 强调文字颜色 1 2 2 5 3 2" xfId="3917"/>
    <cellStyle name="40% - 强调文字颜色 1 2 2 5 4" xfId="3923"/>
    <cellStyle name="40% - 强调文字颜色 1 2 2 6" xfId="2495"/>
    <cellStyle name="40% - 强调文字颜色 1 2 2 6 2" xfId="2500"/>
    <cellStyle name="40% - 强调文字颜色 1 2 2 6 2 2" xfId="2927"/>
    <cellStyle name="40% - 强调文字颜色 1 2 2 6 3" xfId="977"/>
    <cellStyle name="40% - 强调文字颜色 1 2 2 7" xfId="2506"/>
    <cellStyle name="40% - 强调文字颜色 1 2 2 7 2" xfId="6181"/>
    <cellStyle name="40% - 强调文字颜色 1 2 2 7 2 2" xfId="6185"/>
    <cellStyle name="40% - 强调文字颜色 1 2 2 7 3" xfId="6189"/>
    <cellStyle name="40% - 强调文字颜色 1 2 2 8" xfId="6193"/>
    <cellStyle name="40% - 强调文字颜色 1 2 2 8 2" xfId="6199"/>
    <cellStyle name="40% - 强调文字颜色 1 2 2 9" xfId="6202"/>
    <cellStyle name="40% - 强调文字颜色 1 2 2 9 2" xfId="6206"/>
    <cellStyle name="40% - 强调文字颜色 1 2 3" xfId="6208"/>
    <cellStyle name="40% - 强调文字颜色 1 2 3 2" xfId="6210"/>
    <cellStyle name="40% - 强调文字颜色 1 2 3 2 2" xfId="6212"/>
    <cellStyle name="40% - 强调文字颜色 1 2 3 2 2 2" xfId="6215"/>
    <cellStyle name="40% - 强调文字颜色 1 2 3 2 2 2 2" xfId="6217"/>
    <cellStyle name="40% - 强调文字颜色 1 2 3 2 2 2 2 2" xfId="6219"/>
    <cellStyle name="40% - 强调文字颜色 1 2 3 2 2 2 3" xfId="6222"/>
    <cellStyle name="40% - 强调文字颜色 1 2 3 2 2 3" xfId="1162"/>
    <cellStyle name="40% - 强调文字颜色 1 2 3 2 2 3 2" xfId="5313"/>
    <cellStyle name="40% - 强调文字颜色 1 2 3 2 2 4" xfId="6225"/>
    <cellStyle name="40% - 强调文字颜色 1 2 3 2 2 4 2" xfId="6231"/>
    <cellStyle name="40% - 强调文字颜色 1 2 3 2 2 5" xfId="6235"/>
    <cellStyle name="40% - 强调文字颜色 1 2 3 2 3" xfId="991"/>
    <cellStyle name="40% - 强调文字颜色 1 2 3 2 3 2" xfId="996"/>
    <cellStyle name="40% - 强调文字颜色 1 2 3 2 3 2 2" xfId="999"/>
    <cellStyle name="40% - 强调文字颜色 1 2 3 2 3 3" xfId="1009"/>
    <cellStyle name="40% - 强调文字颜色 1 2 3 2 4" xfId="1014"/>
    <cellStyle name="40% - 强调文字颜色 1 2 3 2 4 2" xfId="1018"/>
    <cellStyle name="40% - 强调文字颜色 1 2 3 2 4 2 2" xfId="6237"/>
    <cellStyle name="40% - 强调文字颜色 1 2 3 2 4 3" xfId="4954"/>
    <cellStyle name="40% - 强调文字颜色 1 2 3 2 5" xfId="1023"/>
    <cellStyle name="40% - 强调文字颜色 1 2 3 2 5 2" xfId="937"/>
    <cellStyle name="40% - 强调文字颜色 1 2 3 2 6" xfId="6238"/>
    <cellStyle name="40% - 强调文字颜色 1 2 3 2 6 2" xfId="6156"/>
    <cellStyle name="40% - 强调文字颜色 1 2 3 2 7" xfId="6239"/>
    <cellStyle name="40% - 强调文字颜色 1 2 3 2 8" xfId="6240"/>
    <cellStyle name="40% - 强调文字颜色 1 2 3 3" xfId="4151"/>
    <cellStyle name="40% - 强调文字颜色 1 2 3 3 2" xfId="6243"/>
    <cellStyle name="40% - 强调文字颜色 1 2 3 3 2 2" xfId="6244"/>
    <cellStyle name="40% - 强调文字颜色 1 2 3 3 2 2 2" xfId="6245"/>
    <cellStyle name="40% - 强调文字颜色 1 2 3 3 2 3" xfId="2960"/>
    <cellStyle name="40% - 强调文字颜色 1 2 3 3 3" xfId="1032"/>
    <cellStyle name="40% - 强调文字颜色 1 2 3 3 3 2" xfId="1034"/>
    <cellStyle name="40% - 强调文字颜色 1 2 3 3 4" xfId="1049"/>
    <cellStyle name="40% - 强调文字颜色 1 2 3 4" xfId="6247"/>
    <cellStyle name="40% - 强调文字颜色 1 2 3 4 2" xfId="6249"/>
    <cellStyle name="40% - 强调文字颜色 1 2 3 4 2 2" xfId="6250"/>
    <cellStyle name="40% - 强调文字颜色 1 2 3 4 3" xfId="715"/>
    <cellStyle name="40% - 强调文字颜色 1 2 3 5" xfId="4990"/>
    <cellStyle name="40% - 强调文字颜色 1 2 3 5 2" xfId="4068"/>
    <cellStyle name="40% - 强调文字颜色 1 2 3 5 2 2" xfId="4074"/>
    <cellStyle name="40% - 强调文字颜色 1 2 3 5 3" xfId="1064"/>
    <cellStyle name="40% - 强调文字颜色 1 2 3 6" xfId="2514"/>
    <cellStyle name="40% - 强调文字颜色 1 2 3 6 2" xfId="2520"/>
    <cellStyle name="40% - 强调文字颜色 1 2 3 7" xfId="2529"/>
    <cellStyle name="40% - 强调文字颜色 1 2 3 7 2" xfId="4191"/>
    <cellStyle name="40% - 强调文字颜色 1 2 4" xfId="2395"/>
    <cellStyle name="40% - 强调文字颜色 1 2 4 2" xfId="6251"/>
    <cellStyle name="40% - 强调文字颜色 1 2 4 2 2" xfId="6254"/>
    <cellStyle name="40% - 强调文字颜色 1 2 4 2 2 2" xfId="253"/>
    <cellStyle name="40% - 强调文字颜色 1 2 4 2 2 2 2" xfId="6257"/>
    <cellStyle name="40% - 强调文字颜色 1 2 4 2 2 2 2 2" xfId="6262"/>
    <cellStyle name="40% - 强调文字颜色 1 2 4 2 2 2 2 2 2" xfId="6265"/>
    <cellStyle name="40% - 强调文字颜色 1 2 4 2 2 2 2 3" xfId="6268"/>
    <cellStyle name="40% - 强调文字颜色 1 2 4 2 2 2 3" xfId="6033"/>
    <cellStyle name="40% - 强调文字颜色 1 2 4 2 2 2 3 2" xfId="6037"/>
    <cellStyle name="40% - 强调文字颜色 1 2 4 2 2 2 4" xfId="6043"/>
    <cellStyle name="40% - 强调文字颜色 1 2 4 2 2 2 4 2" xfId="6055"/>
    <cellStyle name="40% - 强调文字颜色 1 2 4 2 2 2 5" xfId="6271"/>
    <cellStyle name="40% - 强调文字颜色 1 2 4 2 2 3" xfId="5660"/>
    <cellStyle name="40% - 强调文字颜色 1 2 4 2 2 3 2" xfId="5804"/>
    <cellStyle name="40% - 强调文字颜色 1 2 4 2 2 3 2 2" xfId="5807"/>
    <cellStyle name="40% - 强调文字颜色 1 2 4 2 2 3 3" xfId="5810"/>
    <cellStyle name="40% - 强调文字颜色 1 2 4 2 2 4" xfId="6273"/>
    <cellStyle name="40% - 强调文字颜色 1 2 4 2 2 4 2" xfId="6278"/>
    <cellStyle name="40% - 强调文字颜色 1 2 4 2 2 4 2 2" xfId="686"/>
    <cellStyle name="40% - 强调文字颜色 1 2 4 2 2 4 3" xfId="6282"/>
    <cellStyle name="40% - 强调文字颜色 1 2 4 2 2 5" xfId="6285"/>
    <cellStyle name="40% - 强调文字颜色 1 2 4 2 2 5 2" xfId="6287"/>
    <cellStyle name="40% - 强调文字颜色 1 2 4 2 2 6" xfId="16"/>
    <cellStyle name="40% - 强调文字颜色 1 2 4 2 2 6 2" xfId="1455"/>
    <cellStyle name="40% - 强调文字颜色 1 2 4 2 2 7" xfId="1498"/>
    <cellStyle name="40% - 强调文字颜色 1 2 4 2 2 8" xfId="1519"/>
    <cellStyle name="40% - 强调文字颜色 1 2 4 2 3" xfId="1082"/>
    <cellStyle name="40% - 强调文字颜色 1 2 4 2 3 2" xfId="1097"/>
    <cellStyle name="40% - 强调文字颜色 1 2 4 2 3 2 2" xfId="3201"/>
    <cellStyle name="40% - 强调文字颜色 1 2 4 2 3 2 2 2" xfId="6293"/>
    <cellStyle name="40% - 强调文字颜色 1 2 4 2 3 2 3" xfId="6294"/>
    <cellStyle name="40% - 强调文字颜色 1 2 4 2 3 3" xfId="3206"/>
    <cellStyle name="40% - 强调文字颜色 1 2 4 2 3 3 2" xfId="3210"/>
    <cellStyle name="40% - 强调文字颜色 1 2 4 2 3 4" xfId="6297"/>
    <cellStyle name="40% - 强调文字颜色 1 2 4 2 4" xfId="896"/>
    <cellStyle name="40% - 强调文字颜色 1 2 4 2 4 2" xfId="3254"/>
    <cellStyle name="40% - 强调文字颜色 1 2 4 2 4 2 2" xfId="3259"/>
    <cellStyle name="40% - 强调文字颜色 1 2 4 2 4 3" xfId="3263"/>
    <cellStyle name="40% - 强调文字颜色 1 2 4 2 5" xfId="2033"/>
    <cellStyle name="40% - 强调文字颜色 1 2 4 2 5 2" xfId="6298"/>
    <cellStyle name="40% - 强调文字颜色 1 2 4 2 5 2 2" xfId="2586"/>
    <cellStyle name="40% - 强调文字颜色 1 2 4 2 5 3" xfId="6299"/>
    <cellStyle name="40% - 强调文字颜色 1 2 4 2 6" xfId="6300"/>
    <cellStyle name="40% - 强调文字颜色 1 2 4 2 6 2" xfId="6303"/>
    <cellStyle name="40% - 强调文字颜色 1 2 4 2 7" xfId="6304"/>
    <cellStyle name="40% - 强调文字颜色 1 2 4 2 7 2" xfId="6306"/>
    <cellStyle name="40% - 强调文字颜色 1 2 4 3" xfId="4161"/>
    <cellStyle name="40% - 强调文字颜色 1 2 4 3 2" xfId="6307"/>
    <cellStyle name="40% - 强调文字颜色 1 2 4 3 2 2" xfId="6309"/>
    <cellStyle name="40% - 强调文字颜色 1 2 4 3 2 2 2" xfId="6310"/>
    <cellStyle name="40% - 强调文字颜色 1 2 4 3 2 2 2 2" xfId="6313"/>
    <cellStyle name="40% - 强调文字颜色 1 2 4 3 2 2 3" xfId="5476"/>
    <cellStyle name="40% - 强调文字颜色 1 2 4 3 2 3" xfId="3018"/>
    <cellStyle name="40% - 强调文字颜色 1 2 4 3 2 3 2" xfId="6314"/>
    <cellStyle name="40% - 强调文字颜色 1 2 4 3 2 4" xfId="6316"/>
    <cellStyle name="40% - 强调文字颜色 1 2 4 3 2 4 2" xfId="6317"/>
    <cellStyle name="40% - 强调文字颜色 1 2 4 3 2 5" xfId="6319"/>
    <cellStyle name="40% - 强调文字颜色 1 2 4 3 3" xfId="1100"/>
    <cellStyle name="40% - 强调文字颜色 1 2 4 3 3 2" xfId="6320"/>
    <cellStyle name="40% - 强调文字颜色 1 2 4 3 3 2 2" xfId="1785"/>
    <cellStyle name="40% - 强调文字颜色 1 2 4 3 3 3" xfId="6321"/>
    <cellStyle name="40% - 强调文字颜色 1 2 4 3 4" xfId="6322"/>
    <cellStyle name="40% - 强调文字颜色 1 2 4 3 4 2" xfId="6325"/>
    <cellStyle name="40% - 强调文字颜色 1 2 4 3 4 2 2" xfId="6327"/>
    <cellStyle name="40% - 强调文字颜色 1 2 4 3 4 3" xfId="6329"/>
    <cellStyle name="40% - 强调文字颜色 1 2 4 3 5" xfId="6331"/>
    <cellStyle name="40% - 强调文字颜色 1 2 4 3 5 2" xfId="5596"/>
    <cellStyle name="40% - 强调文字颜色 1 2 4 3 6" xfId="6333"/>
    <cellStyle name="40% - 强调文字颜色 1 2 4 3 6 2" xfId="5698"/>
    <cellStyle name="40% - 强调文字颜色 1 2 4 3 7" xfId="6335"/>
    <cellStyle name="40% - 强调文字颜色 1 2 4 3 8" xfId="6338"/>
    <cellStyle name="40% - 强调文字颜色 1 2 4 4" xfId="6341"/>
    <cellStyle name="40% - 强调文字颜色 1 2 4 4 2" xfId="6343"/>
    <cellStyle name="40% - 强调文字颜色 1 2 4 4 2 2" xfId="6345"/>
    <cellStyle name="40% - 强调文字颜色 1 2 4 4 2 2 2" xfId="6347"/>
    <cellStyle name="40% - 强调文字颜色 1 2 4 4 2 3" xfId="6349"/>
    <cellStyle name="40% - 强调文字颜色 1 2 4 4 3" xfId="1104"/>
    <cellStyle name="40% - 强调文字颜色 1 2 4 4 3 2" xfId="6352"/>
    <cellStyle name="40% - 强调文字颜色 1 2 4 4 4" xfId="6353"/>
    <cellStyle name="40% - 强调文字颜色 1 2 4 5" xfId="5039"/>
    <cellStyle name="40% - 强调文字颜色 1 2 4 5 2" xfId="4229"/>
    <cellStyle name="40% - 强调文字颜色 1 2 4 5 2 2" xfId="5047"/>
    <cellStyle name="40% - 强调文字颜色 1 2 4 5 3" xfId="5072"/>
    <cellStyle name="40% - 强调文字颜色 1 2 4 6" xfId="2540"/>
    <cellStyle name="40% - 强调文字颜色 1 2 4 6 2" xfId="5100"/>
    <cellStyle name="40% - 强调文字颜色 1 2 4 6 2 2" xfId="5107"/>
    <cellStyle name="40% - 强调文字颜色 1 2 4 6 3" xfId="5146"/>
    <cellStyle name="40% - 强调文字颜色 1 2 4 7" xfId="5204"/>
    <cellStyle name="40% - 强调文字颜色 1 2 4 7 2" xfId="90"/>
    <cellStyle name="40% - 强调文字颜色 1 2 4 8" xfId="5222"/>
    <cellStyle name="40% - 强调文字颜色 1 2 4 8 2" xfId="668"/>
    <cellStyle name="40% - 强调文字颜色 1 2 5" xfId="6355"/>
    <cellStyle name="40% - 强调文字颜色 1 2 5 2" xfId="4426"/>
    <cellStyle name="40% - 强调文字颜色 1 2 5 2 2" xfId="2548"/>
    <cellStyle name="40% - 强调文字颜色 1 2 5 2 2 2" xfId="447"/>
    <cellStyle name="40% - 强调文字颜色 1 2 5 2 2 2 2" xfId="457"/>
    <cellStyle name="40% - 强调文字颜色 1 2 5 2 2 3" xfId="460"/>
    <cellStyle name="40% - 强调文字颜色 1 2 5 2 3" xfId="662"/>
    <cellStyle name="40% - 强调文字颜色 1 2 5 2 3 2" xfId="499"/>
    <cellStyle name="40% - 强调文字颜色 1 2 5 2 4" xfId="129"/>
    <cellStyle name="40% - 强调文字颜色 1 2 5 3" xfId="4432"/>
    <cellStyle name="40% - 强调文字颜色 1 2 5 3 2" xfId="4437"/>
    <cellStyle name="40% - 强调文字颜色 1 2 5 3 2 2" xfId="66"/>
    <cellStyle name="40% - 强调文字颜色 1 2 5 3 3" xfId="6359"/>
    <cellStyle name="40% - 强调文字颜色 1 2 5 4" xfId="4443"/>
    <cellStyle name="40% - 强调文字颜色 1 2 5 4 2" xfId="6361"/>
    <cellStyle name="40% - 强调文字颜色 1 2 5 4 2 2" xfId="5461"/>
    <cellStyle name="40% - 强调文字颜色 1 2 5 4 3" xfId="6363"/>
    <cellStyle name="40% - 强调文字颜色 1 2 5 5" xfId="420"/>
    <cellStyle name="40% - 强调文字颜色 1 2 5 5 2" xfId="429"/>
    <cellStyle name="40% - 强调文字颜色 1 2 5 6" xfId="444"/>
    <cellStyle name="40% - 强调文字颜色 1 2 5 7" xfId="467"/>
    <cellStyle name="40% - 强调文字颜色 1 2 6" xfId="6364"/>
    <cellStyle name="40% - 强调文字颜色 1 2 6 2" xfId="6366"/>
    <cellStyle name="40% - 强调文字颜色 1 2 6 2 2" xfId="6370"/>
    <cellStyle name="40% - 强调文字颜色 1 2 6 2 2 2" xfId="6375"/>
    <cellStyle name="40% - 强调文字颜色 1 2 6 2 3" xfId="6377"/>
    <cellStyle name="40% - 强调文字颜色 1 2 6 3" xfId="6380"/>
    <cellStyle name="40% - 强调文字颜色 1 2 6 3 2" xfId="6384"/>
    <cellStyle name="40% - 强调文字颜色 1 2 6 4" xfId="6387"/>
    <cellStyle name="40% - 强调文字颜色 1 2 7" xfId="6389"/>
    <cellStyle name="40% - 强调文字颜色 1 2 7 2" xfId="6391"/>
    <cellStyle name="40% - 强调文字颜色 1 2 7 2 2" xfId="6395"/>
    <cellStyle name="40% - 强调文字颜色 1 2 7 3" xfId="6399"/>
    <cellStyle name="40% - 强调文字颜色 1 2 8" xfId="6401"/>
    <cellStyle name="40% - 强调文字颜色 1 2 8 2" xfId="6406"/>
    <cellStyle name="40% - 强调文字颜色 1 2 8 2 2" xfId="6410"/>
    <cellStyle name="40% - 强调文字颜色 1 2 8 3" xfId="6415"/>
    <cellStyle name="40% - 强调文字颜色 1 2 9" xfId="6417"/>
    <cellStyle name="40% - 强调文字颜色 1 2 9 2" xfId="6421"/>
    <cellStyle name="40% - 强调文字颜色 1 3" xfId="6423"/>
    <cellStyle name="40% - 强调文字颜色 1 3 2" xfId="6426"/>
    <cellStyle name="40% - 强调文字颜色 2 2" xfId="385"/>
    <cellStyle name="40% - 强调文字颜色 2 2 10" xfId="2488"/>
    <cellStyle name="40% - 强调文字颜色 2 2 10 2" xfId="3777"/>
    <cellStyle name="40% - 强调文字颜色 2 2 11" xfId="3784"/>
    <cellStyle name="40% - 强调文字颜色 2 2 11 2" xfId="3786"/>
    <cellStyle name="40% - 强调文字颜色 2 2 2" xfId="6429"/>
    <cellStyle name="40% - 强调文字颜色 2 2 2 2" xfId="3248"/>
    <cellStyle name="40% - 强调文字颜色 2 2 2 2 2" xfId="6433"/>
    <cellStyle name="40% - 强调文字颜色 2 2 2 2 2 2" xfId="969"/>
    <cellStyle name="40% - 强调文字颜色 2 2 2 2 2 2 2" xfId="979"/>
    <cellStyle name="40% - 强调文字颜色 2 2 2 2 2 2 2 2" xfId="6434"/>
    <cellStyle name="40% - 强调文字颜色 2 2 2 2 2 2 2 2 2" xfId="6435"/>
    <cellStyle name="40% - 强调文字颜色 2 2 2 2 2 2 2 3" xfId="6437"/>
    <cellStyle name="40% - 强调文字颜色 2 2 2 2 2 2 3" xfId="6439"/>
    <cellStyle name="40% - 强调文字颜色 2 2 2 2 2 2 3 2" xfId="6441"/>
    <cellStyle name="40% - 强调文字颜色 2 2 2 2 2 2 4" xfId="6442"/>
    <cellStyle name="40% - 强调文字颜色 2 2 2 2 2 2 4 2" xfId="6444"/>
    <cellStyle name="40% - 强调文字颜色 2 2 2 2 2 2 5" xfId="6445"/>
    <cellStyle name="40% - 强调文字颜色 2 2 2 2 2 3" xfId="981"/>
    <cellStyle name="40% - 强调文字颜色 2 2 2 2 2 3 2" xfId="6188"/>
    <cellStyle name="40% - 强调文字颜色 2 2 2 2 2 3 2 2" xfId="97"/>
    <cellStyle name="40% - 强调文字颜色 2 2 2 2 2 3 3" xfId="6448"/>
    <cellStyle name="40% - 强调文字颜色 2 2 2 2 2 4" xfId="947"/>
    <cellStyle name="40% - 强调文字颜色 2 2 2 2 2 4 2" xfId="6450"/>
    <cellStyle name="40% - 强调文字颜色 2 2 2 2 2 4 2 2" xfId="6454"/>
    <cellStyle name="40% - 强调文字颜色 2 2 2 2 2 4 3" xfId="6261"/>
    <cellStyle name="40% - 强调文字颜色 2 2 2 2 2 5" xfId="1466"/>
    <cellStyle name="40% - 强调文字颜色 2 2 2 2 2 5 2" xfId="6458"/>
    <cellStyle name="40% - 强调文字颜色 2 2 2 2 2 6" xfId="6460"/>
    <cellStyle name="40% - 强调文字颜色 2 2 2 2 2 6 2" xfId="6464"/>
    <cellStyle name="40% - 强调文字颜色 2 2 2 2 2 7" xfId="6469"/>
    <cellStyle name="40% - 强调文字颜色 2 2 2 2 2 8" xfId="6475"/>
    <cellStyle name="40% - 强调文字颜色 2 2 2 2 3" xfId="6479"/>
    <cellStyle name="40% - 强调文字颜色 2 2 2 2 3 2" xfId="6480"/>
    <cellStyle name="40% - 强调文字颜色 2 2 2 2 3 2 2" xfId="4145"/>
    <cellStyle name="40% - 强调文字颜色 2 2 2 2 3 2 2 2" xfId="4150"/>
    <cellStyle name="40% - 强调文字颜色 2 2 2 2 3 2 3" xfId="4155"/>
    <cellStyle name="40% - 强调文字颜色 2 2 2 2 3 3" xfId="6481"/>
    <cellStyle name="40% - 强调文字颜色 2 2 2 2 3 3 2" xfId="5023"/>
    <cellStyle name="40% - 强调文字颜色 2 2 2 2 3 4" xfId="6483"/>
    <cellStyle name="40% - 强调文字颜色 2 2 2 2 4" xfId="6484"/>
    <cellStyle name="40% - 强调文字颜色 2 2 2 2 4 2" xfId="6485"/>
    <cellStyle name="40% - 强调文字颜色 2 2 2 2 4 2 2" xfId="5144"/>
    <cellStyle name="40% - 强调文字颜色 2 2 2 2 4 3" xfId="6486"/>
    <cellStyle name="40% - 强调文字颜色 2 2 2 2 5" xfId="6487"/>
    <cellStyle name="40% - 强调文字颜色 2 2 2 2 5 2" xfId="6488"/>
    <cellStyle name="40% - 强调文字颜色 2 2 2 2 5 2 2" xfId="5247"/>
    <cellStyle name="40% - 强调文字颜色 2 2 2 2 5 3" xfId="6489"/>
    <cellStyle name="40% - 强调文字颜色 2 2 2 2 6" xfId="2436"/>
    <cellStyle name="40% - 强调文字颜色 2 2 2 2 6 2" xfId="6490"/>
    <cellStyle name="40% - 强调文字颜色 2 2 2 2 7" xfId="6491"/>
    <cellStyle name="40% - 强调文字颜色 2 2 2 2 7 2" xfId="6492"/>
    <cellStyle name="40% - 强调文字颜色 2 2 2 3" xfId="5108"/>
    <cellStyle name="40% - 强调文字颜色 2 2 2 3 2" xfId="5114"/>
    <cellStyle name="40% - 强调文字颜色 2 2 2 3 2 2" xfId="2631"/>
    <cellStyle name="40% - 强调文字颜色 2 2 2 3 2 2 2" xfId="2635"/>
    <cellStyle name="40% - 强调文字颜色 2 2 2 3 2 2 2 2" xfId="6493"/>
    <cellStyle name="40% - 强调文字颜色 2 2 2 3 2 2 2 2 2" xfId="6494"/>
    <cellStyle name="40% - 强调文字颜色 2 2 2 3 2 2 2 2 2 2" xfId="6192"/>
    <cellStyle name="40% - 强调文字颜色 2 2 2 3 2 2 2 2 3" xfId="5456"/>
    <cellStyle name="40% - 强调文字颜色 2 2 2 3 2 2 2 3" xfId="6211"/>
    <cellStyle name="40% - 强调文字颜色 2 2 2 3 2 2 2 3 2" xfId="6214"/>
    <cellStyle name="40% - 强调文字颜色 2 2 2 3 2 2 2 4" xfId="994"/>
    <cellStyle name="40% - 强调文字颜色 2 2 2 3 2 2 2 4 2" xfId="998"/>
    <cellStyle name="40% - 强调文字颜色 2 2 2 3 2 2 2 5" xfId="1016"/>
    <cellStyle name="40% - 强调文字颜色 2 2 2 3 2 2 3" xfId="3302"/>
    <cellStyle name="40% - 强调文字颜色 2 2 2 3 2 2 3 2" xfId="6496"/>
    <cellStyle name="40% - 强调文字颜色 2 2 2 3 2 2 3 2 2" xfId="6498"/>
    <cellStyle name="40% - 强调文字颜色 2 2 2 3 2 2 3 3" xfId="6241"/>
    <cellStyle name="40% - 强调文字颜色 2 2 2 3 2 2 4" xfId="6499"/>
    <cellStyle name="40% - 强调文字颜色 2 2 2 3 2 2 4 2" xfId="6501"/>
    <cellStyle name="40% - 强调文字颜色 2 2 2 3 2 2 4 2 2" xfId="6503"/>
    <cellStyle name="40% - 强调文字颜色 2 2 2 3 2 2 4 3" xfId="6248"/>
    <cellStyle name="40% - 强调文字颜色 2 2 2 3 2 2 5" xfId="6504"/>
    <cellStyle name="40% - 强调文字颜色 2 2 2 3 2 2 5 2" xfId="4040"/>
    <cellStyle name="40% - 强调文字颜色 2 2 2 3 2 2 6" xfId="6506"/>
    <cellStyle name="40% - 强调文字颜色 2 2 2 3 2 2 6 2" xfId="4130"/>
    <cellStyle name="40% - 强调文字颜色 2 2 2 3 2 2 7" xfId="6507"/>
    <cellStyle name="40% - 强调文字颜色 2 2 2 3 2 2 8" xfId="6508"/>
    <cellStyle name="40% - 强调文字颜色 2 2 2 3 2 3" xfId="2637"/>
    <cellStyle name="40% - 强调文字颜色 2 2 2 3 2 3 2" xfId="2639"/>
    <cellStyle name="40% - 强调文字颜色 2 2 2 3 2 3 2 2" xfId="6512"/>
    <cellStyle name="40% - 强调文字颜色 2 2 2 3 2 3 2 2 2" xfId="6513"/>
    <cellStyle name="40% - 强调文字颜色 2 2 2 3 2 3 2 3" xfId="6253"/>
    <cellStyle name="40% - 强调文字颜色 2 2 2 3 2 3 3" xfId="6516"/>
    <cellStyle name="40% - 强调文字颜色 2 2 2 3 2 3 3 2" xfId="5544"/>
    <cellStyle name="40% - 强调文字颜色 2 2 2 3 2 3 4" xfId="6519"/>
    <cellStyle name="40% - 强调文字颜色 2 2 2 3 2 4" xfId="2642"/>
    <cellStyle name="40% - 强调文字颜色 2 2 2 3 2 4 2" xfId="6524"/>
    <cellStyle name="40% - 强调文字颜色 2 2 2 3 2 4 2 2" xfId="2532"/>
    <cellStyle name="40% - 强调文字颜色 2 2 2 3 2 4 3" xfId="6290"/>
    <cellStyle name="40% - 强调文字颜色 2 2 2 3 2 5" xfId="6526"/>
    <cellStyle name="40% - 强调文字颜色 2 2 2 3 2 5 2" xfId="6529"/>
    <cellStyle name="40% - 强调文字颜色 2 2 2 3 2 5 2 2" xfId="6531"/>
    <cellStyle name="40% - 强调文字颜色 2 2 2 3 2 5 3" xfId="6534"/>
    <cellStyle name="40% - 强调文字颜色 2 2 2 3 2 6" xfId="6538"/>
    <cellStyle name="40% - 强调文字颜色 2 2 2 3 2 6 2" xfId="6541"/>
    <cellStyle name="40% - 强调文字颜色 2 2 2 3 2 7" xfId="6544"/>
    <cellStyle name="40% - 强调文字颜色 2 2 2 3 2 7 2" xfId="6547"/>
    <cellStyle name="40% - 强调文字颜色 2 2 2 3 3" xfId="5120"/>
    <cellStyle name="40% - 强调文字颜色 2 2 2 3 3 2" xfId="2664"/>
    <cellStyle name="40% - 强调文字颜色 2 2 2 3 3 2 2" xfId="5293"/>
    <cellStyle name="40% - 强调文字颜色 2 2 2 3 3 2 2 2" xfId="3625"/>
    <cellStyle name="40% - 强调文字颜色 2 2 2 3 3 2 2 2 2" xfId="3629"/>
    <cellStyle name="40% - 强调文字颜色 2 2 2 3 3 2 2 3" xfId="3633"/>
    <cellStyle name="40% - 强调文字颜色 2 2 2 3 3 2 3" xfId="5763"/>
    <cellStyle name="40% - 强调文字颜色 2 2 2 3 3 2 3 2" xfId="5879"/>
    <cellStyle name="40% - 强调文字颜色 2 2 2 3 3 2 4" xfId="5885"/>
    <cellStyle name="40% - 强调文字颜色 2 2 2 3 3 2 4 2" xfId="5891"/>
    <cellStyle name="40% - 强调文字颜色 2 2 2 3 3 2 5" xfId="5897"/>
    <cellStyle name="40% - 强调文字颜色 2 2 2 3 3 3" xfId="5766"/>
    <cellStyle name="40% - 强调文字颜色 2 2 2 3 3 3 2" xfId="5309"/>
    <cellStyle name="40% - 强调文字颜色 2 2 2 3 3 3 2 2" xfId="5770"/>
    <cellStyle name="40% - 强调文字颜色 2 2 2 3 3 3 3" xfId="5773"/>
    <cellStyle name="40% - 强调文字颜色 2 2 2 3 3 4" xfId="5779"/>
    <cellStyle name="40% - 强调文字颜色 2 2 2 3 3 4 2" xfId="5781"/>
    <cellStyle name="40% - 强调文字颜色 2 2 2 3 3 4 2 2" xfId="3339"/>
    <cellStyle name="40% - 强调文字颜色 2 2 2 3 3 4 3" xfId="5909"/>
    <cellStyle name="40% - 强调文字颜色 2 2 2 3 3 5" xfId="5784"/>
    <cellStyle name="40% - 强调文字颜色 2 2 2 3 3 5 2" xfId="5787"/>
    <cellStyle name="40% - 强调文字颜色 2 2 2 3 3 6" xfId="6550"/>
    <cellStyle name="40% - 强调文字颜色 2 2 2 3 3 6 2" xfId="6553"/>
    <cellStyle name="40% - 强调文字颜色 2 2 2 3 3 7" xfId="6556"/>
    <cellStyle name="40% - 强调文字颜色 2 2 2 3 3 8" xfId="4309"/>
    <cellStyle name="40% - 强调文字颜色 2 2 2 3 4" xfId="6560"/>
    <cellStyle name="40% - 强调文字颜色 2 2 2 3 4 2" xfId="2691"/>
    <cellStyle name="40% - 强调文字颜色 2 2 2 3 4 2 2" xfId="4510"/>
    <cellStyle name="40% - 强调文字颜色 2 2 2 3 4 2 2 2" xfId="4515"/>
    <cellStyle name="40% - 强调文字颜色 2 2 2 3 4 2 3" xfId="4518"/>
    <cellStyle name="40% - 强调文字颜色 2 2 2 3 4 3" xfId="5834"/>
    <cellStyle name="40% - 强调文字颜色 2 2 2 3 4 3 2" xfId="5837"/>
    <cellStyle name="40% - 强调文字颜色 2 2 2 3 4 4" xfId="6561"/>
    <cellStyle name="40% - 强调文字颜色 2 2 2 3 5" xfId="6562"/>
    <cellStyle name="40% - 强调文字颜色 2 2 2 3 5 2" xfId="5974"/>
    <cellStyle name="40% - 强调文字颜色 2 2 2 3 5 2 2" xfId="5977"/>
    <cellStyle name="40% - 强调文字颜色 2 2 2 3 5 3" xfId="5981"/>
    <cellStyle name="40% - 强调文字颜色 2 2 2 3 6" xfId="6563"/>
    <cellStyle name="40% - 强调文字颜色 2 2 2 3 6 2" xfId="4759"/>
    <cellStyle name="40% - 强调文字颜色 2 2 2 3 6 2 2" xfId="4765"/>
    <cellStyle name="40% - 强调文字颜色 2 2 2 3 6 3" xfId="4767"/>
    <cellStyle name="40% - 强调文字颜色 2 2 2 3 7" xfId="6565"/>
    <cellStyle name="40% - 强调文字颜色 2 2 2 3 7 2" xfId="4776"/>
    <cellStyle name="40% - 强调文字颜色 2 2 2 3 8" xfId="5587"/>
    <cellStyle name="40% - 强调文字颜色 2 2 2 3 8 2" xfId="4786"/>
    <cellStyle name="40% - 强调文字颜色 2 2 2 4" xfId="5124"/>
    <cellStyle name="40% - 强调文字颜色 2 2 2 4 2" xfId="5129"/>
    <cellStyle name="40% - 强调文字颜色 2 2 2 4 2 2" xfId="2732"/>
    <cellStyle name="40% - 强调文字颜色 2 2 2 4 2 2 2" xfId="6566"/>
    <cellStyle name="40% - 强调文字颜色 2 2 2 4 2 2 2 2" xfId="6567"/>
    <cellStyle name="40% - 强调文字颜色 2 2 2 4 2 2 3" xfId="6568"/>
    <cellStyle name="40% - 强调文字颜色 2 2 2 4 2 3" xfId="1494"/>
    <cellStyle name="40% - 强调文字颜色 2 2 2 4 2 3 2" xfId="6571"/>
    <cellStyle name="40% - 强调文字颜色 2 2 2 4 2 4" xfId="6573"/>
    <cellStyle name="40% - 强调文字颜色 2 2 2 4 2 4 2" xfId="6574"/>
    <cellStyle name="40% - 强调文字颜色 2 2 2 4 2 5" xfId="6569"/>
    <cellStyle name="40% - 强调文字颜色 2 2 2 4 3" xfId="6068"/>
    <cellStyle name="40% - 强调文字颜色 2 2 2 4 3 2" xfId="6070"/>
    <cellStyle name="40% - 强调文字颜色 2 2 2 4 3 2 2" xfId="5391"/>
    <cellStyle name="40% - 强调文字颜色 2 2 2 4 3 3" xfId="6073"/>
    <cellStyle name="40% - 强调文字颜色 2 2 2 4 4" xfId="6076"/>
    <cellStyle name="40% - 强调文字颜色 2 2 2 4 4 2" xfId="6078"/>
    <cellStyle name="40% - 强调文字颜色 2 2 2 4 4 2 2" xfId="3710"/>
    <cellStyle name="40% - 强调文字颜色 2 2 2 4 4 3" xfId="6575"/>
    <cellStyle name="40% - 强调文字颜色 2 2 2 4 5" xfId="6083"/>
    <cellStyle name="40% - 强调文字颜色 2 2 2 4 5 2" xfId="1682"/>
    <cellStyle name="40% - 强调文字颜色 2 2 2 4 6" xfId="6085"/>
    <cellStyle name="40% - 强调文字颜色 2 2 2 4 6 2" xfId="4817"/>
    <cellStyle name="40% - 强调文字颜色 2 2 2 4 7" xfId="178"/>
    <cellStyle name="40% - 强调文字颜色 2 2 2 4 8" xfId="191"/>
    <cellStyle name="40% - 强调文字颜色 2 2 2 5" xfId="5133"/>
    <cellStyle name="40% - 强调文字颜色 2 2 2 5 2" xfId="4665"/>
    <cellStyle name="40% - 强调文字颜色 2 2 2 5 2 2" xfId="4670"/>
    <cellStyle name="40% - 强调文字颜色 2 2 2 5 2 2 2" xfId="4675"/>
    <cellStyle name="40% - 强调文字颜色 2 2 2 5 2 3" xfId="4680"/>
    <cellStyle name="40% - 强调文字颜色 2 2 2 5 3" xfId="4684"/>
    <cellStyle name="40% - 强调文字颜色 2 2 2 5 3 2" xfId="4688"/>
    <cellStyle name="40% - 强调文字颜色 2 2 2 5 4" xfId="4694"/>
    <cellStyle name="40% - 强调文字颜色 2 2 2 6" xfId="5138"/>
    <cellStyle name="40% - 强调文字颜色 2 2 2 6 2" xfId="4711"/>
    <cellStyle name="40% - 强调文字颜色 2 2 2 6 2 2" xfId="3721"/>
    <cellStyle name="40% - 强调文字颜色 2 2 2 6 3" xfId="6099"/>
    <cellStyle name="40% - 强调文字颜色 2 2 2 7" xfId="6576"/>
    <cellStyle name="40% - 强调文字颜色 2 2 2 7 2" xfId="6580"/>
    <cellStyle name="40% - 强调文字颜色 2 2 2 7 2 2" xfId="6582"/>
    <cellStyle name="40% - 强调文字颜色 2 2 2 7 3" xfId="6110"/>
    <cellStyle name="40% - 强调文字颜色 2 2 2 8" xfId="6586"/>
    <cellStyle name="40% - 强调文字颜色 2 2 2 8 2" xfId="6594"/>
    <cellStyle name="40% - 强调文字颜色 2 2 2 9" xfId="3864"/>
    <cellStyle name="40% - 强调文字颜色 2 2 2 9 2" xfId="3410"/>
    <cellStyle name="40% - 强调文字颜色 2 2 3" xfId="6596"/>
    <cellStyle name="40% - 强调文字颜色 2 2 3 2" xfId="6598"/>
    <cellStyle name="40% - 强调文字颜色 2 2 3 2 2" xfId="26"/>
    <cellStyle name="40% - 强调文字颜色 2 2 3 2 2 2" xfId="6094"/>
    <cellStyle name="40% - 强调文字颜色 2 2 3 2 2 2 2" xfId="6097"/>
    <cellStyle name="40% - 强调文字颜色 2 2 3 2 2 2 2 2" xfId="6102"/>
    <cellStyle name="40% - 强调文字颜色 2 2 3 2 2 2 3" xfId="6104"/>
    <cellStyle name="40% - 强调文字颜色 2 2 3 2 2 3" xfId="6107"/>
    <cellStyle name="40% - 强调文字颜色 2 2 3 2 2 3 2" xfId="6109"/>
    <cellStyle name="40% - 强调文字颜色 2 2 3 2 2 4" xfId="6114"/>
    <cellStyle name="40% - 强调文字颜色 2 2 3 2 2 4 2" xfId="6119"/>
    <cellStyle name="40% - 强调文字颜色 2 2 3 2 2 5" xfId="3494"/>
    <cellStyle name="40% - 强调文字颜色 2 2 3 2 3" xfId="6601"/>
    <cellStyle name="40% - 强调文字颜色 2 2 3 2 3 2" xfId="879"/>
    <cellStyle name="40% - 强调文字颜色 2 2 3 2 3 2 2" xfId="242"/>
    <cellStyle name="40% - 强调文字颜色 2 2 3 2 3 3" xfId="881"/>
    <cellStyle name="40% - 强调文字颜色 2 2 3 2 4" xfId="4968"/>
    <cellStyle name="40% - 强调文字颜色 2 2 3 2 4 2" xfId="4981"/>
    <cellStyle name="40% - 强调文字颜色 2 2 3 2 4 2 2" xfId="4984"/>
    <cellStyle name="40% - 强调文字颜色 2 2 3 2 4 3" xfId="5282"/>
    <cellStyle name="40% - 强调文字颜色 2 2 3 2 5" xfId="5526"/>
    <cellStyle name="40% - 强调文字颜色 2 2 3 2 5 2" xfId="5530"/>
    <cellStyle name="40% - 强调文字颜色 2 2 3 2 6" xfId="6602"/>
    <cellStyle name="40% - 强调文字颜色 2 2 3 2 6 2" xfId="6604"/>
    <cellStyle name="40% - 强调文字颜色 2 2 3 2 7" xfId="6606"/>
    <cellStyle name="40% - 强调文字颜色 2 2 3 2 8" xfId="5672"/>
    <cellStyle name="40% - 强调文字颜色 2 2 3 3" xfId="5153"/>
    <cellStyle name="40% - 强调文字颜色 2 2 3 3 2" xfId="5161"/>
    <cellStyle name="40% - 强调文字颜色 2 2 3 3 2 2" xfId="2804"/>
    <cellStyle name="40% - 强调文字颜色 2 2 3 3 2 2 2" xfId="2810"/>
    <cellStyle name="40% - 强调文字颜色 2 2 3 3 2 3" xfId="2815"/>
    <cellStyle name="40% - 强调文字颜色 2 2 3 3 3" xfId="6608"/>
    <cellStyle name="40% - 强调文字颜色 2 2 3 3 3 2" xfId="620"/>
    <cellStyle name="40% - 强调文字颜色 2 2 3 3 4" xfId="5533"/>
    <cellStyle name="40% - 强调文字颜色 2 2 3 4" xfId="5165"/>
    <cellStyle name="40% - 强调文字颜色 2 2 3 4 2" xfId="6612"/>
    <cellStyle name="40% - 强调文字颜色 2 2 3 4 2 2" xfId="2872"/>
    <cellStyle name="40% - 强调文字颜色 2 2 3 4 3" xfId="826"/>
    <cellStyle name="40% - 强调文字颜色 2 2 3 5" xfId="6614"/>
    <cellStyle name="40% - 强调文字颜色 2 2 3 5 2" xfId="4822"/>
    <cellStyle name="40% - 强调文字颜色 2 2 3 5 2 2" xfId="2921"/>
    <cellStyle name="40% - 强调文字颜色 2 2 3 5 3" xfId="866"/>
    <cellStyle name="40% - 强调文字颜色 2 2 3 6" xfId="6619"/>
    <cellStyle name="40% - 强调文字颜色 2 2 3 6 2" xfId="4859"/>
    <cellStyle name="40% - 强调文字颜色 2 2 3 7" xfId="6623"/>
    <cellStyle name="40% - 强调文字颜色 2 2 3 7 2" xfId="4878"/>
    <cellStyle name="40% - 强调文字颜色 2 2 4" xfId="6625"/>
    <cellStyle name="40% - 强调文字颜色 2 2 4 2" xfId="6628"/>
    <cellStyle name="40% - 强调文字颜色 2 2 4 2 2" xfId="83"/>
    <cellStyle name="40% - 强调文字颜色 2 2 4 2 2 2" xfId="6224"/>
    <cellStyle name="40% - 强调文字颜色 2 2 4 2 2 2 2" xfId="6229"/>
    <cellStyle name="40% - 强调文字颜色 2 2 4 2 2 2 2 2" xfId="6630"/>
    <cellStyle name="40% - 强调文字颜色 2 2 4 2 2 2 2 2 2" xfId="4196"/>
    <cellStyle name="40% - 强调文字颜色 2 2 4 2 2 2 2 3" xfId="6631"/>
    <cellStyle name="40% - 强调文字颜色 2 2 4 2 2 2 3" xfId="6632"/>
    <cellStyle name="40% - 强调文字颜色 2 2 4 2 2 2 3 2" xfId="6634"/>
    <cellStyle name="40% - 强调文字颜色 2 2 4 2 2 2 4" xfId="6635"/>
    <cellStyle name="40% - 强调文字颜色 2 2 4 2 2 2 4 2" xfId="6087"/>
    <cellStyle name="40% - 强调文字颜色 2 2 4 2 2 2 5" xfId="6636"/>
    <cellStyle name="40% - 强调文字颜色 2 2 4 2 2 3" xfId="6234"/>
    <cellStyle name="40% - 强调文字颜色 2 2 4 2 2 3 2" xfId="6638"/>
    <cellStyle name="40% - 强调文字颜色 2 2 4 2 2 3 2 2" xfId="6639"/>
    <cellStyle name="40% - 强调文字颜色 2 2 4 2 2 3 3" xfId="6640"/>
    <cellStyle name="40% - 强调文字颜色 2 2 4 2 2 4" xfId="6642"/>
    <cellStyle name="40% - 强调文字颜色 2 2 4 2 2 4 2" xfId="6645"/>
    <cellStyle name="40% - 强调文字颜色 2 2 4 2 2 4 2 2" xfId="6647"/>
    <cellStyle name="40% - 强调文字颜色 2 2 4 2 2 4 3" xfId="6649"/>
    <cellStyle name="40% - 强调文字颜色 2 2 4 2 2 5" xfId="3440"/>
    <cellStyle name="40% - 强调文字颜色 2 2 4 2 2 5 2" xfId="3665"/>
    <cellStyle name="40% - 强调文字颜色 2 2 4 2 2 6" xfId="3667"/>
    <cellStyle name="40% - 强调文字颜色 2 2 4 2 2 6 2" xfId="6651"/>
    <cellStyle name="40% - 强调文字颜色 2 2 4 2 2 7" xfId="3641"/>
    <cellStyle name="40% - 强调文字颜色 2 2 4 2 2 8" xfId="4324"/>
    <cellStyle name="40% - 强调文字颜色 2 2 4 2 3" xfId="6652"/>
    <cellStyle name="40% - 强调文字颜色 2 2 4 2 3 2" xfId="6653"/>
    <cellStyle name="40% - 强调文字颜色 2 2 4 2 3 2 2" xfId="5447"/>
    <cellStyle name="40% - 强调文字颜色 2 2 4 2 3 2 2 2" xfId="5450"/>
    <cellStyle name="40% - 强调文字颜色 2 2 4 2 3 2 3" xfId="5452"/>
    <cellStyle name="40% - 强调文字颜色 2 2 4 2 3 3" xfId="6654"/>
    <cellStyle name="40% - 强调文字颜色 2 2 4 2 3 3 2" xfId="6655"/>
    <cellStyle name="40% - 强调文字颜色 2 2 4 2 3 4" xfId="6659"/>
    <cellStyle name="40% - 强调文字颜色 2 2 4 2 4" xfId="6660"/>
    <cellStyle name="40% - 强调文字颜色 2 2 4 2 4 2" xfId="6662"/>
    <cellStyle name="40% - 强调文字颜色 2 2 4 2 4 2 2" xfId="6666"/>
    <cellStyle name="40% - 强调文字颜色 2 2 4 2 4 3" xfId="6668"/>
    <cellStyle name="40% - 强调文字颜色 2 2 4 2 5" xfId="6669"/>
    <cellStyle name="40% - 强调文字颜色 2 2 4 2 5 2" xfId="6672"/>
    <cellStyle name="40% - 强调文字颜色 2 2 4 2 5 2 2" xfId="6674"/>
    <cellStyle name="40% - 强调文字颜色 2 2 4 2 5 3" xfId="6676"/>
    <cellStyle name="40% - 强调文字颜色 2 2 4 2 6" xfId="6678"/>
    <cellStyle name="40% - 强调文字颜色 2 2 4 2 6 2" xfId="6681"/>
    <cellStyle name="40% - 强调文字颜色 2 2 4 2 7" xfId="6682"/>
    <cellStyle name="40% - 强调文字颜色 2 2 4 2 7 2" xfId="6684"/>
    <cellStyle name="40% - 强调文字颜色 2 2 4 3" xfId="5176"/>
    <cellStyle name="40% - 强调文字颜色 2 2 4 3 2" xfId="5181"/>
    <cellStyle name="40% - 强调文字颜色 2 2 4 3 2 2" xfId="2966"/>
    <cellStyle name="40% - 强调文字颜色 2 2 4 3 2 2 2" xfId="6685"/>
    <cellStyle name="40% - 强调文字颜色 2 2 4 3 2 2 2 2" xfId="6686"/>
    <cellStyle name="40% - 强调文字颜色 2 2 4 3 2 2 3" xfId="4893"/>
    <cellStyle name="40% - 强调文字颜色 2 2 4 3 2 3" xfId="1748"/>
    <cellStyle name="40% - 强调文字颜色 2 2 4 3 2 3 2" xfId="1750"/>
    <cellStyle name="40% - 强调文字颜色 2 2 4 3 2 4" xfId="1868"/>
    <cellStyle name="40% - 强调文字颜色 2 2 4 3 2 4 2" xfId="1872"/>
    <cellStyle name="40% - 强调文字颜色 2 2 4 3 2 5" xfId="1928"/>
    <cellStyle name="40% - 强调文字颜色 2 2 4 3 3" xfId="5625"/>
    <cellStyle name="40% - 强调文字颜色 2 2 4 3 3 2" xfId="6687"/>
    <cellStyle name="40% - 强调文字颜色 2 2 4 3 3 2 2" xfId="6692"/>
    <cellStyle name="40% - 强调文字颜色 2 2 4 3 3 3" xfId="1975"/>
    <cellStyle name="40% - 强调文字颜色 2 2 4 3 4" xfId="6695"/>
    <cellStyle name="40% - 强调文字颜色 2 2 4 3 4 2" xfId="6698"/>
    <cellStyle name="40% - 强调文字颜色 2 2 4 3 4 2 2" xfId="6703"/>
    <cellStyle name="40% - 强调文字颜色 2 2 4 3 4 3" xfId="2021"/>
    <cellStyle name="40% - 强调文字颜色 2 2 4 3 5" xfId="6707"/>
    <cellStyle name="40% - 强调文字颜色 2 2 4 3 5 2" xfId="6710"/>
    <cellStyle name="40% - 强调文字颜色 2 2 4 3 6" xfId="6713"/>
    <cellStyle name="40% - 强调文字颜色 2 2 4 3 6 2" xfId="6715"/>
    <cellStyle name="40% - 强调文字颜色 2 2 4 3 7" xfId="6718"/>
    <cellStyle name="40% - 强调文字颜色 2 2 4 3 8" xfId="5737"/>
    <cellStyle name="40% - 强调文字颜色 2 2 4 4" xfId="5185"/>
    <cellStyle name="40% - 强调文字颜色 2 2 4 4 2" xfId="6721"/>
    <cellStyle name="40% - 强调文字颜色 2 2 4 4 2 2" xfId="6722"/>
    <cellStyle name="40% - 强调文字颜色 2 2 4 4 2 2 2" xfId="6723"/>
    <cellStyle name="40% - 强调文字颜色 2 2 4 4 2 3" xfId="2191"/>
    <cellStyle name="40% - 强调文字颜色 2 2 4 4 3" xfId="901"/>
    <cellStyle name="40% - 强调文字颜色 2 2 4 4 3 2" xfId="6724"/>
    <cellStyle name="40% - 强调文字颜色 2 2 4 4 4" xfId="6726"/>
    <cellStyle name="40% - 强调文字颜色 2 2 4 5" xfId="6728"/>
    <cellStyle name="40% - 强调文字颜色 2 2 4 5 2" xfId="4906"/>
    <cellStyle name="40% - 强调文字颜色 2 2 4 5 2 2" xfId="4998"/>
    <cellStyle name="40% - 强调文字颜色 2 2 4 5 3" xfId="6731"/>
    <cellStyle name="40% - 强调文字颜色 2 2 4 6" xfId="6732"/>
    <cellStyle name="40% - 强调文字颜色 2 2 4 6 2" xfId="6735"/>
    <cellStyle name="40% - 强调文字颜色 2 2 4 6 2 2" xfId="6177"/>
    <cellStyle name="40% - 强调文字颜色 2 2 4 6 3" xfId="4983"/>
    <cellStyle name="40% - 强调文字颜色 2 2 4 7" xfId="6736"/>
    <cellStyle name="40% - 强调文字颜色 2 2 4 7 2" xfId="6739"/>
    <cellStyle name="40% - 强调文字颜色 2 2 4 8" xfId="6741"/>
    <cellStyle name="40% - 强调文字颜色 2 2 4 8 2" xfId="6742"/>
    <cellStyle name="40% - 强调文字颜色 2 2 5" xfId="6744"/>
    <cellStyle name="40% - 强调文字颜色 2 2 5 2" xfId="6746"/>
    <cellStyle name="40% - 强调文字颜色 2 2 5 2 2" xfId="6749"/>
    <cellStyle name="40% - 强调文字颜色 2 2 5 2 2 2" xfId="6272"/>
    <cellStyle name="40% - 强调文字颜色 2 2 5 2 2 2 2" xfId="6277"/>
    <cellStyle name="40% - 强调文字颜色 2 2 5 2 2 3" xfId="6284"/>
    <cellStyle name="40% - 强调文字颜色 2 2 5 2 3" xfId="6750"/>
    <cellStyle name="40% - 强调文字颜色 2 2 5 2 3 2" xfId="6295"/>
    <cellStyle name="40% - 强调文字颜色 2 2 5 2 4" xfId="6753"/>
    <cellStyle name="40% - 强调文字颜色 2 2 5 3" xfId="5189"/>
    <cellStyle name="40% - 强调文字颜色 2 2 5 3 2" xfId="6755"/>
    <cellStyle name="40% - 强调文字颜色 2 2 5 3 2 2" xfId="6315"/>
    <cellStyle name="40% - 强调文字颜色 2 2 5 3 3" xfId="6756"/>
    <cellStyle name="40% - 强调文字颜色 2 2 5 4" xfId="6757"/>
    <cellStyle name="40% - 强调文字颜色 2 2 5 4 2" xfId="6758"/>
    <cellStyle name="40% - 强调文字颜色 2 2 5 4 2 2" xfId="115"/>
    <cellStyle name="40% - 强调文字颜色 2 2 5 4 3" xfId="6124"/>
    <cellStyle name="40% - 强调文字颜色 2 2 5 5" xfId="635"/>
    <cellStyle name="40% - 强调文字颜色 2 2 5 5 2" xfId="6759"/>
    <cellStyle name="40% - 强调文字颜色 2 2 5 6" xfId="6374"/>
    <cellStyle name="40% - 强调文字颜色 2 2 5 7" xfId="6760"/>
    <cellStyle name="40% - 强调文字颜色 2 2 6" xfId="6762"/>
    <cellStyle name="40% - 强调文字颜色 2 2 6 2" xfId="6764"/>
    <cellStyle name="40% - 强调文字颜色 2 2 6 2 2" xfId="6767"/>
    <cellStyle name="40% - 强调文字颜色 2 2 6 2 2 2" xfId="483"/>
    <cellStyle name="40% - 强调文字颜色 2 2 6 2 3" xfId="6772"/>
    <cellStyle name="40% - 强调文字颜色 2 2 6 3" xfId="5194"/>
    <cellStyle name="40% - 强调文字颜色 2 2 6 3 2" xfId="6232"/>
    <cellStyle name="40% - 强调文字颜色 2 2 6 4" xfId="6774"/>
    <cellStyle name="40% - 强调文字颜色 2 2 7" xfId="375"/>
    <cellStyle name="40% - 强调文字颜色 2 2 7 2" xfId="381"/>
    <cellStyle name="40% - 强调文字颜色 2 2 7 2 2" xfId="1676"/>
    <cellStyle name="40% - 强调文字颜色 2 2 7 3" xfId="1746"/>
    <cellStyle name="40% - 强调文字颜色 2 2 8" xfId="2109"/>
    <cellStyle name="40% - 强调文字颜色 2 2 8 2" xfId="2117"/>
    <cellStyle name="40% - 强调文字颜色 2 2 8 2 2" xfId="2121"/>
    <cellStyle name="40% - 强调文字颜色 2 2 8 3" xfId="2187"/>
    <cellStyle name="40% - 强调文字颜色 2 2 9" xfId="2242"/>
    <cellStyle name="40% - 强调文字颜色 2 2 9 2" xfId="2247"/>
    <cellStyle name="40% - 强调文字颜色 2 3" xfId="398"/>
    <cellStyle name="40% - 强调文字颜色 2 3 2" xfId="6776"/>
    <cellStyle name="40% - 强调文字颜色 3 2" xfId="587"/>
    <cellStyle name="40% - 强调文字颜色 3 2 10" xfId="6779"/>
    <cellStyle name="40% - 强调文字颜色 3 2 10 2" xfId="6781"/>
    <cellStyle name="40% - 强调文字颜色 3 2 11" xfId="6783"/>
    <cellStyle name="40% - 强调文字颜色 3 2 11 2" xfId="6785"/>
    <cellStyle name="40% - 强调文字颜色 3 2 2" xfId="597"/>
    <cellStyle name="40% - 强调文字颜色 3 2 2 2" xfId="6786"/>
    <cellStyle name="40% - 强调文字颜色 3 2 2 2 2" xfId="6787"/>
    <cellStyle name="40% - 强调文字颜色 3 2 2 2 2 2" xfId="6789"/>
    <cellStyle name="40% - 强调文字颜色 3 2 2 2 2 2 2" xfId="6790"/>
    <cellStyle name="40% - 强调文字颜色 3 2 2 2 2 2 2 2" xfId="6791"/>
    <cellStyle name="40% - 强调文字颜色 3 2 2 2 2 2 2 2 2" xfId="4506"/>
    <cellStyle name="40% - 强调文字颜色 3 2 2 2 2 2 2 3" xfId="4020"/>
    <cellStyle name="40% - 强调文字颜色 3 2 2 2 2 2 3" xfId="6792"/>
    <cellStyle name="40% - 强调文字颜色 3 2 2 2 2 2 3 2" xfId="6795"/>
    <cellStyle name="40% - 强调文字颜色 3 2 2 2 2 2 4" xfId="6797"/>
    <cellStyle name="40% - 强调文字颜色 3 2 2 2 2 2 4 2" xfId="6799"/>
    <cellStyle name="40% - 强调文字颜色 3 2 2 2 2 2 5" xfId="6800"/>
    <cellStyle name="40% - 强调文字颜色 3 2 2 2 2 3" xfId="6803"/>
    <cellStyle name="40% - 强调文字颜色 3 2 2 2 2 3 2" xfId="6804"/>
    <cellStyle name="40% - 强调文字颜色 3 2 2 2 2 3 2 2" xfId="6809"/>
    <cellStyle name="40% - 强调文字颜色 3 2 2 2 2 3 3" xfId="6812"/>
    <cellStyle name="40% - 强调文字颜色 3 2 2 2 2 4" xfId="3066"/>
    <cellStyle name="40% - 强调文字颜色 3 2 2 2 2 4 2" xfId="6817"/>
    <cellStyle name="40% - 强调文字颜色 3 2 2 2 2 4 2 2" xfId="6823"/>
    <cellStyle name="40% - 强调文字颜色 3 2 2 2 2 4 3" xfId="6828"/>
    <cellStyle name="40% - 强调文字颜色 3 2 2 2 2 5" xfId="6832"/>
    <cellStyle name="40% - 强调文字颜色 3 2 2 2 2 5 2" xfId="6837"/>
    <cellStyle name="40% - 强调文字颜色 3 2 2 2 2 6" xfId="6841"/>
    <cellStyle name="40% - 强调文字颜色 3 2 2 2 2 6 2" xfId="6848"/>
    <cellStyle name="40% - 强调文字颜色 3 2 2 2 2 7" xfId="6851"/>
    <cellStyle name="40% - 强调文字颜色 3 2 2 2 2 8" xfId="6853"/>
    <cellStyle name="40% - 强调文字颜色 3 2 2 2 3" xfId="6855"/>
    <cellStyle name="40% - 强调文字颜色 3 2 2 2 3 2" xfId="6856"/>
    <cellStyle name="40% - 强调文字颜色 3 2 2 2 3 2 2" xfId="6857"/>
    <cellStyle name="40% - 强调文字颜色 3 2 2 2 3 2 2 2" xfId="6858"/>
    <cellStyle name="40% - 强调文字颜色 3 2 2 2 3 2 3" xfId="6301"/>
    <cellStyle name="40% - 强调文字颜色 3 2 2 2 3 3" xfId="6859"/>
    <cellStyle name="40% - 强调文字颜色 3 2 2 2 3 3 2" xfId="6860"/>
    <cellStyle name="40% - 强调文字颜色 3 2 2 2 3 4" xfId="3189"/>
    <cellStyle name="40% - 强调文字颜色 3 2 2 2 4" xfId="6861"/>
    <cellStyle name="40% - 强调文字颜色 3 2 2 2 4 2" xfId="6862"/>
    <cellStyle name="40% - 强调文字颜色 3 2 2 2 4 2 2" xfId="5690"/>
    <cellStyle name="40% - 强调文字颜色 3 2 2 2 4 3" xfId="6863"/>
    <cellStyle name="40% - 强调文字颜色 3 2 2 2 5" xfId="111"/>
    <cellStyle name="40% - 强调文字颜色 3 2 2 2 5 2" xfId="6864"/>
    <cellStyle name="40% - 强调文字颜色 3 2 2 2 5 2 2" xfId="6280"/>
    <cellStyle name="40% - 强调文字颜色 3 2 2 2 5 3" xfId="6865"/>
    <cellStyle name="40% - 强调文字颜色 3 2 2 2 6" xfId="6866"/>
    <cellStyle name="40% - 强调文字颜色 3 2 2 2 6 2" xfId="6867"/>
    <cellStyle name="40% - 强调文字颜色 3 2 2 2 7" xfId="6868"/>
    <cellStyle name="40% - 强调文字颜色 3 2 2 2 7 2" xfId="6761"/>
    <cellStyle name="40% - 强调文字颜色 3 2 2 3" xfId="5244"/>
    <cellStyle name="40% - 强调文字颜色 3 2 2 3 2" xfId="2558"/>
    <cellStyle name="40% - 强调文字颜色 3 2 2 3 2 2" xfId="6869"/>
    <cellStyle name="40% - 强调文字颜色 3 2 2 3 2 2 2" xfId="6871"/>
    <cellStyle name="40% - 强调文字颜色 3 2 2 3 2 2 2 2" xfId="3312"/>
    <cellStyle name="40% - 强调文字颜色 3 2 2 3 2 2 2 2 2" xfId="3315"/>
    <cellStyle name="40% - 强调文字颜色 3 2 2 3 2 2 2 2 2 2" xfId="2398"/>
    <cellStyle name="40% - 强调文字颜色 3 2 2 3 2 2 2 2 3" xfId="3319"/>
    <cellStyle name="40% - 强调文字颜色 3 2 2 3 2 2 2 3" xfId="3321"/>
    <cellStyle name="40% - 强调文字颜色 3 2 2 3 2 2 2 3 2" xfId="3328"/>
    <cellStyle name="40% - 强调文字颜色 3 2 2 3 2 2 2 4" xfId="3340"/>
    <cellStyle name="40% - 强调文字颜色 3 2 2 3 2 2 2 4 2" xfId="3346"/>
    <cellStyle name="40% - 强调文字颜色 3 2 2 3 2 2 2 5" xfId="3349"/>
    <cellStyle name="40% - 强调文字颜色 3 2 2 3 2 2 3" xfId="6872"/>
    <cellStyle name="40% - 强调文字颜色 3 2 2 3 2 2 3 2" xfId="3367"/>
    <cellStyle name="40% - 强调文字颜色 3 2 2 3 2 2 3 2 2" xfId="3369"/>
    <cellStyle name="40% - 强调文字颜色 3 2 2 3 2 2 3 3" xfId="3373"/>
    <cellStyle name="40% - 强调文字颜色 3 2 2 3 2 2 4" xfId="6874"/>
    <cellStyle name="40% - 强调文字颜色 3 2 2 3 2 2 4 2" xfId="2174"/>
    <cellStyle name="40% - 强调文字颜色 3 2 2 3 2 2 4 2 2" xfId="2180"/>
    <cellStyle name="40% - 强调文字颜色 3 2 2 3 2 2 4 3" xfId="2182"/>
    <cellStyle name="40% - 强调文字颜色 3 2 2 3 2 2 5" xfId="6876"/>
    <cellStyle name="40% - 强调文字颜色 3 2 2 3 2 2 5 2" xfId="3385"/>
    <cellStyle name="40% - 强调文字颜色 3 2 2 3 2 2 6" xfId="6879"/>
    <cellStyle name="40% - 强调文字颜色 3 2 2 3 2 2 6 2" xfId="6880"/>
    <cellStyle name="40% - 强调文字颜色 3 2 2 3 2 2 7" xfId="6882"/>
    <cellStyle name="40% - 强调文字颜色 3 2 2 3 2 2 8" xfId="6883"/>
    <cellStyle name="40% - 强调文字颜色 3 2 2 3 2 3" xfId="6884"/>
    <cellStyle name="40% - 强调文字颜色 3 2 2 3 2 3 2" xfId="6885"/>
    <cellStyle name="40% - 强调文字颜色 3 2 2 3 2 3 2 2" xfId="6886"/>
    <cellStyle name="40% - 强调文字颜色 3 2 2 3 2 3 2 2 2" xfId="6889"/>
    <cellStyle name="40% - 强调文字颜色 3 2 2 3 2 3 2 3" xfId="6890"/>
    <cellStyle name="40% - 强调文字颜色 3 2 2 3 2 3 3" xfId="6893"/>
    <cellStyle name="40% - 强调文字颜色 3 2 2 3 2 3 3 2" xfId="6895"/>
    <cellStyle name="40% - 强调文字颜色 3 2 2 3 2 3 4" xfId="2822"/>
    <cellStyle name="40% - 强调文字颜色 3 2 2 3 2 4" xfId="6897"/>
    <cellStyle name="40% - 强调文字颜色 3 2 2 3 2 4 2" xfId="2593"/>
    <cellStyle name="40% - 强调文字颜色 3 2 2 3 2 4 2 2" xfId="2596"/>
    <cellStyle name="40% - 强调文字颜色 3 2 2 3 2 4 3" xfId="5001"/>
    <cellStyle name="40% - 强调文字颜色 3 2 2 3 2 5" xfId="6899"/>
    <cellStyle name="40% - 强调文字颜色 3 2 2 3 2 5 2" xfId="3393"/>
    <cellStyle name="40% - 强调文字颜色 3 2 2 3 2 5 2 2" xfId="3397"/>
    <cellStyle name="40% - 强调文字颜色 3 2 2 3 2 5 3" xfId="6900"/>
    <cellStyle name="40% - 强调文字颜色 3 2 2 3 2 6" xfId="6901"/>
    <cellStyle name="40% - 强调文字颜色 3 2 2 3 2 6 2" xfId="4298"/>
    <cellStyle name="40% - 强调文字颜色 3 2 2 3 2 7" xfId="6846"/>
    <cellStyle name="40% - 强调文字颜色 3 2 2 3 2 7 2" xfId="4963"/>
    <cellStyle name="40% - 强调文字颜色 3 2 2 3 3" xfId="6903"/>
    <cellStyle name="40% - 强调文字颜色 3 2 2 3 3 2" xfId="530"/>
    <cellStyle name="40% - 强调文字颜色 3 2 2 3 3 2 2" xfId="5273"/>
    <cellStyle name="40% - 强调文字颜色 3 2 2 3 3 2 2 2" xfId="4235"/>
    <cellStyle name="40% - 强调文字颜色 3 2 2 3 3 2 2 2 2" xfId="4238"/>
    <cellStyle name="40% - 强调文字颜色 3 2 2 3 3 2 2 3" xfId="4242"/>
    <cellStyle name="40% - 强调文字颜色 3 2 2 3 3 2 3" xfId="6905"/>
    <cellStyle name="40% - 强调文字颜色 3 2 2 3 3 2 3 2" xfId="4270"/>
    <cellStyle name="40% - 强调文字颜色 3 2 2 3 3 2 4" xfId="6908"/>
    <cellStyle name="40% - 强调文字颜色 3 2 2 3 3 2 4 2" xfId="4287"/>
    <cellStyle name="40% - 强调文字颜色 3 2 2 3 3 2 5" xfId="6909"/>
    <cellStyle name="40% - 强调文字颜色 3 2 2 3 3 3" xfId="538"/>
    <cellStyle name="40% - 强调文字颜色 3 2 2 3 3 3 2" xfId="5278"/>
    <cellStyle name="40% - 强调文字颜色 3 2 2 3 3 3 2 2" xfId="4485"/>
    <cellStyle name="40% - 强调文字颜色 3 2 2 3 3 3 3" xfId="6910"/>
    <cellStyle name="40% - 强调文字颜色 3 2 2 3 3 4" xfId="9"/>
    <cellStyle name="40% - 强调文字颜色 3 2 2 3 3 4 2" xfId="6911"/>
    <cellStyle name="40% - 强调文字颜色 3 2 2 3 3 4 2 2" xfId="4706"/>
    <cellStyle name="40% - 强调文字颜色 3 2 2 3 3 4 3" xfId="6912"/>
    <cellStyle name="40% - 强调文字颜色 3 2 2 3 3 5" xfId="6914"/>
    <cellStyle name="40% - 强调文字颜色 3 2 2 3 3 5 2" xfId="6915"/>
    <cellStyle name="40% - 强调文字颜色 3 2 2 3 3 6" xfId="6917"/>
    <cellStyle name="40% - 强调文字颜色 3 2 2 3 3 6 2" xfId="6919"/>
    <cellStyle name="40% - 强调文字颜色 3 2 2 3 3 7" xfId="6922"/>
    <cellStyle name="40% - 强调文字颜色 3 2 2 3 3 8" xfId="2220"/>
    <cellStyle name="40% - 强调文字颜色 3 2 2 3 4" xfId="6924"/>
    <cellStyle name="40% - 强调文字颜色 3 2 2 3 4 2" xfId="6925"/>
    <cellStyle name="40% - 强调文字颜色 3 2 2 3 4 2 2" xfId="6926"/>
    <cellStyle name="40% - 强调文字颜色 3 2 2 3 4 2 2 2" xfId="4909"/>
    <cellStyle name="40% - 强调文字颜色 3 2 2 3 4 2 3" xfId="6930"/>
    <cellStyle name="40% - 强调文字颜色 3 2 2 3 4 3" xfId="6934"/>
    <cellStyle name="40% - 强调文字颜色 3 2 2 3 4 3 2" xfId="6935"/>
    <cellStyle name="40% - 强调文字颜色 3 2 2 3 4 4" xfId="6937"/>
    <cellStyle name="40% - 强调文字颜色 3 2 2 3 5" xfId="6938"/>
    <cellStyle name="40% - 强调文字颜色 3 2 2 3 5 2" xfId="5487"/>
    <cellStyle name="40% - 强调文字颜色 3 2 2 3 5 2 2" xfId="5492"/>
    <cellStyle name="40% - 强调文字颜色 3 2 2 3 5 3" xfId="6939"/>
    <cellStyle name="40% - 强调文字颜色 3 2 2 3 6" xfId="6941"/>
    <cellStyle name="40% - 强调文字颜色 3 2 2 3 6 2" xfId="6942"/>
    <cellStyle name="40% - 强调文字颜色 3 2 2 3 6 2 2" xfId="6945"/>
    <cellStyle name="40% - 强调文字颜色 3 2 2 3 6 3" xfId="6947"/>
    <cellStyle name="40% - 强调文字颜色 3 2 2 3 7" xfId="6949"/>
    <cellStyle name="40% - 强调文字颜色 3 2 2 3 7 2" xfId="6954"/>
    <cellStyle name="40% - 强调文字颜色 3 2 2 3 8" xfId="6957"/>
    <cellStyle name="40% - 强调文字颜色 3 2 2 3 8 2" xfId="6961"/>
    <cellStyle name="40% - 强调文字颜色 3 2 2 4" xfId="6963"/>
    <cellStyle name="40% - 强调文字颜色 3 2 2 4 2" xfId="6964"/>
    <cellStyle name="40% - 强调文字颜色 3 2 2 4 2 2" xfId="6965"/>
    <cellStyle name="40% - 强调文字颜色 3 2 2 4 2 2 2" xfId="6966"/>
    <cellStyle name="40% - 强调文字颜色 3 2 2 4 2 2 2 2" xfId="6967"/>
    <cellStyle name="40% - 强调文字颜色 3 2 2 4 2 2 3" xfId="6968"/>
    <cellStyle name="40% - 强调文字颜色 3 2 2 4 2 3" xfId="2640"/>
    <cellStyle name="40% - 强调文字颜色 3 2 2 4 2 3 2" xfId="6510"/>
    <cellStyle name="40% - 强调文字颜色 3 2 2 4 2 4" xfId="6515"/>
    <cellStyle name="40% - 强调文字颜色 3 2 2 4 2 4 2" xfId="5542"/>
    <cellStyle name="40% - 强调文字颜色 3 2 2 4 2 5" xfId="6518"/>
    <cellStyle name="40% - 强调文字颜色 3 2 2 4 3" xfId="6216"/>
    <cellStyle name="40% - 强调文字颜色 3 2 2 4 3 2" xfId="6218"/>
    <cellStyle name="40% - 强调文字颜色 3 2 2 4 3 2 2" xfId="2441"/>
    <cellStyle name="40% - 强调文字颜色 3 2 2 4 3 3" xfId="6523"/>
    <cellStyle name="40% - 强调文字颜色 3 2 2 4 4" xfId="6221"/>
    <cellStyle name="40% - 强调文字颜色 3 2 2 4 4 2" xfId="6969"/>
    <cellStyle name="40% - 强调文字颜色 3 2 2 4 4 2 2" xfId="6970"/>
    <cellStyle name="40% - 强调文字颜色 3 2 2 4 4 3" xfId="6528"/>
    <cellStyle name="40% - 强调文字颜色 3 2 2 4 5" xfId="6973"/>
    <cellStyle name="40% - 强调文字颜色 3 2 2 4 5 2" xfId="6974"/>
    <cellStyle name="40% - 强调文字颜色 3 2 2 4 6" xfId="4645"/>
    <cellStyle name="40% - 强调文字颜色 3 2 2 4 6 2" xfId="6977"/>
    <cellStyle name="40% - 强调文字颜色 3 2 2 4 7" xfId="6979"/>
    <cellStyle name="40% - 强调文字颜色 3 2 2 4 8" xfId="6981"/>
    <cellStyle name="40% - 强调文字颜色 3 2 2 5" xfId="6983"/>
    <cellStyle name="40% - 强调文字颜色 3 2 2 5 2" xfId="5298"/>
    <cellStyle name="40% - 强调文字颜色 3 2 2 5 2 2" xfId="5301"/>
    <cellStyle name="40% - 强调文字颜色 3 2 2 5 2 2 2" xfId="5305"/>
    <cellStyle name="40% - 强调文字颜色 3 2 2 5 2 3" xfId="5307"/>
    <cellStyle name="40% - 强调文字颜色 3 2 2 5 3" xfId="5312"/>
    <cellStyle name="40% - 强调文字颜色 3 2 2 5 3 2" xfId="5316"/>
    <cellStyle name="40% - 强调文字颜色 3 2 2 5 4" xfId="5320"/>
    <cellStyle name="40% - 强调文字颜色 3 2 2 6" xfId="6985"/>
    <cellStyle name="40% - 强调文字颜色 3 2 2 6 2" xfId="5332"/>
    <cellStyle name="40% - 强调文字颜色 3 2 2 6 2 2" xfId="4543"/>
    <cellStyle name="40% - 强调文字颜色 3 2 2 6 3" xfId="6227"/>
    <cellStyle name="40% - 强调文字颜色 3 2 2 7" xfId="3048"/>
    <cellStyle name="40% - 强调文字颜色 3 2 2 7 2" xfId="6990"/>
    <cellStyle name="40% - 强调文字颜色 3 2 2 7 2 2" xfId="6992"/>
    <cellStyle name="40% - 强调文字颜色 3 2 2 7 3" xfId="6637"/>
    <cellStyle name="40% - 强调文字颜色 3 2 2 8" xfId="6994"/>
    <cellStyle name="40% - 强调文字颜色 3 2 2 8 2" xfId="6996"/>
    <cellStyle name="40% - 强调文字颜色 3 2 2 9" xfId="6997"/>
    <cellStyle name="40% - 强调文字颜色 3 2 2 9 2" xfId="6999"/>
    <cellStyle name="40% - 强调文字颜色 3 2 3" xfId="7000"/>
    <cellStyle name="40% - 强调文字颜色 3 2 3 2" xfId="7001"/>
    <cellStyle name="40% - 强调文字颜色 3 2 3 2 2" xfId="7003"/>
    <cellStyle name="40% - 强调文字颜色 3 2 3 2 2 2" xfId="948"/>
    <cellStyle name="40% - 强调文字颜色 3 2 3 2 2 2 2" xfId="6449"/>
    <cellStyle name="40% - 强调文字颜色 3 2 3 2 2 2 2 2" xfId="6451"/>
    <cellStyle name="40% - 强调文字颜色 3 2 3 2 2 2 3" xfId="6260"/>
    <cellStyle name="40% - 强调文字颜色 3 2 3 2 2 3" xfId="1467"/>
    <cellStyle name="40% - 强调文字颜色 3 2 3 2 2 3 2" xfId="6456"/>
    <cellStyle name="40% - 强调文字颜色 3 2 3 2 2 4" xfId="6463"/>
    <cellStyle name="40% - 强调文字颜色 3 2 3 2 2 4 2" xfId="6467"/>
    <cellStyle name="40% - 强调文字颜色 3 2 3 2 2 5" xfId="6472"/>
    <cellStyle name="40% - 强调文字颜色 3 2 3 2 3" xfId="7005"/>
    <cellStyle name="40% - 强调文字颜色 3 2 3 2 3 2" xfId="6482"/>
    <cellStyle name="40% - 强调文字颜色 3 2 3 2 3 2 2" xfId="5029"/>
    <cellStyle name="40% - 强调文字颜色 3 2 3 2 3 3" xfId="7006"/>
    <cellStyle name="40% - 强调文字颜色 3 2 3 2 4" xfId="7007"/>
    <cellStyle name="40% - 强调文字颜色 3 2 3 2 4 2" xfId="7008"/>
    <cellStyle name="40% - 强调文字颜色 3 2 3 2 4 2 2" xfId="682"/>
    <cellStyle name="40% - 强调文字颜色 3 2 3 2 4 3" xfId="7010"/>
    <cellStyle name="40% - 强调文字颜色 3 2 3 2 5" xfId="7012"/>
    <cellStyle name="40% - 强调文字颜色 3 2 3 2 5 2" xfId="7013"/>
    <cellStyle name="40% - 强调文字颜色 3 2 3 2 6" xfId="7014"/>
    <cellStyle name="40% - 强调文字颜色 3 2 3 2 6 2" xfId="7015"/>
    <cellStyle name="40% - 强调文字颜色 3 2 3 2 7" xfId="4655"/>
    <cellStyle name="40% - 强调文字颜色 3 2 3 2 8" xfId="4699"/>
    <cellStyle name="40% - 强调文字颜色 3 2 3 3" xfId="7017"/>
    <cellStyle name="40% - 强调文字颜色 3 2 3 3 2" xfId="7018"/>
    <cellStyle name="40% - 强调文字颜色 3 2 3 3 2 2" xfId="2643"/>
    <cellStyle name="40% - 强调文字颜色 3 2 3 3 2 2 2" xfId="6522"/>
    <cellStyle name="40% - 强调文字颜色 3 2 3 3 2 3" xfId="6525"/>
    <cellStyle name="40% - 强调文字颜色 3 2 3 3 3" xfId="7019"/>
    <cellStyle name="40% - 强调文字颜色 3 2 3 3 3 2" xfId="5778"/>
    <cellStyle name="40% - 强调文字颜色 3 2 3 3 4" xfId="7020"/>
    <cellStyle name="40% - 强调文字颜色 3 2 3 4" xfId="2125"/>
    <cellStyle name="40% - 强调文字颜色 3 2 3 4 2" xfId="2127"/>
    <cellStyle name="40% - 强调文字颜色 3 2 3 4 2 2" xfId="6572"/>
    <cellStyle name="40% - 强调文字颜色 3 2 3 4 3" xfId="1001"/>
    <cellStyle name="40% - 强调文字颜色 3 2 3 5" xfId="2129"/>
    <cellStyle name="40% - 强调文字颜色 3 2 3 5 2" xfId="5396"/>
    <cellStyle name="40% - 强调文字颜色 3 2 3 5 2 2" xfId="5399"/>
    <cellStyle name="40% - 强调文字颜色 3 2 3 5 3" xfId="5406"/>
    <cellStyle name="40% - 强调文字颜色 3 2 3 6" xfId="7021"/>
    <cellStyle name="40% - 强调文字颜色 3 2 3 6 2" xfId="5438"/>
    <cellStyle name="40% - 强调文字颜色 3 2 3 7" xfId="7023"/>
    <cellStyle name="40% - 强调文字颜色 3 2 3 7 2" xfId="5466"/>
    <cellStyle name="40% - 强调文字颜色 3 2 4" xfId="7025"/>
    <cellStyle name="40% - 强调文字颜色 3 2 4 2" xfId="7027"/>
    <cellStyle name="40% - 强调文字颜色 3 2 4 2 2" xfId="7030"/>
    <cellStyle name="40% - 强调文字颜色 3 2 4 2 2 2" xfId="6112"/>
    <cellStyle name="40% - 强调文字颜色 3 2 4 2 2 2 2" xfId="6116"/>
    <cellStyle name="40% - 强调文字颜色 3 2 4 2 2 2 2 2" xfId="7031"/>
    <cellStyle name="40% - 强调文字颜色 3 2 4 2 2 2 2 2 2" xfId="5663"/>
    <cellStyle name="40% - 强调文字颜色 3 2 4 2 2 2 2 3" xfId="7034"/>
    <cellStyle name="40% - 强调文字颜色 3 2 4 2 2 2 3" xfId="6311"/>
    <cellStyle name="40% - 强调文字颜色 3 2 4 2 2 2 3 2" xfId="7038"/>
    <cellStyle name="40% - 强调文字颜色 3 2 4 2 2 2 4" xfId="7041"/>
    <cellStyle name="40% - 强调文字颜色 3 2 4 2 2 2 4 2" xfId="7043"/>
    <cellStyle name="40% - 强调文字颜色 3 2 4 2 2 2 5" xfId="7045"/>
    <cellStyle name="40% - 强调文字颜色 3 2 4 2 2 3" xfId="3496"/>
    <cellStyle name="40% - 强调文字颜色 3 2 4 2 2 3 2" xfId="7048"/>
    <cellStyle name="40% - 强调文字颜色 3 2 4 2 2 3 2 2" xfId="1724"/>
    <cellStyle name="40% - 强调文字颜色 3 2 4 2 2 3 3" xfId="5480"/>
    <cellStyle name="40% - 强调文字颜色 3 2 4 2 2 4" xfId="6122"/>
    <cellStyle name="40% - 强调文字颜色 3 2 4 2 2 4 2" xfId="7052"/>
    <cellStyle name="40% - 强调文字颜色 3 2 4 2 2 4 2 2" xfId="1854"/>
    <cellStyle name="40% - 强调文字颜色 3 2 4 2 2 4 3" xfId="7055"/>
    <cellStyle name="40% - 强调文字颜色 3 2 4 2 2 5" xfId="3561"/>
    <cellStyle name="40% - 强调文字颜色 3 2 4 2 2 5 2" xfId="3573"/>
    <cellStyle name="40% - 强调文字颜色 3 2 4 2 2 6" xfId="3582"/>
    <cellStyle name="40% - 强调文字颜色 3 2 4 2 2 6 2" xfId="339"/>
    <cellStyle name="40% - 强调文字颜色 3 2 4 2 2 7" xfId="4042"/>
    <cellStyle name="40% - 强调文字颜色 3 2 4 2 2 8" xfId="4067"/>
    <cellStyle name="40% - 强调文字颜色 3 2 4 2 3" xfId="7058"/>
    <cellStyle name="40% - 强调文字颜色 3 2 4 2 3 2" xfId="7059"/>
    <cellStyle name="40% - 强调文字颜色 3 2 4 2 3 2 2" xfId="7060"/>
    <cellStyle name="40% - 强调文字颜色 3 2 4 2 3 2 2 2" xfId="7062"/>
    <cellStyle name="40% - 强调文字颜色 3 2 4 2 3 2 3" xfId="7065"/>
    <cellStyle name="40% - 强调文字颜色 3 2 4 2 3 3" xfId="3508"/>
    <cellStyle name="40% - 强调文字颜色 3 2 4 2 3 3 2" xfId="5349"/>
    <cellStyle name="40% - 强调文字颜色 3 2 4 2 3 4" xfId="5354"/>
    <cellStyle name="40% - 强调文字颜色 3 2 4 2 4" xfId="7067"/>
    <cellStyle name="40% - 强调文字颜色 3 2 4 2 4 2" xfId="5340"/>
    <cellStyle name="40% - 强调文字颜色 3 2 4 2 4 2 2" xfId="5342"/>
    <cellStyle name="40% - 强调文字颜色 3 2 4 2 4 3" xfId="5358"/>
    <cellStyle name="40% - 强调文字颜色 3 2 4 2 5" xfId="7068"/>
    <cellStyle name="40% - 强调文字颜色 3 2 4 2 5 2" xfId="7069"/>
    <cellStyle name="40% - 强调文字颜色 3 2 4 2 5 2 2" xfId="1689"/>
    <cellStyle name="40% - 强调文字颜色 3 2 4 2 5 3" xfId="5368"/>
    <cellStyle name="40% - 强调文字颜色 3 2 4 2 6" xfId="7070"/>
    <cellStyle name="40% - 强调文字颜色 3 2 4 2 6 2" xfId="7071"/>
    <cellStyle name="40% - 强调文字颜色 3 2 4 2 7" xfId="7072"/>
    <cellStyle name="40% - 强调文字颜色 3 2 4 2 7 2" xfId="7073"/>
    <cellStyle name="40% - 强调文字颜色 3 2 4 3" xfId="7074"/>
    <cellStyle name="40% - 强调文字颜色 3 2 4 3 2" xfId="7076"/>
    <cellStyle name="40% - 强调文字颜色 3 2 4 3 2 2" xfId="2826"/>
    <cellStyle name="40% - 强调文字颜色 3 2 4 3 2 2 2" xfId="2832"/>
    <cellStyle name="40% - 强调文字颜色 3 2 4 3 2 2 2 2" xfId="7077"/>
    <cellStyle name="40% - 强调文字颜色 3 2 4 3 2 2 3" xfId="7078"/>
    <cellStyle name="40% - 强调文字颜色 3 2 4 3 2 3" xfId="2835"/>
    <cellStyle name="40% - 强调文字颜色 3 2 4 3 2 3 2" xfId="2838"/>
    <cellStyle name="40% - 强调文字颜色 3 2 4 3 2 4" xfId="2840"/>
    <cellStyle name="40% - 强调文字颜色 3 2 4 3 2 4 2" xfId="7080"/>
    <cellStyle name="40% - 强调文字颜色 3 2 4 3 2 5" xfId="2846"/>
    <cellStyle name="40% - 强调文字颜色 3 2 4 3 3" xfId="7081"/>
    <cellStyle name="40% - 强调文字颜色 3 2 4 3 3 2" xfId="1113"/>
    <cellStyle name="40% - 强调文字颜色 3 2 4 3 3 2 2" xfId="1119"/>
    <cellStyle name="40% - 强调文字颜色 3 2 4 3 3 3" xfId="1128"/>
    <cellStyle name="40% - 强调文字颜色 3 2 4 3 4" xfId="7082"/>
    <cellStyle name="40% - 强调文字颜色 3 2 4 3 4 2" xfId="1356"/>
    <cellStyle name="40% - 强调文字颜色 3 2 4 3 4 2 2" xfId="1364"/>
    <cellStyle name="40% - 强调文字颜色 3 2 4 3 4 3" xfId="1371"/>
    <cellStyle name="40% - 强调文字颜色 3 2 4 3 5" xfId="7084"/>
    <cellStyle name="40% - 强调文字颜色 3 2 4 3 5 2" xfId="1440"/>
    <cellStyle name="40% - 强调文字颜色 3 2 4 3 6" xfId="7086"/>
    <cellStyle name="40% - 强调文字颜色 3 2 4 3 6 2" xfId="1578"/>
    <cellStyle name="40% - 强调文字颜色 3 2 4 3 7" xfId="7088"/>
    <cellStyle name="40% - 强调文字颜色 3 2 4 3 8" xfId="7092"/>
    <cellStyle name="40% - 强调文字颜色 3 2 4 4" xfId="2133"/>
    <cellStyle name="40% - 强调文字颜色 3 2 4 4 2" xfId="7096"/>
    <cellStyle name="40% - 强调文字颜色 3 2 4 4 2 2" xfId="2880"/>
    <cellStyle name="40% - 强调文字颜色 3 2 4 4 2 2 2" xfId="6139"/>
    <cellStyle name="40% - 强调文字颜色 3 2 4 4 2 3" xfId="7097"/>
    <cellStyle name="40% - 强调文字颜色 3 2 4 4 3" xfId="6236"/>
    <cellStyle name="40% - 强调文字颜色 3 2 4 4 3 2" xfId="7099"/>
    <cellStyle name="40% - 强调文字颜色 3 2 4 4 4" xfId="7100"/>
    <cellStyle name="40% - 强调文字颜色 3 2 4 5" xfId="7102"/>
    <cellStyle name="40% - 强调文字颜色 3 2 4 5 2" xfId="2325"/>
    <cellStyle name="40% - 强调文字颜色 3 2 4 5 2 2" xfId="7104"/>
    <cellStyle name="40% - 强调文字颜色 3 2 4 5 3" xfId="2328"/>
    <cellStyle name="40% - 强调文字颜色 3 2 4 6" xfId="7105"/>
    <cellStyle name="40% - 强调文字颜色 3 2 4 6 2" xfId="7107"/>
    <cellStyle name="40% - 强调文字颜色 3 2 4 6 2 2" xfId="7110"/>
    <cellStyle name="40% - 强调文字颜色 3 2 4 6 3" xfId="6664"/>
    <cellStyle name="40% - 强调文字颜色 3 2 4 7" xfId="7112"/>
    <cellStyle name="40% - 强调文字颜色 3 2 4 7 2" xfId="5234"/>
    <cellStyle name="40% - 强调文字颜色 3 2 4 8" xfId="7115"/>
    <cellStyle name="40% - 强调文字颜色 3 2 4 8 2" xfId="7116"/>
    <cellStyle name="40% - 强调文字颜色 3 2 5" xfId="7118"/>
    <cellStyle name="40% - 强调文字颜色 3 2 5 2" xfId="7120"/>
    <cellStyle name="40% - 强调文字颜色 3 2 5 2 2" xfId="7122"/>
    <cellStyle name="40% - 强调文字颜色 3 2 5 2 2 2" xfId="6641"/>
    <cellStyle name="40% - 强调文字颜色 3 2 5 2 2 2 2" xfId="6643"/>
    <cellStyle name="40% - 强调文字颜色 3 2 5 2 2 3" xfId="3441"/>
    <cellStyle name="40% - 强调文字颜色 3 2 5 2 3" xfId="925"/>
    <cellStyle name="40% - 强调文字颜色 3 2 5 2 3 2" xfId="6656"/>
    <cellStyle name="40% - 强调文字颜色 3 2 5 2 4" xfId="7123"/>
    <cellStyle name="40% - 强调文字颜色 3 2 5 3" xfId="7125"/>
    <cellStyle name="40% - 强调文字颜色 3 2 5 3 2" xfId="7127"/>
    <cellStyle name="40% - 强调文字颜色 3 2 5 3 2 2" xfId="1870"/>
    <cellStyle name="40% - 强调文字颜色 3 2 5 3 3" xfId="6127"/>
    <cellStyle name="40% - 强调文字颜色 3 2 5 4" xfId="2139"/>
    <cellStyle name="40% - 强调文字颜色 3 2 5 4 2" xfId="3140"/>
    <cellStyle name="40% - 强调文字颜色 3 2 5 4 2 2" xfId="2202"/>
    <cellStyle name="40% - 强调文字颜色 3 2 5 4 3" xfId="3143"/>
    <cellStyle name="40% - 强调文字颜色 3 2 5 5" xfId="3146"/>
    <cellStyle name="40% - 强调文字颜色 3 2 5 5 2" xfId="3149"/>
    <cellStyle name="40% - 强调文字颜色 3 2 5 6" xfId="3151"/>
    <cellStyle name="40% - 强调文字颜色 3 2 5 7" xfId="3156"/>
    <cellStyle name="40% - 强调文字颜色 3 2 6" xfId="6952"/>
    <cellStyle name="40% - 强调文字颜色 3 2 6 2" xfId="752"/>
    <cellStyle name="40% - 强调文字颜色 3 2 6 2 2" xfId="1446"/>
    <cellStyle name="40% - 强调文字颜色 3 2 6 2 2 2" xfId="17"/>
    <cellStyle name="40% - 强调文字颜色 3 2 6 2 3" xfId="1529"/>
    <cellStyle name="40% - 强调文字颜色 3 2 6 3" xfId="1586"/>
    <cellStyle name="40% - 强调文字颜色 3 2 6 3 2" xfId="439"/>
    <cellStyle name="40% - 强调文字颜色 3 2 6 4" xfId="1608"/>
    <cellStyle name="40% - 强调文字颜色 3 2 7" xfId="2606"/>
    <cellStyle name="40% - 强调文字颜色 3 2 7 2" xfId="2611"/>
    <cellStyle name="40% - 强调文字颜色 3 2 7 2 2" xfId="2615"/>
    <cellStyle name="40% - 强调文字颜色 3 2 7 3" xfId="2771"/>
    <cellStyle name="40% - 强调文字颜色 3 2 8" xfId="3072"/>
    <cellStyle name="40% - 强调文字颜色 3 2 8 2" xfId="3078"/>
    <cellStyle name="40% - 强调文字颜色 3 2 8 2 2" xfId="3082"/>
    <cellStyle name="40% - 强调文字颜色 3 2 8 3" xfId="3113"/>
    <cellStyle name="40% - 强调文字颜色 3 2 9" xfId="3132"/>
    <cellStyle name="40% - 强调文字颜色 3 2 9 2" xfId="3137"/>
    <cellStyle name="40% - 强调文字颜色 3 3" xfId="614"/>
    <cellStyle name="40% - 强调文字颜色 3 3 2" xfId="7128"/>
    <cellStyle name="40% - 强调文字颜色 4 2" xfId="7130"/>
    <cellStyle name="40% - 强调文字颜色 4 2 10" xfId="4736"/>
    <cellStyle name="40% - 强调文字颜色 4 2 10 2" xfId="7134"/>
    <cellStyle name="40% - 强调文字颜色 4 2 11" xfId="6592"/>
    <cellStyle name="40% - 强调文字颜色 4 2 11 2" xfId="7136"/>
    <cellStyle name="40% - 强调文字颜色 4 2 2" xfId="7138"/>
    <cellStyle name="40% - 强调文字颜色 4 2 2 2" xfId="6267"/>
    <cellStyle name="40% - 强调文字颜色 4 2 2 2 2" xfId="7140"/>
    <cellStyle name="40% - 强调文字颜色 4 2 2 2 2 2" xfId="7141"/>
    <cellStyle name="40% - 强调文字颜色 4 2 2 2 2 2 2" xfId="7142"/>
    <cellStyle name="40% - 强调文字颜色 4 2 2 2 2 2 2 2" xfId="7144"/>
    <cellStyle name="40% - 强调文字颜色 4 2 2 2 2 2 2 2 2" xfId="7146"/>
    <cellStyle name="40% - 强调文字颜色 4 2 2 2 2 2 2 3" xfId="3932"/>
    <cellStyle name="40% - 强调文字颜色 4 2 2 2 2 2 3" xfId="6165"/>
    <cellStyle name="40% - 强调文字颜色 4 2 2 2 2 2 3 2" xfId="4945"/>
    <cellStyle name="40% - 强调文字颜色 4 2 2 2 2 2 4" xfId="4621"/>
    <cellStyle name="40% - 强调文字颜色 4 2 2 2 2 2 4 2" xfId="7148"/>
    <cellStyle name="40% - 强调文字颜色 4 2 2 2 2 2 5" xfId="7151"/>
    <cellStyle name="40% - 强调文字颜色 4 2 2 2 2 3" xfId="434"/>
    <cellStyle name="40% - 强调文字颜色 4 2 2 2 2 3 2" xfId="3586"/>
    <cellStyle name="40% - 强调文字颜色 4 2 2 2 2 3 2 2" xfId="3591"/>
    <cellStyle name="40% - 强调文字颜色 4 2 2 2 2 3 3" xfId="2896"/>
    <cellStyle name="40% - 强调文字颜色 4 2 2 2 2 4" xfId="7156"/>
    <cellStyle name="40% - 强调文字颜色 4 2 2 2 2 4 2" xfId="3610"/>
    <cellStyle name="40% - 强调文字颜色 4 2 2 2 2 4 2 2" xfId="7158"/>
    <cellStyle name="40% - 强调文字颜色 4 2 2 2 2 4 3" xfId="7160"/>
    <cellStyle name="40% - 强调文字颜色 4 2 2 2 2 5" xfId="7163"/>
    <cellStyle name="40% - 强调文字颜色 4 2 2 2 2 5 2" xfId="3617"/>
    <cellStyle name="40% - 强调文字颜色 4 2 2 2 2 6" xfId="6689"/>
    <cellStyle name="40% - 强调文字颜色 4 2 2 2 2 6 2" xfId="7164"/>
    <cellStyle name="40% - 强调文字颜色 4 2 2 2 2 7" xfId="7168"/>
    <cellStyle name="40% - 强调文字颜色 4 2 2 2 2 8" xfId="1260"/>
    <cellStyle name="40% - 强调文字颜色 4 2 2 2 3" xfId="7171"/>
    <cellStyle name="40% - 强调文字颜色 4 2 2 2 3 2" xfId="7172"/>
    <cellStyle name="40% - 强调文字颜色 4 2 2 2 3 2 2" xfId="7173"/>
    <cellStyle name="40% - 强调文字颜色 4 2 2 2 3 2 2 2" xfId="7175"/>
    <cellStyle name="40% - 强调文字颜色 4 2 2 2 3 2 3" xfId="7178"/>
    <cellStyle name="40% - 强调文字颜色 4 2 2 2 3 3" xfId="7180"/>
    <cellStyle name="40% - 强调文字颜色 4 2 2 2 3 3 2" xfId="3645"/>
    <cellStyle name="40% - 强调文字颜色 4 2 2 2 3 4" xfId="7181"/>
    <cellStyle name="40% - 强调文字颜色 4 2 2 2 4" xfId="7182"/>
    <cellStyle name="40% - 强调文字颜色 4 2 2 2 4 2" xfId="7183"/>
    <cellStyle name="40% - 强调文字颜色 4 2 2 2 4 2 2" xfId="7184"/>
    <cellStyle name="40% - 强调文字颜色 4 2 2 2 4 3" xfId="7185"/>
    <cellStyle name="40% - 强调文字颜色 4 2 2 2 5" xfId="6344"/>
    <cellStyle name="40% - 强调文字颜色 4 2 2 2 5 2" xfId="6346"/>
    <cellStyle name="40% - 强调文字颜色 4 2 2 2 5 2 2" xfId="6648"/>
    <cellStyle name="40% - 强调文字颜色 4 2 2 2 5 3" xfId="7187"/>
    <cellStyle name="40% - 强调文字颜色 4 2 2 2 6" xfId="6348"/>
    <cellStyle name="40% - 强调文字颜色 4 2 2 2 6 2" xfId="7188"/>
    <cellStyle name="40% - 强调文字颜色 4 2 2 2 7" xfId="114"/>
    <cellStyle name="40% - 强调文字颜色 4 2 2 2 7 2" xfId="7189"/>
    <cellStyle name="40% - 强调文字颜色 4 2 2 3" xfId="7191"/>
    <cellStyle name="40% - 强调文字颜色 4 2 2 3 2" xfId="3363"/>
    <cellStyle name="40% - 强调文字颜色 4 2 2 3 2 2" xfId="3788"/>
    <cellStyle name="40% - 强调文字颜色 4 2 2 3 2 2 2" xfId="3790"/>
    <cellStyle name="40% - 强调文字颜色 4 2 2 3 2 2 2 2" xfId="7192"/>
    <cellStyle name="40% - 强调文字颜色 4 2 2 3 2 2 2 2 2" xfId="7193"/>
    <cellStyle name="40% - 强调文字颜色 4 2 2 3 2 2 2 2 2 2" xfId="6752"/>
    <cellStyle name="40% - 强调文字颜色 4 2 2 3 2 2 2 2 3" xfId="7195"/>
    <cellStyle name="40% - 强调文字颜色 4 2 2 3 2 2 2 3" xfId="4702"/>
    <cellStyle name="40% - 强调文字颜色 4 2 2 3 2 2 2 3 2" xfId="3656"/>
    <cellStyle name="40% - 强调文字颜色 4 2 2 3 2 2 2 4" xfId="4705"/>
    <cellStyle name="40% - 强调文字颜色 4 2 2 3 2 2 2 4 2" xfId="3703"/>
    <cellStyle name="40% - 强调文字颜色 4 2 2 3 2 2 2 5" xfId="4709"/>
    <cellStyle name="40% - 强调文字颜色 4 2 2 3 2 2 3" xfId="7198"/>
    <cellStyle name="40% - 强调文字颜色 4 2 2 3 2 2 3 2" xfId="7199"/>
    <cellStyle name="40% - 强调文字颜色 4 2 2 3 2 2 3 2 2" xfId="7201"/>
    <cellStyle name="40% - 强调文字颜色 4 2 2 3 2 2 3 3" xfId="4718"/>
    <cellStyle name="40% - 强调文字颜色 4 2 2 3 2 2 4" xfId="7203"/>
    <cellStyle name="40% - 强调文字颜色 4 2 2 3 2 2 4 2" xfId="7204"/>
    <cellStyle name="40% - 强调文字颜色 4 2 2 3 2 2 4 2 2" xfId="4641"/>
    <cellStyle name="40% - 强调文字颜色 4 2 2 3 2 2 4 3" xfId="4727"/>
    <cellStyle name="40% - 强调文字颜色 4 2 2 3 2 2 5" xfId="6497"/>
    <cellStyle name="40% - 强调文字颜色 4 2 2 3 2 2 5 2" xfId="6584"/>
    <cellStyle name="40% - 强调文字颜色 4 2 2 3 2 2 6" xfId="7207"/>
    <cellStyle name="40% - 强调文字颜色 4 2 2 3 2 2 6 2" xfId="7209"/>
    <cellStyle name="40% - 强调文字颜色 4 2 2 3 2 2 7" xfId="5621"/>
    <cellStyle name="40% - 强调文字颜色 4 2 2 3 2 2 8" xfId="1678"/>
    <cellStyle name="40% - 强调文字颜色 4 2 2 3 2 3" xfId="3792"/>
    <cellStyle name="40% - 强调文字颜色 4 2 2 3 2 3 2" xfId="3684"/>
    <cellStyle name="40% - 强调文字颜色 4 2 2 3 2 3 2 2" xfId="7211"/>
    <cellStyle name="40% - 强调文字颜色 4 2 2 3 2 3 2 2 2" xfId="7212"/>
    <cellStyle name="40% - 强调文字颜色 4 2 2 3 2 3 2 3" xfId="4842"/>
    <cellStyle name="40% - 强调文字颜色 4 2 2 3 2 3 3" xfId="7214"/>
    <cellStyle name="40% - 强调文字颜色 4 2 2 3 2 3 3 2" xfId="7215"/>
    <cellStyle name="40% - 强调文字颜色 4 2 2 3 2 3 4" xfId="7216"/>
    <cellStyle name="40% - 强调文字颜色 4 2 2 3 2 4" xfId="3798"/>
    <cellStyle name="40% - 强调文字颜色 4 2 2 3 2 4 2" xfId="7217"/>
    <cellStyle name="40% - 强调文字颜色 4 2 2 3 2 4 2 2" xfId="396"/>
    <cellStyle name="40% - 强调文字颜色 4 2 2 3 2 4 3" xfId="7218"/>
    <cellStyle name="40% - 强调文字颜色 4 2 2 3 2 5" xfId="7219"/>
    <cellStyle name="40% - 强调文字颜色 4 2 2 3 2 5 2" xfId="7220"/>
    <cellStyle name="40% - 强调文字颜色 4 2 2 3 2 5 2 2" xfId="7221"/>
    <cellStyle name="40% - 强调文字颜色 4 2 2 3 2 5 3" xfId="7222"/>
    <cellStyle name="40% - 强调文字颜色 4 2 2 3 2 6" xfId="6700"/>
    <cellStyle name="40% - 强调文字颜色 4 2 2 3 2 6 2" xfId="1027"/>
    <cellStyle name="40% - 强调文字颜色 4 2 2 3 2 7" xfId="7223"/>
    <cellStyle name="40% - 强调文字颜色 4 2 2 3 2 7 2" xfId="1057"/>
    <cellStyle name="40% - 强调文字颜色 4 2 2 3 3" xfId="328"/>
    <cellStyle name="40% - 强调文字颜色 4 2 2 3 3 2" xfId="7226"/>
    <cellStyle name="40% - 强调文字颜色 4 2 2 3 3 2 2" xfId="7227"/>
    <cellStyle name="40% - 强调文字颜色 4 2 2 3 3 2 2 2" xfId="5680"/>
    <cellStyle name="40% - 强调文字颜色 4 2 2 3 3 2 2 2 2" xfId="7228"/>
    <cellStyle name="40% - 强调文字颜色 4 2 2 3 3 2 2 3" xfId="7231"/>
    <cellStyle name="40% - 强调文字颜色 4 2 2 3 3 2 3" xfId="7234"/>
    <cellStyle name="40% - 强调文字颜色 4 2 2 3 3 2 3 2" xfId="7235"/>
    <cellStyle name="40% - 强调文字颜色 4 2 2 3 3 2 4" xfId="7037"/>
    <cellStyle name="40% - 强调文字颜色 4 2 2 3 3 2 4 2" xfId="7237"/>
    <cellStyle name="40% - 强调文字颜色 4 2 2 3 3 2 5" xfId="6502"/>
    <cellStyle name="40% - 强调文字颜色 4 2 2 3 3 3" xfId="7239"/>
    <cellStyle name="40% - 强调文字颜色 4 2 2 3 3 3 2" xfId="7241"/>
    <cellStyle name="40% - 强调文字颜色 4 2 2 3 3 3 2 2" xfId="7242"/>
    <cellStyle name="40% - 强调文字颜色 4 2 2 3 3 3 3" xfId="7245"/>
    <cellStyle name="40% - 强调文字颜色 4 2 2 3 3 4" xfId="5258"/>
    <cellStyle name="40% - 强调文字颜色 4 2 2 3 3 4 2" xfId="7246"/>
    <cellStyle name="40% - 强调文字颜色 4 2 2 3 3 4 2 2" xfId="3002"/>
    <cellStyle name="40% - 强调文字颜色 4 2 2 3 3 4 3" xfId="7247"/>
    <cellStyle name="40% - 强调文字颜色 4 2 2 3 3 5" xfId="7248"/>
    <cellStyle name="40% - 强调文字颜色 4 2 2 3 3 5 2" xfId="7249"/>
    <cellStyle name="40% - 强调文字颜色 4 2 2 3 3 6" xfId="2029"/>
    <cellStyle name="40% - 强调文字颜色 4 2 2 3 3 6 2" xfId="2037"/>
    <cellStyle name="40% - 强调文字颜色 4 2 2 3 3 7" xfId="2045"/>
    <cellStyle name="40% - 强调文字颜色 4 2 2 3 3 8" xfId="1310"/>
    <cellStyle name="40% - 强调文字颜色 4 2 2 3 4" xfId="7250"/>
    <cellStyle name="40% - 强调文字颜色 4 2 2 3 4 2" xfId="7251"/>
    <cellStyle name="40% - 强调文字颜色 4 2 2 3 4 2 2" xfId="168"/>
    <cellStyle name="40% - 强调文字颜色 4 2 2 3 4 2 2 2" xfId="1506"/>
    <cellStyle name="40% - 强调文字颜色 4 2 2 3 4 2 3" xfId="132"/>
    <cellStyle name="40% - 强调文字颜色 4 2 2 3 4 3" xfId="7252"/>
    <cellStyle name="40% - 强调文字颜色 4 2 2 3 4 3 2" xfId="1209"/>
    <cellStyle name="40% - 强调文字颜色 4 2 2 3 4 4" xfId="7253"/>
    <cellStyle name="40% - 强调文字颜色 4 2 2 3 5" xfId="6351"/>
    <cellStyle name="40% - 强调文字颜色 4 2 2 3 5 2" xfId="7255"/>
    <cellStyle name="40% - 强调文字颜色 4 2 2 3 5 2 2" xfId="1901"/>
    <cellStyle name="40% - 强调文字颜色 4 2 2 3 5 3" xfId="7256"/>
    <cellStyle name="40% - 强调文字颜色 4 2 2 3 6" xfId="7257"/>
    <cellStyle name="40% - 强调文字颜色 4 2 2 3 6 2" xfId="7259"/>
    <cellStyle name="40% - 强调文字颜色 4 2 2 3 6 2 2" xfId="1993"/>
    <cellStyle name="40% - 强调文字颜色 4 2 2 3 6 3" xfId="7260"/>
    <cellStyle name="40% - 强调文字颜色 4 2 2 3 7" xfId="7261"/>
    <cellStyle name="40% - 强调文字颜色 4 2 2 3 7 2" xfId="7263"/>
    <cellStyle name="40% - 强调文字颜色 4 2 2 3 8" xfId="7265"/>
    <cellStyle name="40% - 强调文字颜色 4 2 2 3 8 2" xfId="7267"/>
    <cellStyle name="40% - 强调文字颜色 4 2 2 4" xfId="7270"/>
    <cellStyle name="40% - 强调文字颜色 4 2 2 4 2" xfId="7271"/>
    <cellStyle name="40% - 强调文字颜色 4 2 2 4 2 2" xfId="6447"/>
    <cellStyle name="40% - 强调文字颜色 4 2 2 4 2 2 2" xfId="7272"/>
    <cellStyle name="40% - 强调文字颜色 4 2 2 4 2 2 2 2" xfId="7273"/>
    <cellStyle name="40% - 强调文字颜色 4 2 2 4 2 2 3" xfId="7274"/>
    <cellStyle name="40% - 强调文字颜色 4 2 2 4 2 3" xfId="7275"/>
    <cellStyle name="40% - 强调文字颜色 4 2 2 4 2 3 2" xfId="7276"/>
    <cellStyle name="40% - 强调文字颜色 4 2 2 4 2 4" xfId="7277"/>
    <cellStyle name="40% - 强调文字颜色 4 2 2 4 2 4 2" xfId="3309"/>
    <cellStyle name="40% - 强调文字颜色 4 2 2 4 2 5" xfId="7278"/>
    <cellStyle name="40% - 强调文字颜色 4 2 2 4 3" xfId="6256"/>
    <cellStyle name="40% - 强调文字颜色 4 2 2 4 3 2" xfId="6258"/>
    <cellStyle name="40% - 强调文字颜色 4 2 2 4 3 2 2" xfId="6264"/>
    <cellStyle name="40% - 强调文字颜色 4 2 2 4 3 3" xfId="6266"/>
    <cellStyle name="40% - 强调文字颜色 4 2 2 4 4" xfId="6032"/>
    <cellStyle name="40% - 强调文字颜色 4 2 2 4 4 2" xfId="6035"/>
    <cellStyle name="40% - 强调文字颜色 4 2 2 4 4 2 2" xfId="2147"/>
    <cellStyle name="40% - 强调文字颜色 4 2 2 4 4 3" xfId="174"/>
    <cellStyle name="40% - 强调文字颜色 4 2 2 4 5" xfId="6041"/>
    <cellStyle name="40% - 强调文字颜色 4 2 2 4 5 2" xfId="6051"/>
    <cellStyle name="40% - 强调文字颜色 4 2 2 4 6" xfId="6269"/>
    <cellStyle name="40% - 强调文字颜色 4 2 2 4 6 2" xfId="7283"/>
    <cellStyle name="40% - 强调文字颜色 4 2 2 4 7" xfId="7285"/>
    <cellStyle name="40% - 强调文字颜色 4 2 2 4 8" xfId="7287"/>
    <cellStyle name="40% - 强调文字颜色 4 2 2 5" xfId="2075"/>
    <cellStyle name="40% - 强调文字颜色 4 2 2 5 2" xfId="5793"/>
    <cellStyle name="40% - 强调文字颜色 4 2 2 5 2 2" xfId="5795"/>
    <cellStyle name="40% - 强调文字颜色 4 2 2 5 2 2 2" xfId="5798"/>
    <cellStyle name="40% - 强调文字颜色 4 2 2 5 2 3" xfId="5800"/>
    <cellStyle name="40% - 强调文字颜色 4 2 2 5 3" xfId="5803"/>
    <cellStyle name="40% - 强调文字颜色 4 2 2 5 3 2" xfId="5806"/>
    <cellStyle name="40% - 强调文字颜色 4 2 2 5 4" xfId="5809"/>
    <cellStyle name="40% - 强调文字颜色 4 2 2 6" xfId="7289"/>
    <cellStyle name="40% - 强调文字颜色 4 2 2 6 2" xfId="5824"/>
    <cellStyle name="40% - 强调文字颜色 4 2 2 6 2 2" xfId="5219"/>
    <cellStyle name="40% - 强调文字颜色 4 2 2 6 3" xfId="6275"/>
    <cellStyle name="40% - 强调文字颜色 4 2 2 7" xfId="7291"/>
    <cellStyle name="40% - 强调文字颜色 4 2 2 7 2" xfId="7293"/>
    <cellStyle name="40% - 强调文字颜色 4 2 2 7 2 2" xfId="7296"/>
    <cellStyle name="40% - 强调文字颜色 4 2 2 7 3" xfId="6286"/>
    <cellStyle name="40% - 强调文字颜色 4 2 2 8" xfId="4047"/>
    <cellStyle name="40% - 强调文字颜色 4 2 2 8 2" xfId="4049"/>
    <cellStyle name="40% - 强调文字颜色 4 2 2 9" xfId="4054"/>
    <cellStyle name="40% - 强调文字颜色 4 2 2 9 2" xfId="4526"/>
    <cellStyle name="40% - 强调文字颜色 4 2 3" xfId="7297"/>
    <cellStyle name="40% - 强调文字颜色 4 2 3 2" xfId="173"/>
    <cellStyle name="40% - 强调文字颜色 4 2 3 2 2" xfId="2165"/>
    <cellStyle name="40% - 强调文字颜色 4 2 3 2 2 2" xfId="3067"/>
    <cellStyle name="40% - 强调文字颜色 4 2 3 2 2 2 2" xfId="6815"/>
    <cellStyle name="40% - 强调文字颜色 4 2 3 2 2 2 2 2" xfId="6820"/>
    <cellStyle name="40% - 强调文字颜色 4 2 3 2 2 2 3" xfId="6826"/>
    <cellStyle name="40% - 强调文字颜色 4 2 3 2 2 3" xfId="6831"/>
    <cellStyle name="40% - 强调文字颜色 4 2 3 2 2 3 2" xfId="6833"/>
    <cellStyle name="40% - 强调文字颜色 4 2 3 2 2 4" xfId="6839"/>
    <cellStyle name="40% - 强调文字颜色 4 2 3 2 2 4 2" xfId="6843"/>
    <cellStyle name="40% - 强调文字颜色 4 2 3 2 2 5" xfId="6850"/>
    <cellStyle name="40% - 强调文字颜色 4 2 3 2 3" xfId="3187"/>
    <cellStyle name="40% - 强调文字颜色 4 2 3 2 3 2" xfId="3190"/>
    <cellStyle name="40% - 强调文字颜色 4 2 3 2 3 2 2" xfId="7298"/>
    <cellStyle name="40% - 强调文字颜色 4 2 3 2 3 3" xfId="7300"/>
    <cellStyle name="40% - 强调文字颜色 4 2 3 2 4" xfId="3193"/>
    <cellStyle name="40% - 强调文字颜色 4 2 3 2 4 2" xfId="7301"/>
    <cellStyle name="40% - 强调文字颜色 4 2 3 2 4 2 2" xfId="5862"/>
    <cellStyle name="40% - 强调文字颜色 4 2 3 2 4 3" xfId="2869"/>
    <cellStyle name="40% - 强调文字颜色 4 2 3 2 5" xfId="5048"/>
    <cellStyle name="40% - 强调文字颜色 4 2 3 2 5 2" xfId="5052"/>
    <cellStyle name="40% - 强调文字颜色 4 2 3 2 6" xfId="5057"/>
    <cellStyle name="40% - 强调文字颜色 4 2 3 2 6 2" xfId="5060"/>
    <cellStyle name="40% - 强调文字颜色 4 2 3 2 7" xfId="5063"/>
    <cellStyle name="40% - 强调文字颜色 4 2 3 2 8" xfId="5065"/>
    <cellStyle name="40% - 强调文字颜色 4 2 3 3" xfId="137"/>
    <cellStyle name="40% - 强调文字颜色 4 2 3 3 2" xfId="7302"/>
    <cellStyle name="40% - 强调文字颜色 4 2 3 3 2 2" xfId="6896"/>
    <cellStyle name="40% - 强调文字颜色 4 2 3 3 2 2 2" xfId="2594"/>
    <cellStyle name="40% - 强调文字颜色 4 2 3 3 2 3" xfId="6898"/>
    <cellStyle name="40% - 强调文字颜色 4 2 3 3 3" xfId="3196"/>
    <cellStyle name="40% - 强调文字颜色 4 2 3 3 3 2" xfId="10"/>
    <cellStyle name="40% - 强调文字颜色 4 2 3 3 4" xfId="3198"/>
    <cellStyle name="40% - 强调文字颜色 4 2 3 4" xfId="203"/>
    <cellStyle name="40% - 强调文字颜色 4 2 3 4 2" xfId="7303"/>
    <cellStyle name="40% - 强调文字颜色 4 2 3 4 2 2" xfId="6514"/>
    <cellStyle name="40% - 强调文字颜色 4 2 3 4 3" xfId="3202"/>
    <cellStyle name="40% - 强调文字颜色 4 2 3 5" xfId="209"/>
    <cellStyle name="40% - 强调文字颜色 4 2 3 5 2" xfId="5902"/>
    <cellStyle name="40% - 强调文字颜色 4 2 3 5 2 2" xfId="5772"/>
    <cellStyle name="40% - 强调文字颜色 4 2 3 5 3" xfId="3211"/>
    <cellStyle name="40% - 强调文字颜色 4 2 3 6" xfId="224"/>
    <cellStyle name="40% - 强调文字颜色 4 2 3 6 2" xfId="5934"/>
    <cellStyle name="40% - 强调文字颜色 4 2 3 7" xfId="240"/>
    <cellStyle name="40% - 强调文字颜色 4 2 3 7 2" xfId="5970"/>
    <cellStyle name="40% - 强调文字颜色 4 2 4" xfId="7304"/>
    <cellStyle name="40% - 强调文字颜色 4 2 4 2" xfId="7308"/>
    <cellStyle name="40% - 强调文字颜色 4 2 4 2 2" xfId="7312"/>
    <cellStyle name="40% - 强调文字颜色 4 2 4 2 2 2" xfId="6461"/>
    <cellStyle name="40% - 强调文字颜色 4 2 4 2 2 2 2" xfId="6465"/>
    <cellStyle name="40% - 强调文字颜色 4 2 4 2 2 2 2 2" xfId="2197"/>
    <cellStyle name="40% - 强调文字颜色 4 2 4 2 2 2 2 2 2" xfId="7315"/>
    <cellStyle name="40% - 强调文字颜色 4 2 4 2 2 2 2 3" xfId="3217"/>
    <cellStyle name="40% - 强调文字颜色 4 2 4 2 2 2 3" xfId="6049"/>
    <cellStyle name="40% - 强调文字颜色 4 2 4 2 2 2 3 2" xfId="7319"/>
    <cellStyle name="40% - 强调文字颜色 4 2 4 2 2 2 4" xfId="7306"/>
    <cellStyle name="40% - 强调文字颜色 4 2 4 2 2 2 4 2" xfId="7310"/>
    <cellStyle name="40% - 强调文字颜色 4 2 4 2 2 2 5" xfId="5927"/>
    <cellStyle name="40% - 强调文字颜色 4 2 4 2 2 3" xfId="6470"/>
    <cellStyle name="40% - 强调文字颜色 4 2 4 2 2 3 2" xfId="7322"/>
    <cellStyle name="40% - 强调文字颜色 4 2 4 2 2 3 2 2" xfId="7326"/>
    <cellStyle name="40% - 强调文字颜色 4 2 4 2 2 3 3" xfId="7279"/>
    <cellStyle name="40% - 强调文字颜色 4 2 4 2 2 4" xfId="6473"/>
    <cellStyle name="40% - 强调文字颜色 4 2 4 2 2 4 2" xfId="7329"/>
    <cellStyle name="40% - 强调文字颜色 4 2 4 2 2 4 2 2" xfId="7332"/>
    <cellStyle name="40% - 强调文字颜色 4 2 4 2 2 4 3" xfId="7334"/>
    <cellStyle name="40% - 强调文字颜色 4 2 4 2 2 5" xfId="7337"/>
    <cellStyle name="40% - 强调文字颜色 4 2 4 2 2 5 2" xfId="7341"/>
    <cellStyle name="40% - 强调文字颜色 4 2 4 2 2 6" xfId="7346"/>
    <cellStyle name="40% - 强调文字颜色 4 2 4 2 2 6 2" xfId="7351"/>
    <cellStyle name="40% - 强调文字颜色 4 2 4 2 2 7" xfId="7356"/>
    <cellStyle name="40% - 强调文字颜色 4 2 4 2 2 8" xfId="5535"/>
    <cellStyle name="40% - 强调文字颜色 4 2 4 2 3" xfId="3243"/>
    <cellStyle name="40% - 强调文字颜色 4 2 4 2 3 2" xfId="3246"/>
    <cellStyle name="40% - 强调文字颜色 4 2 4 2 3 2 2" xfId="7360"/>
    <cellStyle name="40% - 强调文字颜色 4 2 4 2 3 2 2 2" xfId="2390"/>
    <cellStyle name="40% - 强调文字颜色 4 2 4 2 3 2 3" xfId="7362"/>
    <cellStyle name="40% - 强调文字颜色 4 2 4 2 3 3" xfId="7364"/>
    <cellStyle name="40% - 强调文字颜色 4 2 4 2 3 3 2" xfId="7366"/>
    <cellStyle name="40% - 强调文字颜色 4 2 4 2 3 4" xfId="7369"/>
    <cellStyle name="40% - 强调文字颜色 4 2 4 2 4" xfId="3249"/>
    <cellStyle name="40% - 强调文字颜色 4 2 4 2 4 2" xfId="6431"/>
    <cellStyle name="40% - 强调文字颜色 4 2 4 2 4 2 2" xfId="972"/>
    <cellStyle name="40% - 强调文字颜色 4 2 4 2 4 3" xfId="6477"/>
    <cellStyle name="40% - 强调文字颜色 4 2 4 2 5" xfId="5106"/>
    <cellStyle name="40% - 强调文字颜色 4 2 4 2 5 2" xfId="5112"/>
    <cellStyle name="40% - 强调文字颜色 4 2 4 2 5 2 2" xfId="2633"/>
    <cellStyle name="40% - 强调文字颜色 4 2 4 2 5 3" xfId="5117"/>
    <cellStyle name="40% - 强调文字颜色 4 2 4 2 6" xfId="5123"/>
    <cellStyle name="40% - 强调文字颜色 4 2 4 2 6 2" xfId="5127"/>
    <cellStyle name="40% - 强调文字颜色 4 2 4 2 7" xfId="5132"/>
    <cellStyle name="40% - 强调文字颜色 4 2 4 2 7 2" xfId="4663"/>
    <cellStyle name="40% - 强调文字颜色 4 2 4 3" xfId="5926"/>
    <cellStyle name="40% - 强调文字颜色 4 2 4 3 2" xfId="7371"/>
    <cellStyle name="40% - 强调文字颜色 4 2 4 3 2 2" xfId="6539"/>
    <cellStyle name="40% - 强调文字颜色 4 2 4 3 2 2 2" xfId="6542"/>
    <cellStyle name="40% - 强调文字颜色 4 2 4 3 2 2 2 2" xfId="7372"/>
    <cellStyle name="40% - 强调文字颜色 4 2 4 3 2 2 3" xfId="5090"/>
    <cellStyle name="40% - 强调文字颜色 4 2 4 3 2 3" xfId="6545"/>
    <cellStyle name="40% - 强调文字颜色 4 2 4 3 2 3 2" xfId="6548"/>
    <cellStyle name="40% - 强调文字颜色 4 2 4 3 2 4" xfId="3403"/>
    <cellStyle name="40% - 强调文字颜色 4 2 4 3 2 4 2" xfId="3418"/>
    <cellStyle name="40% - 强调文字颜色 4 2 4 3 2 5" xfId="4296"/>
    <cellStyle name="40% - 强调文字颜色 4 2 4 3 3" xfId="3251"/>
    <cellStyle name="40% - 强调文字颜色 4 2 4 3 3 2" xfId="6551"/>
    <cellStyle name="40% - 强调文字颜色 4 2 4 3 3 2 2" xfId="6554"/>
    <cellStyle name="40% - 强调文字颜色 4 2 4 3 3 3" xfId="6558"/>
    <cellStyle name="40% - 强调文字颜色 4 2 4 3 4" xfId="6597"/>
    <cellStyle name="40% - 强调文字颜色 4 2 4 3 4 2" xfId="24"/>
    <cellStyle name="40% - 强调文字颜色 4 2 4 3 4 2 2" xfId="6091"/>
    <cellStyle name="40% - 强调文字颜色 4 2 4 3 4 3" xfId="6599"/>
    <cellStyle name="40% - 强调文字颜色 4 2 4 3 5" xfId="5152"/>
    <cellStyle name="40% - 强调文字颜色 4 2 4 3 5 2" xfId="5159"/>
    <cellStyle name="40% - 强调文字颜色 4 2 4 3 6" xfId="5164"/>
    <cellStyle name="40% - 强调文字颜色 4 2 4 3 6 2" xfId="6610"/>
    <cellStyle name="40% - 强调文字颜色 4 2 4 3 7" xfId="6613"/>
    <cellStyle name="40% - 强调文字颜色 4 2 4 3 8" xfId="6616"/>
    <cellStyle name="40% - 强调文字颜色 4 2 4 4" xfId="7313"/>
    <cellStyle name="40% - 强调文字颜色 4 2 4 4 2" xfId="7374"/>
    <cellStyle name="40% - 强调文字颜色 4 2 4 4 2 2" xfId="7375"/>
    <cellStyle name="40% - 强调文字颜色 4 2 4 4 2 2 2" xfId="5617"/>
    <cellStyle name="40% - 强调文字颜色 4 2 4 4 2 3" xfId="7377"/>
    <cellStyle name="40% - 强调文字颜色 4 2 4 4 3" xfId="3260"/>
    <cellStyle name="40% - 强调文字颜色 4 2 4 4 3 2" xfId="7380"/>
    <cellStyle name="40% - 强调文字颜色 4 2 4 4 4" xfId="6627"/>
    <cellStyle name="40% - 强调文字颜色 4 2 4 5" xfId="7382"/>
    <cellStyle name="40% - 强调文字颜色 4 2 4 5 2" xfId="4584"/>
    <cellStyle name="40% - 强调文字颜色 4 2 4 5 2 2" xfId="7383"/>
    <cellStyle name="40% - 强调文字颜色 4 2 4 5 3" xfId="7385"/>
    <cellStyle name="40% - 强调文字颜色 4 2 4 6" xfId="7386"/>
    <cellStyle name="40% - 强调文字颜色 4 2 4 6 2" xfId="7388"/>
    <cellStyle name="40% - 强调文字颜色 4 2 4 6 2 2" xfId="7391"/>
    <cellStyle name="40% - 强调文字颜色 4 2 4 6 3" xfId="7392"/>
    <cellStyle name="40% - 强调文字颜色 4 2 4 7" xfId="7393"/>
    <cellStyle name="40% - 强调文字颜色 4 2 4 7 2" xfId="7395"/>
    <cellStyle name="40% - 强调文字颜色 4 2 4 8" xfId="7396"/>
    <cellStyle name="40% - 强调文字颜色 4 2 4 8 2" xfId="7397"/>
    <cellStyle name="40% - 强调文字颜色 4 2 5" xfId="7398"/>
    <cellStyle name="40% - 强调文字颜色 4 2 5 2" xfId="7399"/>
    <cellStyle name="40% - 强调文字颜色 4 2 5 2 2" xfId="7401"/>
    <cellStyle name="40% - 强调文字颜色 4 2 5 2 2 2" xfId="6121"/>
    <cellStyle name="40% - 强调文字颜色 4 2 5 2 2 2 2" xfId="7051"/>
    <cellStyle name="40% - 强调文字颜色 4 2 5 2 2 3" xfId="3562"/>
    <cellStyle name="40% - 强调文字颜色 4 2 5 2 3" xfId="7402"/>
    <cellStyle name="40% - 强调文字颜色 4 2 5 2 3 2" xfId="5353"/>
    <cellStyle name="40% - 强调文字颜色 4 2 5 2 4" xfId="7403"/>
    <cellStyle name="40% - 强调文字颜色 4 2 5 3" xfId="7404"/>
    <cellStyle name="40% - 强调文字颜色 4 2 5 3 2" xfId="7406"/>
    <cellStyle name="40% - 强调文字颜色 4 2 5 3 2 2" xfId="2842"/>
    <cellStyle name="40% - 强调文字颜色 4 2 5 3 3" xfId="7407"/>
    <cellStyle name="40% - 强调文字颜色 4 2 5 4" xfId="3221"/>
    <cellStyle name="40% - 强调文字颜色 4 2 5 4 2" xfId="2575"/>
    <cellStyle name="40% - 强调文字颜色 4 2 5 4 2 2" xfId="2579"/>
    <cellStyle name="40% - 强调文字颜色 4 2 5 4 3" xfId="2587"/>
    <cellStyle name="40% - 强调文字颜色 4 2 5 5" xfId="3224"/>
    <cellStyle name="40% - 强调文字颜色 4 2 5 5 2" xfId="7408"/>
    <cellStyle name="40% - 强调文字颜色 4 2 5 6" xfId="7409"/>
    <cellStyle name="40% - 强调文字颜色 4 2 5 7" xfId="6807"/>
    <cellStyle name="40% - 强调文字颜色 4 2 6" xfId="7411"/>
    <cellStyle name="40% - 强调文字颜色 4 2 6 2" xfId="7412"/>
    <cellStyle name="40% - 强调文字颜色 4 2 6 2 2" xfId="7416"/>
    <cellStyle name="40% - 强调文字颜色 4 2 6 2 2 2" xfId="3668"/>
    <cellStyle name="40% - 强调文字颜色 4 2 6 2 3" xfId="7418"/>
    <cellStyle name="40% - 强调文字颜色 4 2 6 3" xfId="7419"/>
    <cellStyle name="40% - 强调文字颜色 4 2 6 3 2" xfId="7421"/>
    <cellStyle name="40% - 强调文字颜色 4 2 6 4" xfId="7422"/>
    <cellStyle name="40% - 强调文字颜色 4 2 7" xfId="7423"/>
    <cellStyle name="40% - 强调文字颜色 4 2 7 2" xfId="7424"/>
    <cellStyle name="40% - 强调文字颜色 4 2 7 2 2" xfId="7426"/>
    <cellStyle name="40% - 强调文字颜色 4 2 7 3" xfId="7428"/>
    <cellStyle name="40% - 强调文字颜色 4 2 8" xfId="7429"/>
    <cellStyle name="40% - 强调文字颜色 4 2 8 2" xfId="7431"/>
    <cellStyle name="40% - 强调文字颜色 4 2 8 2 2" xfId="7432"/>
    <cellStyle name="40% - 强调文字颜色 4 2 8 3" xfId="7433"/>
    <cellStyle name="40% - 强调文字颜色 4 2 9" xfId="7434"/>
    <cellStyle name="40% - 强调文字颜色 4 2 9 2" xfId="7435"/>
    <cellStyle name="40% - 强调文字颜色 4 3" xfId="7436"/>
    <cellStyle name="40% - 强调文字颜色 4 3 2" xfId="7440"/>
    <cellStyle name="40% - 强调文字颜色 5 2" xfId="7442"/>
    <cellStyle name="40% - 强调文字颜色 5 2 10" xfId="7445"/>
    <cellStyle name="40% - 强调文字颜色 5 2 10 2" xfId="7448"/>
    <cellStyle name="40% - 强调文字颜色 5 2 11" xfId="7451"/>
    <cellStyle name="40% - 强调文字颜色 5 2 11 2" xfId="7456"/>
    <cellStyle name="40% - 强调文字颜色 5 2 2" xfId="7459"/>
    <cellStyle name="40% - 强调文字颜色 5 2 2 2" xfId="7461"/>
    <cellStyle name="40% - 强调文字颜色 5 2 2 2 2" xfId="7462"/>
    <cellStyle name="40% - 强调文字颜色 5 2 2 2 2 2" xfId="7463"/>
    <cellStyle name="40% - 强调文字颜色 5 2 2 2 2 2 2" xfId="7464"/>
    <cellStyle name="40% - 强调文字颜色 5 2 2 2 2 2 2 2" xfId="7466"/>
    <cellStyle name="40% - 强调文字颜色 5 2 2 2 2 2 2 2 2" xfId="7469"/>
    <cellStyle name="40% - 强调文字颜色 5 2 2 2 2 2 2 3" xfId="7471"/>
    <cellStyle name="40% - 强调文字颜色 5 2 2 2 2 2 3" xfId="7472"/>
    <cellStyle name="40% - 强调文字颜色 5 2 2 2 2 2 3 2" xfId="7474"/>
    <cellStyle name="40% - 强调文字颜色 5 2 2 2 2 2 4" xfId="7475"/>
    <cellStyle name="40% - 强调文字颜色 5 2 2 2 2 2 4 2" xfId="7477"/>
    <cellStyle name="40% - 强调文字颜色 5 2 2 2 2 2 5" xfId="7478"/>
    <cellStyle name="40% - 强调文字颜色 5 2 2 2 2 3" xfId="5439"/>
    <cellStyle name="40% - 强调文字颜色 5 2 2 2 2 3 2" xfId="7480"/>
    <cellStyle name="40% - 强调文字颜色 5 2 2 2 2 3 2 2" xfId="7482"/>
    <cellStyle name="40% - 强调文字颜色 5 2 2 2 2 3 3" xfId="7483"/>
    <cellStyle name="40% - 强调文字颜色 5 2 2 2 2 4" xfId="7485"/>
    <cellStyle name="40% - 强调文字颜色 5 2 2 2 2 4 2" xfId="7486"/>
    <cellStyle name="40% - 强调文字颜色 5 2 2 2 2 4 2 2" xfId="7489"/>
    <cellStyle name="40% - 强调文字颜色 5 2 2 2 2 4 3" xfId="7491"/>
    <cellStyle name="40% - 强调文字颜色 5 2 2 2 2 5" xfId="7494"/>
    <cellStyle name="40% - 强调文字颜色 5 2 2 2 2 5 2" xfId="7495"/>
    <cellStyle name="40% - 强调文字颜色 5 2 2 2 2 6" xfId="1148"/>
    <cellStyle name="40% - 强调文字颜色 5 2 2 2 2 6 2" xfId="1160"/>
    <cellStyle name="40% - 强调文字颜色 5 2 2 2 2 7" xfId="1173"/>
    <cellStyle name="40% - 强调文字颜色 5 2 2 2 2 8" xfId="7497"/>
    <cellStyle name="40% - 强调文字颜色 5 2 2 2 3" xfId="7499"/>
    <cellStyle name="40% - 强调文字颜色 5 2 2 2 3 2" xfId="7500"/>
    <cellStyle name="40% - 强调文字颜色 5 2 2 2 3 2 2" xfId="7501"/>
    <cellStyle name="40% - 强调文字颜色 5 2 2 2 3 2 2 2" xfId="7503"/>
    <cellStyle name="40% - 强调文字颜色 5 2 2 2 3 2 3" xfId="7504"/>
    <cellStyle name="40% - 强调文字颜色 5 2 2 2 3 3" xfId="5467"/>
    <cellStyle name="40% - 强调文字颜色 5 2 2 2 3 3 2" xfId="7506"/>
    <cellStyle name="40% - 强调文字颜色 5 2 2 2 3 4" xfId="7508"/>
    <cellStyle name="40% - 强调文字颜色 5 2 2 2 4" xfId="7509"/>
    <cellStyle name="40% - 强调文字颜色 5 2 2 2 4 2" xfId="7510"/>
    <cellStyle name="40% - 强调文字颜色 5 2 2 2 4 2 2" xfId="7511"/>
    <cellStyle name="40% - 强调文字颜色 5 2 2 2 4 3" xfId="7513"/>
    <cellStyle name="40% - 强调文字颜色 5 2 2 2 5" xfId="7514"/>
    <cellStyle name="40% - 强调文字颜色 5 2 2 2 5 2" xfId="7515"/>
    <cellStyle name="40% - 强调文字颜色 5 2 2 2 5 2 2" xfId="7516"/>
    <cellStyle name="40% - 强调文字颜色 5 2 2 2 5 3" xfId="7518"/>
    <cellStyle name="40% - 强调文字颜色 5 2 2 2 6" xfId="7519"/>
    <cellStyle name="40% - 强调文字颜色 5 2 2 2 6 2" xfId="7520"/>
    <cellStyle name="40% - 强调文字颜色 5 2 2 2 7" xfId="7521"/>
    <cellStyle name="40% - 强调文字颜色 5 2 2 2 7 2" xfId="7523"/>
    <cellStyle name="40% - 强调文字颜色 5 2 2 3" xfId="7524"/>
    <cellStyle name="40% - 强调文字颜色 5 2 2 3 2" xfId="7525"/>
    <cellStyle name="40% - 强调文字颜色 5 2 2 3 2 2" xfId="7526"/>
    <cellStyle name="40% - 强调文字颜色 5 2 2 3 2 2 2" xfId="7527"/>
    <cellStyle name="40% - 强调文字颜色 5 2 2 3 2 2 2 2" xfId="7529"/>
    <cellStyle name="40% - 强调文字颜色 5 2 2 3 2 2 2 2 2" xfId="7533"/>
    <cellStyle name="40% - 强调文字颜色 5 2 2 3 2 2 2 2 2 2" xfId="2991"/>
    <cellStyle name="40% - 强调文字颜色 5 2 2 3 2 2 2 2 3" xfId="7535"/>
    <cellStyle name="40% - 强调文字颜色 5 2 2 3 2 2 2 3" xfId="2997"/>
    <cellStyle name="40% - 强调文字颜色 5 2 2 3 2 2 2 3 2" xfId="7537"/>
    <cellStyle name="40% - 强调文字颜色 5 2 2 3 2 2 2 4" xfId="3001"/>
    <cellStyle name="40% - 强调文字颜色 5 2 2 3 2 2 2 4 2" xfId="7538"/>
    <cellStyle name="40% - 强调文字颜色 5 2 2 3 2 2 2 5" xfId="7539"/>
    <cellStyle name="40% - 强调文字颜色 5 2 2 3 2 2 3" xfId="7540"/>
    <cellStyle name="40% - 强调文字颜色 5 2 2 3 2 2 3 2" xfId="7542"/>
    <cellStyle name="40% - 强调文字颜色 5 2 2 3 2 2 3 2 2" xfId="7543"/>
    <cellStyle name="40% - 强调文字颜色 5 2 2 3 2 2 3 3" xfId="7545"/>
    <cellStyle name="40% - 强调文字颜色 5 2 2 3 2 2 4" xfId="7546"/>
    <cellStyle name="40% - 强调文字颜色 5 2 2 3 2 2 4 2" xfId="7548"/>
    <cellStyle name="40% - 强调文字颜色 5 2 2 3 2 2 4 2 2" xfId="7549"/>
    <cellStyle name="40% - 强调文字颜色 5 2 2 3 2 2 4 3" xfId="7551"/>
    <cellStyle name="40% - 强调文字颜色 5 2 2 3 2 2 5" xfId="7552"/>
    <cellStyle name="40% - 强调文字颜色 5 2 2 3 2 2 5 2" xfId="7555"/>
    <cellStyle name="40% - 强调文字颜色 5 2 2 3 2 2 6" xfId="7558"/>
    <cellStyle name="40% - 强调文字颜色 5 2 2 3 2 2 6 2" xfId="7560"/>
    <cellStyle name="40% - 强调文字颜色 5 2 2 3 2 2 7" xfId="7561"/>
    <cellStyle name="40% - 强调文字颜色 5 2 2 3 2 2 8" xfId="7563"/>
    <cellStyle name="40% - 强调文字颜色 5 2 2 3 2 3" xfId="7108"/>
    <cellStyle name="40% - 强调文字颜色 5 2 2 3 2 3 2" xfId="7109"/>
    <cellStyle name="40% - 强调文字颜色 5 2 2 3 2 3 2 2" xfId="7564"/>
    <cellStyle name="40% - 强调文字颜色 5 2 2 3 2 3 2 2 2" xfId="7565"/>
    <cellStyle name="40% - 强调文字颜色 5 2 2 3 2 3 2 3" xfId="7566"/>
    <cellStyle name="40% - 强调文字颜色 5 2 2 3 2 3 3" xfId="7567"/>
    <cellStyle name="40% - 强调文字颜色 5 2 2 3 2 3 3 2" xfId="7569"/>
    <cellStyle name="40% - 强调文字颜色 5 2 2 3 2 3 4" xfId="7570"/>
    <cellStyle name="40% - 强调文字颜色 5 2 2 3 2 4" xfId="6665"/>
    <cellStyle name="40% - 强调文字颜色 5 2 2 3 2 4 2" xfId="7571"/>
    <cellStyle name="40% - 强调文字颜色 5 2 2 3 2 4 2 2" xfId="7574"/>
    <cellStyle name="40% - 强调文字颜色 5 2 2 3 2 4 3" xfId="7575"/>
    <cellStyle name="40% - 强调文字颜色 5 2 2 3 2 5" xfId="7577"/>
    <cellStyle name="40% - 强调文字颜色 5 2 2 3 2 5 2" xfId="7579"/>
    <cellStyle name="40% - 强调文字颜色 5 2 2 3 2 5 2 2" xfId="7582"/>
    <cellStyle name="40% - 强调文字颜色 5 2 2 3 2 5 3" xfId="7583"/>
    <cellStyle name="40% - 强调文字颜色 5 2 2 3 2 6" xfId="1217"/>
    <cellStyle name="40% - 强调文字颜色 5 2 2 3 2 6 2" xfId="5662"/>
    <cellStyle name="40% - 强调文字颜色 5 2 2 3 2 7" xfId="5666"/>
    <cellStyle name="40% - 强调文字颜色 5 2 2 3 2 7 2" xfId="7585"/>
    <cellStyle name="40% - 强调文字颜色 5 2 2 3 3" xfId="7586"/>
    <cellStyle name="40% - 强调文字颜色 5 2 2 3 3 2" xfId="7587"/>
    <cellStyle name="40% - 强调文字颜色 5 2 2 3 3 2 2" xfId="7588"/>
    <cellStyle name="40% - 强调文字颜色 5 2 2 3 3 2 2 2" xfId="7590"/>
    <cellStyle name="40% - 强调文字颜色 5 2 2 3 3 2 2 2 2" xfId="7591"/>
    <cellStyle name="40% - 强调文字颜色 5 2 2 3 3 2 2 3" xfId="7592"/>
    <cellStyle name="40% - 强调文字颜色 5 2 2 3 3 2 3" xfId="7593"/>
    <cellStyle name="40% - 强调文字颜色 5 2 2 3 3 2 3 2" xfId="7595"/>
    <cellStyle name="40% - 强调文字颜色 5 2 2 3 3 2 4" xfId="7596"/>
    <cellStyle name="40% - 强调文字颜色 5 2 2 3 3 2 4 2" xfId="7598"/>
    <cellStyle name="40% - 强调文字颜色 5 2 2 3 3 2 5" xfId="7600"/>
    <cellStyle name="40% - 强调文字颜色 5 2 2 3 3 3" xfId="5235"/>
    <cellStyle name="40% - 强调文字颜色 5 2 2 3 3 3 2" xfId="7603"/>
    <cellStyle name="40% - 强调文字颜色 5 2 2 3 3 3 2 2" xfId="7605"/>
    <cellStyle name="40% - 强调文字颜色 5 2 2 3 3 3 3" xfId="7606"/>
    <cellStyle name="40% - 强调文字颜色 5 2 2 3 3 4" xfId="7608"/>
    <cellStyle name="40% - 强调文字颜色 5 2 2 3 3 4 2" xfId="7609"/>
    <cellStyle name="40% - 强调文字颜色 5 2 2 3 3 4 2 2" xfId="7610"/>
    <cellStyle name="40% - 强调文字颜色 5 2 2 3 3 4 3" xfId="7612"/>
    <cellStyle name="40% - 强调文字颜色 5 2 2 3 3 5" xfId="7613"/>
    <cellStyle name="40% - 强调文字颜色 5 2 2 3 3 5 2" xfId="7615"/>
    <cellStyle name="40% - 强调文字颜色 5 2 2 3 3 6" xfId="3015"/>
    <cellStyle name="40% - 强调文字颜色 5 2 2 3 3 6 2" xfId="7616"/>
    <cellStyle name="40% - 强调文字颜色 5 2 2 3 3 7" xfId="7618"/>
    <cellStyle name="40% - 强调文字颜色 5 2 2 3 3 8" xfId="7620"/>
    <cellStyle name="40% - 强调文字颜色 5 2 2 3 4" xfId="7622"/>
    <cellStyle name="40% - 强调文字颜色 5 2 2 3 4 2" xfId="7623"/>
    <cellStyle name="40% - 强调文字颜色 5 2 2 3 4 2 2" xfId="7624"/>
    <cellStyle name="40% - 强调文字颜色 5 2 2 3 4 2 2 2" xfId="7626"/>
    <cellStyle name="40% - 强调文字颜色 5 2 2 3 4 2 3" xfId="7628"/>
    <cellStyle name="40% - 强调文字颜色 5 2 2 3 4 3" xfId="7117"/>
    <cellStyle name="40% - 强调文字颜色 5 2 2 3 4 3 2" xfId="7630"/>
    <cellStyle name="40% - 强调文字颜色 5 2 2 3 4 4" xfId="7632"/>
    <cellStyle name="40% - 强调文字颜色 5 2 2 3 5" xfId="7633"/>
    <cellStyle name="40% - 强调文字颜色 5 2 2 3 5 2" xfId="7634"/>
    <cellStyle name="40% - 强调文字颜色 5 2 2 3 5 2 2" xfId="7636"/>
    <cellStyle name="40% - 强调文字颜色 5 2 2 3 5 3" xfId="7638"/>
    <cellStyle name="40% - 强调文字颜色 5 2 2 3 6" xfId="7639"/>
    <cellStyle name="40% - 强调文字颜色 5 2 2 3 6 2" xfId="7640"/>
    <cellStyle name="40% - 强调文字颜色 5 2 2 3 6 2 2" xfId="7641"/>
    <cellStyle name="40% - 强调文字颜色 5 2 2 3 6 3" xfId="7642"/>
    <cellStyle name="40% - 强调文字颜色 5 2 2 3 7" xfId="7643"/>
    <cellStyle name="40% - 强调文字颜色 5 2 2 3 7 2" xfId="7644"/>
    <cellStyle name="40% - 强调文字颜色 5 2 2 3 8" xfId="7645"/>
    <cellStyle name="40% - 强调文字颜色 5 2 2 3 8 2" xfId="7646"/>
    <cellStyle name="40% - 强调文字颜色 5 2 2 4" xfId="7647"/>
    <cellStyle name="40% - 强调文字颜色 5 2 2 4 2" xfId="7648"/>
    <cellStyle name="40% - 强调文字颜色 5 2 2 4 2 2" xfId="7649"/>
    <cellStyle name="40% - 强调文字颜色 5 2 2 4 2 2 2" xfId="2482"/>
    <cellStyle name="40% - 强调文字颜色 5 2 2 4 2 2 2 2" xfId="2484"/>
    <cellStyle name="40% - 强调文字颜色 5 2 2 4 2 2 3" xfId="2489"/>
    <cellStyle name="40% - 强调文字颜色 5 2 2 4 2 3" xfId="7650"/>
    <cellStyle name="40% - 强调文字颜色 5 2 2 4 2 3 2" xfId="2501"/>
    <cellStyle name="40% - 强调文字颜色 5 2 2 4 2 4" xfId="7651"/>
    <cellStyle name="40% - 强调文字颜色 5 2 2 4 2 4 2" xfId="2521"/>
    <cellStyle name="40% - 强调文字颜色 5 2 2 4 2 5" xfId="7652"/>
    <cellStyle name="40% - 强调文字颜色 5 2 2 4 3" xfId="7654"/>
    <cellStyle name="40% - 强调文字颜色 5 2 2 4 3 2" xfId="7655"/>
    <cellStyle name="40% - 强调文字颜色 5 2 2 4 3 2 2" xfId="2556"/>
    <cellStyle name="40% - 强调文字颜色 5 2 2 4 3 3" xfId="7656"/>
    <cellStyle name="40% - 强调文字颜色 5 2 2 4 4" xfId="5248"/>
    <cellStyle name="40% - 强调文字颜色 5 2 2 4 4 2" xfId="7658"/>
    <cellStyle name="40% - 强调文字颜色 5 2 2 4 4 2 2" xfId="7659"/>
    <cellStyle name="40% - 强调文字颜色 5 2 2 4 4 3" xfId="7661"/>
    <cellStyle name="40% - 强调文字颜色 5 2 2 4 5" xfId="7662"/>
    <cellStyle name="40% - 强调文字颜色 5 2 2 4 5 2" xfId="7664"/>
    <cellStyle name="40% - 强调文字颜色 5 2 2 4 6" xfId="7667"/>
    <cellStyle name="40% - 强调文字颜色 5 2 2 4 6 2" xfId="7669"/>
    <cellStyle name="40% - 强调文字颜色 5 2 2 4 7" xfId="7671"/>
    <cellStyle name="40% - 强调文字颜色 5 2 2 4 8" xfId="7673"/>
    <cellStyle name="40% - 强调文字颜色 5 2 2 5" xfId="7674"/>
    <cellStyle name="40% - 强调文字颜色 5 2 2 5 2" xfId="7676"/>
    <cellStyle name="40% - 强调文字颜色 5 2 2 5 2 2" xfId="7677"/>
    <cellStyle name="40% - 强调文字颜色 5 2 2 5 2 2 2" xfId="7678"/>
    <cellStyle name="40% - 强调文字颜色 5 2 2 5 2 3" xfId="7679"/>
    <cellStyle name="40% - 强调文字颜色 5 2 2 5 3" xfId="7680"/>
    <cellStyle name="40% - 强调文字颜色 5 2 2 5 3 2" xfId="7681"/>
    <cellStyle name="40% - 强调文字颜色 5 2 2 5 4" xfId="7682"/>
    <cellStyle name="40% - 强调文字颜色 5 2 2 6" xfId="7683"/>
    <cellStyle name="40% - 强调文字颜色 5 2 2 6 2" xfId="7685"/>
    <cellStyle name="40% - 强调文字颜色 5 2 2 6 2 2" xfId="7688"/>
    <cellStyle name="40% - 强调文字颜色 5 2 2 6 3" xfId="7689"/>
    <cellStyle name="40% - 强调文字颜色 5 2 2 7" xfId="7691"/>
    <cellStyle name="40% - 强调文字颜色 5 2 2 7 2" xfId="7693"/>
    <cellStyle name="40% - 强调文字颜色 5 2 2 7 2 2" xfId="7694"/>
    <cellStyle name="40% - 强调文字颜色 5 2 2 7 3" xfId="7695"/>
    <cellStyle name="40% - 强调文字颜色 5 2 2 8" xfId="7697"/>
    <cellStyle name="40% - 强调文字颜色 5 2 2 8 2" xfId="7698"/>
    <cellStyle name="40% - 强调文字颜色 5 2 2 9" xfId="765"/>
    <cellStyle name="40% - 强调文字颜色 5 2 2 9 2" xfId="7699"/>
    <cellStyle name="40% - 强调文字颜色 5 2 3" xfId="7700"/>
    <cellStyle name="40% - 强调文字颜色 5 2 3 2" xfId="7701"/>
    <cellStyle name="40% - 强调文字颜色 5 2 3 2 2" xfId="7702"/>
    <cellStyle name="40% - 强调文字颜色 5 2 3 2 2 2" xfId="7703"/>
    <cellStyle name="40% - 强调文字颜色 5 2 3 2 2 2 2" xfId="7704"/>
    <cellStyle name="40% - 强调文字颜色 5 2 3 2 2 2 2 2" xfId="7705"/>
    <cellStyle name="40% - 强调文字颜色 5 2 3 2 2 2 3" xfId="7706"/>
    <cellStyle name="40% - 强调文字颜色 5 2 3 2 2 3" xfId="7707"/>
    <cellStyle name="40% - 强调文字颜色 5 2 3 2 2 3 2" xfId="7708"/>
    <cellStyle name="40% - 强调文字颜色 5 2 3 2 2 4" xfId="7709"/>
    <cellStyle name="40% - 强调文字颜色 5 2 3 2 2 4 2" xfId="7710"/>
    <cellStyle name="40% - 强调文字颜色 5 2 3 2 2 5" xfId="7712"/>
    <cellStyle name="40% - 强调文字颜色 5 2 3 2 3" xfId="7713"/>
    <cellStyle name="40% - 强调文字颜色 5 2 3 2 3 2" xfId="7714"/>
    <cellStyle name="40% - 强调文字颜色 5 2 3 2 3 2 2" xfId="7715"/>
    <cellStyle name="40% - 强调文字颜色 5 2 3 2 3 3" xfId="7716"/>
    <cellStyle name="40% - 强调文字颜色 5 2 3 2 4" xfId="7717"/>
    <cellStyle name="40% - 强调文字颜色 5 2 3 2 4 2" xfId="7718"/>
    <cellStyle name="40% - 强调文字颜色 5 2 3 2 4 2 2" xfId="7719"/>
    <cellStyle name="40% - 强调文字颜色 5 2 3 2 4 3" xfId="7721"/>
    <cellStyle name="40% - 强调文字颜色 5 2 3 2 5" xfId="4463"/>
    <cellStyle name="40% - 强调文字颜色 5 2 3 2 5 2" xfId="4465"/>
    <cellStyle name="40% - 强调文字颜色 5 2 3 2 6" xfId="4468"/>
    <cellStyle name="40% - 强调文字颜色 5 2 3 2 6 2" xfId="7722"/>
    <cellStyle name="40% - 强调文字颜色 5 2 3 2 7" xfId="7724"/>
    <cellStyle name="40% - 强调文字颜色 5 2 3 2 8" xfId="7725"/>
    <cellStyle name="40% - 强调文字颜色 5 2 3 3" xfId="7726"/>
    <cellStyle name="40% - 强调文字颜色 5 2 3 3 2" xfId="7727"/>
    <cellStyle name="40% - 强调文字颜色 5 2 3 3 2 2" xfId="7728"/>
    <cellStyle name="40% - 强调文字颜色 5 2 3 3 2 2 2" xfId="7729"/>
    <cellStyle name="40% - 强调文字颜色 5 2 3 3 2 3" xfId="7730"/>
    <cellStyle name="40% - 强调文字颜色 5 2 3 3 3" xfId="7731"/>
    <cellStyle name="40% - 强调文字颜色 5 2 3 3 3 2" xfId="7732"/>
    <cellStyle name="40% - 强调文字颜色 5 2 3 3 4" xfId="7733"/>
    <cellStyle name="40% - 强调文字颜色 5 2 3 4" xfId="7734"/>
    <cellStyle name="40% - 强调文字颜色 5 2 3 4 2" xfId="7735"/>
    <cellStyle name="40% - 强调文字颜色 5 2 3 4 2 2" xfId="7736"/>
    <cellStyle name="40% - 强调文字颜色 5 2 3 4 3" xfId="7737"/>
    <cellStyle name="40% - 强调文字颜色 5 2 3 5" xfId="7738"/>
    <cellStyle name="40% - 强调文字颜色 5 2 3 5 2" xfId="7739"/>
    <cellStyle name="40% - 强调文字颜色 5 2 3 5 2 2" xfId="7740"/>
    <cellStyle name="40% - 强调文字颜色 5 2 3 5 3" xfId="7741"/>
    <cellStyle name="40% - 强调文字颜色 5 2 3 6" xfId="7742"/>
    <cellStyle name="40% - 强调文字颜色 5 2 3 6 2" xfId="7744"/>
    <cellStyle name="40% - 强调文字颜色 5 2 3 7" xfId="7745"/>
    <cellStyle name="40% - 强调文字颜色 5 2 3 7 2" xfId="7747"/>
    <cellStyle name="40% - 强调文字颜色 5 2 4" xfId="7749"/>
    <cellStyle name="40% - 强调文字颜色 5 2 4 2" xfId="7751"/>
    <cellStyle name="40% - 强调文字颜色 5 2 4 2 2" xfId="7752"/>
    <cellStyle name="40% - 强调文字颜色 5 2 4 2 2 2" xfId="6842"/>
    <cellStyle name="40% - 强调文字颜色 5 2 4 2 2 2 2" xfId="6849"/>
    <cellStyle name="40% - 强调文字颜色 5 2 4 2 2 2 2 2" xfId="7753"/>
    <cellStyle name="40% - 强调文字颜色 5 2 4 2 2 2 2 2 2" xfId="7754"/>
    <cellStyle name="40% - 强调文字颜色 5 2 4 2 2 2 2 3" xfId="7756"/>
    <cellStyle name="40% - 强调文字颜色 5 2 4 2 2 2 3" xfId="7757"/>
    <cellStyle name="40% - 强调文字颜色 5 2 4 2 2 2 3 2" xfId="7758"/>
    <cellStyle name="40% - 强调文字颜色 5 2 4 2 2 2 4" xfId="7759"/>
    <cellStyle name="40% - 强调文字颜色 5 2 4 2 2 2 4 2" xfId="7760"/>
    <cellStyle name="40% - 强调文字颜色 5 2 4 2 2 2 5" xfId="7761"/>
    <cellStyle name="40% - 强调文字颜色 5 2 4 2 2 3" xfId="6852"/>
    <cellStyle name="40% - 强调文字颜色 5 2 4 2 2 3 2" xfId="7762"/>
    <cellStyle name="40% - 强调文字颜色 5 2 4 2 2 3 2 2" xfId="7763"/>
    <cellStyle name="40% - 强调文字颜色 5 2 4 2 2 3 3" xfId="7764"/>
    <cellStyle name="40% - 强调文字颜色 5 2 4 2 2 4" xfId="6854"/>
    <cellStyle name="40% - 强调文字颜色 5 2 4 2 2 4 2" xfId="7765"/>
    <cellStyle name="40% - 强调文字颜色 5 2 4 2 2 4 2 2" xfId="7767"/>
    <cellStyle name="40% - 强调文字颜色 5 2 4 2 2 4 3" xfId="7769"/>
    <cellStyle name="40% - 强调文字颜色 5 2 4 2 2 5" xfId="7771"/>
    <cellStyle name="40% - 强调文字颜色 5 2 4 2 2 5 2" xfId="7773"/>
    <cellStyle name="40% - 强调文字颜色 5 2 4 2 2 6" xfId="7776"/>
    <cellStyle name="40% - 强调文字颜色 5 2 4 2 2 6 2" xfId="7778"/>
    <cellStyle name="40% - 强调文字颜色 5 2 4 2 2 7" xfId="7780"/>
    <cellStyle name="40% - 强调文字颜色 5 2 4 2 2 8" xfId="7783"/>
    <cellStyle name="40% - 强调文字颜色 5 2 4 2 3" xfId="7785"/>
    <cellStyle name="40% - 强调文字颜色 5 2 4 2 3 2" xfId="7786"/>
    <cellStyle name="40% - 强调文字颜色 5 2 4 2 3 2 2" xfId="7787"/>
    <cellStyle name="40% - 强调文字颜色 5 2 4 2 3 2 2 2" xfId="7788"/>
    <cellStyle name="40% - 强调文字颜色 5 2 4 2 3 2 3" xfId="7790"/>
    <cellStyle name="40% - 强调文字颜色 5 2 4 2 3 3" xfId="7791"/>
    <cellStyle name="40% - 强调文字颜色 5 2 4 2 3 3 2" xfId="7792"/>
    <cellStyle name="40% - 强调文字颜色 5 2 4 2 3 4" xfId="7793"/>
    <cellStyle name="40% - 强调文字颜色 5 2 4 2 4" xfId="7795"/>
    <cellStyle name="40% - 强调文字颜色 5 2 4 2 4 2" xfId="7796"/>
    <cellStyle name="40% - 强调文字颜色 5 2 4 2 4 2 2" xfId="7797"/>
    <cellStyle name="40% - 强调文字颜色 5 2 4 2 4 3" xfId="7800"/>
    <cellStyle name="40% - 强调文字颜色 5 2 4 2 5" xfId="4501"/>
    <cellStyle name="40% - 强调文字颜色 5 2 4 2 5 2" xfId="4504"/>
    <cellStyle name="40% - 强调文字颜色 5 2 4 2 5 2 2" xfId="3452"/>
    <cellStyle name="40% - 强调文字颜色 5 2 4 2 5 3" xfId="5056"/>
    <cellStyle name="40% - 强调文字颜色 5 2 4 2 6" xfId="4509"/>
    <cellStyle name="40% - 强调文字颜色 5 2 4 2 6 2" xfId="7801"/>
    <cellStyle name="40% - 强调文字颜色 5 2 4 2 7" xfId="7802"/>
    <cellStyle name="40% - 强调文字颜色 5 2 4 2 7 2" xfId="7803"/>
    <cellStyle name="40% - 强调文字颜色 5 2 4 3" xfId="7804"/>
    <cellStyle name="40% - 强调文字颜色 5 2 4 3 2" xfId="7805"/>
    <cellStyle name="40% - 强调文字颜色 5 2 4 3 2 2" xfId="6902"/>
    <cellStyle name="40% - 强调文字颜色 5 2 4 3 2 2 2" xfId="4299"/>
    <cellStyle name="40% - 强调文字颜色 5 2 4 3 2 2 2 2" xfId="7806"/>
    <cellStyle name="40% - 强调文字颜色 5 2 4 3 2 2 3" xfId="7807"/>
    <cellStyle name="40% - 强调文字颜色 5 2 4 3 2 3" xfId="6847"/>
    <cellStyle name="40% - 强调文字颜色 5 2 4 3 2 3 2" xfId="4964"/>
    <cellStyle name="40% - 强调文字颜色 5 2 4 3 2 4" xfId="7808"/>
    <cellStyle name="40% - 强调文字颜色 5 2 4 3 2 4 2" xfId="7809"/>
    <cellStyle name="40% - 强调文字颜色 5 2 4 3 2 5" xfId="7811"/>
    <cellStyle name="40% - 强调文字颜色 5 2 4 3 3" xfId="7813"/>
    <cellStyle name="40% - 强调文字颜色 5 2 4 3 3 2" xfId="6918"/>
    <cellStyle name="40% - 强调文字颜色 5 2 4 3 3 2 2" xfId="6920"/>
    <cellStyle name="40% - 强调文字颜色 5 2 4 3 3 3" xfId="6923"/>
    <cellStyle name="40% - 强调文字颜色 5 2 4 3 4" xfId="7814"/>
    <cellStyle name="40% - 强调文字颜色 5 2 4 3 4 2" xfId="7815"/>
    <cellStyle name="40% - 强调文字颜色 5 2 4 3 4 2 2" xfId="7816"/>
    <cellStyle name="40% - 强调文字颜色 5 2 4 3 4 3" xfId="7821"/>
    <cellStyle name="40% - 强调文字颜色 5 2 4 3 5" xfId="4517"/>
    <cellStyle name="40% - 强调文字颜色 5 2 4 3 5 2" xfId="7822"/>
    <cellStyle name="40% - 强调文字颜色 5 2 4 3 6" xfId="7823"/>
    <cellStyle name="40% - 强调文字颜色 5 2 4 3 6 2" xfId="7824"/>
    <cellStyle name="40% - 强调文字颜色 5 2 4 3 7" xfId="7825"/>
    <cellStyle name="40% - 强调文字颜色 5 2 4 3 8" xfId="7827"/>
    <cellStyle name="40% - 强调文字颜色 5 2 4 4" xfId="7830"/>
    <cellStyle name="40% - 强调文字颜色 5 2 4 4 2" xfId="7831"/>
    <cellStyle name="40% - 强调文字颜色 5 2 4 4 2 2" xfId="7832"/>
    <cellStyle name="40% - 强调文字颜色 5 2 4 4 2 2 2" xfId="4227"/>
    <cellStyle name="40% - 强调文字颜色 5 2 4 4 2 3" xfId="7833"/>
    <cellStyle name="40% - 强调文字颜色 5 2 4 4 3" xfId="7834"/>
    <cellStyle name="40% - 强调文字颜色 5 2 4 4 3 2" xfId="7835"/>
    <cellStyle name="40% - 强调文字颜色 5 2 4 4 4" xfId="7836"/>
    <cellStyle name="40% - 强调文字颜色 5 2 4 5" xfId="7837"/>
    <cellStyle name="40% - 强调文字颜色 5 2 4 5 2" xfId="7839"/>
    <cellStyle name="40% - 强调文字颜色 5 2 4 5 2 2" xfId="7840"/>
    <cellStyle name="40% - 强调文字颜色 5 2 4 5 3" xfId="7841"/>
    <cellStyle name="40% - 强调文字颜色 5 2 4 6" xfId="7843"/>
    <cellStyle name="40% - 强调文字颜色 5 2 4 6 2" xfId="1518"/>
    <cellStyle name="40% - 强调文字颜色 5 2 4 6 2 2" xfId="7844"/>
    <cellStyle name="40% - 强调文字颜色 5 2 4 6 3" xfId="7845"/>
    <cellStyle name="40% - 强调文字颜色 5 2 4 7" xfId="7847"/>
    <cellStyle name="40% - 强调文字颜色 5 2 4 7 2" xfId="7849"/>
    <cellStyle name="40% - 强调文字颜色 5 2 4 8" xfId="7851"/>
    <cellStyle name="40% - 强调文字颜色 5 2 4 8 2" xfId="7853"/>
    <cellStyle name="40% - 强调文字颜色 5 2 5" xfId="7855"/>
    <cellStyle name="40% - 强调文字颜色 5 2 5 2" xfId="7856"/>
    <cellStyle name="40% - 强调文字颜色 5 2 5 2 2" xfId="7858"/>
    <cellStyle name="40% - 强调文字颜色 5 2 5 2 2 2" xfId="7859"/>
    <cellStyle name="40% - 强调文字颜色 5 2 5 2 2 2 2" xfId="7860"/>
    <cellStyle name="40% - 强调文字颜色 5 2 5 2 2 3" xfId="7861"/>
    <cellStyle name="40% - 强调文字颜色 5 2 5 2 3" xfId="7862"/>
    <cellStyle name="40% - 强调文字颜色 5 2 5 2 3 2" xfId="7863"/>
    <cellStyle name="40% - 强调文字颜色 5 2 5 2 4" xfId="7865"/>
    <cellStyle name="40% - 强调文字颜色 5 2 5 3" xfId="7866"/>
    <cellStyle name="40% - 强调文字颜色 5 2 5 3 2" xfId="7868"/>
    <cellStyle name="40% - 强调文字颜色 5 2 5 3 2 2" xfId="7869"/>
    <cellStyle name="40% - 强调文字颜色 5 2 5 3 3" xfId="7870"/>
    <cellStyle name="40% - 强调文字颜色 5 2 5 4" xfId="7871"/>
    <cellStyle name="40% - 强调文字颜色 5 2 5 4 2" xfId="7872"/>
    <cellStyle name="40% - 强调文字颜色 5 2 5 4 2 2" xfId="7873"/>
    <cellStyle name="40% - 强调文字颜色 5 2 5 4 3" xfId="7874"/>
    <cellStyle name="40% - 强调文字颜色 5 2 5 5" xfId="7875"/>
    <cellStyle name="40% - 强调文字颜色 5 2 5 5 2" xfId="7876"/>
    <cellStyle name="40% - 强调文字颜色 5 2 5 6" xfId="7877"/>
    <cellStyle name="40% - 强调文字颜色 5 2 5 7" xfId="7879"/>
    <cellStyle name="40% - 强调文字颜色 5 2 6" xfId="7881"/>
    <cellStyle name="40% - 强调文字颜色 5 2 6 2" xfId="7882"/>
    <cellStyle name="40% - 强调文字颜色 5 2 6 2 2" xfId="7884"/>
    <cellStyle name="40% - 强调文字颜色 5 2 6 2 2 2" xfId="3581"/>
    <cellStyle name="40% - 强调文字颜色 5 2 6 2 3" xfId="7886"/>
    <cellStyle name="40% - 强调文字颜色 5 2 6 3" xfId="7887"/>
    <cellStyle name="40% - 强调文字颜色 5 2 6 3 2" xfId="7889"/>
    <cellStyle name="40% - 强调文字颜色 5 2 6 4" xfId="7892"/>
    <cellStyle name="40% - 强调文字颜色 5 2 7" xfId="7893"/>
    <cellStyle name="40% - 强调文字颜色 5 2 7 2" xfId="7894"/>
    <cellStyle name="40% - 强调文字颜色 5 2 7 2 2" xfId="7897"/>
    <cellStyle name="40% - 强调文字颜色 5 2 7 3" xfId="7898"/>
    <cellStyle name="40% - 强调文字颜色 5 2 8" xfId="7900"/>
    <cellStyle name="40% - 强调文字颜色 5 2 8 2" xfId="7902"/>
    <cellStyle name="40% - 强调文字颜色 5 2 8 2 2" xfId="7903"/>
    <cellStyle name="40% - 强调文字颜色 5 2 8 3" xfId="7904"/>
    <cellStyle name="40% - 强调文字颜色 5 2 9" xfId="7905"/>
    <cellStyle name="40% - 强调文字颜色 5 2 9 2" xfId="7906"/>
    <cellStyle name="40% - 强调文字颜色 5 3" xfId="7907"/>
    <cellStyle name="40% - 强调文字颜色 5 3 2" xfId="7911"/>
    <cellStyle name="40% - 强调文字颜色 6 2" xfId="7914"/>
    <cellStyle name="40% - 强调文字颜色 6 2 10" xfId="7917"/>
    <cellStyle name="40% - 强调文字颜色 6 2 10 2" xfId="7919"/>
    <cellStyle name="40% - 强调文字颜色 6 2 11" xfId="7920"/>
    <cellStyle name="40% - 强调文字颜色 6 2 11 2" xfId="7923"/>
    <cellStyle name="40% - 强调文字颜色 6 2 2" xfId="7926"/>
    <cellStyle name="40% - 强调文字颜色 6 2 2 2" xfId="7929"/>
    <cellStyle name="40% - 强调文字颜色 6 2 2 2 2" xfId="7932"/>
    <cellStyle name="40% - 强调文字颜色 6 2 2 2 2 2" xfId="7935"/>
    <cellStyle name="40% - 强调文字颜色 6 2 2 2 2 2 2" xfId="7938"/>
    <cellStyle name="40% - 强调文字颜色 6 2 2 2 2 2 2 2" xfId="7942"/>
    <cellStyle name="40% - 强调文字颜色 6 2 2 2 2 2 2 2 2" xfId="7946"/>
    <cellStyle name="40% - 强调文字颜色 6 2 2 2 2 2 2 3" xfId="7953"/>
    <cellStyle name="40% - 强调文字颜色 6 2 2 2 2 2 3" xfId="7957"/>
    <cellStyle name="40% - 强调文字颜色 6 2 2 2 2 2 3 2" xfId="7960"/>
    <cellStyle name="40% - 强调文字颜色 6 2 2 2 2 2 4" xfId="7965"/>
    <cellStyle name="40% - 强调文字颜色 6 2 2 2 2 2 4 2" xfId="7968"/>
    <cellStyle name="40% - 强调文字颜色 6 2 2 2 2 2 5" xfId="7972"/>
    <cellStyle name="40% - 强调文字颜色 6 2 2 2 2 3" xfId="2268"/>
    <cellStyle name="40% - 强调文字颜色 6 2 2 2 2 3 2" xfId="7974"/>
    <cellStyle name="40% - 强调文字颜色 6 2 2 2 2 3 2 2" xfId="7977"/>
    <cellStyle name="40% - 强调文字颜色 6 2 2 2 2 3 3" xfId="7981"/>
    <cellStyle name="40% - 强调文字颜色 6 2 2 2 2 4" xfId="7983"/>
    <cellStyle name="40% - 强调文字颜色 6 2 2 2 2 4 2" xfId="7986"/>
    <cellStyle name="40% - 强调文字颜色 6 2 2 2 2 4 2 2" xfId="7990"/>
    <cellStyle name="40% - 强调文字颜色 6 2 2 2 2 4 3" xfId="7993"/>
    <cellStyle name="40% - 强调文字颜色 6 2 2 2 2 5" xfId="7997"/>
    <cellStyle name="40% - 强调文字颜色 6 2 2 2 2 5 2" xfId="8001"/>
    <cellStyle name="40% - 强调文字颜色 6 2 2 2 2 6" xfId="8007"/>
    <cellStyle name="40% - 强调文字颜色 6 2 2 2 2 6 2" xfId="8012"/>
    <cellStyle name="40% - 强调文字颜色 6 2 2 2 2 7" xfId="8018"/>
    <cellStyle name="40% - 强调文字颜色 6 2 2 2 2 8" xfId="8021"/>
    <cellStyle name="40% - 强调文字颜色 6 2 2 2 3" xfId="8024"/>
    <cellStyle name="40% - 强调文字颜色 6 2 2 2 3 2" xfId="8028"/>
    <cellStyle name="40% - 强调文字颜色 6 2 2 2 3 2 2" xfId="8031"/>
    <cellStyle name="40% - 强调文字颜色 6 2 2 2 3 2 2 2" xfId="8037"/>
    <cellStyle name="40% - 强调文字颜色 6 2 2 2 3 2 3" xfId="8040"/>
    <cellStyle name="40% - 强调文字颜色 6 2 2 2 3 3" xfId="8043"/>
    <cellStyle name="40% - 强调文字颜色 6 2 2 2 3 3 2" xfId="8047"/>
    <cellStyle name="40% - 强调文字颜色 6 2 2 2 3 4" xfId="8050"/>
    <cellStyle name="40% - 强调文字颜色 6 2 2 2 4" xfId="8054"/>
    <cellStyle name="40% - 强调文字颜色 6 2 2 2 4 2" xfId="8057"/>
    <cellStyle name="40% - 强调文字颜色 6 2 2 2 4 2 2" xfId="8060"/>
    <cellStyle name="40% - 强调文字颜色 6 2 2 2 4 3" xfId="8062"/>
    <cellStyle name="40% - 强调文字颜色 6 2 2 2 5" xfId="8065"/>
    <cellStyle name="40% - 强调文字颜色 6 2 2 2 5 2" xfId="8068"/>
    <cellStyle name="40% - 强调文字颜色 6 2 2 2 5 2 2" xfId="8071"/>
    <cellStyle name="40% - 强调文字颜色 6 2 2 2 5 3" xfId="8073"/>
    <cellStyle name="40% - 强调文字颜色 6 2 2 2 6" xfId="8075"/>
    <cellStyle name="40% - 强调文字颜色 6 2 2 2 6 2" xfId="8079"/>
    <cellStyle name="40% - 强调文字颜色 6 2 2 2 7" xfId="8081"/>
    <cellStyle name="40% - 强调文字颜色 6 2 2 2 7 2" xfId="8084"/>
    <cellStyle name="40% - 强调文字颜色 6 2 2 3" xfId="8086"/>
    <cellStyle name="40% - 强调文字颜色 6 2 2 3 2" xfId="8088"/>
    <cellStyle name="40% - 强调文字颜色 6 2 2 3 2 2" xfId="8092"/>
    <cellStyle name="40% - 强调文字颜色 6 2 2 3 2 2 2" xfId="6402"/>
    <cellStyle name="40% - 强调文字颜色 6 2 2 3 2 2 2 2" xfId="6407"/>
    <cellStyle name="40% - 强调文字颜色 6 2 2 3 2 2 2 2 2" xfId="6411"/>
    <cellStyle name="40% - 强调文字颜色 6 2 2 3 2 2 2 2 2 2" xfId="8096"/>
    <cellStyle name="40% - 强调文字颜色 6 2 2 3 2 2 2 2 3" xfId="8098"/>
    <cellStyle name="40% - 强调文字颜色 6 2 2 3 2 2 2 3" xfId="6416"/>
    <cellStyle name="40% - 强调文字颜色 6 2 2 3 2 2 2 3 2" xfId="8101"/>
    <cellStyle name="40% - 强调文字颜色 6 2 2 3 2 2 2 4" xfId="7611"/>
    <cellStyle name="40% - 强调文字颜色 6 2 2 3 2 2 2 4 2" xfId="8103"/>
    <cellStyle name="40% - 强调文字颜色 6 2 2 3 2 2 2 5" xfId="8104"/>
    <cellStyle name="40% - 强调文字颜色 6 2 2 3 2 2 3" xfId="6418"/>
    <cellStyle name="40% - 强调文字颜色 6 2 2 3 2 2 3 2" xfId="6422"/>
    <cellStyle name="40% - 强调文字颜色 6 2 2 3 2 2 3 2 2" xfId="3550"/>
    <cellStyle name="40% - 强调文字颜色 6 2 2 3 2 2 3 3" xfId="8105"/>
    <cellStyle name="40% - 强调文字颜色 6 2 2 3 2 2 4" xfId="8106"/>
    <cellStyle name="40% - 强调文字颜色 6 2 2 3 2 2 4 2" xfId="8109"/>
    <cellStyle name="40% - 强调文字颜色 6 2 2 3 2 2 4 2 2" xfId="8110"/>
    <cellStyle name="40% - 强调文字颜色 6 2 2 3 2 2 4 3" xfId="8112"/>
    <cellStyle name="40% - 强调文字颜色 6 2 2 3 2 2 5" xfId="8113"/>
    <cellStyle name="40% - 强调文字颜色 6 2 2 3 2 2 5 2" xfId="8114"/>
    <cellStyle name="40% - 强调文字颜色 6 2 2 3 2 2 6" xfId="8116"/>
    <cellStyle name="40% - 强调文字颜色 6 2 2 3 2 2 6 2" xfId="8117"/>
    <cellStyle name="40% - 强调文字颜色 6 2 2 3 2 2 7" xfId="8120"/>
    <cellStyle name="40% - 强调文字颜色 6 2 2 3 2 2 8" xfId="3256"/>
    <cellStyle name="40% - 强调文字颜色 6 2 2 3 2 3" xfId="8122"/>
    <cellStyle name="40% - 强调文字颜色 6 2 2 3 2 3 2" xfId="8125"/>
    <cellStyle name="40% - 强调文字颜色 6 2 2 3 2 3 2 2" xfId="8129"/>
    <cellStyle name="40% - 强调文字颜色 6 2 2 3 2 3 2 2 2" xfId="8130"/>
    <cellStyle name="40% - 强调文字颜色 6 2 2 3 2 3 2 3" xfId="8131"/>
    <cellStyle name="40% - 强调文字颜色 6 2 2 3 2 3 3" xfId="8132"/>
    <cellStyle name="40% - 强调文字颜色 6 2 2 3 2 3 3 2" xfId="8134"/>
    <cellStyle name="40% - 强调文字颜色 6 2 2 3 2 3 4" xfId="8136"/>
    <cellStyle name="40% - 强调文字颜色 6 2 2 3 2 4" xfId="8137"/>
    <cellStyle name="40% - 强调文字颜色 6 2 2 3 2 4 2" xfId="8141"/>
    <cellStyle name="40% - 强调文字颜色 6 2 2 3 2 4 2 2" xfId="8145"/>
    <cellStyle name="40% - 强调文字颜色 6 2 2 3 2 4 3" xfId="8146"/>
    <cellStyle name="40% - 强调文字颜色 6 2 2 3 2 5" xfId="8147"/>
    <cellStyle name="40% - 强调文字颜色 6 2 2 3 2 5 2" xfId="8150"/>
    <cellStyle name="40% - 强调文字颜色 6 2 2 3 2 5 2 2" xfId="8156"/>
    <cellStyle name="40% - 强调文字颜色 6 2 2 3 2 5 3" xfId="8158"/>
    <cellStyle name="40% - 强调文字颜色 6 2 2 3 2 6" xfId="8161"/>
    <cellStyle name="40% - 强调文字颜色 6 2 2 3 2 6 2" xfId="8165"/>
    <cellStyle name="40% - 强调文字颜色 6 2 2 3 2 7" xfId="8169"/>
    <cellStyle name="40% - 强调文字颜色 6 2 2 3 2 7 2" xfId="8172"/>
    <cellStyle name="40% - 强调文字颜色 6 2 2 3 3" xfId="8174"/>
    <cellStyle name="40% - 强调文字颜色 6 2 2 3 3 2" xfId="8178"/>
    <cellStyle name="40% - 强调文字颜色 6 2 2 3 3 2 2" xfId="2108"/>
    <cellStyle name="40% - 强调文字颜色 6 2 2 3 3 2 2 2" xfId="2116"/>
    <cellStyle name="40% - 强调文字颜色 6 2 2 3 3 2 2 2 2" xfId="2120"/>
    <cellStyle name="40% - 强调文字颜色 6 2 2 3 3 2 2 3" xfId="2186"/>
    <cellStyle name="40% - 强调文字颜色 6 2 2 3 3 2 3" xfId="2241"/>
    <cellStyle name="40% - 强调文字颜色 6 2 2 3 3 2 3 2" xfId="2246"/>
    <cellStyle name="40% - 强调文字颜色 6 2 2 3 3 2 4" xfId="8182"/>
    <cellStyle name="40% - 强调文字颜色 6 2 2 3 3 2 4 2" xfId="8184"/>
    <cellStyle name="40% - 强调文字颜色 6 2 2 3 3 2 5" xfId="8185"/>
    <cellStyle name="40% - 强调文字颜色 6 2 2 3 3 3" xfId="8186"/>
    <cellStyle name="40% - 强调文字颜色 6 2 2 3 3 3 2" xfId="8188"/>
    <cellStyle name="40% - 强调文字颜色 6 2 2 3 3 3 2 2" xfId="8190"/>
    <cellStyle name="40% - 强调文字颜色 6 2 2 3 3 3 3" xfId="8192"/>
    <cellStyle name="40% - 强调文字颜色 6 2 2 3 3 4" xfId="8193"/>
    <cellStyle name="40% - 强调文字颜色 6 2 2 3 3 4 2" xfId="8196"/>
    <cellStyle name="40% - 强调文字颜色 6 2 2 3 3 4 2 2" xfId="8198"/>
    <cellStyle name="40% - 强调文字颜色 6 2 2 3 3 4 3" xfId="8200"/>
    <cellStyle name="40% - 强调文字颜色 6 2 2 3 3 5" xfId="8201"/>
    <cellStyle name="40% - 强调文字颜色 6 2 2 3 3 5 2" xfId="8203"/>
    <cellStyle name="40% - 强调文字颜色 6 2 2 3 3 6" xfId="8205"/>
    <cellStyle name="40% - 强调文字颜色 6 2 2 3 3 6 2" xfId="8209"/>
    <cellStyle name="40% - 强调文字颜色 6 2 2 3 3 7" xfId="8213"/>
    <cellStyle name="40% - 强调文字颜色 6 2 2 3 3 8" xfId="8217"/>
    <cellStyle name="40% - 强调文字颜色 6 2 2 3 4" xfId="8221"/>
    <cellStyle name="40% - 强调文字颜色 6 2 2 3 4 2" xfId="8225"/>
    <cellStyle name="40% - 强调文字颜色 6 2 2 3 4 2 2" xfId="3071"/>
    <cellStyle name="40% - 强调文字颜色 6 2 2 3 4 2 2 2" xfId="3077"/>
    <cellStyle name="40% - 强调文字颜色 6 2 2 3 4 2 3" xfId="3131"/>
    <cellStyle name="40% - 强调文字颜色 6 2 2 3 4 3" xfId="8227"/>
    <cellStyle name="40% - 强调文字颜色 6 2 2 3 4 3 2" xfId="8229"/>
    <cellStyle name="40% - 强调文字颜色 6 2 2 3 4 4" xfId="8230"/>
    <cellStyle name="40% - 强调文字颜色 6 2 2 3 5" xfId="8232"/>
    <cellStyle name="40% - 强调文字颜色 6 2 2 3 5 2" xfId="8236"/>
    <cellStyle name="40% - 强调文字颜色 6 2 2 3 5 2 2" xfId="7430"/>
    <cellStyle name="40% - 强调文字颜色 6 2 2 3 5 3" xfId="8238"/>
    <cellStyle name="40% - 强调文字颜色 6 2 2 3 6" xfId="8239"/>
    <cellStyle name="40% - 强调文字颜色 6 2 2 3 6 2" xfId="8243"/>
    <cellStyle name="40% - 强调文字颜色 6 2 2 3 6 2 2" xfId="7901"/>
    <cellStyle name="40% - 强调文字颜色 6 2 2 3 6 3" xfId="8244"/>
    <cellStyle name="40% - 强调文字颜色 6 2 2 3 7" xfId="8246"/>
    <cellStyle name="40% - 强调文字颜色 6 2 2 3 7 2" xfId="8248"/>
    <cellStyle name="40% - 强调文字颜色 6 2 2 3 8" xfId="8250"/>
    <cellStyle name="40% - 强调文字颜色 6 2 2 3 8 2" xfId="8252"/>
    <cellStyle name="40% - 强调文字颜色 6 2 2 4" xfId="8253"/>
    <cellStyle name="40% - 强调文字颜色 6 2 2 4 2" xfId="8255"/>
    <cellStyle name="40% - 强调文字颜色 6 2 2 4 2 2" xfId="8260"/>
    <cellStyle name="40% - 强调文字颜色 6 2 2 4 2 2 2" xfId="8262"/>
    <cellStyle name="40% - 强调文字颜色 6 2 2 4 2 2 2 2" xfId="8264"/>
    <cellStyle name="40% - 强调文字颜色 6 2 2 4 2 2 3" xfId="8265"/>
    <cellStyle name="40% - 强调文字颜色 6 2 2 4 2 3" xfId="8268"/>
    <cellStyle name="40% - 强调文字颜色 6 2 2 4 2 3 2" xfId="8270"/>
    <cellStyle name="40% - 强调文字颜色 6 2 2 4 2 4" xfId="8271"/>
    <cellStyle name="40% - 强调文字颜色 6 2 2 4 2 4 2" xfId="8273"/>
    <cellStyle name="40% - 强调文字颜色 6 2 2 4 2 5" xfId="8274"/>
    <cellStyle name="40% - 强调文字颜色 6 2 2 4 3" xfId="8276"/>
    <cellStyle name="40% - 强调文字颜色 6 2 2 4 3 2" xfId="5134"/>
    <cellStyle name="40% - 强调文字颜色 6 2 2 4 3 2 2" xfId="4666"/>
    <cellStyle name="40% - 强调文字颜色 6 2 2 4 3 3" xfId="5139"/>
    <cellStyle name="40% - 强调文字颜色 6 2 2 4 4" xfId="8280"/>
    <cellStyle name="40% - 强调文字颜色 6 2 2 4 4 2" xfId="6615"/>
    <cellStyle name="40% - 强调文字颜色 6 2 2 4 4 2 2" xfId="4823"/>
    <cellStyle name="40% - 强调文字颜色 6 2 2 4 4 3" xfId="6620"/>
    <cellStyle name="40% - 强调文字颜色 6 2 2 4 5" xfId="8284"/>
    <cellStyle name="40% - 强调文字颜色 6 2 2 4 5 2" xfId="6729"/>
    <cellStyle name="40% - 强调文字颜色 6 2 2 4 6" xfId="8287"/>
    <cellStyle name="40% - 强调文字颜色 6 2 2 4 6 2" xfId="634"/>
    <cellStyle name="40% - 强调文字颜色 6 2 2 4 7" xfId="8290"/>
    <cellStyle name="40% - 强调文字颜色 6 2 2 4 8" xfId="8292"/>
    <cellStyle name="40% - 强调文字颜色 6 2 2 5" xfId="8294"/>
    <cellStyle name="40% - 强调文字颜色 6 2 2 5 2" xfId="8297"/>
    <cellStyle name="40% - 强调文字颜色 6 2 2 5 2 2" xfId="8301"/>
    <cellStyle name="40% - 强调文字颜色 6 2 2 5 2 2 2" xfId="8303"/>
    <cellStyle name="40% - 强调文字颜色 6 2 2 5 2 3" xfId="8304"/>
    <cellStyle name="40% - 强调文字颜色 6 2 2 5 3" xfId="8305"/>
    <cellStyle name="40% - 强调文字颜色 6 2 2 5 3 2" xfId="8308"/>
    <cellStyle name="40% - 强调文字颜色 6 2 2 5 4" xfId="8309"/>
    <cellStyle name="40% - 强调文字颜色 6 2 2 6" xfId="8312"/>
    <cellStyle name="40% - 强调文字颜色 6 2 2 6 2" xfId="8314"/>
    <cellStyle name="40% - 强调文字颜色 6 2 2 6 2 2" xfId="8317"/>
    <cellStyle name="40% - 强调文字颜色 6 2 2 6 3" xfId="8320"/>
    <cellStyle name="40% - 强调文字颜色 6 2 2 7" xfId="8324"/>
    <cellStyle name="40% - 强调文字颜色 6 2 2 7 2" xfId="8326"/>
    <cellStyle name="40% - 强调文字颜色 6 2 2 7 2 2" xfId="8328"/>
    <cellStyle name="40% - 强调文字颜色 6 2 2 7 3" xfId="8329"/>
    <cellStyle name="40% - 强调文字颜色 6 2 2 8" xfId="8331"/>
    <cellStyle name="40% - 强调文字颜色 6 2 2 8 2" xfId="8332"/>
    <cellStyle name="40% - 强调文字颜色 6 2 2 9" xfId="8333"/>
    <cellStyle name="40% - 强调文字颜色 6 2 2 9 2" xfId="8334"/>
    <cellStyle name="40% - 强调文字颜色 6 2 3" xfId="8335"/>
    <cellStyle name="40% - 强调文字颜色 6 2 3 2" xfId="8337"/>
    <cellStyle name="40% - 强调文字颜色 6 2 3 2 2" xfId="8339"/>
    <cellStyle name="40% - 强调文字颜色 6 2 3 2 2 2" xfId="8342"/>
    <cellStyle name="40% - 强调文字颜色 6 2 3 2 2 2 2" xfId="8344"/>
    <cellStyle name="40% - 强调文字颜色 6 2 3 2 2 2 2 2" xfId="8347"/>
    <cellStyle name="40% - 强调文字颜色 6 2 3 2 2 2 3" xfId="8349"/>
    <cellStyle name="40% - 强调文字颜色 6 2 3 2 2 3" xfId="8352"/>
    <cellStyle name="40% - 强调文字颜色 6 2 3 2 2 3 2" xfId="8354"/>
    <cellStyle name="40% - 强调文字颜色 6 2 3 2 2 4" xfId="8357"/>
    <cellStyle name="40% - 强调文字颜色 6 2 3 2 2 4 2" xfId="8359"/>
    <cellStyle name="40% - 强调文字颜色 6 2 3 2 2 5" xfId="8361"/>
    <cellStyle name="40% - 强调文字颜色 6 2 3 2 3" xfId="8363"/>
    <cellStyle name="40% - 强调文字颜色 6 2 3 2 3 2" xfId="8366"/>
    <cellStyle name="40% - 强调文字颜色 6 2 3 2 3 2 2" xfId="8368"/>
    <cellStyle name="40% - 强调文字颜色 6 2 3 2 3 3" xfId="8372"/>
    <cellStyle name="40% - 强调文字颜色 6 2 3 2 4" xfId="8374"/>
    <cellStyle name="40% - 强调文字颜色 6 2 3 2 4 2" xfId="8376"/>
    <cellStyle name="40% - 强调文字颜色 6 2 3 2 4 2 2" xfId="8378"/>
    <cellStyle name="40% - 强调文字颜色 6 2 3 2 4 3" xfId="8381"/>
    <cellStyle name="40% - 强调文字颜色 6 2 3 2 5" xfId="8384"/>
    <cellStyle name="40% - 强调文字颜色 6 2 3 2 5 2" xfId="8386"/>
    <cellStyle name="40% - 强调文字颜色 6 2 3 2 6" xfId="8388"/>
    <cellStyle name="40% - 强调文字颜色 6 2 3 2 6 2" xfId="8390"/>
    <cellStyle name="40% - 强调文字颜色 6 2 3 2 7" xfId="8392"/>
    <cellStyle name="40% - 强调文字颜色 6 2 3 2 8" xfId="8395"/>
    <cellStyle name="40% - 强调文字颜色 6 2 3 3" xfId="8398"/>
    <cellStyle name="40% - 强调文字颜色 6 2 3 3 2" xfId="8401"/>
    <cellStyle name="40% - 强调文字颜色 6 2 3 3 2 2" xfId="8405"/>
    <cellStyle name="40% - 强调文字颜色 6 2 3 3 2 2 2" xfId="8408"/>
    <cellStyle name="40% - 强调文字颜色 6 2 3 3 2 3" xfId="8411"/>
    <cellStyle name="40% - 强调文字颜色 6 2 3 3 3" xfId="8413"/>
    <cellStyle name="40% - 强调文字颜色 6 2 3 3 3 2" xfId="8416"/>
    <cellStyle name="40% - 强调文字颜色 6 2 3 3 4" xfId="8418"/>
    <cellStyle name="40% - 强调文字颜色 6 2 3 4" xfId="8421"/>
    <cellStyle name="40% - 强调文字颜色 6 2 3 4 2" xfId="8423"/>
    <cellStyle name="40% - 强调文字颜色 6 2 3 4 2 2" xfId="8427"/>
    <cellStyle name="40% - 强调文字颜色 6 2 3 4 3" xfId="8429"/>
    <cellStyle name="40% - 强调文字颜色 6 2 3 5" xfId="8431"/>
    <cellStyle name="40% - 强调文字颜色 6 2 3 5 2" xfId="8433"/>
    <cellStyle name="40% - 强调文字颜色 6 2 3 5 2 2" xfId="8437"/>
    <cellStyle name="40% - 强调文字颜色 6 2 3 5 3" xfId="8439"/>
    <cellStyle name="40% - 强调文字颜色 6 2 3 6" xfId="8443"/>
    <cellStyle name="40% - 强调文字颜色 6 2 3 6 2" xfId="8445"/>
    <cellStyle name="40% - 强调文字颜色 6 2 3 7" xfId="8448"/>
    <cellStyle name="40% - 强调文字颜色 6 2 3 7 2" xfId="8450"/>
    <cellStyle name="40% - 强调文字颜色 6 2 4" xfId="8452"/>
    <cellStyle name="40% - 强调文字颜色 6 2 4 2" xfId="8454"/>
    <cellStyle name="40% - 强调文字颜色 6 2 4 2 2" xfId="8456"/>
    <cellStyle name="40% - 强调文字颜色 6 2 4 2 2 2" xfId="6690"/>
    <cellStyle name="40% - 强调文字颜色 6 2 4 2 2 2 2" xfId="7165"/>
    <cellStyle name="40% - 强调文字颜色 6 2 4 2 2 2 2 2" xfId="8459"/>
    <cellStyle name="40% - 强调文字颜色 6 2 4 2 2 2 2 2 2" xfId="8461"/>
    <cellStyle name="40% - 强调文字颜色 6 2 4 2 2 2 2 3" xfId="8465"/>
    <cellStyle name="40% - 强调文字颜色 6 2 4 2 2 2 3" xfId="8467"/>
    <cellStyle name="40% - 强调文字颜色 6 2 4 2 2 2 3 2" xfId="8470"/>
    <cellStyle name="40% - 强调文字颜色 6 2 4 2 2 2 4" xfId="8472"/>
    <cellStyle name="40% - 强调文字颜色 6 2 4 2 2 2 4 2" xfId="8476"/>
    <cellStyle name="40% - 强调文字颜色 6 2 4 2 2 2 5" xfId="943"/>
    <cellStyle name="40% - 强调文字颜色 6 2 4 2 2 3" xfId="7169"/>
    <cellStyle name="40% - 强调文字颜色 6 2 4 2 2 3 2" xfId="8479"/>
    <cellStyle name="40% - 强调文字颜色 6 2 4 2 2 3 2 2" xfId="8482"/>
    <cellStyle name="40% - 强调文字颜色 6 2 4 2 2 3 3" xfId="8485"/>
    <cellStyle name="40% - 强调文字颜色 6 2 4 2 2 4" xfId="1259"/>
    <cellStyle name="40% - 强调文字颜色 6 2 4 2 2 4 2" xfId="8487"/>
    <cellStyle name="40% - 强调文字颜色 6 2 4 2 2 4 2 2" xfId="8489"/>
    <cellStyle name="40% - 强调文字颜色 6 2 4 2 2 4 3" xfId="8492"/>
    <cellStyle name="40% - 强调文字颜色 6 2 4 2 2 5" xfId="8494"/>
    <cellStyle name="40% - 强调文字颜色 6 2 4 2 2 5 2" xfId="8497"/>
    <cellStyle name="40% - 强调文字颜色 6 2 4 2 2 6" xfId="8501"/>
    <cellStyle name="40% - 强调文字颜色 6 2 4 2 2 6 2" xfId="8504"/>
    <cellStyle name="40% - 强调文字颜色 6 2 4 2 2 7" xfId="8507"/>
    <cellStyle name="40% - 强调文字颜色 6 2 4 2 2 8" xfId="8510"/>
    <cellStyle name="40% - 强调文字颜色 6 2 4 2 3" xfId="8513"/>
    <cellStyle name="40% - 强调文字颜色 6 2 4 2 3 2" xfId="8515"/>
    <cellStyle name="40% - 强调文字颜色 6 2 4 2 3 2 2" xfId="8517"/>
    <cellStyle name="40% - 强调文字颜色 6 2 4 2 3 2 2 2" xfId="8521"/>
    <cellStyle name="40% - 强调文字颜色 6 2 4 2 3 2 3" xfId="8524"/>
    <cellStyle name="40% - 强调文字颜色 6 2 4 2 3 3" xfId="8527"/>
    <cellStyle name="40% - 强调文字颜色 6 2 4 2 3 3 2" xfId="8529"/>
    <cellStyle name="40% - 强调文字颜色 6 2 4 2 3 4" xfId="8532"/>
    <cellStyle name="40% - 强调文字颜色 6 2 4 2 4" xfId="8534"/>
    <cellStyle name="40% - 强调文字颜色 6 2 4 2 4 2" xfId="8536"/>
    <cellStyle name="40% - 强调文字颜色 6 2 4 2 4 2 2" xfId="8539"/>
    <cellStyle name="40% - 强调文字颜色 6 2 4 2 4 3" xfId="8542"/>
    <cellStyle name="40% - 强调文字颜色 6 2 4 2 5" xfId="8546"/>
    <cellStyle name="40% - 强调文字颜色 6 2 4 2 5 2" xfId="8548"/>
    <cellStyle name="40% - 强调文字颜色 6 2 4 2 5 2 2" xfId="8551"/>
    <cellStyle name="40% - 强调文字颜色 6 2 4 2 5 3" xfId="8553"/>
    <cellStyle name="40% - 强调文字颜色 6 2 4 2 6" xfId="8556"/>
    <cellStyle name="40% - 强调文字颜色 6 2 4 2 6 2" xfId="8558"/>
    <cellStyle name="40% - 强调文字颜色 6 2 4 2 7" xfId="8561"/>
    <cellStyle name="40% - 强调文字颜色 6 2 4 2 7 2" xfId="8563"/>
    <cellStyle name="40% - 强调文字颜色 6 2 4 3" xfId="8565"/>
    <cellStyle name="40% - 强调文字颜色 6 2 4 3 2" xfId="8567"/>
    <cellStyle name="40% - 强调文字颜色 6 2 4 3 2 2" xfId="6701"/>
    <cellStyle name="40% - 强调文字颜色 6 2 4 3 2 2 2" xfId="1026"/>
    <cellStyle name="40% - 强调文字颜色 6 2 4 3 2 2 2 2" xfId="8570"/>
    <cellStyle name="40% - 强调文字颜色 6 2 4 3 2 2 3" xfId="8572"/>
    <cellStyle name="40% - 强调文字颜色 6 2 4 3 2 3" xfId="7224"/>
    <cellStyle name="40% - 强调文字颜色 6 2 4 3 2 3 2" xfId="1056"/>
    <cellStyle name="40% - 强调文字颜色 6 2 4 3 2 4" xfId="8575"/>
    <cellStyle name="40% - 强调文字颜色 6 2 4 3 2 4 2" xfId="8577"/>
    <cellStyle name="40% - 强调文字颜色 6 2 4 3 2 5" xfId="8578"/>
    <cellStyle name="40% - 强调文字颜色 6 2 4 3 3" xfId="8581"/>
    <cellStyle name="40% - 强调文字颜色 6 2 4 3 3 2" xfId="2028"/>
    <cellStyle name="40% - 强调文字颜色 6 2 4 3 3 2 2" xfId="2036"/>
    <cellStyle name="40% - 强调文字颜色 6 2 4 3 3 3" xfId="2044"/>
    <cellStyle name="40% - 强调文字颜色 6 2 4 3 4" xfId="8583"/>
    <cellStyle name="40% - 强调文字颜色 6 2 4 3 4 2" xfId="8585"/>
    <cellStyle name="40% - 强调文字颜色 6 2 4 3 4 2 2" xfId="8588"/>
    <cellStyle name="40% - 强调文字颜色 6 2 4 3 4 3" xfId="8592"/>
    <cellStyle name="40% - 强调文字颜色 6 2 4 3 5" xfId="8594"/>
    <cellStyle name="40% - 强调文字颜色 6 2 4 3 5 2" xfId="8596"/>
    <cellStyle name="40% - 强调文字颜色 6 2 4 3 6" xfId="8598"/>
    <cellStyle name="40% - 强调文字颜色 6 2 4 3 6 2" xfId="8600"/>
    <cellStyle name="40% - 强调文字颜色 6 2 4 3 7" xfId="8601"/>
    <cellStyle name="40% - 强调文字颜色 6 2 4 3 8" xfId="8604"/>
    <cellStyle name="40% - 强调文字颜色 6 2 4 4" xfId="8606"/>
    <cellStyle name="40% - 强调文字颜色 6 2 4 4 2" xfId="8608"/>
    <cellStyle name="40% - 强调文字颜色 6 2 4 4 2 2" xfId="8610"/>
    <cellStyle name="40% - 强调文字颜色 6 2 4 4 2 2 2" xfId="8612"/>
    <cellStyle name="40% - 强调文字颜色 6 2 4 4 2 3" xfId="8614"/>
    <cellStyle name="40% - 强调文字颜色 6 2 4 4 3" xfId="8616"/>
    <cellStyle name="40% - 强调文字颜色 6 2 4 4 3 2" xfId="2074"/>
    <cellStyle name="40% - 强调文字颜色 6 2 4 4 4" xfId="8618"/>
    <cellStyle name="40% - 强调文字颜色 6 2 4 5" xfId="8620"/>
    <cellStyle name="40% - 强调文字颜色 6 2 4 5 2" xfId="8622"/>
    <cellStyle name="40% - 强调文字颜色 6 2 4 5 2 2" xfId="8624"/>
    <cellStyle name="40% - 强调文字颜色 6 2 4 5 3" xfId="8626"/>
    <cellStyle name="40% - 强调文字颜色 6 2 4 6" xfId="8628"/>
    <cellStyle name="40% - 强调文字颜色 6 2 4 6 2" xfId="7446"/>
    <cellStyle name="40% - 强调文字颜色 6 2 4 6 2 2" xfId="7449"/>
    <cellStyle name="40% - 强调文字颜色 6 2 4 6 3" xfId="7452"/>
    <cellStyle name="40% - 强调文字颜色 6 2 4 7" xfId="8630"/>
    <cellStyle name="40% - 强调文字颜色 6 2 4 7 2" xfId="8632"/>
    <cellStyle name="40% - 强调文字颜色 6 2 4 8" xfId="8634"/>
    <cellStyle name="40% - 强调文字颜色 6 2 4 8 2" xfId="8635"/>
    <cellStyle name="40% - 强调文字颜色 6 2 5" xfId="8636"/>
    <cellStyle name="40% - 强调文字颜色 6 2 5 2" xfId="8638"/>
    <cellStyle name="40% - 强调文字颜色 6 2 5 2 2" xfId="8641"/>
    <cellStyle name="40% - 强调文字颜色 6 2 5 2 2 2" xfId="8643"/>
    <cellStyle name="40% - 强调文字颜色 6 2 5 2 2 2 2" xfId="8645"/>
    <cellStyle name="40% - 强调文字颜色 6 2 5 2 2 3" xfId="8648"/>
    <cellStyle name="40% - 强调文字颜色 6 2 5 2 3" xfId="8650"/>
    <cellStyle name="40% - 强调文字颜色 6 2 5 2 3 2" xfId="8652"/>
    <cellStyle name="40% - 强调文字颜色 6 2 5 2 4" xfId="8654"/>
    <cellStyle name="40% - 强调文字颜色 6 2 5 3" xfId="8656"/>
    <cellStyle name="40% - 强调文字颜色 6 2 5 3 2" xfId="8659"/>
    <cellStyle name="40% - 强调文字颜色 6 2 5 3 2 2" xfId="8661"/>
    <cellStyle name="40% - 强调文字颜色 6 2 5 3 3" xfId="8663"/>
    <cellStyle name="40% - 强调文字颜色 6 2 5 4" xfId="8665"/>
    <cellStyle name="40% - 强调文字颜色 6 2 5 4 2" xfId="8667"/>
    <cellStyle name="40% - 强调文字颜色 6 2 5 4 2 2" xfId="8669"/>
    <cellStyle name="40% - 强调文字颜色 6 2 5 4 3" xfId="8671"/>
    <cellStyle name="40% - 强调文字颜色 6 2 5 5" xfId="8673"/>
    <cellStyle name="40% - 强调文字颜色 6 2 5 5 2" xfId="8675"/>
    <cellStyle name="40% - 强调文字颜色 6 2 5 6" xfId="8677"/>
    <cellStyle name="40% - 强调文字颜色 6 2 5 7" xfId="8679"/>
    <cellStyle name="40% - 强调文字颜色 6 2 6" xfId="8681"/>
    <cellStyle name="40% - 强调文字颜色 6 2 6 2" xfId="8682"/>
    <cellStyle name="40% - 强调文字颜色 6 2 6 2 2" xfId="8686"/>
    <cellStyle name="40% - 强调文字颜色 6 2 6 2 2 2" xfId="7348"/>
    <cellStyle name="40% - 强调文字颜色 6 2 6 2 3" xfId="8690"/>
    <cellStyle name="40% - 强调文字颜色 6 2 6 3" xfId="8693"/>
    <cellStyle name="40% - 强调文字颜色 6 2 6 3 2" xfId="8697"/>
    <cellStyle name="40% - 强调文字颜色 6 2 6 4" xfId="4116"/>
    <cellStyle name="40% - 强调文字颜色 6 2 7" xfId="8699"/>
    <cellStyle name="40% - 强调文字颜色 6 2 7 2" xfId="8701"/>
    <cellStyle name="40% - 强调文字颜色 6 2 7 2 2" xfId="8706"/>
    <cellStyle name="40% - 强调文字颜色 6 2 7 3" xfId="8709"/>
    <cellStyle name="40% - 强调文字颜色 6 2 8" xfId="8712"/>
    <cellStyle name="40% - 强调文字颜色 6 2 8 2" xfId="8713"/>
    <cellStyle name="40% - 强调文字颜色 6 2 8 2 2" xfId="8716"/>
    <cellStyle name="40% - 强调文字颜色 6 2 8 3" xfId="8718"/>
    <cellStyle name="40% - 强调文字颜色 6 2 9" xfId="8722"/>
    <cellStyle name="40% - 强调文字颜色 6 2 9 2" xfId="8724"/>
    <cellStyle name="40% - 强调文字颜色 6 3" xfId="8727"/>
    <cellStyle name="40% - 强调文字颜色 6 3 2" xfId="8731"/>
    <cellStyle name="60% - 强调文字颜色 1 2" xfId="8733"/>
    <cellStyle name="60% - 强调文字颜色 1 2 2" xfId="8734"/>
    <cellStyle name="60% - 强调文字颜色 1 2 2 2" xfId="8735"/>
    <cellStyle name="60% - 强调文字颜色 1 2 2 2 2" xfId="8737"/>
    <cellStyle name="60% - 强调文字颜色 1 2 2 2 2 2" xfId="8738"/>
    <cellStyle name="60% - 强调文字颜色 1 2 2 2 2 2 2" xfId="8739"/>
    <cellStyle name="60% - 强调文字颜色 1 2 2 2 2 3" xfId="8742"/>
    <cellStyle name="60% - 强调文字颜色 1 2 2 2 2 3 2" xfId="8743"/>
    <cellStyle name="60% - 强调文字颜色 1 2 2 2 2 4" xfId="8745"/>
    <cellStyle name="60% - 强调文字颜色 1 2 2 2 2 5" xfId="8746"/>
    <cellStyle name="60% - 强调文字颜色 1 2 2 2 3" xfId="8747"/>
    <cellStyle name="60% - 强调文字颜色 1 2 2 2 3 2" xfId="8750"/>
    <cellStyle name="60% - 强调文字颜色 1 2 2 2 4" xfId="8752"/>
    <cellStyle name="60% - 强调文字颜色 1 2 2 2 4 2" xfId="8754"/>
    <cellStyle name="60% - 强调文字颜色 1 2 2 2 5" xfId="8756"/>
    <cellStyle name="60% - 强调文字颜色 1 2 2 2 6" xfId="8758"/>
    <cellStyle name="60% - 强调文字颜色 1 2 2 3" xfId="8760"/>
    <cellStyle name="60% - 强调文字颜色 1 2 2 3 2" xfId="8762"/>
    <cellStyle name="60% - 强调文字颜色 1 2 2 3 2 2" xfId="8763"/>
    <cellStyle name="60% - 强调文字颜色 1 2 2 3 2 2 2" xfId="8764"/>
    <cellStyle name="60% - 强调文字颜色 1 2 2 3 2 2 2 2" xfId="8765"/>
    <cellStyle name="60% - 强调文字颜色 1 2 2 3 2 2 3" xfId="8767"/>
    <cellStyle name="60% - 强调文字颜色 1 2 2 3 2 2 3 2" xfId="8768"/>
    <cellStyle name="60% - 强调文字颜色 1 2 2 3 2 2 4" xfId="8771"/>
    <cellStyle name="60% - 强调文字颜色 1 2 2 3 2 2 5" xfId="8774"/>
    <cellStyle name="60% - 强调文字颜色 1 2 2 3 2 3" xfId="8776"/>
    <cellStyle name="60% - 强调文字颜色 1 2 2 3 2 3 2" xfId="8777"/>
    <cellStyle name="60% - 强调文字颜色 1 2 2 3 2 4" xfId="8778"/>
    <cellStyle name="60% - 强调文字颜色 1 2 2 3 2 4 2" xfId="8779"/>
    <cellStyle name="60% - 强调文字颜色 1 2 2 3 2 5" xfId="8780"/>
    <cellStyle name="60% - 强调文字颜色 1 2 2 3 2 6" xfId="8781"/>
    <cellStyle name="60% - 强调文字颜色 1 2 2 3 3" xfId="3415"/>
    <cellStyle name="60% - 强调文字颜色 1 2 2 3 3 2" xfId="3421"/>
    <cellStyle name="60% - 强调文字颜色 1 2 2 3 3 2 2" xfId="3425"/>
    <cellStyle name="60% - 强调文字颜色 1 2 2 3 3 3" xfId="3548"/>
    <cellStyle name="60% - 强调文字颜色 1 2 2 3 3 3 2" xfId="3553"/>
    <cellStyle name="60% - 强调文字颜色 1 2 2 3 3 4" xfId="3233"/>
    <cellStyle name="60% - 强调文字颜色 1 2 2 3 3 5" xfId="3800"/>
    <cellStyle name="60% - 强调文字颜色 1 2 2 3 4" xfId="3890"/>
    <cellStyle name="60% - 强调文字颜色 1 2 2 3 4 2" xfId="3894"/>
    <cellStyle name="60% - 强调文字颜色 1 2 2 3 5" xfId="3959"/>
    <cellStyle name="60% - 强调文字颜色 1 2 2 3 5 2" xfId="3965"/>
    <cellStyle name="60% - 强调文字颜色 1 2 2 3 6" xfId="4218"/>
    <cellStyle name="60% - 强调文字颜色 1 2 2 3 7" xfId="4263"/>
    <cellStyle name="60% - 强调文字颜色 1 2 2 4" xfId="8783"/>
    <cellStyle name="60% - 强调文字颜色 1 2 2 4 2" xfId="8784"/>
    <cellStyle name="60% - 强调文字颜色 1 2 2 4 2 2" xfId="8785"/>
    <cellStyle name="60% - 强调文字颜色 1 2 2 4 3" xfId="4307"/>
    <cellStyle name="60% - 强调文字颜色 1 2 2 4 3 2" xfId="8787"/>
    <cellStyle name="60% - 强调文字颜色 1 2 2 4 4" xfId="8789"/>
    <cellStyle name="60% - 强调文字颜色 1 2 2 4 5" xfId="8791"/>
    <cellStyle name="60% - 强调文字颜色 1 2 2 5" xfId="8793"/>
    <cellStyle name="60% - 强调文字颜色 1 2 2 5 2" xfId="8794"/>
    <cellStyle name="60% - 强调文字颜色 1 2 2 6" xfId="8795"/>
    <cellStyle name="60% - 强调文字颜色 1 2 2 6 2" xfId="8796"/>
    <cellStyle name="60% - 强调文字颜色 1 2 2 7" xfId="8797"/>
    <cellStyle name="60% - 强调文字颜色 1 2 2 8" xfId="8800"/>
    <cellStyle name="60% - 强调文字颜色 1 2 3" xfId="8803"/>
    <cellStyle name="60% - 强调文字颜色 1 2 3 2" xfId="8804"/>
    <cellStyle name="60% - 强调文字颜色 1 2 3 2 2" xfId="8807"/>
    <cellStyle name="60% - 强调文字颜色 1 2 3 2 2 2" xfId="8809"/>
    <cellStyle name="60% - 强调文字颜色 1 2 3 2 2 2 2" xfId="8810"/>
    <cellStyle name="60% - 强调文字颜色 1 2 3 2 2 3" xfId="8812"/>
    <cellStyle name="60% - 强调文字颜色 1 2 3 2 2 3 2" xfId="8813"/>
    <cellStyle name="60% - 强调文字颜色 1 2 3 2 2 4" xfId="8815"/>
    <cellStyle name="60% - 强调文字颜色 1 2 3 2 2 5" xfId="8816"/>
    <cellStyle name="60% - 强调文字颜色 1 2 3 2 3" xfId="8817"/>
    <cellStyle name="60% - 强调文字颜色 1 2 3 2 3 2" xfId="8819"/>
    <cellStyle name="60% - 强调文字颜色 1 2 3 2 4" xfId="8822"/>
    <cellStyle name="60% - 强调文字颜色 1 2 3 2 4 2" xfId="8824"/>
    <cellStyle name="60% - 强调文字颜色 1 2 3 2 5" xfId="8825"/>
    <cellStyle name="60% - 强调文字颜色 1 2 3 2 6" xfId="8827"/>
    <cellStyle name="60% - 强调文字颜色 1 2 3 3" xfId="8828"/>
    <cellStyle name="60% - 强调文字颜色 1 2 3 3 2" xfId="8831"/>
    <cellStyle name="60% - 强调文字颜色 1 2 3 3 2 2" xfId="8832"/>
    <cellStyle name="60% - 强调文字颜色 1 2 3 3 3" xfId="4318"/>
    <cellStyle name="60% - 强调文字颜色 1 2 3 3 3 2" xfId="4321"/>
    <cellStyle name="60% - 强调文字颜色 1 2 3 3 4" xfId="4654"/>
    <cellStyle name="60% - 强调文字颜色 1 2 3 3 5" xfId="4744"/>
    <cellStyle name="60% - 强调文字颜色 1 2 3 4" xfId="8833"/>
    <cellStyle name="60% - 强调文字颜色 1 2 3 4 2" xfId="8836"/>
    <cellStyle name="60% - 强调文字颜色 1 2 3 5" xfId="8837"/>
    <cellStyle name="60% - 强调文字颜色 1 2 3 5 2" xfId="8838"/>
    <cellStyle name="60% - 强调文字颜色 1 2 3 6" xfId="8839"/>
    <cellStyle name="60% - 强调文字颜色 1 2 3 7" xfId="8840"/>
    <cellStyle name="60% - 强调文字颜色 1 2 4" xfId="8844"/>
    <cellStyle name="60% - 强调文字颜色 1 2 4 2" xfId="8846"/>
    <cellStyle name="60% - 强调文字颜色 1 2 4 2 2" xfId="859"/>
    <cellStyle name="60% - 强调文字颜色 1 2 4 3" xfId="8848"/>
    <cellStyle name="60% - 强调文字颜色 1 2 4 3 2" xfId="903"/>
    <cellStyle name="60% - 强调文字颜色 1 2 4 4" xfId="8849"/>
    <cellStyle name="60% - 强调文字颜色 1 2 4 5" xfId="8850"/>
    <cellStyle name="60% - 强调文字颜色 1 2 5" xfId="8852"/>
    <cellStyle name="60% - 强调文字颜色 1 2 5 2" xfId="8853"/>
    <cellStyle name="60% - 强调文字颜色 1 2 6" xfId="8855"/>
    <cellStyle name="60% - 强调文字颜色 1 2 6 2" xfId="8859"/>
    <cellStyle name="60% - 强调文字颜色 1 2 7" xfId="8861"/>
    <cellStyle name="60% - 强调文字颜色 1 2 8" xfId="8863"/>
    <cellStyle name="60% - 强调文字颜色 1 2 9" xfId="8865"/>
    <cellStyle name="60% - 强调文字颜色 1 3" xfId="8867"/>
    <cellStyle name="60% - 强调文字颜色 2 2" xfId="8868"/>
    <cellStyle name="60% - 强调文字颜色 2 2 2" xfId="8870"/>
    <cellStyle name="60% - 强调文字颜色 2 2 2 2" xfId="8871"/>
    <cellStyle name="60% - 强调文字颜色 2 2 2 2 2" xfId="8872"/>
    <cellStyle name="60% - 强调文字颜色 2 2 2 2 2 2" xfId="8873"/>
    <cellStyle name="60% - 强调文字颜色 2 2 2 2 2 2 2" xfId="8874"/>
    <cellStyle name="60% - 强调文字颜色 2 2 2 2 2 3" xfId="8875"/>
    <cellStyle name="60% - 强调文字颜色 2 2 2 2 2 3 2" xfId="8876"/>
    <cellStyle name="60% - 强调文字颜色 2 2 2 2 2 4" xfId="8877"/>
    <cellStyle name="60% - 强调文字颜色 2 2 2 2 2 5" xfId="8878"/>
    <cellStyle name="60% - 强调文字颜色 2 2 2 2 3" xfId="8879"/>
    <cellStyle name="60% - 强调文字颜色 2 2 2 2 3 2" xfId="8881"/>
    <cellStyle name="60% - 强调文字颜色 2 2 2 2 4" xfId="8883"/>
    <cellStyle name="60% - 强调文字颜色 2 2 2 2 4 2" xfId="8885"/>
    <cellStyle name="60% - 强调文字颜色 2 2 2 2 5" xfId="8887"/>
    <cellStyle name="60% - 强调文字颜色 2 2 2 2 6" xfId="8890"/>
    <cellStyle name="60% - 强调文字颜色 2 2 2 3" xfId="8892"/>
    <cellStyle name="60% - 强调文字颜色 2 2 2 3 2" xfId="8893"/>
    <cellStyle name="60% - 强调文字颜色 2 2 2 3 2 2" xfId="8894"/>
    <cellStyle name="60% - 强调文字颜色 2 2 2 3 2 2 2" xfId="8895"/>
    <cellStyle name="60% - 强调文字颜色 2 2 2 3 2 2 2 2" xfId="8896"/>
    <cellStyle name="60% - 强调文字颜色 2 2 2 3 2 2 3" xfId="8898"/>
    <cellStyle name="60% - 强调文字颜色 2 2 2 3 2 2 3 2" xfId="8900"/>
    <cellStyle name="60% - 强调文字颜色 2 2 2 3 2 2 4" xfId="8902"/>
    <cellStyle name="60% - 强调文字颜色 2 2 2 3 2 2 5" xfId="8904"/>
    <cellStyle name="60% - 强调文字颜色 2 2 2 3 2 3" xfId="8905"/>
    <cellStyle name="60% - 强调文字颜色 2 2 2 3 2 3 2" xfId="8906"/>
    <cellStyle name="60% - 强调文字颜色 2 2 2 3 2 4" xfId="8907"/>
    <cellStyle name="60% - 强调文字颜色 2 2 2 3 2 4 2" xfId="8908"/>
    <cellStyle name="60% - 强调文字颜色 2 2 2 3 2 5" xfId="8910"/>
    <cellStyle name="60% - 强调文字颜色 2 2 2 3 2 6" xfId="8911"/>
    <cellStyle name="60% - 强调文字颜色 2 2 2 3 3" xfId="8912"/>
    <cellStyle name="60% - 强调文字颜色 2 2 2 3 3 2" xfId="8914"/>
    <cellStyle name="60% - 强调文字颜色 2 2 2 3 3 2 2" xfId="8916"/>
    <cellStyle name="60% - 强调文字颜色 2 2 2 3 3 3" xfId="8918"/>
    <cellStyle name="60% - 强调文字颜色 2 2 2 3 3 3 2" xfId="8920"/>
    <cellStyle name="60% - 强调文字颜色 2 2 2 3 3 4" xfId="8923"/>
    <cellStyle name="60% - 强调文字颜色 2 2 2 3 3 5" xfId="8926"/>
    <cellStyle name="60% - 强调文字颜色 2 2 2 3 4" xfId="8928"/>
    <cellStyle name="60% - 强调文字颜色 2 2 2 3 4 2" xfId="8930"/>
    <cellStyle name="60% - 强调文字颜色 2 2 2 3 5" xfId="8932"/>
    <cellStyle name="60% - 强调文字颜色 2 2 2 3 5 2" xfId="8934"/>
    <cellStyle name="60% - 强调文字颜色 2 2 2 3 6" xfId="8935"/>
    <cellStyle name="60% - 强调文字颜色 2 2 2 3 7" xfId="8936"/>
    <cellStyle name="60% - 强调文字颜色 2 2 2 4" xfId="8938"/>
    <cellStyle name="60% - 强调文字颜色 2 2 2 4 2" xfId="8939"/>
    <cellStyle name="60% - 强调文字颜色 2 2 2 4 2 2" xfId="8940"/>
    <cellStyle name="60% - 强调文字颜色 2 2 2 4 3" xfId="8941"/>
    <cellStyle name="60% - 强调文字颜色 2 2 2 4 3 2" xfId="8944"/>
    <cellStyle name="60% - 强调文字颜色 2 2 2 4 4" xfId="8946"/>
    <cellStyle name="60% - 强调文字颜色 2 2 2 4 5" xfId="8948"/>
    <cellStyle name="60% - 强调文字颜色 2 2 2 5" xfId="8950"/>
    <cellStyle name="60% - 强调文字颜色 2 2 2 5 2" xfId="8951"/>
    <cellStyle name="60% - 强调文字颜色 2 2 2 6" xfId="8953"/>
    <cellStyle name="60% - 强调文字颜色 2 2 2 6 2" xfId="8954"/>
    <cellStyle name="60% - 强调文字颜色 2 2 2 7" xfId="8957"/>
    <cellStyle name="60% - 强调文字颜色 2 2 2 8" xfId="8961"/>
    <cellStyle name="60% - 强调文字颜色 2 2 3" xfId="8962"/>
    <cellStyle name="60% - 强调文字颜色 2 2 3 2" xfId="8964"/>
    <cellStyle name="60% - 强调文字颜色 2 2 3 2 2" xfId="8967"/>
    <cellStyle name="60% - 强调文字颜色 2 2 3 2 2 2" xfId="8971"/>
    <cellStyle name="60% - 强调文字颜色 2 2 3 2 2 2 2" xfId="8973"/>
    <cellStyle name="60% - 强调文字颜色 2 2 3 2 2 3" xfId="8975"/>
    <cellStyle name="60% - 强调文字颜色 2 2 3 2 2 3 2" xfId="8977"/>
    <cellStyle name="60% - 强调文字颜色 2 2 3 2 2 4" xfId="8979"/>
    <cellStyle name="60% - 强调文字颜色 2 2 3 2 2 5" xfId="8981"/>
    <cellStyle name="60% - 强调文字颜色 2 2 3 2 3" xfId="8984"/>
    <cellStyle name="60% - 强调文字颜色 2 2 3 2 3 2" xfId="8989"/>
    <cellStyle name="60% - 强调文字颜色 2 2 3 2 4" xfId="8993"/>
    <cellStyle name="60% - 强调文字颜色 2 2 3 2 4 2" xfId="8996"/>
    <cellStyle name="60% - 强调文字颜色 2 2 3 2 5" xfId="8999"/>
    <cellStyle name="60% - 强调文字颜色 2 2 3 2 6" xfId="9002"/>
    <cellStyle name="60% - 强调文字颜色 2 2 3 3" xfId="9005"/>
    <cellStyle name="60% - 强调文字颜色 2 2 3 3 2" xfId="9009"/>
    <cellStyle name="60% - 强调文字颜色 2 2 3 3 2 2" xfId="9012"/>
    <cellStyle name="60% - 强调文字颜色 2 2 3 3 3" xfId="9014"/>
    <cellStyle name="60% - 强调文字颜色 2 2 3 3 3 2" xfId="9018"/>
    <cellStyle name="60% - 强调文字颜色 2 2 3 3 4" xfId="9020"/>
    <cellStyle name="60% - 强调文字颜色 2 2 3 3 5" xfId="9022"/>
    <cellStyle name="60% - 强调文字颜色 2 2 3 4" xfId="9026"/>
    <cellStyle name="60% - 强调文字颜色 2 2 3 4 2" xfId="9030"/>
    <cellStyle name="60% - 强调文字颜色 2 2 3 5" xfId="9033"/>
    <cellStyle name="60% - 强调文字颜色 2 2 3 5 2" xfId="9036"/>
    <cellStyle name="60% - 强调文字颜色 2 2 3 6" xfId="9040"/>
    <cellStyle name="60% - 强调文字颜色 2 2 3 7" xfId="9044"/>
    <cellStyle name="60% - 强调文字颜色 2 2 4" xfId="9047"/>
    <cellStyle name="60% - 强调文字颜色 2 2 4 2" xfId="9048"/>
    <cellStyle name="60% - 强调文字颜色 2 2 4 2 2" xfId="9049"/>
    <cellStyle name="60% - 强调文字颜色 2 2 4 3" xfId="9050"/>
    <cellStyle name="60% - 强调文字颜色 2 2 4 3 2" xfId="9051"/>
    <cellStyle name="60% - 强调文字颜色 2 2 4 4" xfId="9053"/>
    <cellStyle name="60% - 强调文字颜色 2 2 4 5" xfId="9054"/>
    <cellStyle name="60% - 强调文字颜色 2 2 5" xfId="9055"/>
    <cellStyle name="60% - 强调文字颜色 2 2 5 2" xfId="9056"/>
    <cellStyle name="60% - 强调文字颜色 2 2 6" xfId="9057"/>
    <cellStyle name="60% - 强调文字颜色 2 2 6 2" xfId="9059"/>
    <cellStyle name="60% - 强调文字颜色 2 2 7" xfId="9060"/>
    <cellStyle name="60% - 强调文字颜色 2 2 8" xfId="9061"/>
    <cellStyle name="60% - 强调文字颜色 2 2 9" xfId="9062"/>
    <cellStyle name="60% - 强调文字颜色 2 3" xfId="9064"/>
    <cellStyle name="60% - 强调文字颜色 3 2" xfId="9066"/>
    <cellStyle name="60% - 强调文字颜色 3 2 2" xfId="9067"/>
    <cellStyle name="60% - 强调文字颜色 3 2 2 2" xfId="9069"/>
    <cellStyle name="60% - 强调文字颜色 3 2 2 2 2" xfId="9073"/>
    <cellStyle name="60% - 强调文字颜色 3 2 2 2 2 2" xfId="9078"/>
    <cellStyle name="60% - 强调文字颜色 3 2 2 2 2 2 2" xfId="9079"/>
    <cellStyle name="60% - 强调文字颜色 3 2 2 2 2 3" xfId="9080"/>
    <cellStyle name="60% - 强调文字颜色 3 2 2 2 2 3 2" xfId="9081"/>
    <cellStyle name="60% - 强调文字颜色 3 2 2 2 2 4" xfId="9082"/>
    <cellStyle name="60% - 强调文字颜色 3 2 2 2 2 5" xfId="9083"/>
    <cellStyle name="60% - 强调文字颜色 3 2 2 2 3" xfId="9084"/>
    <cellStyle name="60% - 强调文字颜色 3 2 2 2 3 2" xfId="9087"/>
    <cellStyle name="60% - 强调文字颜色 3 2 2 2 4" xfId="9089"/>
    <cellStyle name="60% - 强调文字颜色 3 2 2 2 4 2" xfId="9091"/>
    <cellStyle name="60% - 强调文字颜色 3 2 2 2 5" xfId="9093"/>
    <cellStyle name="60% - 强调文字颜色 3 2 2 2 6" xfId="9096"/>
    <cellStyle name="60% - 强调文字颜色 3 2 2 3" xfId="9098"/>
    <cellStyle name="60% - 强调文字颜色 3 2 2 3 2" xfId="9103"/>
    <cellStyle name="60% - 强调文字颜色 3 2 2 3 2 2" xfId="9108"/>
    <cellStyle name="60% - 强调文字颜色 3 2 2 3 2 2 2" xfId="9111"/>
    <cellStyle name="60% - 强调文字颜色 3 2 2 3 2 2 2 2" xfId="9112"/>
    <cellStyle name="60% - 强调文字颜色 3 2 2 3 2 2 3" xfId="9114"/>
    <cellStyle name="60% - 强调文字颜色 3 2 2 3 2 2 3 2" xfId="9115"/>
    <cellStyle name="60% - 强调文字颜色 3 2 2 3 2 2 4" xfId="9118"/>
    <cellStyle name="60% - 强调文字颜色 3 2 2 3 2 2 5" xfId="9119"/>
    <cellStyle name="60% - 强调文字颜色 3 2 2 3 2 3" xfId="9121"/>
    <cellStyle name="60% - 强调文字颜色 3 2 2 3 2 3 2" xfId="9122"/>
    <cellStyle name="60% - 强调文字颜色 3 2 2 3 2 4" xfId="9123"/>
    <cellStyle name="60% - 强调文字颜色 3 2 2 3 2 4 2" xfId="9124"/>
    <cellStyle name="60% - 强调文字颜色 3 2 2 3 2 5" xfId="9125"/>
    <cellStyle name="60% - 强调文字颜色 3 2 2 3 2 6" xfId="9126"/>
    <cellStyle name="60% - 强调文字颜色 3 2 2 3 3" xfId="9127"/>
    <cellStyle name="60% - 强调文字颜色 3 2 2 3 3 2" xfId="2057"/>
    <cellStyle name="60% - 强调文字颜色 3 2 2 3 3 2 2" xfId="2062"/>
    <cellStyle name="60% - 强调文字颜色 3 2 2 3 3 3" xfId="2083"/>
    <cellStyle name="60% - 强调文字颜色 3 2 2 3 3 3 2" xfId="2089"/>
    <cellStyle name="60% - 强调文字颜色 3 2 2 3 3 4" xfId="1322"/>
    <cellStyle name="60% - 强调文字颜色 3 2 2 3 3 5" xfId="1206"/>
    <cellStyle name="60% - 强调文字颜色 3 2 2 3 4" xfId="9131"/>
    <cellStyle name="60% - 强调文字颜色 3 2 2 3 4 2" xfId="2225"/>
    <cellStyle name="60% - 强调文字颜色 3 2 2 3 5" xfId="9135"/>
    <cellStyle name="60% - 强调文字颜色 3 2 2 3 5 2" xfId="2448"/>
    <cellStyle name="60% - 强调文字颜色 3 2 2 3 6" xfId="9137"/>
    <cellStyle name="60% - 强调文字颜色 3 2 2 3 7" xfId="9138"/>
    <cellStyle name="60% - 强调文字颜色 3 2 2 4" xfId="9144"/>
    <cellStyle name="60% - 强调文字颜色 3 2 2 4 2" xfId="9147"/>
    <cellStyle name="60% - 强调文字颜色 3 2 2 4 2 2" xfId="9149"/>
    <cellStyle name="60% - 强调文字颜色 3 2 2 4 3" xfId="9150"/>
    <cellStyle name="60% - 强调文字颜色 3 2 2 4 3 2" xfId="9153"/>
    <cellStyle name="60% - 强调文字颜色 3 2 2 4 4" xfId="9155"/>
    <cellStyle name="60% - 强调文字颜色 3 2 2 4 5" xfId="9157"/>
    <cellStyle name="60% - 强调文字颜色 3 2 2 5" xfId="9163"/>
    <cellStyle name="60% - 强调文字颜色 3 2 2 5 2" xfId="9165"/>
    <cellStyle name="60% - 强调文字颜色 3 2 2 6" xfId="9169"/>
    <cellStyle name="60% - 强调文字颜色 3 2 2 6 2" xfId="5262"/>
    <cellStyle name="60% - 强调文字颜色 3 2 2 7" xfId="9172"/>
    <cellStyle name="60% - 强调文字颜色 3 2 2 8" xfId="9176"/>
    <cellStyle name="60% - 强调文字颜色 3 2 3" xfId="9179"/>
    <cellStyle name="60% - 强调文字颜色 3 2 3 2" xfId="9181"/>
    <cellStyle name="60% - 强调文字颜色 3 2 3 2 2" xfId="9185"/>
    <cellStyle name="60% - 强调文字颜色 3 2 3 2 2 2" xfId="9187"/>
    <cellStyle name="60% - 强调文字颜色 3 2 3 2 2 2 2" xfId="9188"/>
    <cellStyle name="60% - 强调文字颜色 3 2 3 2 2 3" xfId="9189"/>
    <cellStyle name="60% - 强调文字颜色 3 2 3 2 2 3 2" xfId="9190"/>
    <cellStyle name="60% - 强调文字颜色 3 2 3 2 2 4" xfId="9191"/>
    <cellStyle name="60% - 强调文字颜色 3 2 3 2 2 5" xfId="9192"/>
    <cellStyle name="60% - 强调文字颜色 3 2 3 2 3" xfId="9193"/>
    <cellStyle name="60% - 强调文字颜色 3 2 3 2 3 2" xfId="9197"/>
    <cellStyle name="60% - 强调文字颜色 3 2 3 2 4" xfId="9199"/>
    <cellStyle name="60% - 强调文字颜色 3 2 3 2 4 2" xfId="9201"/>
    <cellStyle name="60% - 强调文字颜色 3 2 3 2 5" xfId="9202"/>
    <cellStyle name="60% - 强调文字颜色 3 2 3 2 6" xfId="9204"/>
    <cellStyle name="60% - 强调文字颜色 3 2 3 3" xfId="9205"/>
    <cellStyle name="60% - 强调文字颜色 3 2 3 3 2" xfId="9209"/>
    <cellStyle name="60% - 强调文字颜色 3 2 3 3 2 2" xfId="9212"/>
    <cellStyle name="60% - 强调文字颜色 3 2 3 3 3" xfId="9214"/>
    <cellStyle name="60% - 强调文字颜色 3 2 3 3 3 2" xfId="3036"/>
    <cellStyle name="60% - 强调文字颜色 3 2 3 3 4" xfId="9218"/>
    <cellStyle name="60% - 强调文字颜色 3 2 3 3 5" xfId="9220"/>
    <cellStyle name="60% - 强调文字颜色 3 2 3 4" xfId="9222"/>
    <cellStyle name="60% - 强调文字颜色 3 2 3 4 2" xfId="9225"/>
    <cellStyle name="60% - 强调文字颜色 3 2 3 5" xfId="9226"/>
    <cellStyle name="60% - 强调文字颜色 3 2 3 5 2" xfId="9228"/>
    <cellStyle name="60% - 强调文字颜色 3 2 3 6" xfId="9231"/>
    <cellStyle name="60% - 强调文字颜色 3 2 3 7" xfId="9232"/>
    <cellStyle name="60% - 强调文字颜色 3 2 4" xfId="8963"/>
    <cellStyle name="60% - 强调文字颜色 3 2 4 2" xfId="8966"/>
    <cellStyle name="60% - 强调文字颜色 3 2 4 2 2" xfId="8970"/>
    <cellStyle name="60% - 强调文字颜色 3 2 4 3" xfId="8983"/>
    <cellStyle name="60% - 强调文字颜色 3 2 4 3 2" xfId="8988"/>
    <cellStyle name="60% - 强调文字颜色 3 2 4 4" xfId="8992"/>
    <cellStyle name="60% - 强调文字颜色 3 2 4 5" xfId="8998"/>
    <cellStyle name="60% - 强调文字颜色 3 2 5" xfId="9004"/>
    <cellStyle name="60% - 强调文字颜色 3 2 5 2" xfId="9008"/>
    <cellStyle name="60% - 强调文字颜色 3 2 6" xfId="9024"/>
    <cellStyle name="60% - 强调文字颜色 3 2 6 2" xfId="9029"/>
    <cellStyle name="60% - 强调文字颜色 3 2 7" xfId="9032"/>
    <cellStyle name="60% - 强调文字颜色 3 2 8" xfId="9039"/>
    <cellStyle name="60% - 强调文字颜色 3 2 9" xfId="9042"/>
    <cellStyle name="60% - 强调文字颜色 3 3" xfId="9235"/>
    <cellStyle name="60% - 强调文字颜色 4 2" xfId="9237"/>
    <cellStyle name="60% - 强调文字颜色 4 2 2" xfId="9239"/>
    <cellStyle name="60% - 强调文字颜色 4 2 2 2" xfId="9242"/>
    <cellStyle name="60% - 强调文字颜色 4 2 2 2 2" xfId="9244"/>
    <cellStyle name="60% - 强调文字颜色 4 2 2 2 2 2" xfId="9246"/>
    <cellStyle name="60% - 强调文字颜色 4 2 2 2 2 2 2" xfId="9248"/>
    <cellStyle name="60% - 强调文字颜色 4 2 2 2 2 3" xfId="9249"/>
    <cellStyle name="60% - 强调文字颜色 4 2 2 2 2 3 2" xfId="9250"/>
    <cellStyle name="60% - 强调文字颜色 4 2 2 2 2 4" xfId="9251"/>
    <cellStyle name="60% - 强调文字颜色 4 2 2 2 2 5" xfId="9252"/>
    <cellStyle name="60% - 强调文字颜色 4 2 2 2 3" xfId="9254"/>
    <cellStyle name="60% - 强调文字颜色 4 2 2 2 3 2" xfId="9257"/>
    <cellStyle name="60% - 强调文字颜色 4 2 2 2 4" xfId="9261"/>
    <cellStyle name="60% - 强调文字颜色 4 2 2 2 4 2" xfId="9264"/>
    <cellStyle name="60% - 强调文字颜色 4 2 2 2 5" xfId="9268"/>
    <cellStyle name="60% - 强调文字颜色 4 2 2 2 6" xfId="9271"/>
    <cellStyle name="60% - 强调文字颜色 4 2 2 3" xfId="9274"/>
    <cellStyle name="60% - 强调文字颜色 4 2 2 3 2" xfId="9279"/>
    <cellStyle name="60% - 强调文字颜色 4 2 2 3 2 2" xfId="9283"/>
    <cellStyle name="60% - 强调文字颜色 4 2 2 3 2 2 2" xfId="9284"/>
    <cellStyle name="60% - 强调文字颜色 4 2 2 3 2 2 2 2" xfId="9285"/>
    <cellStyle name="60% - 强调文字颜色 4 2 2 3 2 2 3" xfId="9286"/>
    <cellStyle name="60% - 强调文字颜色 4 2 2 3 2 2 3 2" xfId="9287"/>
    <cellStyle name="60% - 强调文字颜色 4 2 2 3 2 2 4" xfId="9289"/>
    <cellStyle name="60% - 强调文字颜色 4 2 2 3 2 2 5" xfId="9290"/>
    <cellStyle name="60% - 强调文字颜色 4 2 2 3 2 3" xfId="9291"/>
    <cellStyle name="60% - 强调文字颜色 4 2 2 3 2 3 2" xfId="9292"/>
    <cellStyle name="60% - 强调文字颜色 4 2 2 3 2 4" xfId="9293"/>
    <cellStyle name="60% - 强调文字颜色 4 2 2 3 2 4 2" xfId="9294"/>
    <cellStyle name="60% - 强调文字颜色 4 2 2 3 2 5" xfId="9295"/>
    <cellStyle name="60% - 强调文字颜色 4 2 2 3 2 6" xfId="9296"/>
    <cellStyle name="60% - 强调文字颜色 4 2 2 3 3" xfId="9298"/>
    <cellStyle name="60% - 强调文字颜色 4 2 2 3 3 2" xfId="9301"/>
    <cellStyle name="60% - 强调文字颜色 4 2 2 3 3 2 2" xfId="9304"/>
    <cellStyle name="60% - 强调文字颜色 4 2 2 3 3 3" xfId="9307"/>
    <cellStyle name="60% - 强调文字颜色 4 2 2 3 3 3 2" xfId="9308"/>
    <cellStyle name="60% - 强调文字颜色 4 2 2 3 3 4" xfId="9311"/>
    <cellStyle name="60% - 强调文字颜色 4 2 2 3 3 5" xfId="9312"/>
    <cellStyle name="60% - 强调文字颜色 4 2 2 3 4" xfId="9314"/>
    <cellStyle name="60% - 强调文字颜色 4 2 2 3 4 2" xfId="9317"/>
    <cellStyle name="60% - 强调文字颜色 4 2 2 3 5" xfId="9318"/>
    <cellStyle name="60% - 强调文字颜色 4 2 2 3 5 2" xfId="9321"/>
    <cellStyle name="60% - 强调文字颜色 4 2 2 3 6" xfId="9322"/>
    <cellStyle name="60% - 强调文字颜色 4 2 2 3 7" xfId="5893"/>
    <cellStyle name="60% - 强调文字颜色 4 2 2 4" xfId="9323"/>
    <cellStyle name="60% - 强调文字颜色 4 2 2 4 2" xfId="9326"/>
    <cellStyle name="60% - 强调文字颜色 4 2 2 4 2 2" xfId="9328"/>
    <cellStyle name="60% - 强调文字颜色 4 2 2 4 3" xfId="3436"/>
    <cellStyle name="60% - 强调文字颜色 4 2 2 4 3 2" xfId="9330"/>
    <cellStyle name="60% - 强调文字颜色 4 2 2 4 4" xfId="9335"/>
    <cellStyle name="60% - 强调文字颜色 4 2 2 4 5" xfId="9339"/>
    <cellStyle name="60% - 强调文字颜色 4 2 2 5" xfId="9342"/>
    <cellStyle name="60% - 强调文字颜色 4 2 2 5 2" xfId="9346"/>
    <cellStyle name="60% - 强调文字颜色 4 2 2 6" xfId="9348"/>
    <cellStyle name="60% - 强调文字颜色 4 2 2 6 2" xfId="9351"/>
    <cellStyle name="60% - 强调文字颜色 4 2 2 7" xfId="9353"/>
    <cellStyle name="60% - 强调文字颜色 4 2 2 8" xfId="9358"/>
    <cellStyle name="60% - 强调文字颜色 4 2 3" xfId="9361"/>
    <cellStyle name="60% - 强调文字颜色 4 2 3 2" xfId="9362"/>
    <cellStyle name="60% - 强调文字颜色 4 2 3 2 2" xfId="9363"/>
    <cellStyle name="60% - 强调文字颜色 4 2 3 2 2 2" xfId="9365"/>
    <cellStyle name="60% - 强调文字颜色 4 2 3 2 2 2 2" xfId="9366"/>
    <cellStyle name="60% - 强调文字颜色 4 2 3 2 2 3" xfId="9367"/>
    <cellStyle name="60% - 强调文字颜色 4 2 3 2 2 3 2" xfId="9368"/>
    <cellStyle name="60% - 强调文字颜色 4 2 3 2 2 4" xfId="9369"/>
    <cellStyle name="60% - 强调文字颜色 4 2 3 2 2 5" xfId="9370"/>
    <cellStyle name="60% - 强调文字颜色 4 2 3 2 3" xfId="9372"/>
    <cellStyle name="60% - 强调文字颜色 4 2 3 2 3 2" xfId="9376"/>
    <cellStyle name="60% - 强调文字颜色 4 2 3 2 4" xfId="9380"/>
    <cellStyle name="60% - 强调文字颜色 4 2 3 2 4 2" xfId="9383"/>
    <cellStyle name="60% - 强调文字颜色 4 2 3 2 5" xfId="9384"/>
    <cellStyle name="60% - 强调文字颜色 4 2 3 2 6" xfId="9387"/>
    <cellStyle name="60% - 强调文字颜色 4 2 3 3" xfId="9388"/>
    <cellStyle name="60% - 强调文字颜色 4 2 3 3 2" xfId="9391"/>
    <cellStyle name="60% - 强调文字颜色 4 2 3 3 2 2" xfId="9393"/>
    <cellStyle name="60% - 强调文字颜色 4 2 3 3 3" xfId="9395"/>
    <cellStyle name="60% - 强调文字颜色 4 2 3 3 3 2" xfId="9399"/>
    <cellStyle name="60% - 强调文字颜色 4 2 3 3 4" xfId="9401"/>
    <cellStyle name="60% - 强调文字颜色 4 2 3 3 5" xfId="9403"/>
    <cellStyle name="60% - 强调文字颜色 4 2 3 4" xfId="9405"/>
    <cellStyle name="60% - 强调文字颜色 4 2 3 4 2" xfId="9407"/>
    <cellStyle name="60% - 强调文字颜色 4 2 3 5" xfId="9408"/>
    <cellStyle name="60% - 强调文字颜色 4 2 3 5 2" xfId="9411"/>
    <cellStyle name="60% - 强调文字颜色 4 2 3 6" xfId="9414"/>
    <cellStyle name="60% - 强调文字颜色 4 2 3 7" xfId="9417"/>
    <cellStyle name="60% - 强调文字颜色 4 2 4" xfId="9421"/>
    <cellStyle name="60% - 强调文字颜色 4 2 4 2" xfId="9422"/>
    <cellStyle name="60% - 强调文字颜色 4 2 4 2 2" xfId="9423"/>
    <cellStyle name="60% - 强调文字颜色 4 2 4 3" xfId="9424"/>
    <cellStyle name="60% - 强调文字颜色 4 2 4 3 2" xfId="9427"/>
    <cellStyle name="60% - 强调文字颜色 4 2 4 4" xfId="9428"/>
    <cellStyle name="60% - 强调文字颜色 4 2 4 5" xfId="9429"/>
    <cellStyle name="60% - 强调文字颜色 4 2 5" xfId="9431"/>
    <cellStyle name="60% - 强调文字颜色 4 2 5 2" xfId="9432"/>
    <cellStyle name="60% - 强调文字颜色 4 2 6" xfId="9433"/>
    <cellStyle name="60% - 强调文字颜色 4 2 6 2" xfId="9434"/>
    <cellStyle name="60% - 强调文字颜色 4 2 7" xfId="9435"/>
    <cellStyle name="60% - 强调文字颜色 4 2 8" xfId="9436"/>
    <cellStyle name="60% - 强调文字颜色 4 2 9" xfId="9437"/>
    <cellStyle name="60% - 强调文字颜色 4 3" xfId="9438"/>
    <cellStyle name="60% - 强调文字颜色 5 2" xfId="9440"/>
    <cellStyle name="60% - 强调文字颜色 5 2 2" xfId="9441"/>
    <cellStyle name="60% - 强调文字颜色 5 2 2 2" xfId="9443"/>
    <cellStyle name="60% - 强调文字颜色 5 2 2 2 2" xfId="9445"/>
    <cellStyle name="60% - 强调文字颜色 5 2 2 2 2 2" xfId="9449"/>
    <cellStyle name="60% - 强调文字颜色 5 2 2 2 2 2 2" xfId="9451"/>
    <cellStyle name="60% - 强调文字颜色 5 2 2 2 2 3" xfId="9452"/>
    <cellStyle name="60% - 强调文字颜色 5 2 2 2 2 3 2" xfId="9454"/>
    <cellStyle name="60% - 强调文字颜色 5 2 2 2 2 4" xfId="9455"/>
    <cellStyle name="60% - 强调文字颜色 5 2 2 2 2 5" xfId="9457"/>
    <cellStyle name="60% - 强调文字颜色 5 2 2 2 3" xfId="9458"/>
    <cellStyle name="60% - 强调文字颜色 5 2 2 2 3 2" xfId="9462"/>
    <cellStyle name="60% - 强调文字颜色 5 2 2 2 4" xfId="9464"/>
    <cellStyle name="60% - 强调文字颜色 5 2 2 2 4 2" xfId="9466"/>
    <cellStyle name="60% - 强调文字颜色 5 2 2 2 5" xfId="9467"/>
    <cellStyle name="60% - 强调文字颜色 5 2 2 2 6" xfId="9468"/>
    <cellStyle name="60% - 强调文字颜色 5 2 2 3" xfId="9469"/>
    <cellStyle name="60% - 强调文字颜色 5 2 2 3 2" xfId="9473"/>
    <cellStyle name="60% - 强调文字颜色 5 2 2 3 2 2" xfId="9476"/>
    <cellStyle name="60% - 强调文字颜色 5 2 2 3 2 2 2" xfId="9478"/>
    <cellStyle name="60% - 强调文字颜色 5 2 2 3 2 2 2 2" xfId="9480"/>
    <cellStyle name="60% - 强调文字颜色 5 2 2 3 2 2 3" xfId="9481"/>
    <cellStyle name="60% - 强调文字颜色 5 2 2 3 2 2 3 2" xfId="9482"/>
    <cellStyle name="60% - 强调文字颜色 5 2 2 3 2 2 4" xfId="9483"/>
    <cellStyle name="60% - 强调文字颜色 5 2 2 3 2 2 5" xfId="9484"/>
    <cellStyle name="60% - 强调文字颜色 5 2 2 3 2 3" xfId="9485"/>
    <cellStyle name="60% - 强调文字颜色 5 2 2 3 2 3 2" xfId="9487"/>
    <cellStyle name="60% - 强调文字颜色 5 2 2 3 2 4" xfId="9489"/>
    <cellStyle name="60% - 强调文字颜色 5 2 2 3 2 4 2" xfId="9491"/>
    <cellStyle name="60% - 强调文字颜色 5 2 2 3 2 5" xfId="9492"/>
    <cellStyle name="60% - 强调文字颜色 5 2 2 3 2 6" xfId="9494"/>
    <cellStyle name="60% - 强调文字颜色 5 2 2 3 3" xfId="9495"/>
    <cellStyle name="60% - 强调文字颜色 5 2 2 3 3 2" xfId="9496"/>
    <cellStyle name="60% - 强调文字颜色 5 2 2 3 3 2 2" xfId="9498"/>
    <cellStyle name="60% - 强调文字颜色 5 2 2 3 3 3" xfId="9501"/>
    <cellStyle name="60% - 强调文字颜色 5 2 2 3 3 3 2" xfId="9503"/>
    <cellStyle name="60% - 强调文字颜色 5 2 2 3 3 4" xfId="9505"/>
    <cellStyle name="60% - 强调文字颜色 5 2 2 3 3 5" xfId="9507"/>
    <cellStyle name="60% - 强调文字颜色 5 2 2 3 4" xfId="9511"/>
    <cellStyle name="60% - 强调文字颜色 5 2 2 3 4 2" xfId="9512"/>
    <cellStyle name="60% - 强调文字颜色 5 2 2 3 5" xfId="9514"/>
    <cellStyle name="60% - 强调文字颜色 5 2 2 3 5 2" xfId="9515"/>
    <cellStyle name="60% - 强调文字颜色 5 2 2 3 6" xfId="9516"/>
    <cellStyle name="60% - 强调文字颜色 5 2 2 3 7" xfId="9517"/>
    <cellStyle name="60% - 强调文字颜色 5 2 2 4" xfId="9518"/>
    <cellStyle name="60% - 强调文字颜色 5 2 2 4 2" xfId="9521"/>
    <cellStyle name="60% - 强调文字颜色 5 2 2 4 2 2" xfId="9523"/>
    <cellStyle name="60% - 强调文字颜色 5 2 2 4 3" xfId="9524"/>
    <cellStyle name="60% - 强调文字颜色 5 2 2 4 3 2" xfId="9527"/>
    <cellStyle name="60% - 强调文字颜色 5 2 2 4 4" xfId="9529"/>
    <cellStyle name="60% - 强调文字颜色 5 2 2 4 5" xfId="9531"/>
    <cellStyle name="60% - 强调文字颜色 5 2 2 5" xfId="9532"/>
    <cellStyle name="60% - 强调文字颜色 5 2 2 5 2" xfId="9535"/>
    <cellStyle name="60% - 强调文字颜色 5 2 2 6" xfId="9536"/>
    <cellStyle name="60% - 强调文字颜色 5 2 2 6 2" xfId="9538"/>
    <cellStyle name="60% - 强调文字颜色 5 2 2 7" xfId="8434"/>
    <cellStyle name="60% - 强调文字颜色 5 2 2 8" xfId="8440"/>
    <cellStyle name="60% - 强调文字颜色 5 2 3" xfId="9540"/>
    <cellStyle name="60% - 强调文字颜色 5 2 3 2" xfId="9541"/>
    <cellStyle name="60% - 强调文字颜色 5 2 3 2 2" xfId="9543"/>
    <cellStyle name="60% - 强调文字颜色 5 2 3 2 2 2" xfId="9545"/>
    <cellStyle name="60% - 强调文字颜色 5 2 3 2 2 2 2" xfId="9547"/>
    <cellStyle name="60% - 强调文字颜色 5 2 3 2 2 3" xfId="9549"/>
    <cellStyle name="60% - 强调文字颜色 5 2 3 2 2 3 2" xfId="9551"/>
    <cellStyle name="60% - 强调文字颜色 5 2 3 2 2 4" xfId="9552"/>
    <cellStyle name="60% - 强调文字颜色 5 2 3 2 2 5" xfId="9554"/>
    <cellStyle name="60% - 强调文字颜色 5 2 3 2 3" xfId="9557"/>
    <cellStyle name="60% - 强调文字颜色 5 2 3 2 3 2" xfId="9558"/>
    <cellStyle name="60% - 强调文字颜色 5 2 3 2 4" xfId="9560"/>
    <cellStyle name="60% - 强调文字颜色 5 2 3 2 4 2" xfId="9561"/>
    <cellStyle name="60% - 强调文字颜色 5 2 3 2 5" xfId="9562"/>
    <cellStyle name="60% - 强调文字颜色 5 2 3 2 6" xfId="9563"/>
    <cellStyle name="60% - 强调文字颜色 5 2 3 3" xfId="9565"/>
    <cellStyle name="60% - 强调文字颜色 5 2 3 3 2" xfId="9570"/>
    <cellStyle name="60% - 强调文字颜色 5 2 3 3 2 2" xfId="9572"/>
    <cellStyle name="60% - 强调文字颜色 5 2 3 3 3" xfId="9573"/>
    <cellStyle name="60% - 强调文字颜色 5 2 3 3 3 2" xfId="9574"/>
    <cellStyle name="60% - 强调文字颜色 5 2 3 3 4" xfId="9575"/>
    <cellStyle name="60% - 强调文字颜色 5 2 3 3 5" xfId="9576"/>
    <cellStyle name="60% - 强调文字颜色 5 2 3 4" xfId="9577"/>
    <cellStyle name="60% - 强调文字颜色 5 2 3 4 2" xfId="9579"/>
    <cellStyle name="60% - 强调文字颜色 5 2 3 5" xfId="9580"/>
    <cellStyle name="60% - 强调文字颜色 5 2 3 5 2" xfId="9582"/>
    <cellStyle name="60% - 强调文字颜色 5 2 3 6" xfId="9583"/>
    <cellStyle name="60% - 强调文字颜色 5 2 3 7" xfId="8446"/>
    <cellStyle name="60% - 强调文字颜色 5 2 4" xfId="9585"/>
    <cellStyle name="60% - 强调文字颜色 5 2 4 2" xfId="9586"/>
    <cellStyle name="60% - 强调文字颜色 5 2 4 2 2" xfId="9588"/>
    <cellStyle name="60% - 强调文字颜色 5 2 4 3" xfId="9589"/>
    <cellStyle name="60% - 强调文字颜色 5 2 4 3 2" xfId="9591"/>
    <cellStyle name="60% - 强调文字颜色 5 2 4 4" xfId="9592"/>
    <cellStyle name="60% - 强调文字颜色 5 2 4 5" xfId="9593"/>
    <cellStyle name="60% - 强调文字颜色 5 2 5" xfId="9594"/>
    <cellStyle name="60% - 强调文字颜色 5 2 5 2" xfId="6443"/>
    <cellStyle name="60% - 强调文字颜色 5 2 6" xfId="9595"/>
    <cellStyle name="60% - 强调文字颜色 5 2 6 2" xfId="9596"/>
    <cellStyle name="60% - 强调文字颜色 5 2 7" xfId="9597"/>
    <cellStyle name="60% - 强调文字颜色 5 2 8" xfId="9598"/>
    <cellStyle name="60% - 强调文字颜色 5 2 9" xfId="9599"/>
    <cellStyle name="60% - 强调文字颜色 5 3" xfId="9600"/>
    <cellStyle name="60% - 强调文字颜色 6 2" xfId="9601"/>
    <cellStyle name="60% - 强调文字颜色 6 2 2" xfId="9602"/>
    <cellStyle name="60% - 强调文字颜色 6 2 2 2" xfId="9603"/>
    <cellStyle name="60% - 强调文字颜色 6 2 2 2 2" xfId="9604"/>
    <cellStyle name="60% - 强调文字颜色 6 2 2 2 2 2" xfId="9606"/>
    <cellStyle name="60% - 强调文字颜色 6 2 2 2 2 2 2" xfId="9607"/>
    <cellStyle name="60% - 强调文字颜色 6 2 2 2 2 3" xfId="9608"/>
    <cellStyle name="60% - 强调文字颜色 6 2 2 2 2 3 2" xfId="9609"/>
    <cellStyle name="60% - 强调文字颜色 6 2 2 2 2 4" xfId="9612"/>
    <cellStyle name="60% - 强调文字颜色 6 2 2 2 2 5" xfId="5867"/>
    <cellStyle name="60% - 强调文字颜色 6 2 2 2 3" xfId="9613"/>
    <cellStyle name="60% - 强调文字颜色 6 2 2 2 3 2" xfId="9614"/>
    <cellStyle name="60% - 强调文字颜色 6 2 2 2 4" xfId="9615"/>
    <cellStyle name="60% - 强调文字颜色 6 2 2 2 4 2" xfId="9616"/>
    <cellStyle name="60% - 强调文字颜色 6 2 2 2 5" xfId="9617"/>
    <cellStyle name="60% - 强调文字颜色 6 2 2 2 6" xfId="9618"/>
    <cellStyle name="60% - 强调文字颜色 6 2 2 3" xfId="9619"/>
    <cellStyle name="60% - 强调文字颜色 6 2 2 3 2" xfId="9620"/>
    <cellStyle name="60% - 强调文字颜色 6 2 2 3 2 2" xfId="9621"/>
    <cellStyle name="60% - 强调文字颜色 6 2 2 3 2 2 2" xfId="9622"/>
    <cellStyle name="60% - 强调文字颜色 6 2 2 3 2 2 2 2" xfId="9623"/>
    <cellStyle name="60% - 强调文字颜色 6 2 2 3 2 2 3" xfId="9625"/>
    <cellStyle name="60% - 强调文字颜色 6 2 2 3 2 2 3 2" xfId="9626"/>
    <cellStyle name="60% - 强调文字颜色 6 2 2 3 2 2 4" xfId="9629"/>
    <cellStyle name="60% - 强调文字颜色 6 2 2 3 2 2 5" xfId="9630"/>
    <cellStyle name="60% - 强调文字颜色 6 2 2 3 2 3" xfId="9632"/>
    <cellStyle name="60% - 强调文字颜色 6 2 2 3 2 3 2" xfId="9633"/>
    <cellStyle name="60% - 强调文字颜色 6 2 2 3 2 4" xfId="9635"/>
    <cellStyle name="60% - 强调文字颜色 6 2 2 3 2 4 2" xfId="9636"/>
    <cellStyle name="60% - 强调文字颜色 6 2 2 3 2 5" xfId="9638"/>
    <cellStyle name="60% - 强调文字颜色 6 2 2 3 2 6" xfId="9640"/>
    <cellStyle name="60% - 强调文字颜色 6 2 2 3 3" xfId="9641"/>
    <cellStyle name="60% - 强调文字颜色 6 2 2 3 3 2" xfId="9642"/>
    <cellStyle name="60% - 强调文字颜色 6 2 2 3 3 2 2" xfId="9643"/>
    <cellStyle name="60% - 强调文字颜色 6 2 2 3 3 3" xfId="9644"/>
    <cellStyle name="60% - 强调文字颜色 6 2 2 3 3 3 2" xfId="9646"/>
    <cellStyle name="60% - 强调文字颜色 6 2 2 3 3 4" xfId="9647"/>
    <cellStyle name="60% - 强调文字颜色 6 2 2 3 3 5" xfId="9648"/>
    <cellStyle name="60% - 强调文字颜色 6 2 2 3 4" xfId="670"/>
    <cellStyle name="60% - 强调文字颜色 6 2 2 3 4 2" xfId="9120"/>
    <cellStyle name="60% - 强调文字颜色 6 2 2 3 5" xfId="9651"/>
    <cellStyle name="60% - 强调文字颜色 6 2 2 3 5 2" xfId="9652"/>
    <cellStyle name="60% - 强调文字颜色 6 2 2 3 6" xfId="9653"/>
    <cellStyle name="60% - 强调文字颜色 6 2 2 3 7" xfId="9654"/>
    <cellStyle name="60% - 强调文字颜色 6 2 2 4" xfId="9655"/>
    <cellStyle name="60% - 强调文字颜色 6 2 2 4 2" xfId="9656"/>
    <cellStyle name="60% - 强调文字颜色 6 2 2 4 2 2" xfId="2001"/>
    <cellStyle name="60% - 强调文字颜色 6 2 2 4 3" xfId="9657"/>
    <cellStyle name="60% - 强调文字颜色 6 2 2 4 3 2" xfId="9658"/>
    <cellStyle name="60% - 强调文字颜色 6 2 2 4 4" xfId="9660"/>
    <cellStyle name="60% - 强调文字颜色 6 2 2 4 5" xfId="9662"/>
    <cellStyle name="60% - 强调文字颜色 6 2 2 5" xfId="9663"/>
    <cellStyle name="60% - 强调文字颜色 6 2 2 5 2" xfId="9664"/>
    <cellStyle name="60% - 强调文字颜色 6 2 2 6" xfId="9665"/>
    <cellStyle name="60% - 强调文字颜色 6 2 2 6 2" xfId="9667"/>
    <cellStyle name="60% - 强调文字颜色 6 2 2 7" xfId="9669"/>
    <cellStyle name="60% - 强调文字颜色 6 2 2 8" xfId="9673"/>
    <cellStyle name="60% - 强调文字颜色 6 2 3" xfId="9675"/>
    <cellStyle name="60% - 强调文字颜色 6 2 3 2" xfId="9676"/>
    <cellStyle name="60% - 强调文字颜色 6 2 3 2 2" xfId="7746"/>
    <cellStyle name="60% - 强调文字颜色 6 2 3 2 2 2" xfId="7748"/>
    <cellStyle name="60% - 强调文字颜色 6 2 3 2 2 2 2" xfId="9677"/>
    <cellStyle name="60% - 强调文字颜色 6 2 3 2 2 3" xfId="9678"/>
    <cellStyle name="60% - 强调文字颜色 6 2 3 2 2 3 2" xfId="9680"/>
    <cellStyle name="60% - 强调文字颜色 6 2 3 2 2 4" xfId="9683"/>
    <cellStyle name="60% - 强调文字颜色 6 2 3 2 2 5" xfId="9685"/>
    <cellStyle name="60% - 强调文字颜色 6 2 3 2 3" xfId="9688"/>
    <cellStyle name="60% - 强调文字颜色 6 2 3 2 3 2" xfId="9689"/>
    <cellStyle name="60% - 强调文字颜色 6 2 3 2 4" xfId="710"/>
    <cellStyle name="60% - 强调文字颜色 6 2 3 2 4 2" xfId="9690"/>
    <cellStyle name="60% - 强调文字颜色 6 2 3 2 5" xfId="9691"/>
    <cellStyle name="60% - 强调文字颜色 6 2 3 2 6" xfId="9692"/>
    <cellStyle name="60% - 强调文字颜色 6 2 3 3" xfId="9694"/>
    <cellStyle name="60% - 强调文字颜色 6 2 3 3 2" xfId="7848"/>
    <cellStyle name="60% - 强调文字颜色 6 2 3 3 2 2" xfId="7850"/>
    <cellStyle name="60% - 强调文字颜色 6 2 3 3 3" xfId="7852"/>
    <cellStyle name="60% - 强调文字颜色 6 2 3 3 3 2" xfId="7854"/>
    <cellStyle name="60% - 强调文字颜色 6 2 3 3 4" xfId="740"/>
    <cellStyle name="60% - 强调文字颜色 6 2 3 3 5" xfId="9696"/>
    <cellStyle name="60% - 强调文字颜色 6 2 3 4" xfId="9697"/>
    <cellStyle name="60% - 强调文字颜色 6 2 3 4 2" xfId="7880"/>
    <cellStyle name="60% - 强调文字颜色 6 2 3 5" xfId="9699"/>
    <cellStyle name="60% - 强调文字颜色 6 2 3 5 2" xfId="9700"/>
    <cellStyle name="60% - 强调文字颜色 6 2 3 6" xfId="9701"/>
    <cellStyle name="60% - 强调文字颜色 6 2 3 7" xfId="9704"/>
    <cellStyle name="60% - 强调文字颜色 6 2 4" xfId="9707"/>
    <cellStyle name="60% - 强调文字颜色 6 2 4 2" xfId="9708"/>
    <cellStyle name="60% - 强调文字颜色 6 2 4 2 2" xfId="9709"/>
    <cellStyle name="60% - 强调文字颜色 6 2 4 3" xfId="9710"/>
    <cellStyle name="60% - 强调文字颜色 6 2 4 3 2" xfId="9711"/>
    <cellStyle name="60% - 强调文字颜色 6 2 4 4" xfId="9712"/>
    <cellStyle name="60% - 强调文字颜色 6 2 4 5" xfId="9713"/>
    <cellStyle name="60% - 强调文字颜色 6 2 5" xfId="9714"/>
    <cellStyle name="60% - 强调文字颜色 6 2 5 2" xfId="6500"/>
    <cellStyle name="60% - 强调文字颜色 6 2 6" xfId="9715"/>
    <cellStyle name="60% - 强调文字颜色 6 2 6 2" xfId="6520"/>
    <cellStyle name="60% - 强调文字颜色 6 2 7" xfId="9716"/>
    <cellStyle name="60% - 强调文字颜色 6 2 8" xfId="9717"/>
    <cellStyle name="60% - 强调文字颜色 6 2 9" xfId="9718"/>
    <cellStyle name="60% - 强调文字颜色 6 3" xfId="9719"/>
    <cellStyle name="百分比" xfId="56" builtinId="5"/>
    <cellStyle name="百分比 10" xfId="9720"/>
    <cellStyle name="百分比 2" xfId="9722"/>
    <cellStyle name="百分比 2 2" xfId="9725"/>
    <cellStyle name="百分比 2 2 2" xfId="9728"/>
    <cellStyle name="百分比 2 2 2 2" xfId="6986"/>
    <cellStyle name="百分比 2 2 2 2 2" xfId="5333"/>
    <cellStyle name="百分比 2 2 2 2 2 2" xfId="4542"/>
    <cellStyle name="百分比 2 2 2 2 3" xfId="6228"/>
    <cellStyle name="百分比 2 2 2 3" xfId="3047"/>
    <cellStyle name="百分比 2 2 2 3 2" xfId="6991"/>
    <cellStyle name="百分比 2 2 2 4" xfId="6995"/>
    <cellStyle name="百分比 2 2 3" xfId="9732"/>
    <cellStyle name="百分比 2 2 3 2" xfId="7022"/>
    <cellStyle name="百分比 2 2 3 2 2" xfId="5440"/>
    <cellStyle name="百分比 2 2 3 3" xfId="7024"/>
    <cellStyle name="百分比 2 2 4" xfId="9738"/>
    <cellStyle name="百分比 2 2 4 2" xfId="7106"/>
    <cellStyle name="百分比 2 2 5" xfId="9743"/>
    <cellStyle name="百分比 2 3" xfId="4088"/>
    <cellStyle name="百分比 2 3 2" xfId="9744"/>
    <cellStyle name="百分比 2 3 2 2" xfId="9748"/>
    <cellStyle name="百分比 2 3 3" xfId="9749"/>
    <cellStyle name="百分比 2 4" xfId="9751"/>
    <cellStyle name="百分比 2 4 2" xfId="9754"/>
    <cellStyle name="百分比 2 4 2 2" xfId="9755"/>
    <cellStyle name="百分比 2 4 3" xfId="9758"/>
    <cellStyle name="百分比 2 5" xfId="3631"/>
    <cellStyle name="百分比 2 5 2" xfId="9759"/>
    <cellStyle name="百分比 2 6" xfId="9760"/>
    <cellStyle name="百分比 3" xfId="9765"/>
    <cellStyle name="百分比 3 2" xfId="9768"/>
    <cellStyle name="百分比 3 2 2" xfId="9771"/>
    <cellStyle name="百分比 3 2 2 2" xfId="7290"/>
    <cellStyle name="百分比 3 2 2 2 2" xfId="5825"/>
    <cellStyle name="百分比 3 2 2 2 2 2" xfId="5220"/>
    <cellStyle name="百分比 3 2 2 2 3" xfId="6276"/>
    <cellStyle name="百分比 3 2 2 3" xfId="7292"/>
    <cellStyle name="百分比 3 2 2 3 2" xfId="7294"/>
    <cellStyle name="百分比 3 2 2 4" xfId="4046"/>
    <cellStyle name="百分比 3 2 3" xfId="9774"/>
    <cellStyle name="百分比 3 2 3 2" xfId="225"/>
    <cellStyle name="百分比 3 2 3 2 2" xfId="5935"/>
    <cellStyle name="百分比 3 2 3 3" xfId="241"/>
    <cellStyle name="百分比 3 2 4" xfId="9776"/>
    <cellStyle name="百分比 3 2 4 2" xfId="7387"/>
    <cellStyle name="百分比 3 2 4 2 2" xfId="7389"/>
    <cellStyle name="百分比 3 2 4 3" xfId="7394"/>
    <cellStyle name="百分比 3 2 5" xfId="9777"/>
    <cellStyle name="百分比 3 2 6" xfId="9780"/>
    <cellStyle name="百分比 3 3" xfId="9782"/>
    <cellStyle name="百分比 3 3 2" xfId="9785"/>
    <cellStyle name="百分比 3 3 2 2" xfId="9786"/>
    <cellStyle name="百分比 3 3 2 2 2" xfId="9787"/>
    <cellStyle name="百分比 3 3 2 2 2 2" xfId="8719"/>
    <cellStyle name="百分比 3 3 2 2 3" xfId="9788"/>
    <cellStyle name="百分比 3 3 2 3" xfId="9789"/>
    <cellStyle name="百分比 3 3 2 3 2" xfId="9790"/>
    <cellStyle name="百分比 3 3 2 4" xfId="4080"/>
    <cellStyle name="百分比 3 3 3" xfId="9791"/>
    <cellStyle name="百分比 3 3 3 2" xfId="9792"/>
    <cellStyle name="百分比 3 3 3 2 2" xfId="9793"/>
    <cellStyle name="百分比 3 3 3 3" xfId="9794"/>
    <cellStyle name="百分比 3 3 4" xfId="9795"/>
    <cellStyle name="百分比 3 3 4 2" xfId="9796"/>
    <cellStyle name="百分比 3 3 5" xfId="9797"/>
    <cellStyle name="百分比 3 4" xfId="9799"/>
    <cellStyle name="百分比 3 4 2" xfId="9802"/>
    <cellStyle name="百分比 3 4 2 2" xfId="9803"/>
    <cellStyle name="百分比 3 4 3" xfId="9806"/>
    <cellStyle name="百分比 3 5" xfId="9807"/>
    <cellStyle name="百分比 3 5 2" xfId="9808"/>
    <cellStyle name="百分比 3 5 2 2" xfId="9809"/>
    <cellStyle name="百分比 3 5 3" xfId="9811"/>
    <cellStyle name="百分比 3 6" xfId="9812"/>
    <cellStyle name="百分比 3 6 2" xfId="9816"/>
    <cellStyle name="百分比 3 7" xfId="9820"/>
    <cellStyle name="百分比 4" xfId="3753"/>
    <cellStyle name="百分比 4 2" xfId="9823"/>
    <cellStyle name="百分比 4 2 2" xfId="9827"/>
    <cellStyle name="百分比 4 2 2 2" xfId="7684"/>
    <cellStyle name="百分比 4 2 2 2 2" xfId="7686"/>
    <cellStyle name="百分比 4 2 2 3" xfId="7692"/>
    <cellStyle name="百分比 4 2 3" xfId="9830"/>
    <cellStyle name="百分比 4 2 3 2" xfId="7743"/>
    <cellStyle name="百分比 4 2 4" xfId="9832"/>
    <cellStyle name="百分比 4 3" xfId="9833"/>
    <cellStyle name="百分比 4 3 2" xfId="9840"/>
    <cellStyle name="百分比 4 3 2 2" xfId="9841"/>
    <cellStyle name="百分比 4 3 3" xfId="9842"/>
    <cellStyle name="百分比 4 4" xfId="9843"/>
    <cellStyle name="百分比 4 4 2" xfId="9847"/>
    <cellStyle name="百分比 4 5" xfId="5539"/>
    <cellStyle name="百分比 4 6" xfId="1276"/>
    <cellStyle name="百分比 5" xfId="6834"/>
    <cellStyle name="百分比 5 2" xfId="9848"/>
    <cellStyle name="百分比 5 2 2" xfId="9851"/>
    <cellStyle name="百分比 5 3" xfId="9853"/>
    <cellStyle name="百分比 5 4" xfId="9854"/>
    <cellStyle name="百分比 5 5" xfId="3331"/>
    <cellStyle name="百分比 6" xfId="9855"/>
    <cellStyle name="百分比 6 2" xfId="9858"/>
    <cellStyle name="百分比 6 2 2" xfId="9861"/>
    <cellStyle name="百分比 6 3" xfId="9862"/>
    <cellStyle name="百分比 6 4" xfId="9863"/>
    <cellStyle name="百分比 7" xfId="9864"/>
    <cellStyle name="百分比 7 2" xfId="9867"/>
    <cellStyle name="百分比 8" xfId="9869"/>
    <cellStyle name="百分比 8 2" xfId="9872"/>
    <cellStyle name="百分比 9" xfId="9874"/>
    <cellStyle name="标题 1 2" xfId="9875"/>
    <cellStyle name="标题 1 2 2" xfId="9877"/>
    <cellStyle name="标题 1 2 2 2" xfId="9879"/>
    <cellStyle name="标题 1 2 2 2 2" xfId="9880"/>
    <cellStyle name="标题 1 2 2 2 2 2" xfId="9881"/>
    <cellStyle name="标题 1 2 2 2 2 2 2" xfId="9883"/>
    <cellStyle name="标题 1 2 2 2 2 3" xfId="9885"/>
    <cellStyle name="标题 1 2 2 2 2 3 2" xfId="9887"/>
    <cellStyle name="标题 1 2 2 2 2 4" xfId="9889"/>
    <cellStyle name="标题 1 2 2 2 2 5" xfId="9890"/>
    <cellStyle name="标题 1 2 2 2 3" xfId="9892"/>
    <cellStyle name="标题 1 2 2 2 3 2" xfId="9893"/>
    <cellStyle name="标题 1 2 2 2 4" xfId="4466"/>
    <cellStyle name="标题 1 2 2 2 4 2" xfId="9895"/>
    <cellStyle name="标题 1 2 2 2 5" xfId="9896"/>
    <cellStyle name="标题 1 2 2 2 6" xfId="9897"/>
    <cellStyle name="标题 1 2 2 3" xfId="9898"/>
    <cellStyle name="标题 1 2 2 3 2" xfId="9900"/>
    <cellStyle name="标题 1 2 2 3 2 2" xfId="8382"/>
    <cellStyle name="标题 1 2 2 3 2 2 2" xfId="9902"/>
    <cellStyle name="标题 1 2 2 3 2 2 2 2" xfId="9906"/>
    <cellStyle name="标题 1 2 2 3 2 2 3" xfId="9908"/>
    <cellStyle name="标题 1 2 2 3 2 2 3 2" xfId="9910"/>
    <cellStyle name="标题 1 2 2 3 2 2 4" xfId="9913"/>
    <cellStyle name="标题 1 2 2 3 2 2 5" xfId="9916"/>
    <cellStyle name="标题 1 2 2 3 2 3" xfId="9918"/>
    <cellStyle name="标题 1 2 2 3 2 3 2" xfId="9920"/>
    <cellStyle name="标题 1 2 2 3 2 4" xfId="9922"/>
    <cellStyle name="标题 1 2 2 3 2 4 2" xfId="9924"/>
    <cellStyle name="标题 1 2 2 3 2 5" xfId="9926"/>
    <cellStyle name="标题 1 2 2 3 2 6" xfId="9929"/>
    <cellStyle name="标题 1 2 2 3 3" xfId="9930"/>
    <cellStyle name="标题 1 2 2 3 3 2" xfId="9931"/>
    <cellStyle name="标题 1 2 2 3 3 2 2" xfId="9933"/>
    <cellStyle name="标题 1 2 2 3 3 3" xfId="9935"/>
    <cellStyle name="标题 1 2 2 3 3 3 2" xfId="9940"/>
    <cellStyle name="标题 1 2 2 3 3 4" xfId="9942"/>
    <cellStyle name="标题 1 2 2 3 3 5" xfId="9944"/>
    <cellStyle name="标题 1 2 2 3 4" xfId="7723"/>
    <cellStyle name="标题 1 2 2 3 4 2" xfId="9946"/>
    <cellStyle name="标题 1 2 2 3 5" xfId="9949"/>
    <cellStyle name="标题 1 2 2 3 5 2" xfId="9950"/>
    <cellStyle name="标题 1 2 2 3 6" xfId="9951"/>
    <cellStyle name="标题 1 2 2 3 7" xfId="9952"/>
    <cellStyle name="标题 1 2 2 4" xfId="116"/>
    <cellStyle name="标题 1 2 2 4 2" xfId="9953"/>
    <cellStyle name="标题 1 2 2 4 2 2" xfId="9954"/>
    <cellStyle name="标题 1 2 2 4 3" xfId="9957"/>
    <cellStyle name="标题 1 2 2 4 3 2" xfId="9958"/>
    <cellStyle name="标题 1 2 2 4 4" xfId="9959"/>
    <cellStyle name="标题 1 2 2 4 5" xfId="9960"/>
    <cellStyle name="标题 1 2 2 5" xfId="9961"/>
    <cellStyle name="标题 1 2 2 5 2" xfId="9734"/>
    <cellStyle name="标题 1 2 2 6" xfId="9964"/>
    <cellStyle name="标题 1 2 2 6 2" xfId="9750"/>
    <cellStyle name="标题 1 2 2 7" xfId="9966"/>
    <cellStyle name="标题 1 2 2 8" xfId="9968"/>
    <cellStyle name="标题 1 2 3" xfId="9969"/>
    <cellStyle name="标题 1 2 3 2" xfId="9972"/>
    <cellStyle name="标题 1 2 3 2 2" xfId="9975"/>
    <cellStyle name="标题 1 2 3 2 2 2" xfId="9977"/>
    <cellStyle name="标题 1 2 3 2 2 2 2" xfId="9980"/>
    <cellStyle name="标题 1 2 3 2 2 3" xfId="9982"/>
    <cellStyle name="标题 1 2 3 2 2 3 2" xfId="9985"/>
    <cellStyle name="标题 1 2 3 2 2 4" xfId="9987"/>
    <cellStyle name="标题 1 2 3 2 2 5" xfId="9990"/>
    <cellStyle name="标题 1 2 3 2 3" xfId="9992"/>
    <cellStyle name="标题 1 2 3 2 3 2" xfId="9993"/>
    <cellStyle name="标题 1 2 3 2 4" xfId="4473"/>
    <cellStyle name="标题 1 2 3 2 4 2" xfId="9996"/>
    <cellStyle name="标题 1 2 3 2 5" xfId="9998"/>
    <cellStyle name="标题 1 2 3 2 6" xfId="9999"/>
    <cellStyle name="标题 1 2 3 3" xfId="10000"/>
    <cellStyle name="标题 1 2 3 3 2" xfId="10003"/>
    <cellStyle name="标题 1 2 3 3 2 2" xfId="8543"/>
    <cellStyle name="标题 1 2 3 3 3" xfId="10005"/>
    <cellStyle name="标题 1 2 3 3 3 2" xfId="8554"/>
    <cellStyle name="标题 1 2 3 3 4" xfId="10006"/>
    <cellStyle name="标题 1 2 3 3 5" xfId="10007"/>
    <cellStyle name="标题 1 2 3 4" xfId="10008"/>
    <cellStyle name="标题 1 2 3 4 2" xfId="10011"/>
    <cellStyle name="标题 1 2 3 5" xfId="10012"/>
    <cellStyle name="标题 1 2 3 5 2" xfId="9775"/>
    <cellStyle name="标题 1 2 3 6" xfId="10015"/>
    <cellStyle name="标题 1 2 3 7" xfId="10016"/>
    <cellStyle name="标题 1 2 4" xfId="10018"/>
    <cellStyle name="标题 1 2 4 2" xfId="6045"/>
    <cellStyle name="标题 1 2 4 2 2" xfId="6057"/>
    <cellStyle name="标题 1 2 4 3" xfId="10021"/>
    <cellStyle name="标题 1 2 4 3 2" xfId="10023"/>
    <cellStyle name="标题 1 2 4 4" xfId="10025"/>
    <cellStyle name="标题 1 2 4 5" xfId="10028"/>
    <cellStyle name="标题 1 2 5" xfId="10030"/>
    <cellStyle name="标题 1 2 5 2" xfId="10033"/>
    <cellStyle name="标题 1 2 6" xfId="10034"/>
    <cellStyle name="标题 1 2 6 2" xfId="10036"/>
    <cellStyle name="标题 1 2 7" xfId="10038"/>
    <cellStyle name="标题 1 2 8" xfId="10040"/>
    <cellStyle name="标题 1 3" xfId="5044"/>
    <cellStyle name="标题 2 2" xfId="10041"/>
    <cellStyle name="标题 2 2 2" xfId="10043"/>
    <cellStyle name="标题 2 2 2 2" xfId="10044"/>
    <cellStyle name="标题 2 2 2 2 2" xfId="10045"/>
    <cellStyle name="标题 2 2 2 2 2 2" xfId="10046"/>
    <cellStyle name="标题 2 2 2 2 2 2 2" xfId="10048"/>
    <cellStyle name="标题 2 2 2 2 2 3" xfId="10049"/>
    <cellStyle name="标题 2 2 2 2 2 3 2" xfId="10051"/>
    <cellStyle name="标题 2 2 2 2 2 4" xfId="10054"/>
    <cellStyle name="标题 2 2 2 2 2 5" xfId="3702"/>
    <cellStyle name="标题 2 2 2 2 3" xfId="10056"/>
    <cellStyle name="标题 2 2 2 2 3 2" xfId="10057"/>
    <cellStyle name="标题 2 2 2 2 4" xfId="10058"/>
    <cellStyle name="标题 2 2 2 2 4 2" xfId="10059"/>
    <cellStyle name="标题 2 2 2 2 5" xfId="10062"/>
    <cellStyle name="标题 2 2 2 2 6" xfId="10063"/>
    <cellStyle name="标题 2 2 2 3" xfId="10064"/>
    <cellStyle name="标题 2 2 2 3 2" xfId="10066"/>
    <cellStyle name="标题 2 2 2 3 2 2" xfId="10067"/>
    <cellStyle name="标题 2 2 2 3 2 2 2" xfId="10069"/>
    <cellStyle name="标题 2 2 2 3 2 2 2 2" xfId="10070"/>
    <cellStyle name="标题 2 2 2 3 2 2 3" xfId="10073"/>
    <cellStyle name="标题 2 2 2 3 2 2 3 2" xfId="10076"/>
    <cellStyle name="标题 2 2 2 3 2 2 4" xfId="10079"/>
    <cellStyle name="标题 2 2 2 3 2 2 5" xfId="10083"/>
    <cellStyle name="标题 2 2 2 3 2 3" xfId="10087"/>
    <cellStyle name="标题 2 2 2 3 2 3 2" xfId="10090"/>
    <cellStyle name="标题 2 2 2 3 2 4" xfId="10092"/>
    <cellStyle name="标题 2 2 2 3 2 4 2" xfId="10093"/>
    <cellStyle name="标题 2 2 2 3 2 5" xfId="10095"/>
    <cellStyle name="标题 2 2 2 3 2 6" xfId="10098"/>
    <cellStyle name="标题 2 2 2 3 3" xfId="10101"/>
    <cellStyle name="标题 2 2 2 3 3 2" xfId="10103"/>
    <cellStyle name="标题 2 2 2 3 3 2 2" xfId="10104"/>
    <cellStyle name="标题 2 2 2 3 3 3" xfId="10107"/>
    <cellStyle name="标题 2 2 2 3 3 3 2" xfId="10108"/>
    <cellStyle name="标题 2 2 2 3 3 4" xfId="10112"/>
    <cellStyle name="标题 2 2 2 3 3 5" xfId="10114"/>
    <cellStyle name="标题 2 2 2 3 4" xfId="10116"/>
    <cellStyle name="标题 2 2 2 3 4 2" xfId="10117"/>
    <cellStyle name="标题 2 2 2 3 5" xfId="10119"/>
    <cellStyle name="标题 2 2 2 3 5 2" xfId="10120"/>
    <cellStyle name="标题 2 2 2 3 6" xfId="10121"/>
    <cellStyle name="标题 2 2 2 3 7" xfId="10122"/>
    <cellStyle name="标题 2 2 2 4" xfId="10123"/>
    <cellStyle name="标题 2 2 2 4 2" xfId="10124"/>
    <cellStyle name="标题 2 2 2 4 2 2" xfId="10125"/>
    <cellStyle name="标题 2 2 2 4 3" xfId="10126"/>
    <cellStyle name="标题 2 2 2 4 3 2" xfId="10127"/>
    <cellStyle name="标题 2 2 2 4 4" xfId="10128"/>
    <cellStyle name="标题 2 2 2 4 5" xfId="10129"/>
    <cellStyle name="标题 2 2 2 5" xfId="10130"/>
    <cellStyle name="标题 2 2 2 5 2" xfId="7208"/>
    <cellStyle name="标题 2 2 2 6" xfId="10131"/>
    <cellStyle name="标题 2 2 2 6 2" xfId="2959"/>
    <cellStyle name="标题 2 2 2 7" xfId="10132"/>
    <cellStyle name="标题 2 2 2 8" xfId="10133"/>
    <cellStyle name="标题 2 2 3" xfId="10134"/>
    <cellStyle name="标题 2 2 3 2" xfId="10137"/>
    <cellStyle name="标题 2 2 3 2 2" xfId="10139"/>
    <cellStyle name="标题 2 2 3 2 2 2" xfId="10140"/>
    <cellStyle name="标题 2 2 3 2 2 2 2" xfId="10141"/>
    <cellStyle name="标题 2 2 3 2 2 3" xfId="10142"/>
    <cellStyle name="标题 2 2 3 2 2 3 2" xfId="10144"/>
    <cellStyle name="标题 2 2 3 2 2 4" xfId="10146"/>
    <cellStyle name="标题 2 2 3 2 2 5" xfId="10147"/>
    <cellStyle name="标题 2 2 3 2 3" xfId="10148"/>
    <cellStyle name="标题 2 2 3 2 3 2" xfId="10149"/>
    <cellStyle name="标题 2 2 3 2 4" xfId="10150"/>
    <cellStyle name="标题 2 2 3 2 4 2" xfId="10151"/>
    <cellStyle name="标题 2 2 3 2 5" xfId="10153"/>
    <cellStyle name="标题 2 2 3 2 6" xfId="10154"/>
    <cellStyle name="标题 2 2 3 3" xfId="10155"/>
    <cellStyle name="标题 2 2 3 3 2" xfId="10156"/>
    <cellStyle name="标题 2 2 3 3 2 2" xfId="10157"/>
    <cellStyle name="标题 2 2 3 3 3" xfId="10159"/>
    <cellStyle name="标题 2 2 3 3 3 2" xfId="10160"/>
    <cellStyle name="标题 2 2 3 3 4" xfId="10162"/>
    <cellStyle name="标题 2 2 3 3 5" xfId="10163"/>
    <cellStyle name="标题 2 2 3 4" xfId="10164"/>
    <cellStyle name="标题 2 2 3 4 2" xfId="10166"/>
    <cellStyle name="标题 2 2 3 5" xfId="10167"/>
    <cellStyle name="标题 2 2 3 5 2" xfId="10168"/>
    <cellStyle name="标题 2 2 3 6" xfId="10169"/>
    <cellStyle name="标题 2 2 3 7" xfId="10170"/>
    <cellStyle name="标题 2 2 4" xfId="10171"/>
    <cellStyle name="标题 2 2 4 2" xfId="7921"/>
    <cellStyle name="标题 2 2 4 2 2" xfId="7924"/>
    <cellStyle name="标题 2 2 4 3" xfId="10174"/>
    <cellStyle name="标题 2 2 4 3 2" xfId="10175"/>
    <cellStyle name="标题 2 2 4 4" xfId="10177"/>
    <cellStyle name="标题 2 2 4 5" xfId="10179"/>
    <cellStyle name="标题 2 2 5" xfId="10180"/>
    <cellStyle name="标题 2 2 5 2" xfId="10182"/>
    <cellStyle name="标题 2 2 6" xfId="10184"/>
    <cellStyle name="标题 2 2 6 2" xfId="10185"/>
    <cellStyle name="标题 2 2 7" xfId="10187"/>
    <cellStyle name="标题 2 2 8" xfId="10188"/>
    <cellStyle name="标题 2 3" xfId="423"/>
    <cellStyle name="标题 3 2" xfId="10190"/>
    <cellStyle name="标题 3 2 2" xfId="10192"/>
    <cellStyle name="标题 3 2 2 2" xfId="10194"/>
    <cellStyle name="标题 3 2 2 2 2" xfId="10196"/>
    <cellStyle name="标题 3 2 2 2 2 2" xfId="10197"/>
    <cellStyle name="标题 3 2 2 2 2 2 2" xfId="9194"/>
    <cellStyle name="标题 3 2 2 2 2 3" xfId="10199"/>
    <cellStyle name="标题 3 2 2 2 2 3 2" xfId="9215"/>
    <cellStyle name="标题 3 2 2 2 2 4" xfId="10201"/>
    <cellStyle name="标题 3 2 2 2 2 5" xfId="10203"/>
    <cellStyle name="标题 3 2 2 2 3" xfId="10205"/>
    <cellStyle name="标题 3 2 2 2 3 2" xfId="10206"/>
    <cellStyle name="标题 3 2 2 2 4" xfId="10208"/>
    <cellStyle name="标题 3 2 2 2 4 2" xfId="10209"/>
    <cellStyle name="标题 3 2 2 2 5" xfId="10211"/>
    <cellStyle name="标题 3 2 2 2 6" xfId="10212"/>
    <cellStyle name="标题 3 2 2 3" xfId="10213"/>
    <cellStyle name="标题 3 2 2 3 2" xfId="10215"/>
    <cellStyle name="标题 3 2 2 3 2 2" xfId="10217"/>
    <cellStyle name="标题 3 2 2 3 2 2 2" xfId="10219"/>
    <cellStyle name="标题 3 2 2 3 2 2 2 2" xfId="10220"/>
    <cellStyle name="标题 3 2 2 3 2 2 3" xfId="10221"/>
    <cellStyle name="标题 3 2 2 3 2 2 3 2" xfId="10222"/>
    <cellStyle name="标题 3 2 2 3 2 2 4" xfId="10223"/>
    <cellStyle name="标题 3 2 2 3 2 2 5" xfId="10224"/>
    <cellStyle name="标题 3 2 2 3 2 3" xfId="10226"/>
    <cellStyle name="标题 3 2 2 3 2 3 2" xfId="10228"/>
    <cellStyle name="标题 3 2 2 3 2 4" xfId="10229"/>
    <cellStyle name="标题 3 2 2 3 2 4 2" xfId="10231"/>
    <cellStyle name="标题 3 2 2 3 2 5" xfId="10232"/>
    <cellStyle name="标题 3 2 2 3 2 6" xfId="10233"/>
    <cellStyle name="标题 3 2 2 3 3" xfId="10234"/>
    <cellStyle name="标题 3 2 2 3 3 2" xfId="10236"/>
    <cellStyle name="标题 3 2 2 3 3 2 2" xfId="10239"/>
    <cellStyle name="标题 3 2 2 3 3 3" xfId="10241"/>
    <cellStyle name="标题 3 2 2 3 3 3 2" xfId="10243"/>
    <cellStyle name="标题 3 2 2 3 3 4" xfId="10244"/>
    <cellStyle name="标题 3 2 2 3 3 5" xfId="10246"/>
    <cellStyle name="标题 3 2 2 3 4" xfId="10247"/>
    <cellStyle name="标题 3 2 2 3 4 2" xfId="10249"/>
    <cellStyle name="标题 3 2 2 3 5" xfId="10252"/>
    <cellStyle name="标题 3 2 2 3 5 2" xfId="10254"/>
    <cellStyle name="标题 3 2 2 3 6" xfId="10255"/>
    <cellStyle name="标题 3 2 2 3 7" xfId="10258"/>
    <cellStyle name="标题 3 2 2 4" xfId="10261"/>
    <cellStyle name="标题 3 2 2 4 2" xfId="10262"/>
    <cellStyle name="标题 3 2 2 4 2 2" xfId="10263"/>
    <cellStyle name="标题 3 2 2 4 3" xfId="10265"/>
    <cellStyle name="标题 3 2 2 4 3 2" xfId="10268"/>
    <cellStyle name="标题 3 2 2 4 4" xfId="10270"/>
    <cellStyle name="标题 3 2 2 4 5" xfId="10272"/>
    <cellStyle name="标题 3 2 2 5" xfId="10275"/>
    <cellStyle name="标题 3 2 2 5 2" xfId="10276"/>
    <cellStyle name="标题 3 2 2 6" xfId="10277"/>
    <cellStyle name="标题 3 2 2 6 2" xfId="10278"/>
    <cellStyle name="标题 3 2 2 7" xfId="10279"/>
    <cellStyle name="标题 3 2 2 8" xfId="10280"/>
    <cellStyle name="标题 3 2 3" xfId="9166"/>
    <cellStyle name="标题 3 2 3 2" xfId="10281"/>
    <cellStyle name="标题 3 2 3 2 2" xfId="10282"/>
    <cellStyle name="标题 3 2 3 2 2 2" xfId="10283"/>
    <cellStyle name="标题 3 2 3 2 2 2 2" xfId="9373"/>
    <cellStyle name="标题 3 2 3 2 2 3" xfId="10286"/>
    <cellStyle name="标题 3 2 3 2 2 3 2" xfId="9396"/>
    <cellStyle name="标题 3 2 3 2 2 4" xfId="3455"/>
    <cellStyle name="标题 3 2 3 2 2 5" xfId="10289"/>
    <cellStyle name="标题 3 2 3 2 3" xfId="10292"/>
    <cellStyle name="标题 3 2 3 2 3 2" xfId="10294"/>
    <cellStyle name="标题 3 2 3 2 4" xfId="10297"/>
    <cellStyle name="标题 3 2 3 2 4 2" xfId="10299"/>
    <cellStyle name="标题 3 2 3 2 5" xfId="10304"/>
    <cellStyle name="标题 3 2 3 2 6" xfId="10306"/>
    <cellStyle name="标题 3 2 3 3" xfId="10308"/>
    <cellStyle name="标题 3 2 3 3 2" xfId="10309"/>
    <cellStyle name="标题 3 2 3 3 2 2" xfId="10310"/>
    <cellStyle name="标题 3 2 3 3 3" xfId="10313"/>
    <cellStyle name="标题 3 2 3 3 3 2" xfId="10315"/>
    <cellStyle name="标题 3 2 3 3 4" xfId="10319"/>
    <cellStyle name="标题 3 2 3 3 5" xfId="10322"/>
    <cellStyle name="标题 3 2 3 4" xfId="10325"/>
    <cellStyle name="标题 3 2 3 4 2" xfId="10326"/>
    <cellStyle name="标题 3 2 3 5" xfId="10327"/>
    <cellStyle name="标题 3 2 3 5 2" xfId="10328"/>
    <cellStyle name="标题 3 2 3 6" xfId="10329"/>
    <cellStyle name="标题 3 2 3 7" xfId="10330"/>
    <cellStyle name="标题 3 2 4" xfId="10331"/>
    <cellStyle name="标题 3 2 4 2" xfId="10333"/>
    <cellStyle name="标题 3 2 4 2 2" xfId="10335"/>
    <cellStyle name="标题 3 2 4 3" xfId="10338"/>
    <cellStyle name="标题 3 2 4 3 2" xfId="10340"/>
    <cellStyle name="标题 3 2 4 4" xfId="7470"/>
    <cellStyle name="标题 3 2 4 5" xfId="10341"/>
    <cellStyle name="标题 3 2 5" xfId="10343"/>
    <cellStyle name="标题 3 2 5 2" xfId="10344"/>
    <cellStyle name="标题 3 2 6" xfId="10346"/>
    <cellStyle name="标题 3 2 6 2" xfId="10347"/>
    <cellStyle name="标题 3 2 7" xfId="10350"/>
    <cellStyle name="标题 3 2 8" xfId="10351"/>
    <cellStyle name="标题 3 3" xfId="490"/>
    <cellStyle name="标题 4 2" xfId="10352"/>
    <cellStyle name="标题 4 2 2" xfId="10354"/>
    <cellStyle name="标题 4 2 2 2" xfId="10356"/>
    <cellStyle name="标题 4 2 2 2 2" xfId="10358"/>
    <cellStyle name="标题 4 2 2 2 2 2" xfId="10361"/>
    <cellStyle name="标题 4 2 2 2 2 2 2" xfId="10363"/>
    <cellStyle name="标题 4 2 2 2 2 3" xfId="10365"/>
    <cellStyle name="标题 4 2 2 2 2 3 2" xfId="10367"/>
    <cellStyle name="标题 4 2 2 2 2 4" xfId="10369"/>
    <cellStyle name="标题 4 2 2 2 2 5" xfId="10371"/>
    <cellStyle name="标题 4 2 2 2 3" xfId="10373"/>
    <cellStyle name="标题 4 2 2 2 3 2" xfId="10376"/>
    <cellStyle name="标题 4 2 2 2 4" xfId="10378"/>
    <cellStyle name="标题 4 2 2 2 4 2" xfId="10380"/>
    <cellStyle name="标题 4 2 2 2 5" xfId="10382"/>
    <cellStyle name="标题 4 2 2 2 6" xfId="10384"/>
    <cellStyle name="标题 4 2 2 3" xfId="10387"/>
    <cellStyle name="标题 4 2 2 3 2" xfId="10389"/>
    <cellStyle name="标题 4 2 2 3 2 2" xfId="10392"/>
    <cellStyle name="标题 4 2 2 3 2 2 2" xfId="10395"/>
    <cellStyle name="标题 4 2 2 3 2 2 2 2" xfId="10398"/>
    <cellStyle name="标题 4 2 2 3 2 2 3" xfId="10400"/>
    <cellStyle name="标题 4 2 2 3 2 2 3 2" xfId="10402"/>
    <cellStyle name="标题 4 2 2 3 2 2 4" xfId="10403"/>
    <cellStyle name="标题 4 2 2 3 2 2 5" xfId="10406"/>
    <cellStyle name="标题 4 2 2 3 2 3" xfId="10407"/>
    <cellStyle name="标题 4 2 2 3 2 3 2" xfId="10410"/>
    <cellStyle name="标题 4 2 2 3 2 4" xfId="10412"/>
    <cellStyle name="标题 4 2 2 3 2 4 2" xfId="10415"/>
    <cellStyle name="标题 4 2 2 3 2 5" xfId="10416"/>
    <cellStyle name="标题 4 2 2 3 2 6" xfId="10418"/>
    <cellStyle name="标题 4 2 2 3 3" xfId="10420"/>
    <cellStyle name="标题 4 2 2 3 3 2" xfId="10423"/>
    <cellStyle name="标题 4 2 2 3 3 2 2" xfId="10426"/>
    <cellStyle name="标题 4 2 2 3 3 3" xfId="10431"/>
    <cellStyle name="标题 4 2 2 3 3 3 2" xfId="10434"/>
    <cellStyle name="标题 4 2 2 3 3 4" xfId="10435"/>
    <cellStyle name="标题 4 2 2 3 3 5" xfId="10438"/>
    <cellStyle name="标题 4 2 2 3 4" xfId="10439"/>
    <cellStyle name="标题 4 2 2 3 4 2" xfId="10442"/>
    <cellStyle name="标题 4 2 2 3 5" xfId="10446"/>
    <cellStyle name="标题 4 2 2 3 5 2" xfId="10449"/>
    <cellStyle name="标题 4 2 2 3 6" xfId="10453"/>
    <cellStyle name="标题 4 2 2 3 7" xfId="10457"/>
    <cellStyle name="标题 4 2 2 4" xfId="10460"/>
    <cellStyle name="标题 4 2 2 4 2" xfId="10462"/>
    <cellStyle name="标题 4 2 2 4 2 2" xfId="10467"/>
    <cellStyle name="标题 4 2 2 4 3" xfId="10472"/>
    <cellStyle name="标题 4 2 2 4 3 2" xfId="10476"/>
    <cellStyle name="标题 4 2 2 4 4" xfId="10479"/>
    <cellStyle name="标题 4 2 2 4 5" xfId="10483"/>
    <cellStyle name="标题 4 2 2 5" xfId="10487"/>
    <cellStyle name="标题 4 2 2 5 2" xfId="10488"/>
    <cellStyle name="标题 4 2 2 6" xfId="10492"/>
    <cellStyle name="标题 4 2 2 6 2" xfId="10493"/>
    <cellStyle name="标题 4 2 2 7" xfId="9052"/>
    <cellStyle name="标题 4 2 2 8" xfId="10496"/>
    <cellStyle name="标题 4 2 3" xfId="9229"/>
    <cellStyle name="标题 4 2 3 2" xfId="10497"/>
    <cellStyle name="标题 4 2 3 2 2" xfId="10499"/>
    <cellStyle name="标题 4 2 3 2 2 2" xfId="10502"/>
    <cellStyle name="标题 4 2 3 2 2 2 2" xfId="10504"/>
    <cellStyle name="标题 4 2 3 2 2 3" xfId="10506"/>
    <cellStyle name="标题 4 2 3 2 2 3 2" xfId="10508"/>
    <cellStyle name="标题 4 2 3 2 2 4" xfId="4512"/>
    <cellStyle name="标题 4 2 3 2 2 5" xfId="10510"/>
    <cellStyle name="标题 4 2 3 2 3" xfId="10512"/>
    <cellStyle name="标题 4 2 3 2 3 2" xfId="10515"/>
    <cellStyle name="标题 4 2 3 2 4" xfId="10517"/>
    <cellStyle name="标题 4 2 3 2 4 2" xfId="10520"/>
    <cellStyle name="标题 4 2 3 2 5" xfId="10524"/>
    <cellStyle name="标题 4 2 3 2 6" xfId="10527"/>
    <cellStyle name="标题 4 2 3 3" xfId="10531"/>
    <cellStyle name="标题 4 2 3 3 2" xfId="10532"/>
    <cellStyle name="标题 4 2 3 3 2 2" xfId="10534"/>
    <cellStyle name="标题 4 2 3 3 3" xfId="10536"/>
    <cellStyle name="标题 4 2 3 3 3 2" xfId="10538"/>
    <cellStyle name="标题 4 2 3 3 4" xfId="10540"/>
    <cellStyle name="标题 4 2 3 3 5" xfId="10543"/>
    <cellStyle name="标题 4 2 3 4" xfId="10546"/>
    <cellStyle name="标题 4 2 3 4 2" xfId="10547"/>
    <cellStyle name="标题 4 2 3 5" xfId="10550"/>
    <cellStyle name="标题 4 2 3 5 2" xfId="10551"/>
    <cellStyle name="标题 4 2 3 6" xfId="10554"/>
    <cellStyle name="标题 4 2 3 7" xfId="10555"/>
    <cellStyle name="标题 4 2 4" xfId="10556"/>
    <cellStyle name="标题 4 2 4 2" xfId="10558"/>
    <cellStyle name="标题 4 2 4 2 2" xfId="10559"/>
    <cellStyle name="标题 4 2 4 3" xfId="10562"/>
    <cellStyle name="标题 4 2 4 3 2" xfId="10563"/>
    <cellStyle name="标题 4 2 4 4" xfId="10566"/>
    <cellStyle name="标题 4 2 4 5" xfId="10567"/>
    <cellStyle name="标题 4 2 5" xfId="10569"/>
    <cellStyle name="标题 4 2 5 2" xfId="10571"/>
    <cellStyle name="标题 4 2 6" xfId="10572"/>
    <cellStyle name="标题 4 2 6 2" xfId="2468"/>
    <cellStyle name="标题 4 2 7" xfId="10573"/>
    <cellStyle name="标题 4 2 8" xfId="10574"/>
    <cellStyle name="标题 5" xfId="10575"/>
    <cellStyle name="标题 5 2" xfId="10578"/>
    <cellStyle name="标题 6" xfId="10580"/>
    <cellStyle name="差 2" xfId="10582"/>
    <cellStyle name="差 2 2" xfId="10583"/>
    <cellStyle name="差 2 2 2" xfId="10584"/>
    <cellStyle name="差 2 2 2 2" xfId="10586"/>
    <cellStyle name="差 2 2 2 2 2" xfId="10590"/>
    <cellStyle name="差 2 2 2 2 2 2" xfId="10593"/>
    <cellStyle name="差 2 2 2 2 3" xfId="10595"/>
    <cellStyle name="差 2 2 2 2 3 2" xfId="10597"/>
    <cellStyle name="差 2 2 2 2 4" xfId="10598"/>
    <cellStyle name="差 2 2 2 2 5" xfId="10600"/>
    <cellStyle name="差 2 2 2 3" xfId="10601"/>
    <cellStyle name="差 2 2 2 3 2" xfId="10605"/>
    <cellStyle name="差 2 2 2 4" xfId="10608"/>
    <cellStyle name="差 2 2 2 4 2" xfId="10611"/>
    <cellStyle name="差 2 2 2 5" xfId="10613"/>
    <cellStyle name="差 2 2 2 6" xfId="10617"/>
    <cellStyle name="差 2 2 3" xfId="10619"/>
    <cellStyle name="差 2 2 3 2" xfId="10623"/>
    <cellStyle name="差 2 2 3 2 2" xfId="10630"/>
    <cellStyle name="差 2 2 3 2 2 2" xfId="10634"/>
    <cellStyle name="差 2 2 3 2 2 2 2" xfId="10638"/>
    <cellStyle name="差 2 2 3 2 2 3" xfId="4676"/>
    <cellStyle name="差 2 2 3 2 2 3 2" xfId="10639"/>
    <cellStyle name="差 2 2 3 2 2 4" xfId="10640"/>
    <cellStyle name="差 2 2 3 2 2 5" xfId="10641"/>
    <cellStyle name="差 2 2 3 2 3" xfId="10642"/>
    <cellStyle name="差 2 2 3 2 3 2" xfId="10646"/>
    <cellStyle name="差 2 2 3 2 4" xfId="10647"/>
    <cellStyle name="差 2 2 3 2 4 2" xfId="10652"/>
    <cellStyle name="差 2 2 3 2 5" xfId="10654"/>
    <cellStyle name="差 2 2 3 2 6" xfId="10656"/>
    <cellStyle name="差 2 2 3 3" xfId="10659"/>
    <cellStyle name="差 2 2 3 3 2" xfId="10665"/>
    <cellStyle name="差 2 2 3 3 2 2" xfId="10669"/>
    <cellStyle name="差 2 2 3 3 3" xfId="10671"/>
    <cellStyle name="差 2 2 3 3 3 2" xfId="10673"/>
    <cellStyle name="差 2 2 3 3 4" xfId="10675"/>
    <cellStyle name="差 2 2 3 3 5" xfId="10678"/>
    <cellStyle name="差 2 2 3 4" xfId="10679"/>
    <cellStyle name="差 2 2 3 4 2" xfId="10683"/>
    <cellStyle name="差 2 2 3 5" xfId="10686"/>
    <cellStyle name="差 2 2 3 5 2" xfId="10691"/>
    <cellStyle name="差 2 2 3 6" xfId="10692"/>
    <cellStyle name="差 2 2 3 7" xfId="10695"/>
    <cellStyle name="差 2 2 4" xfId="10697"/>
    <cellStyle name="差 2 2 4 2" xfId="10700"/>
    <cellStyle name="差 2 2 4 2 2" xfId="9425"/>
    <cellStyle name="差 2 2 4 3" xfId="10705"/>
    <cellStyle name="差 2 2 4 3 2" xfId="10709"/>
    <cellStyle name="差 2 2 4 4" xfId="10710"/>
    <cellStyle name="差 2 2 4 5" xfId="10713"/>
    <cellStyle name="差 2 2 5" xfId="10715"/>
    <cellStyle name="差 2 2 5 2" xfId="10719"/>
    <cellStyle name="差 2 2 6" xfId="10726"/>
    <cellStyle name="差 2 2 6 2" xfId="10728"/>
    <cellStyle name="差 2 2 7" xfId="123"/>
    <cellStyle name="差 2 2 8" xfId="10733"/>
    <cellStyle name="差 2 3" xfId="10737"/>
    <cellStyle name="差 2 3 2" xfId="10738"/>
    <cellStyle name="差 2 3 2 2" xfId="10739"/>
    <cellStyle name="差 2 3 2 2 2" xfId="10743"/>
    <cellStyle name="差 2 3 2 2 2 2" xfId="10747"/>
    <cellStyle name="差 2 3 2 2 3" xfId="7443"/>
    <cellStyle name="差 2 3 2 2 3 2" xfId="7460"/>
    <cellStyle name="差 2 3 2 2 4" xfId="7908"/>
    <cellStyle name="差 2 3 2 2 5" xfId="10749"/>
    <cellStyle name="差 2 3 2 3" xfId="8000"/>
    <cellStyle name="差 2 3 2 3 2" xfId="10752"/>
    <cellStyle name="差 2 3 2 4" xfId="10757"/>
    <cellStyle name="差 2 3 2 4 2" xfId="10762"/>
    <cellStyle name="差 2 3 2 5" xfId="10766"/>
    <cellStyle name="差 2 3 2 6" xfId="10771"/>
    <cellStyle name="差 2 3 3" xfId="10774"/>
    <cellStyle name="差 2 3 3 2" xfId="10777"/>
    <cellStyle name="差 2 3 3 2 2" xfId="10783"/>
    <cellStyle name="差 2 3 3 3" xfId="8011"/>
    <cellStyle name="差 2 3 3 3 2" xfId="10788"/>
    <cellStyle name="差 2 3 3 4" xfId="10791"/>
    <cellStyle name="差 2 3 3 5" xfId="10796"/>
    <cellStyle name="差 2 3 4" xfId="10800"/>
    <cellStyle name="差 2 3 4 2" xfId="10801"/>
    <cellStyle name="差 2 3 5" xfId="10806"/>
    <cellStyle name="差 2 3 5 2" xfId="10809"/>
    <cellStyle name="差 2 3 6" xfId="10815"/>
    <cellStyle name="差 2 3 7" xfId="10818"/>
    <cellStyle name="差 2 4" xfId="1787"/>
    <cellStyle name="差 2 4 2" xfId="10822"/>
    <cellStyle name="差 2 4 2 2" xfId="10823"/>
    <cellStyle name="差 2 4 3" xfId="10827"/>
    <cellStyle name="差 2 4 3 2" xfId="10829"/>
    <cellStyle name="差 2 4 4" xfId="10834"/>
    <cellStyle name="差 2 4 5" xfId="10835"/>
    <cellStyle name="差 2 5" xfId="10840"/>
    <cellStyle name="差 2 5 2" xfId="10841"/>
    <cellStyle name="差 2 6" xfId="10843"/>
    <cellStyle name="差 2 6 2" xfId="10844"/>
    <cellStyle name="差 2 7" xfId="10845"/>
    <cellStyle name="差 2 8" xfId="10846"/>
    <cellStyle name="差 3" xfId="10847"/>
    <cellStyle name="差 3 2" xfId="10848"/>
    <cellStyle name="差 3 2 2" xfId="10849"/>
    <cellStyle name="差 3 2 3" xfId="10850"/>
    <cellStyle name="差 3 2 3 2" xfId="10855"/>
    <cellStyle name="差 3 2 4" xfId="10216"/>
    <cellStyle name="差 3 3" xfId="10857"/>
    <cellStyle name="差 3 3 2" xfId="10858"/>
    <cellStyle name="差 3 3 3" xfId="10859"/>
    <cellStyle name="差 3 4" xfId="163"/>
    <cellStyle name="差 3 4 2" xfId="10860"/>
    <cellStyle name="差 3 4 2 2" xfId="10861"/>
    <cellStyle name="差 3 4 3" xfId="10863"/>
    <cellStyle name="差 3 5" xfId="10865"/>
    <cellStyle name="差 3 6" xfId="10866"/>
    <cellStyle name="差 3 7" xfId="10867"/>
    <cellStyle name="差 4" xfId="10868"/>
    <cellStyle name="差_广武预算20160405(2003格式)" xfId="10869"/>
    <cellStyle name="差_广武预算20160405(2003格式) 2" xfId="10871"/>
    <cellStyle name="差_广武预算20160405(2003格式) 2 2" xfId="10876"/>
    <cellStyle name="差_广武预算20160405(2003格式) 3" xfId="10879"/>
    <cellStyle name="差_广武预算20160405(2003格式) 4" xfId="10884"/>
    <cellStyle name="常规" xfId="0" builtinId="0"/>
    <cellStyle name="常规 10" xfId="10888"/>
    <cellStyle name="常规 10 10" xfId="10889"/>
    <cellStyle name="常规 10 2" xfId="10890"/>
    <cellStyle name="常规 10 2 10" xfId="10891"/>
    <cellStyle name="常规 10 2 2" xfId="10895"/>
    <cellStyle name="常规 10 2 2 2" xfId="10897"/>
    <cellStyle name="常规 10 2 2 2 2" xfId="10899"/>
    <cellStyle name="常规 10 2 2 2 2 2" xfId="10902"/>
    <cellStyle name="常规 10 2 2 2 2 2 2" xfId="10903"/>
    <cellStyle name="常规 10 2 2 2 2 2 2 2" xfId="10904"/>
    <cellStyle name="常规 10 2 2 2 2 2 3" xfId="2428"/>
    <cellStyle name="常规 10 2 2 2 2 3" xfId="10906"/>
    <cellStyle name="常规 10 2 2 2 2 3 2" xfId="10907"/>
    <cellStyle name="常规 10 2 2 2 2 4" xfId="10908"/>
    <cellStyle name="常规 10 2 2 2 3" xfId="10910"/>
    <cellStyle name="常规 10 2 2 2 3 2" xfId="10914"/>
    <cellStyle name="常规 10 2 2 2 3 2 2" xfId="10916"/>
    <cellStyle name="常规 10 2 2 2 3 3" xfId="10918"/>
    <cellStyle name="常规 10 2 2 2 4" xfId="10920"/>
    <cellStyle name="常规 10 2 2 2 4 2" xfId="10925"/>
    <cellStyle name="常规 10 2 2 2 4 2 2" xfId="10928"/>
    <cellStyle name="常规 10 2 2 2 4 3" xfId="10929"/>
    <cellStyle name="常规 10 2 2 2 5" xfId="10930"/>
    <cellStyle name="常规 10 2 2 2 5 2" xfId="10935"/>
    <cellStyle name="常规 10 2 2 2 6" xfId="10937"/>
    <cellStyle name="常规 10 2 2 2 7" xfId="10941"/>
    <cellStyle name="常规 10 2 2 3" xfId="10945"/>
    <cellStyle name="常规 10 2 2 3 2" xfId="10948"/>
    <cellStyle name="常规 10 2 2 3 2 2" xfId="10952"/>
    <cellStyle name="常规 10 2 2 3 2 2 2" xfId="10954"/>
    <cellStyle name="常规 10 2 2 3 2 3" xfId="10955"/>
    <cellStyle name="常规 10 2 2 3 3" xfId="10957"/>
    <cellStyle name="常规 10 2 2 3 3 2" xfId="10960"/>
    <cellStyle name="常规 10 2 2 3 4" xfId="10963"/>
    <cellStyle name="常规 10 2 2 4" xfId="10966"/>
    <cellStyle name="常规 10 2 2 4 2" xfId="9349"/>
    <cellStyle name="常规 10 2 2 4 2 2" xfId="9352"/>
    <cellStyle name="常规 10 2 2 4 3" xfId="9354"/>
    <cellStyle name="常规 10 2 2 5" xfId="10968"/>
    <cellStyle name="常规 10 2 2 5 2" xfId="9415"/>
    <cellStyle name="常规 10 2 2 5 2 2" xfId="10970"/>
    <cellStyle name="常规 10 2 2 5 3" xfId="9418"/>
    <cellStyle name="常规 10 2 2 6" xfId="10972"/>
    <cellStyle name="常规 10 2 2 6 2" xfId="10973"/>
    <cellStyle name="常规 10 2 2 7" xfId="10974"/>
    <cellStyle name="常规 10 2 2 7 2" xfId="10975"/>
    <cellStyle name="常规 10 2 2 8" xfId="10976"/>
    <cellStyle name="常规 10 2 3" xfId="10977"/>
    <cellStyle name="常规 10 2 3 10" xfId="10978"/>
    <cellStyle name="常规 10 2 3 10 2" xfId="10980"/>
    <cellStyle name="常规 10 2 3 11" xfId="10981"/>
    <cellStyle name="常规 10 2 3 11 2" xfId="10983"/>
    <cellStyle name="常规 10 2 3 12" xfId="10985"/>
    <cellStyle name="常规 10 2 3 2" xfId="10986"/>
    <cellStyle name="常规 10 2 3 2 10" xfId="10988"/>
    <cellStyle name="常规 10 2 3 2 2" xfId="10734"/>
    <cellStyle name="常规 10 2 3 2 2 2" xfId="10990"/>
    <cellStyle name="常规 10 2 3 2 2 2 2" xfId="10992"/>
    <cellStyle name="常规 10 2 3 2 2 2 2 2" xfId="10993"/>
    <cellStyle name="常规 10 2 3 2 2 2 2 2 2" xfId="10994"/>
    <cellStyle name="常规 10 2 3 2 2 2 2 2 2 2" xfId="10995"/>
    <cellStyle name="常规 10 2 3 2 2 2 2 2 3" xfId="10996"/>
    <cellStyle name="常规 10 2 3 2 2 2 2 3" xfId="10997"/>
    <cellStyle name="常规 10 2 3 2 2 2 2 3 2" xfId="10998"/>
    <cellStyle name="常规 10 2 3 2 2 2 2 4" xfId="10999"/>
    <cellStyle name="常规 10 2 3 2 2 2 3" xfId="1211"/>
    <cellStyle name="常规 10 2 3 2 2 2 3 2" xfId="3267"/>
    <cellStyle name="常规 10 2 3 2 2 2 3 2 2" xfId="3269"/>
    <cellStyle name="常规 10 2 3 2 2 2 3 3" xfId="3271"/>
    <cellStyle name="常规 10 2 3 2 2 2 4" xfId="3273"/>
    <cellStyle name="常规 10 2 3 2 2 2 4 2" xfId="3275"/>
    <cellStyle name="常规 10 2 3 2 2 2 4 2 2" xfId="11000"/>
    <cellStyle name="常规 10 2 3 2 2 2 4 3" xfId="11001"/>
    <cellStyle name="常规 10 2 3 2 2 2 5" xfId="3277"/>
    <cellStyle name="常规 10 2 3 2 2 2 5 2" xfId="11002"/>
    <cellStyle name="常规 10 2 3 2 2 2 6" xfId="11003"/>
    <cellStyle name="常规 10 2 3 2 2 2 7" xfId="11005"/>
    <cellStyle name="常规 10 2 3 2 2 3" xfId="11007"/>
    <cellStyle name="常规 10 2 3 2 2 3 2" xfId="391"/>
    <cellStyle name="常规 10 2 3 2 2 3 2 2" xfId="5850"/>
    <cellStyle name="常规 10 2 3 2 2 3 2 2 2" xfId="11008"/>
    <cellStyle name="常规 10 2 3 2 2 3 2 3" xfId="11010"/>
    <cellStyle name="常规 10 2 3 2 2 3 3" xfId="3280"/>
    <cellStyle name="常规 10 2 3 2 2 3 3 2" xfId="3284"/>
    <cellStyle name="常规 10 2 3 2 2 3 4" xfId="3287"/>
    <cellStyle name="常规 10 2 3 2 2 4" xfId="11012"/>
    <cellStyle name="常规 10 2 3 2 2 4 2" xfId="11014"/>
    <cellStyle name="常规 10 2 3 2 2 4 2 2" xfId="11016"/>
    <cellStyle name="常规 10 2 3 2 2 4 3" xfId="3292"/>
    <cellStyle name="常规 10 2 3 2 2 5" xfId="11019"/>
    <cellStyle name="常规 10 2 3 2 2 5 2" xfId="11022"/>
    <cellStyle name="常规 10 2 3 2 2 5 2 2" xfId="11025"/>
    <cellStyle name="常规 10 2 3 2 2 5 3" xfId="2624"/>
    <cellStyle name="常规 10 2 3 2 2 6" xfId="11030"/>
    <cellStyle name="常规 10 2 3 2 2 6 2" xfId="11033"/>
    <cellStyle name="常规 10 2 3 2 2 7" xfId="11037"/>
    <cellStyle name="常规 10 2 3 2 2 7 2" xfId="11040"/>
    <cellStyle name="常规 10 2 3 2 2 8" xfId="11042"/>
    <cellStyle name="常规 10 2 3 2 3" xfId="11046"/>
    <cellStyle name="常规 10 2 3 2 3 2" xfId="11048"/>
    <cellStyle name="常规 10 2 3 2 3 2 2" xfId="11050"/>
    <cellStyle name="常规 10 2 3 2 3 2 2 2" xfId="11052"/>
    <cellStyle name="常规 10 2 3 2 3 2 2 2 2" xfId="11053"/>
    <cellStyle name="常规 10 2 3 2 3 2 2 2 2 2" xfId="11056"/>
    <cellStyle name="常规 10 2 3 2 3 2 2 2 2 2 2" xfId="11057"/>
    <cellStyle name="常规 10 2 3 2 3 2 2 2 2 3" xfId="11058"/>
    <cellStyle name="常规 10 2 3 2 3 2 2 2 3" xfId="11059"/>
    <cellStyle name="常规 10 2 3 2 3 2 2 2 3 2" xfId="11063"/>
    <cellStyle name="常规 10 2 3 2 3 2 2 2 4" xfId="7890"/>
    <cellStyle name="常规 10 2 3 2 3 2 2 3" xfId="11065"/>
    <cellStyle name="常规 10 2 3 2 3 2 2 3 2" xfId="11066"/>
    <cellStyle name="常规 10 2 3 2 3 2 2 3 2 2" xfId="11068"/>
    <cellStyle name="常规 10 2 3 2 3 2 2 3 3" xfId="11069"/>
    <cellStyle name="常规 10 2 3 2 3 2 2 4" xfId="11071"/>
    <cellStyle name="常规 10 2 3 2 3 2 2 4 2" xfId="11072"/>
    <cellStyle name="常规 10 2 3 2 3 2 2 4 2 2" xfId="11073"/>
    <cellStyle name="常规 10 2 3 2 3 2 2 4 3" xfId="11074"/>
    <cellStyle name="常规 10 2 3 2 3 2 2 5" xfId="11076"/>
    <cellStyle name="常规 10 2 3 2 3 2 2 5 2" xfId="11077"/>
    <cellStyle name="常规 10 2 3 2 3 2 2 6" xfId="11078"/>
    <cellStyle name="常规 10 2 3 2 3 2 2 7" xfId="11079"/>
    <cellStyle name="常规 10 2 3 2 3 2 3" xfId="3322"/>
    <cellStyle name="常规 10 2 3 2 3 2 3 2" xfId="3329"/>
    <cellStyle name="常规 10 2 3 2 3 2 3 2 2" xfId="11082"/>
    <cellStyle name="常规 10 2 3 2 3 2 3 2 2 2" xfId="11083"/>
    <cellStyle name="常规 10 2 3 2 3 2 3 2 3" xfId="11084"/>
    <cellStyle name="常规 10 2 3 2 3 2 3 3" xfId="11086"/>
    <cellStyle name="常规 10 2 3 2 3 2 3 3 2" xfId="11087"/>
    <cellStyle name="常规 10 2 3 2 3 2 3 4" xfId="11090"/>
    <cellStyle name="常规 10 2 3 2 3 2 4" xfId="3333"/>
    <cellStyle name="常规 10 2 3 2 3 2 4 2" xfId="11091"/>
    <cellStyle name="常规 10 2 3 2 3 2 4 2 2" xfId="11092"/>
    <cellStyle name="常规 10 2 3 2 3 2 4 3" xfId="11093"/>
    <cellStyle name="常规 10 2 3 2 3 2 5" xfId="11094"/>
    <cellStyle name="常规 10 2 3 2 3 2 5 2" xfId="5588"/>
    <cellStyle name="常规 10 2 3 2 3 2 5 2 2" xfId="4787"/>
    <cellStyle name="常规 10 2 3 2 3 2 5 3" xfId="11095"/>
    <cellStyle name="常规 10 2 3 2 3 2 6" xfId="11096"/>
    <cellStyle name="常规 10 2 3 2 3 2 6 2" xfId="192"/>
    <cellStyle name="常规 10 2 3 2 3 2 7" xfId="11099"/>
    <cellStyle name="常规 10 2 3 2 3 2 7 2" xfId="11101"/>
    <cellStyle name="常规 10 2 3 2 3 2 8" xfId="11105"/>
    <cellStyle name="常规 10 2 3 2 3 3" xfId="11108"/>
    <cellStyle name="常规 10 2 3 2 3 3 2" xfId="11110"/>
    <cellStyle name="常规 10 2 3 2 3 3 2 2" xfId="11111"/>
    <cellStyle name="常规 10 2 3 2 3 3 2 2 2" xfId="11113"/>
    <cellStyle name="常规 10 2 3 2 3 3 2 2 2 2" xfId="11117"/>
    <cellStyle name="常规 10 2 3 2 3 3 2 2 3" xfId="11120"/>
    <cellStyle name="常规 10 2 3 2 3 3 2 3" xfId="11124"/>
    <cellStyle name="常规 10 2 3 2 3 3 2 3 2" xfId="11126"/>
    <cellStyle name="常规 10 2 3 2 3 3 2 4" xfId="11129"/>
    <cellStyle name="常规 10 2 3 2 3 3 3" xfId="3341"/>
    <cellStyle name="常规 10 2 3 2 3 3 3 2" xfId="11132"/>
    <cellStyle name="常规 10 2 3 2 3 3 3 2 2" xfId="11134"/>
    <cellStyle name="常规 10 2 3 2 3 3 3 3" xfId="11137"/>
    <cellStyle name="常规 10 2 3 2 3 3 4" xfId="11139"/>
    <cellStyle name="常规 10 2 3 2 3 3 4 2" xfId="5673"/>
    <cellStyle name="常规 10 2 3 2 3 3 4 2 2" xfId="11140"/>
    <cellStyle name="常规 10 2 3 2 3 3 4 3" xfId="11141"/>
    <cellStyle name="常规 10 2 3 2 3 3 5" xfId="11142"/>
    <cellStyle name="常规 10 2 3 2 3 3 5 2" xfId="11144"/>
    <cellStyle name="常规 10 2 3 2 3 3 6" xfId="5691"/>
    <cellStyle name="常规 10 2 3 2 3 3 7" xfId="11147"/>
    <cellStyle name="常规 10 2 3 2 3 4" xfId="11150"/>
    <cellStyle name="常规 10 2 3 2 3 4 2" xfId="11153"/>
    <cellStyle name="常规 10 2 3 2 3 4 2 2" xfId="11155"/>
    <cellStyle name="常规 10 2 3 2 3 4 2 2 2" xfId="11159"/>
    <cellStyle name="常规 10 2 3 2 3 4 2 3" xfId="11160"/>
    <cellStyle name="常规 10 2 3 2 3 4 3" xfId="11163"/>
    <cellStyle name="常规 10 2 3 2 3 4 3 2" xfId="11165"/>
    <cellStyle name="常规 10 2 3 2 3 4 4" xfId="11167"/>
    <cellStyle name="常规 10 2 3 2 3 5" xfId="11169"/>
    <cellStyle name="常规 10 2 3 2 3 5 2" xfId="11172"/>
    <cellStyle name="常规 10 2 3 2 3 5 2 2" xfId="11175"/>
    <cellStyle name="常规 10 2 3 2 3 5 3" xfId="11177"/>
    <cellStyle name="常规 10 2 3 2 3 6" xfId="11178"/>
    <cellStyle name="常规 10 2 3 2 3 6 2" xfId="11181"/>
    <cellStyle name="常规 10 2 3 2 3 6 2 2" xfId="11182"/>
    <cellStyle name="常规 10 2 3 2 3 6 3" xfId="11185"/>
    <cellStyle name="常规 10 2 3 2 3 7" xfId="11186"/>
    <cellStyle name="常规 10 2 3 2 3 7 2" xfId="11189"/>
    <cellStyle name="常规 10 2 3 2 3 8" xfId="11191"/>
    <cellStyle name="常规 10 2 3 2 3 8 2" xfId="11193"/>
    <cellStyle name="常规 10 2 3 2 3 9" xfId="11195"/>
    <cellStyle name="常规 10 2 3 2 4" xfId="11196"/>
    <cellStyle name="常规 10 2 3 2 4 2" xfId="11199"/>
    <cellStyle name="常规 10 2 3 2 4 2 2" xfId="11202"/>
    <cellStyle name="常规 10 2 3 2 4 2 2 2" xfId="11203"/>
    <cellStyle name="常规 10 2 3 2 4 2 2 2 2" xfId="11205"/>
    <cellStyle name="常规 10 2 3 2 4 2 2 3" xfId="11208"/>
    <cellStyle name="常规 10 2 3 2 4 2 3" xfId="11210"/>
    <cellStyle name="常规 10 2 3 2 4 2 3 2" xfId="11211"/>
    <cellStyle name="常规 10 2 3 2 4 2 4" xfId="11212"/>
    <cellStyle name="常规 10 2 3 2 4 3" xfId="11213"/>
    <cellStyle name="常规 10 2 3 2 4 3 2" xfId="11214"/>
    <cellStyle name="常规 10 2 3 2 4 3 2 2" xfId="11215"/>
    <cellStyle name="常规 10 2 3 2 4 3 3" xfId="11217"/>
    <cellStyle name="常规 10 2 3 2 4 4" xfId="11218"/>
    <cellStyle name="常规 10 2 3 2 4 4 2" xfId="11220"/>
    <cellStyle name="常规 10 2 3 2 4 4 2 2" xfId="11223"/>
    <cellStyle name="常规 10 2 3 2 4 4 3" xfId="11225"/>
    <cellStyle name="常规 10 2 3 2 4 5" xfId="11226"/>
    <cellStyle name="常规 10 2 3 2 4 5 2" xfId="11230"/>
    <cellStyle name="常规 10 2 3 2 4 6" xfId="11233"/>
    <cellStyle name="常规 10 2 3 2 4 7" xfId="11237"/>
    <cellStyle name="常规 10 2 3 2 5" xfId="11241"/>
    <cellStyle name="常规 10 2 3 2 5 2" xfId="11245"/>
    <cellStyle name="常规 10 2 3 2 5 2 2" xfId="11246"/>
    <cellStyle name="常规 10 2 3 2 5 2 2 2" xfId="4374"/>
    <cellStyle name="常规 10 2 3 2 5 2 3" xfId="11248"/>
    <cellStyle name="常规 10 2 3 2 5 3" xfId="11252"/>
    <cellStyle name="常规 10 2 3 2 5 3 2" xfId="11253"/>
    <cellStyle name="常规 10 2 3 2 5 4" xfId="11254"/>
    <cellStyle name="常规 10 2 3 2 6" xfId="11256"/>
    <cellStyle name="常规 10 2 3 2 6 2" xfId="11259"/>
    <cellStyle name="常规 10 2 3 2 6 2 2" xfId="11260"/>
    <cellStyle name="常规 10 2 3 2 6 3" xfId="11261"/>
    <cellStyle name="常规 10 2 3 2 7" xfId="11262"/>
    <cellStyle name="常规 10 2 3 2 7 2" xfId="11264"/>
    <cellStyle name="常规 10 2 3 2 7 2 2" xfId="11265"/>
    <cellStyle name="常规 10 2 3 2 7 3" xfId="11266"/>
    <cellStyle name="常规 10 2 3 2 8" xfId="11267"/>
    <cellStyle name="常规 10 2 3 2 8 2" xfId="11270"/>
    <cellStyle name="常规 10 2 3 2 9" xfId="4248"/>
    <cellStyle name="常规 10 2 3 2 9 2" xfId="4253"/>
    <cellStyle name="常规 10 2 3 3" xfId="11272"/>
    <cellStyle name="常规 10 2 3 3 2" xfId="11274"/>
    <cellStyle name="常规 10 2 3 3 2 2" xfId="11277"/>
    <cellStyle name="常规 10 2 3 3 2 2 2" xfId="11279"/>
    <cellStyle name="常规 10 2 3 3 2 2 2 2" xfId="11280"/>
    <cellStyle name="常规 10 2 3 3 2 2 2 2 2" xfId="11281"/>
    <cellStyle name="常规 10 2 3 3 2 2 2 3" xfId="11282"/>
    <cellStyle name="常规 10 2 3 3 2 2 3" xfId="11283"/>
    <cellStyle name="常规 10 2 3 3 2 2 3 2" xfId="9778"/>
    <cellStyle name="常规 10 2 3 3 2 2 4" xfId="11285"/>
    <cellStyle name="常规 10 2 3 3 2 3" xfId="11287"/>
    <cellStyle name="常规 10 2 3 3 2 3 2" xfId="11289"/>
    <cellStyle name="常规 10 2 3 3 2 3 2 2" xfId="11290"/>
    <cellStyle name="常规 10 2 3 3 2 3 3" xfId="11292"/>
    <cellStyle name="常规 10 2 3 3 2 4" xfId="11294"/>
    <cellStyle name="常规 10 2 3 3 2 4 2" xfId="11296"/>
    <cellStyle name="常规 10 2 3 3 2 4 2 2" xfId="11298"/>
    <cellStyle name="常规 10 2 3 3 2 4 3" xfId="11300"/>
    <cellStyle name="常规 10 2 3 3 2 5" xfId="11303"/>
    <cellStyle name="常规 10 2 3 3 2 5 2" xfId="11306"/>
    <cellStyle name="常规 10 2 3 3 2 6" xfId="11309"/>
    <cellStyle name="常规 10 2 3 3 2 7" xfId="11312"/>
    <cellStyle name="常规 10 2 3 3 3" xfId="11316"/>
    <cellStyle name="常规 10 2 3 3 3 2" xfId="11319"/>
    <cellStyle name="常规 10 2 3 3 3 2 2" xfId="7826"/>
    <cellStyle name="常规 10 2 3 3 3 2 2 2" xfId="11321"/>
    <cellStyle name="常规 10 2 3 3 3 2 3" xfId="7828"/>
    <cellStyle name="常规 10 2 3 3 3 3" xfId="11322"/>
    <cellStyle name="常规 10 2 3 3 3 3 2" xfId="11323"/>
    <cellStyle name="常规 10 2 3 3 3 4" xfId="11324"/>
    <cellStyle name="常规 10 2 3 3 4" xfId="11326"/>
    <cellStyle name="常规 10 2 3 3 4 2" xfId="11329"/>
    <cellStyle name="常规 10 2 3 3 4 2 2" xfId="11330"/>
    <cellStyle name="常规 10 2 3 3 4 3" xfId="11331"/>
    <cellStyle name="常规 10 2 3 3 5" xfId="11332"/>
    <cellStyle name="常规 10 2 3 3 5 2" xfId="1798"/>
    <cellStyle name="常规 10 2 3 3 5 2 2" xfId="1800"/>
    <cellStyle name="常规 10 2 3 3 5 3" xfId="630"/>
    <cellStyle name="常规 10 2 3 3 6" xfId="11334"/>
    <cellStyle name="常规 10 2 3 3 6 2" xfId="1828"/>
    <cellStyle name="常规 10 2 3 3 7" xfId="11336"/>
    <cellStyle name="常规 10 2 3 3 7 2" xfId="1848"/>
    <cellStyle name="常规 10 2 3 3 8" xfId="11337"/>
    <cellStyle name="常规 10 2 3 4" xfId="11339"/>
    <cellStyle name="常规 10 2 3 4 2" xfId="11341"/>
    <cellStyle name="常规 10 2 3 4 2 2" xfId="11342"/>
    <cellStyle name="常规 10 2 3 4 2 2 2" xfId="11343"/>
    <cellStyle name="常规 10 2 3 4 2 2 2 2" xfId="11344"/>
    <cellStyle name="常规 10 2 3 4 2 2 2 2 2" xfId="11345"/>
    <cellStyle name="常规 10 2 3 4 2 2 2 2 2 2" xfId="5166"/>
    <cellStyle name="常规 10 2 3 4 2 2 2 2 3" xfId="11346"/>
    <cellStyle name="常规 10 2 3 4 2 2 2 3" xfId="11347"/>
    <cellStyle name="常规 10 2 3 4 2 2 2 3 2" xfId="11348"/>
    <cellStyle name="常规 10 2 3 4 2 2 2 4" xfId="11349"/>
    <cellStyle name="常规 10 2 3 4 2 2 3" xfId="2110"/>
    <cellStyle name="常规 10 2 3 4 2 2 3 2" xfId="2118"/>
    <cellStyle name="常规 10 2 3 4 2 2 3 2 2" xfId="2122"/>
    <cellStyle name="常规 10 2 3 4 2 2 3 3" xfId="2143"/>
    <cellStyle name="常规 10 2 3 4 2 2 4" xfId="2184"/>
    <cellStyle name="常规 10 2 3 4 2 2 4 2" xfId="2188"/>
    <cellStyle name="常规 10 2 3 4 2 2 4 2 2" xfId="2192"/>
    <cellStyle name="常规 10 2 3 4 2 2 4 3" xfId="2200"/>
    <cellStyle name="常规 10 2 3 4 2 2 5" xfId="2206"/>
    <cellStyle name="常规 10 2 3 4 2 2 5 2" xfId="2208"/>
    <cellStyle name="常规 10 2 3 4 2 2 6" xfId="2213"/>
    <cellStyle name="常规 10 2 3 4 2 2 7" xfId="2224"/>
    <cellStyle name="常规 10 2 3 4 2 3" xfId="11351"/>
    <cellStyle name="常规 10 2 3 4 2 3 2" xfId="11352"/>
    <cellStyle name="常规 10 2 3 4 2 3 2 2" xfId="11353"/>
    <cellStyle name="常规 10 2 3 4 2 3 2 2 2" xfId="11354"/>
    <cellStyle name="常规 10 2 3 4 2 3 2 3" xfId="11355"/>
    <cellStyle name="常规 10 2 3 4 2 3 3" xfId="2243"/>
    <cellStyle name="常规 10 2 3 4 2 3 3 2" xfId="2248"/>
    <cellStyle name="常规 10 2 3 4 2 3 4" xfId="2377"/>
    <cellStyle name="常规 10 2 3 4 2 4" xfId="11356"/>
    <cellStyle name="常规 10 2 3 4 2 4 2" xfId="11358"/>
    <cellStyle name="常规 10 2 3 4 2 4 2 2" xfId="11360"/>
    <cellStyle name="常规 10 2 3 4 2 4 3" xfId="2470"/>
    <cellStyle name="常规 10 2 3 4 2 5" xfId="11361"/>
    <cellStyle name="常规 10 2 3 4 2 5 2" xfId="11363"/>
    <cellStyle name="常规 10 2 3 4 2 5 2 2" xfId="11364"/>
    <cellStyle name="常规 10 2 3 4 2 5 3" xfId="2552"/>
    <cellStyle name="常规 10 2 3 4 2 6" xfId="4673"/>
    <cellStyle name="常规 10 2 3 4 2 6 2" xfId="4678"/>
    <cellStyle name="常规 10 2 3 4 2 7" xfId="4682"/>
    <cellStyle name="常规 10 2 3 4 2 7 2" xfId="11365"/>
    <cellStyle name="常规 10 2 3 4 2 8" xfId="11368"/>
    <cellStyle name="常规 10 2 3 4 3" xfId="11369"/>
    <cellStyle name="常规 10 2 3 4 3 2" xfId="11371"/>
    <cellStyle name="常规 10 2 3 4 3 2 2" xfId="11373"/>
    <cellStyle name="常规 10 2 3 4 3 2 2 2" xfId="11375"/>
    <cellStyle name="常规 10 2 3 4 3 2 2 2 2" xfId="11378"/>
    <cellStyle name="常规 10 2 3 4 3 2 2 3" xfId="11067"/>
    <cellStyle name="常规 10 2 3 4 3 2 3" xfId="11381"/>
    <cellStyle name="常规 10 2 3 4 3 2 3 2" xfId="11384"/>
    <cellStyle name="常规 10 2 3 4 3 2 4" xfId="11386"/>
    <cellStyle name="常规 10 2 3 4 3 3" xfId="11389"/>
    <cellStyle name="常规 10 2 3 4 3 3 2" xfId="11390"/>
    <cellStyle name="常规 10 2 3 4 3 3 2 2" xfId="11392"/>
    <cellStyle name="常规 10 2 3 4 3 3 3" xfId="11394"/>
    <cellStyle name="常规 10 2 3 4 3 4" xfId="11397"/>
    <cellStyle name="常规 10 2 3 4 3 4 2" xfId="11399"/>
    <cellStyle name="常规 10 2 3 4 3 4 2 2" xfId="11400"/>
    <cellStyle name="常规 10 2 3 4 3 4 3" xfId="11401"/>
    <cellStyle name="常规 10 2 3 4 3 5" xfId="11402"/>
    <cellStyle name="常规 10 2 3 4 3 5 2" xfId="11403"/>
    <cellStyle name="常规 10 2 3 4 3 6" xfId="4693"/>
    <cellStyle name="常规 10 2 3 4 3 7" xfId="11405"/>
    <cellStyle name="常规 10 2 3 4 4" xfId="11406"/>
    <cellStyle name="常规 10 2 3 4 4 2" xfId="11409"/>
    <cellStyle name="常规 10 2 3 4 4 2 2" xfId="11410"/>
    <cellStyle name="常规 10 2 3 4 4 2 2 2" xfId="11412"/>
    <cellStyle name="常规 10 2 3 4 4 2 3" xfId="11415"/>
    <cellStyle name="常规 10 2 3 4 4 3" xfId="11418"/>
    <cellStyle name="常规 10 2 3 4 4 3 2" xfId="11419"/>
    <cellStyle name="常规 10 2 3 4 4 4" xfId="11421"/>
    <cellStyle name="常规 10 2 3 4 5" xfId="11422"/>
    <cellStyle name="常规 10 2 3 4 5 2" xfId="106"/>
    <cellStyle name="常规 10 2 3 4 5 2 2" xfId="1893"/>
    <cellStyle name="常规 10 2 3 4 5 3" xfId="236"/>
    <cellStyle name="常规 10 2 3 4 6" xfId="11424"/>
    <cellStyle name="常规 10 2 3 4 6 2" xfId="1904"/>
    <cellStyle name="常规 10 2 3 4 6 2 2" xfId="11425"/>
    <cellStyle name="常规 10 2 3 4 6 3" xfId="11426"/>
    <cellStyle name="常规 10 2 3 4 7" xfId="11427"/>
    <cellStyle name="常规 10 2 3 4 7 2" xfId="1909"/>
    <cellStyle name="常规 10 2 3 4 8" xfId="11428"/>
    <cellStyle name="常规 10 2 3 4 8 2" xfId="11430"/>
    <cellStyle name="常规 10 2 3 4 9" xfId="11434"/>
    <cellStyle name="常规 10 2 3 5" xfId="11437"/>
    <cellStyle name="常规 10 2 3 5 2" xfId="11439"/>
    <cellStyle name="常规 10 2 3 5 2 2" xfId="11440"/>
    <cellStyle name="常规 10 2 3 5 2 2 2" xfId="11442"/>
    <cellStyle name="常规 10 2 3 5 2 2 2 2" xfId="11445"/>
    <cellStyle name="常规 10 2 3 5 2 2 2 2 2" xfId="11447"/>
    <cellStyle name="常规 10 2 3 5 2 2 2 3" xfId="11449"/>
    <cellStyle name="常规 10 2 3 5 2 2 3" xfId="3074"/>
    <cellStyle name="常规 10 2 3 5 2 2 3 2" xfId="3079"/>
    <cellStyle name="常规 10 2 3 5 2 2 4" xfId="3111"/>
    <cellStyle name="常规 10 2 3 5 2 3" xfId="11452"/>
    <cellStyle name="常规 10 2 3 5 2 3 2" xfId="11453"/>
    <cellStyle name="常规 10 2 3 5 2 3 2 2" xfId="4343"/>
    <cellStyle name="常规 10 2 3 5 2 3 3" xfId="3134"/>
    <cellStyle name="常规 10 2 3 5 2 4" xfId="11455"/>
    <cellStyle name="常规 10 2 3 5 2 4 2" xfId="11456"/>
    <cellStyle name="常规 10 2 3 5 2 5" xfId="11457"/>
    <cellStyle name="常规 10 2 3 5 3" xfId="11458"/>
    <cellStyle name="常规 10 2 3 5 3 2" xfId="10870"/>
    <cellStyle name="常规 10 2 3 5 3 2 2" xfId="10873"/>
    <cellStyle name="常规 10 2 3 5 3 3" xfId="11460"/>
    <cellStyle name="常规 10 2 3 5 4" xfId="11461"/>
    <cellStyle name="常规 10 2 3 5 4 2" xfId="11464"/>
    <cellStyle name="常规 10 2 3 5 4 2 2" xfId="11467"/>
    <cellStyle name="常规 10 2 3 5 4 3" xfId="11469"/>
    <cellStyle name="常规 10 2 3 5 5" xfId="11471"/>
    <cellStyle name="常规 10 2 3 6" xfId="11472"/>
    <cellStyle name="常规 10 2 3 6 2" xfId="11473"/>
    <cellStyle name="常规 10 2 3 6 2 2" xfId="11475"/>
    <cellStyle name="常规 10 2 3 6 2 2 2" xfId="11476"/>
    <cellStyle name="常规 10 2 3 6 2 2 2 2" xfId="11480"/>
    <cellStyle name="常规 10 2 3 6 2 2 2 2 2" xfId="11482"/>
    <cellStyle name="常规 10 2 3 6 2 2 2 3" xfId="11485"/>
    <cellStyle name="常规 10 2 3 6 2 2 3" xfId="3893"/>
    <cellStyle name="常规 10 2 3 6 2 2 3 2" xfId="3897"/>
    <cellStyle name="常规 10 2 3 6 2 2 4" xfId="3928"/>
    <cellStyle name="常规 10 2 3 6 2 3" xfId="11489"/>
    <cellStyle name="常规 10 2 3 6 2 3 2" xfId="11491"/>
    <cellStyle name="常规 10 2 3 6 2 3 2 2" xfId="11494"/>
    <cellStyle name="常规 10 2 3 6 2 3 3" xfId="3963"/>
    <cellStyle name="常规 10 2 3 6 2 4" xfId="11498"/>
    <cellStyle name="常规 10 2 3 6 2 4 2" xfId="11500"/>
    <cellStyle name="常规 10 2 3 6 2 4 2 2" xfId="11502"/>
    <cellStyle name="常规 10 2 3 6 2 4 3" xfId="4222"/>
    <cellStyle name="常规 10 2 3 6 2 5" xfId="11507"/>
    <cellStyle name="常规 10 2 3 6 2 6" xfId="11509"/>
    <cellStyle name="常规 10 2 3 6 3" xfId="11510"/>
    <cellStyle name="常规 10 2 3 6 3 2" xfId="11512"/>
    <cellStyle name="常规 10 2 3 6 3 2 2" xfId="11514"/>
    <cellStyle name="常规 10 2 3 6 3 2 2 2" xfId="11517"/>
    <cellStyle name="常规 10 2 3 6 3 2 2 2 2" xfId="11521"/>
    <cellStyle name="常规 10 2 3 6 3 2 2 3" xfId="11524"/>
    <cellStyle name="常规 10 2 3 6 3 2 3" xfId="11527"/>
    <cellStyle name="常规 10 2 3 6 3 2 3 2" xfId="11529"/>
    <cellStyle name="常规 10 2 3 6 3 2 4" xfId="11532"/>
    <cellStyle name="常规 10 2 3 6 3 3" xfId="11535"/>
    <cellStyle name="常规 10 2 3 6 3 3 2" xfId="11537"/>
    <cellStyle name="常规 10 2 3 6 3 3 2 2" xfId="11540"/>
    <cellStyle name="常规 10 2 3 6 3 3 3" xfId="11543"/>
    <cellStyle name="常规 10 2 3 6 3 4" xfId="11546"/>
    <cellStyle name="常规 10 2 3 6 3 4 2" xfId="11548"/>
    <cellStyle name="常规 10 2 3 6 3 5" xfId="11551"/>
    <cellStyle name="常规 10 2 3 6 4" xfId="11552"/>
    <cellStyle name="常规 10 2 3 6 4 2" xfId="11553"/>
    <cellStyle name="常规 10 2 3 6 4 2 2" xfId="11555"/>
    <cellStyle name="常规 10 2 3 6 4 3" xfId="11558"/>
    <cellStyle name="常规 10 2 3 6 5" xfId="11560"/>
    <cellStyle name="常规 10 2 3 6 5 2" xfId="11561"/>
    <cellStyle name="常规 10 2 3 6 5 2 2" xfId="11564"/>
    <cellStyle name="常规 10 2 3 6 5 3" xfId="11566"/>
    <cellStyle name="常规 10 2 3 6 6" xfId="11568"/>
    <cellStyle name="常规 10 2 3 7" xfId="11570"/>
    <cellStyle name="常规 10 2 3 7 2" xfId="11571"/>
    <cellStyle name="常规 10 2 3 7 2 2" xfId="11572"/>
    <cellStyle name="常规 10 2 3 7 2 2 2" xfId="11573"/>
    <cellStyle name="常规 10 2 3 7 2 3" xfId="11575"/>
    <cellStyle name="常规 10 2 3 7 3" xfId="11579"/>
    <cellStyle name="常规 10 2 3 7 3 2" xfId="11580"/>
    <cellStyle name="常规 10 2 3 7 3 2 2" xfId="11581"/>
    <cellStyle name="常规 10 2 3 7 3 3" xfId="11584"/>
    <cellStyle name="常规 10 2 3 7 4" xfId="11587"/>
    <cellStyle name="常规 10 2 3 7 4 2" xfId="11588"/>
    <cellStyle name="常规 10 2 3 7 5" xfId="11589"/>
    <cellStyle name="常规 10 2 3 7 6" xfId="11590"/>
    <cellStyle name="常规 10 2 3 8" xfId="11592"/>
    <cellStyle name="常规 10 2 3 8 2" xfId="11593"/>
    <cellStyle name="常规 10 2 3 8 2 2" xfId="11595"/>
    <cellStyle name="常规 10 2 3 8 3" xfId="11597"/>
    <cellStyle name="常规 10 2 3 9" xfId="11598"/>
    <cellStyle name="常规 10 2 3 9 2" xfId="11599"/>
    <cellStyle name="常规 10 2 3 9 2 2" xfId="11600"/>
    <cellStyle name="常规 10 2 3 9 3" xfId="11604"/>
    <cellStyle name="常规 10 2 4" xfId="11605"/>
    <cellStyle name="常规 10 2 4 2" xfId="11606"/>
    <cellStyle name="常规 10 2 4 2 2" xfId="10256"/>
    <cellStyle name="常规 10 2 4 2 2 2" xfId="11608"/>
    <cellStyle name="常规 10 2 4 2 2 2 2" xfId="11609"/>
    <cellStyle name="常规 10 2 4 2 2 2 2 2" xfId="11610"/>
    <cellStyle name="常规 10 2 4 2 2 2 2 2 2" xfId="11611"/>
    <cellStyle name="常规 10 2 4 2 2 2 2 3" xfId="11612"/>
    <cellStyle name="常规 10 2 4 2 2 2 3" xfId="4172"/>
    <cellStyle name="常规 10 2 4 2 2 2 3 2" xfId="4176"/>
    <cellStyle name="常规 10 2 4 2 2 2 4" xfId="4187"/>
    <cellStyle name="常规 10 2 4 2 2 3" xfId="11613"/>
    <cellStyle name="常规 10 2 4 2 2 3 2" xfId="11614"/>
    <cellStyle name="常规 10 2 4 2 2 3 2 2" xfId="11615"/>
    <cellStyle name="常规 10 2 4 2 2 3 3" xfId="4201"/>
    <cellStyle name="常规 10 2 4 2 2 4" xfId="11617"/>
    <cellStyle name="常规 10 2 4 2 2 4 2" xfId="11620"/>
    <cellStyle name="常规 10 2 4 2 2 4 2 2" xfId="11622"/>
    <cellStyle name="常规 10 2 4 2 2 4 3" xfId="4211"/>
    <cellStyle name="常规 10 2 4 2 2 5" xfId="11624"/>
    <cellStyle name="常规 10 2 4 2 2 5 2" xfId="11626"/>
    <cellStyle name="常规 10 2 4 2 2 6" xfId="11628"/>
    <cellStyle name="常规 10 2 4 2 2 7" xfId="11630"/>
    <cellStyle name="常规 10 2 4 2 3" xfId="10259"/>
    <cellStyle name="常规 10 2 4 2 3 2" xfId="11633"/>
    <cellStyle name="常规 10 2 4 2 3 2 2" xfId="11268"/>
    <cellStyle name="常规 10 2 4 2 3 2 2 2" xfId="11271"/>
    <cellStyle name="常规 10 2 4 2 3 2 3" xfId="4249"/>
    <cellStyle name="常规 10 2 4 2 3 3" xfId="11635"/>
    <cellStyle name="常规 10 2 4 2 3 3 2" xfId="11338"/>
    <cellStyle name="常规 10 2 4 2 3 4" xfId="11637"/>
    <cellStyle name="常规 10 2 4 2 4" xfId="11640"/>
    <cellStyle name="常规 10 2 4 2 4 2" xfId="11642"/>
    <cellStyle name="常规 10 2 4 2 4 2 2" xfId="11644"/>
    <cellStyle name="常规 10 2 4 2 4 3" xfId="11646"/>
    <cellStyle name="常规 10 2 4 2 5" xfId="11648"/>
    <cellStyle name="常规 10 2 4 2 5 2" xfId="11652"/>
    <cellStyle name="常规 10 2 4 2 5 2 2" xfId="11653"/>
    <cellStyle name="常规 10 2 4 2 5 3" xfId="11655"/>
    <cellStyle name="常规 10 2 4 2 6" xfId="11657"/>
    <cellStyle name="常规 10 2 4 2 6 2" xfId="11659"/>
    <cellStyle name="常规 10 2 4 2 7" xfId="11660"/>
    <cellStyle name="常规 10 2 4 2 7 2" xfId="11662"/>
    <cellStyle name="常规 10 2 4 2 8" xfId="11645"/>
    <cellStyle name="常规 10 2 4 3" xfId="11663"/>
    <cellStyle name="常规 10 2 4 3 2" xfId="11664"/>
    <cellStyle name="常规 10 2 4 3 2 2" xfId="11665"/>
    <cellStyle name="常规 10 2 4 3 2 2 2" xfId="11666"/>
    <cellStyle name="常规 10 2 4 3 2 2 2 2" xfId="11668"/>
    <cellStyle name="常规 10 2 4 3 2 2 3" xfId="11669"/>
    <cellStyle name="常规 10 2 4 3 2 3" xfId="11671"/>
    <cellStyle name="常规 10 2 4 3 2 3 2" xfId="11672"/>
    <cellStyle name="常规 10 2 4 3 2 4" xfId="11675"/>
    <cellStyle name="常规 10 2 4 3 3" xfId="11677"/>
    <cellStyle name="常规 10 2 4 3 3 2" xfId="11679"/>
    <cellStyle name="常规 10 2 4 3 3 2 2" xfId="8602"/>
    <cellStyle name="常规 10 2 4 3 3 3" xfId="11681"/>
    <cellStyle name="常规 10 2 4 3 4" xfId="11682"/>
    <cellStyle name="常规 10 2 4 3 4 2" xfId="11684"/>
    <cellStyle name="常规 10 2 4 3 4 2 2" xfId="11685"/>
    <cellStyle name="常规 10 2 4 3 4 3" xfId="11687"/>
    <cellStyle name="常规 10 2 4 3 5" xfId="11689"/>
    <cellStyle name="常规 10 2 4 3 5 2" xfId="1981"/>
    <cellStyle name="常规 10 2 4 3 6" xfId="11691"/>
    <cellStyle name="常规 10 2 4 3 7" xfId="11692"/>
    <cellStyle name="常规 10 2 4 4" xfId="11693"/>
    <cellStyle name="常规 10 2 4 4 2" xfId="2739"/>
    <cellStyle name="常规 10 2 4 4 2 2" xfId="2744"/>
    <cellStyle name="常规 10 2 4 4 2 2 2" xfId="2746"/>
    <cellStyle name="常规 10 2 4 4 2 3" xfId="2750"/>
    <cellStyle name="常规 10 2 4 4 3" xfId="2753"/>
    <cellStyle name="常规 10 2 4 4 3 2" xfId="2756"/>
    <cellStyle name="常规 10 2 4 4 4" xfId="2762"/>
    <cellStyle name="常规 10 2 4 5" xfId="11695"/>
    <cellStyle name="常规 10 2 4 5 2" xfId="2905"/>
    <cellStyle name="常规 10 2 4 5 2 2" xfId="2907"/>
    <cellStyle name="常规 10 2 4 5 3" xfId="2929"/>
    <cellStyle name="常规 10 2 4 6" xfId="11697"/>
    <cellStyle name="常规 10 2 4 6 2" xfId="1192"/>
    <cellStyle name="常规 10 2 4 6 2 2" xfId="2982"/>
    <cellStyle name="常规 10 2 4 6 3" xfId="2995"/>
    <cellStyle name="常规 10 2 4 7" xfId="11699"/>
    <cellStyle name="常规 10 2 4 7 2" xfId="3032"/>
    <cellStyle name="常规 10 2 4 8" xfId="11700"/>
    <cellStyle name="常规 10 2 4 8 2" xfId="11701"/>
    <cellStyle name="常规 10 2 4 9" xfId="11703"/>
    <cellStyle name="常规 10 2 5" xfId="11705"/>
    <cellStyle name="常规 10 2 5 2" xfId="11707"/>
    <cellStyle name="常规 10 2 5 2 2" xfId="11709"/>
    <cellStyle name="常规 10 2 5 2 2 2" xfId="11712"/>
    <cellStyle name="常规 10 2 5 2 3" xfId="11714"/>
    <cellStyle name="常规 10 2 5 3" xfId="11716"/>
    <cellStyle name="常规 10 2 5 3 2" xfId="11718"/>
    <cellStyle name="常规 10 2 5 3 2 2" xfId="11719"/>
    <cellStyle name="常规 10 2 5 3 3" xfId="11721"/>
    <cellStyle name="常规 10 2 5 4" xfId="11723"/>
    <cellStyle name="常规 10 2 5 4 2" xfId="3087"/>
    <cellStyle name="常规 10 2 5 5" xfId="11726"/>
    <cellStyle name="常规 10 2 5 6" xfId="11727"/>
    <cellStyle name="常规 10 2 6" xfId="11728"/>
    <cellStyle name="常规 10 2 6 2" xfId="11730"/>
    <cellStyle name="常规 10 2 6 2 2" xfId="11732"/>
    <cellStyle name="常规 10 2 6 3" xfId="11733"/>
    <cellStyle name="常规 10 2 7" xfId="11734"/>
    <cellStyle name="常规 10 2 7 2" xfId="11736"/>
    <cellStyle name="常规 10 2 7 2 2" xfId="11737"/>
    <cellStyle name="常规 10 2 7 3" xfId="11738"/>
    <cellStyle name="常规 10 2 8" xfId="11739"/>
    <cellStyle name="常规 10 2 8 2" xfId="11742"/>
    <cellStyle name="常规 10 2 9" xfId="11744"/>
    <cellStyle name="常规 10 2 9 2" xfId="11747"/>
    <cellStyle name="常规 10 3" xfId="11748"/>
    <cellStyle name="常规 10 3 2" xfId="11749"/>
    <cellStyle name="常规 10 3 2 2" xfId="11750"/>
    <cellStyle name="常规 10 3 2 2 2" xfId="11752"/>
    <cellStyle name="常规 10 3 2 2 2 2" xfId="2326"/>
    <cellStyle name="常规 10 3 2 2 2 2 2" xfId="11755"/>
    <cellStyle name="常规 10 3 2 2 2 3" xfId="11756"/>
    <cellStyle name="常规 10 3 2 2 3" xfId="8403"/>
    <cellStyle name="常规 10 3 2 2 3 2" xfId="8406"/>
    <cellStyle name="常规 10 3 2 2 4" xfId="8414"/>
    <cellStyle name="常规 10 3 2 3" xfId="11757"/>
    <cellStyle name="常规 10 3 2 3 2" xfId="11758"/>
    <cellStyle name="常规 10 3 2 3 2 2" xfId="11760"/>
    <cellStyle name="常规 10 3 2 3 3" xfId="8425"/>
    <cellStyle name="常规 10 3 2 4" xfId="11761"/>
    <cellStyle name="常规 10 3 2 4 2" xfId="9537"/>
    <cellStyle name="常规 10 3 2 4 2 2" xfId="9539"/>
    <cellStyle name="常规 10 3 2 4 3" xfId="8435"/>
    <cellStyle name="常规 10 3 2 5" xfId="11762"/>
    <cellStyle name="常规 10 3 2 5 2" xfId="9584"/>
    <cellStyle name="常规 10 3 2 6" xfId="11764"/>
    <cellStyle name="常规 10 3 2 7" xfId="11765"/>
    <cellStyle name="常规 10 3 3" xfId="11766"/>
    <cellStyle name="常规 10 3 3 2" xfId="11768"/>
    <cellStyle name="常规 10 3 3 2 2" xfId="11769"/>
    <cellStyle name="常规 10 3 3 2 2 2" xfId="11770"/>
    <cellStyle name="常规 10 3 3 2 3" xfId="8568"/>
    <cellStyle name="常规 10 3 3 3" xfId="11771"/>
    <cellStyle name="常规 10 3 3 3 2" xfId="11772"/>
    <cellStyle name="常规 10 3 3 4" xfId="11773"/>
    <cellStyle name="常规 10 3 4" xfId="11774"/>
    <cellStyle name="常规 10 3 4 2" xfId="11775"/>
    <cellStyle name="常规 10 3 4 2 2" xfId="11776"/>
    <cellStyle name="常规 10 3 4 3" xfId="11778"/>
    <cellStyle name="常规 10 3 5" xfId="11779"/>
    <cellStyle name="常规 10 3 5 2" xfId="11781"/>
    <cellStyle name="常规 10 3 5 2 2" xfId="11783"/>
    <cellStyle name="常规 10 3 5 3" xfId="11786"/>
    <cellStyle name="常规 10 3 6" xfId="11787"/>
    <cellStyle name="常规 10 3 6 2" xfId="11790"/>
    <cellStyle name="常规 10 3 7" xfId="11791"/>
    <cellStyle name="常规 10 3 7 2" xfId="11793"/>
    <cellStyle name="常规 10 3 8" xfId="11794"/>
    <cellStyle name="常规 10 4" xfId="4625"/>
    <cellStyle name="常规 10 4 2" xfId="11795"/>
    <cellStyle name="常规 10 4 2 2" xfId="11796"/>
    <cellStyle name="常规 10 4 2 2 2" xfId="11797"/>
    <cellStyle name="常规 10 4 2 2 2 2" xfId="11798"/>
    <cellStyle name="常规 10 4 2 2 2 2 2" xfId="11800"/>
    <cellStyle name="常规 10 4 2 2 2 2 2 2" xfId="11801"/>
    <cellStyle name="常规 10 4 2 2 2 2 3" xfId="11802"/>
    <cellStyle name="常规 10 4 2 2 2 3" xfId="11803"/>
    <cellStyle name="常规 10 4 2 2 2 3 2" xfId="11805"/>
    <cellStyle name="常规 10 4 2 2 2 4" xfId="5192"/>
    <cellStyle name="常规 10 4 2 2 3" xfId="11806"/>
    <cellStyle name="常规 10 4 2 2 3 2" xfId="11808"/>
    <cellStyle name="常规 10 4 2 2 3 2 2" xfId="11810"/>
    <cellStyle name="常规 10 4 2 2 3 3" xfId="11813"/>
    <cellStyle name="常规 10 4 2 2 4" xfId="11815"/>
    <cellStyle name="常规 10 4 2 2 4 2" xfId="11817"/>
    <cellStyle name="常规 10 4 2 2 4 2 2" xfId="11819"/>
    <cellStyle name="常规 10 4 2 2 4 3" xfId="11822"/>
    <cellStyle name="常规 10 4 2 2 5" xfId="1561"/>
    <cellStyle name="常规 10 4 2 2 5 2" xfId="1565"/>
    <cellStyle name="常规 10 4 2 2 6" xfId="1569"/>
    <cellStyle name="常规 10 4 2 2 7" xfId="11823"/>
    <cellStyle name="常规 10 4 2 3" xfId="11826"/>
    <cellStyle name="常规 10 4 2 3 2" xfId="11827"/>
    <cellStyle name="常规 10 4 2 3 2 2" xfId="11828"/>
    <cellStyle name="常规 10 4 2 3 2 2 2" xfId="11829"/>
    <cellStyle name="常规 10 4 2 3 2 3" xfId="11830"/>
    <cellStyle name="常规 10 4 2 3 3" xfId="11831"/>
    <cellStyle name="常规 10 4 2 3 3 2" xfId="11833"/>
    <cellStyle name="常规 10 4 2 3 4" xfId="11835"/>
    <cellStyle name="常规 10 4 2 4" xfId="11837"/>
    <cellStyle name="常规 10 4 2 4 2" xfId="9666"/>
    <cellStyle name="常规 10 4 2 4 2 2" xfId="9668"/>
    <cellStyle name="常规 10 4 2 4 3" xfId="9670"/>
    <cellStyle name="常规 10 4 2 5" xfId="11838"/>
    <cellStyle name="常规 10 4 2 5 2" xfId="9702"/>
    <cellStyle name="常规 10 4 2 5 2 2" xfId="11840"/>
    <cellStyle name="常规 10 4 2 5 3" xfId="9705"/>
    <cellStyle name="常规 10 4 2 6" xfId="11841"/>
    <cellStyle name="常规 10 4 2 6 2" xfId="11843"/>
    <cellStyle name="常规 10 4 2 7" xfId="11844"/>
    <cellStyle name="常规 10 4 2 7 2" xfId="6509"/>
    <cellStyle name="常规 10 4 2 8" xfId="11846"/>
    <cellStyle name="常规 10 4 3" xfId="11847"/>
    <cellStyle name="常规 10 4 3 2" xfId="11848"/>
    <cellStyle name="常规 10 4 3 2 2" xfId="11849"/>
    <cellStyle name="常规 10 4 3 2 2 2" xfId="11851"/>
    <cellStyle name="常规 10 4 3 2 2 2 2" xfId="11852"/>
    <cellStyle name="常规 10 4 3 2 2 3" xfId="11853"/>
    <cellStyle name="常规 10 4 3 2 3" xfId="11855"/>
    <cellStyle name="常规 10 4 3 2 3 2" xfId="1121"/>
    <cellStyle name="常规 10 4 3 2 4" xfId="11858"/>
    <cellStyle name="常规 10 4 3 3" xfId="11860"/>
    <cellStyle name="常规 10 4 3 3 2" xfId="11861"/>
    <cellStyle name="常规 10 4 3 3 2 2" xfId="11862"/>
    <cellStyle name="常规 10 4 3 3 3" xfId="11864"/>
    <cellStyle name="常规 10 4 3 4" xfId="11866"/>
    <cellStyle name="常规 10 4 3 4 2" xfId="11867"/>
    <cellStyle name="常规 10 4 3 4 2 2" xfId="11868"/>
    <cellStyle name="常规 10 4 3 4 3" xfId="11871"/>
    <cellStyle name="常规 10 4 3 5" xfId="11874"/>
    <cellStyle name="常规 10 4 3 5 2" xfId="11876"/>
    <cellStyle name="常规 10 4 3 6" xfId="11877"/>
    <cellStyle name="常规 10 4 3 7" xfId="11878"/>
    <cellStyle name="常规 10 4 4" xfId="11880"/>
    <cellStyle name="常规 10 4 4 2" xfId="11881"/>
    <cellStyle name="常规 10 4 4 2 2" xfId="11882"/>
    <cellStyle name="常规 10 4 4 2 2 2" xfId="11884"/>
    <cellStyle name="常规 10 4 4 2 3" xfId="11886"/>
    <cellStyle name="常规 10 4 4 3" xfId="11889"/>
    <cellStyle name="常规 10 4 4 3 2" xfId="11890"/>
    <cellStyle name="常规 10 4 4 4" xfId="11892"/>
    <cellStyle name="常规 10 4 5" xfId="11894"/>
    <cellStyle name="常规 10 4 5 2" xfId="11896"/>
    <cellStyle name="常规 10 4 5 2 2" xfId="11898"/>
    <cellStyle name="常规 10 4 5 3" xfId="11899"/>
    <cellStyle name="常规 10 4 6" xfId="11900"/>
    <cellStyle name="常规 10 4 6 2" xfId="11902"/>
    <cellStyle name="常规 10 4 6 2 2" xfId="11903"/>
    <cellStyle name="常规 10 4 6 3" xfId="11904"/>
    <cellStyle name="常规 10 4 7" xfId="11905"/>
    <cellStyle name="常规 10 4 7 2" xfId="11907"/>
    <cellStyle name="常规 10 4 8" xfId="11908"/>
    <cellStyle name="常规 10 4 8 2" xfId="11910"/>
    <cellStyle name="常规 10 4 9" xfId="11911"/>
    <cellStyle name="常规 10 5" xfId="11912"/>
    <cellStyle name="常规 10 5 2" xfId="11913"/>
    <cellStyle name="常规 10 5 2 2" xfId="11914"/>
    <cellStyle name="常规 10 5 2 2 2" xfId="11915"/>
    <cellStyle name="常规 10 5 2 3" xfId="11916"/>
    <cellStyle name="常规 10 5 3" xfId="11917"/>
    <cellStyle name="常规 10 5 3 2" xfId="11918"/>
    <cellStyle name="常规 10 5 3 2 2" xfId="11919"/>
    <cellStyle name="常规 10 5 3 3" xfId="11922"/>
    <cellStyle name="常规 10 5 4" xfId="11923"/>
    <cellStyle name="常规 10 5 4 2" xfId="11924"/>
    <cellStyle name="常规 10 5 5" xfId="11925"/>
    <cellStyle name="常规 10 5 6" xfId="11928"/>
    <cellStyle name="常规 10 6" xfId="11929"/>
    <cellStyle name="常规 10 6 2" xfId="11930"/>
    <cellStyle name="常规 10 6 2 2" xfId="11931"/>
    <cellStyle name="常规 10 6 3" xfId="11932"/>
    <cellStyle name="常规 10 7" xfId="11933"/>
    <cellStyle name="常规 10 7 2" xfId="11935"/>
    <cellStyle name="常规 10 7 2 2" xfId="11938"/>
    <cellStyle name="常规 10 7 3" xfId="11940"/>
    <cellStyle name="常规 10 8" xfId="11942"/>
    <cellStyle name="常规 10 8 2" xfId="11944"/>
    <cellStyle name="常规 10 9" xfId="11945"/>
    <cellStyle name="常规 10 9 2" xfId="11948"/>
    <cellStyle name="常规 11" xfId="11950"/>
    <cellStyle name="常规 11 10" xfId="11951"/>
    <cellStyle name="常规 11 10 2" xfId="3691"/>
    <cellStyle name="常规 11 2" xfId="11953"/>
    <cellStyle name="常规 11 2 10" xfId="11954"/>
    <cellStyle name="常规 11 2 2" xfId="11957"/>
    <cellStyle name="常规 11 2 2 2" xfId="11959"/>
    <cellStyle name="常规 11 2 2 2 2" xfId="11960"/>
    <cellStyle name="常规 11 2 2 2 2 2" xfId="11962"/>
    <cellStyle name="常规 11 2 2 2 2 2 2" xfId="11963"/>
    <cellStyle name="常规 11 2 2 2 2 2 2 2" xfId="10660"/>
    <cellStyle name="常规 11 2 2 2 2 2 3" xfId="11965"/>
    <cellStyle name="常规 11 2 2 2 2 3" xfId="11966"/>
    <cellStyle name="常规 11 2 2 2 2 3 2" xfId="8009"/>
    <cellStyle name="常规 11 2 2 2 2 4" xfId="11967"/>
    <cellStyle name="常规 11 2 2 2 3" xfId="11970"/>
    <cellStyle name="常规 11 2 2 2 3 2" xfId="11972"/>
    <cellStyle name="常规 11 2 2 2 3 2 2" xfId="11974"/>
    <cellStyle name="常规 11 2 2 2 3 3" xfId="11977"/>
    <cellStyle name="常规 11 2 2 2 4" xfId="11980"/>
    <cellStyle name="常规 11 2 2 2 4 2" xfId="11982"/>
    <cellStyle name="常规 11 2 2 2 4 2 2" xfId="11984"/>
    <cellStyle name="常规 11 2 2 2 4 3" xfId="11986"/>
    <cellStyle name="常规 11 2 2 2 5" xfId="11989"/>
    <cellStyle name="常规 11 2 2 2 5 2" xfId="11991"/>
    <cellStyle name="常规 11 2 2 2 6" xfId="4799"/>
    <cellStyle name="常规 11 2 2 2 7" xfId="11993"/>
    <cellStyle name="常规 11 2 2 3" xfId="11996"/>
    <cellStyle name="常规 11 2 2 3 2" xfId="11997"/>
    <cellStyle name="常规 11 2 2 3 2 2" xfId="11999"/>
    <cellStyle name="常规 11 2 2 3 2 2 2" xfId="12000"/>
    <cellStyle name="常规 11 2 2 3 2 3" xfId="4946"/>
    <cellStyle name="常规 11 2 2 3 3" xfId="12001"/>
    <cellStyle name="常规 11 2 2 3 3 2" xfId="12004"/>
    <cellStyle name="常规 11 2 2 3 4" xfId="12007"/>
    <cellStyle name="常规 11 2 2 4" xfId="12010"/>
    <cellStyle name="常规 11 2 2 4 2" xfId="12011"/>
    <cellStyle name="常规 11 2 2 4 2 2" xfId="12012"/>
    <cellStyle name="常规 11 2 2 4 3" xfId="12013"/>
    <cellStyle name="常规 11 2 2 5" xfId="12017"/>
    <cellStyle name="常规 11 2 2 5 2" xfId="12018"/>
    <cellStyle name="常规 11 2 2 5 2 2" xfId="12019"/>
    <cellStyle name="常规 11 2 2 5 3" xfId="12020"/>
    <cellStyle name="常规 11 2 2 6" xfId="12022"/>
    <cellStyle name="常规 11 2 2 6 2" xfId="10225"/>
    <cellStyle name="常规 11 2 2 7" xfId="12023"/>
    <cellStyle name="常规 11 2 2 7 2" xfId="12026"/>
    <cellStyle name="常规 11 2 2 8" xfId="12028"/>
    <cellStyle name="常规 11 2 3" xfId="12030"/>
    <cellStyle name="常规 11 2 3 2" xfId="12031"/>
    <cellStyle name="常规 11 2 3 2 2" xfId="12032"/>
    <cellStyle name="常规 11 2 3 2 2 2" xfId="12034"/>
    <cellStyle name="常规 11 2 3 2 2 2 2" xfId="12036"/>
    <cellStyle name="常规 11 2 3 2 2 2 2 2" xfId="12037"/>
    <cellStyle name="常规 11 2 3 2 2 2 2 2 2" xfId="12040"/>
    <cellStyle name="常规 11 2 3 2 2 2 2 3" xfId="12044"/>
    <cellStyle name="常规 11 2 3 2 2 2 3" xfId="12047"/>
    <cellStyle name="常规 11 2 3 2 2 2 3 2" xfId="12048"/>
    <cellStyle name="常规 11 2 3 2 2 2 4" xfId="12051"/>
    <cellStyle name="常规 11 2 3 2 2 3" xfId="12052"/>
    <cellStyle name="常规 11 2 3 2 2 3 2" xfId="12054"/>
    <cellStyle name="常规 11 2 3 2 2 3 2 2" xfId="12056"/>
    <cellStyle name="常规 11 2 3 2 2 3 3" xfId="12060"/>
    <cellStyle name="常规 11 2 3 2 2 4" xfId="12062"/>
    <cellStyle name="常规 11 2 3 2 2 4 2" xfId="12065"/>
    <cellStyle name="常规 11 2 3 2 2 4 2 2" xfId="12068"/>
    <cellStyle name="常规 11 2 3 2 2 4 3" xfId="12072"/>
    <cellStyle name="常规 11 2 3 2 2 5" xfId="12075"/>
    <cellStyle name="常规 11 2 3 2 2 5 2" xfId="12078"/>
    <cellStyle name="常规 11 2 3 2 2 6" xfId="12082"/>
    <cellStyle name="常规 11 2 3 2 2 7" xfId="12085"/>
    <cellStyle name="常规 11 2 3 2 3" xfId="12089"/>
    <cellStyle name="常规 11 2 3 2 3 2" xfId="12091"/>
    <cellStyle name="常规 11 2 3 2 3 2 2" xfId="12094"/>
    <cellStyle name="常规 11 2 3 2 3 2 2 2" xfId="12097"/>
    <cellStyle name="常规 11 2 3 2 3 2 3" xfId="12100"/>
    <cellStyle name="常规 11 2 3 2 3 3" xfId="12101"/>
    <cellStyle name="常规 11 2 3 2 3 3 2" xfId="12103"/>
    <cellStyle name="常规 11 2 3 2 3 4" xfId="12105"/>
    <cellStyle name="常规 11 2 3 2 4" xfId="12107"/>
    <cellStyle name="常规 11 2 3 2 4 2" xfId="12109"/>
    <cellStyle name="常规 11 2 3 2 4 2 2" xfId="12110"/>
    <cellStyle name="常规 11 2 3 2 4 3" xfId="12111"/>
    <cellStyle name="常规 11 2 3 2 5" xfId="12112"/>
    <cellStyle name="常规 11 2 3 2 5 2" xfId="12113"/>
    <cellStyle name="常规 11 2 3 2 5 2 2" xfId="12114"/>
    <cellStyle name="常规 11 2 3 2 5 3" xfId="12115"/>
    <cellStyle name="常规 11 2 3 2 6" xfId="12116"/>
    <cellStyle name="常规 11 2 3 2 6 2" xfId="12117"/>
    <cellStyle name="常规 11 2 3 2 7" xfId="12118"/>
    <cellStyle name="常规 11 2 3 2 7 2" xfId="12119"/>
    <cellStyle name="常规 11 2 3 2 8" xfId="12120"/>
    <cellStyle name="常规 11 2 3 3" xfId="9624"/>
    <cellStyle name="常规 11 2 3 3 2" xfId="12122"/>
    <cellStyle name="常规 11 2 3 3 2 2" xfId="12123"/>
    <cellStyle name="常规 11 2 3 3 2 2 2" xfId="12125"/>
    <cellStyle name="常规 11 2 3 3 2 2 2 2" xfId="12127"/>
    <cellStyle name="常规 11 2 3 3 2 2 3" xfId="12129"/>
    <cellStyle name="常规 11 2 3 3 2 3" xfId="12130"/>
    <cellStyle name="常规 11 2 3 3 2 3 2" xfId="12132"/>
    <cellStyle name="常规 11 2 3 3 2 4" xfId="12133"/>
    <cellStyle name="常规 11 2 3 3 3" xfId="12137"/>
    <cellStyle name="常规 11 2 3 3 3 2" xfId="12140"/>
    <cellStyle name="常规 11 2 3 3 3 2 2" xfId="12143"/>
    <cellStyle name="常规 11 2 3 3 3 3" xfId="12145"/>
    <cellStyle name="常规 11 2 3 3 4" xfId="12147"/>
    <cellStyle name="常规 11 2 3 3 4 2" xfId="12149"/>
    <cellStyle name="常规 11 2 3 3 4 2 2" xfId="12151"/>
    <cellStyle name="常规 11 2 3 3 4 3" xfId="12152"/>
    <cellStyle name="常规 11 2 3 3 5" xfId="12154"/>
    <cellStyle name="常规 11 2 3 3 5 2" xfId="12155"/>
    <cellStyle name="常规 11 2 3 3 6" xfId="12156"/>
    <cellStyle name="常规 11 2 3 3 7" xfId="12158"/>
    <cellStyle name="常规 11 2 3 4" xfId="12159"/>
    <cellStyle name="常规 11 2 3 4 2" xfId="8772"/>
    <cellStyle name="常规 11 2 3 4 2 2" xfId="12160"/>
    <cellStyle name="常规 11 2 3 4 2 2 2" xfId="12162"/>
    <cellStyle name="常规 11 2 3 4 2 3" xfId="12164"/>
    <cellStyle name="常规 11 2 3 4 3" xfId="8773"/>
    <cellStyle name="常规 11 2 3 4 3 2" xfId="12166"/>
    <cellStyle name="常规 11 2 3 4 4" xfId="12167"/>
    <cellStyle name="常规 11 2 3 5" xfId="12168"/>
    <cellStyle name="常规 11 2 3 5 2" xfId="12169"/>
    <cellStyle name="常规 11 2 3 5 2 2" xfId="12170"/>
    <cellStyle name="常规 11 2 3 5 3" xfId="12171"/>
    <cellStyle name="常规 11 2 3 6" xfId="12173"/>
    <cellStyle name="常规 11 2 3 6 2" xfId="12174"/>
    <cellStyle name="常规 11 2 3 6 2 2" xfId="12175"/>
    <cellStyle name="常规 11 2 3 6 3" xfId="12176"/>
    <cellStyle name="常规 11 2 3 7" xfId="12177"/>
    <cellStyle name="常规 11 2 3 7 2" xfId="12179"/>
    <cellStyle name="常规 11 2 3 8" xfId="12180"/>
    <cellStyle name="常规 11 2 3 8 2" xfId="12181"/>
    <cellStyle name="常规 11 2 3 9" xfId="12182"/>
    <cellStyle name="常规 11 2 4" xfId="12183"/>
    <cellStyle name="常规 11 2 4 2" xfId="12185"/>
    <cellStyle name="常规 11 2 4 2 2" xfId="10454"/>
    <cellStyle name="常规 11 2 4 2 2 2" xfId="12187"/>
    <cellStyle name="常规 11 2 4 2 2 2 2" xfId="12190"/>
    <cellStyle name="常规 11 2 4 2 2 3" xfId="12191"/>
    <cellStyle name="常规 11 2 4 2 3" xfId="10458"/>
    <cellStyle name="常规 11 2 4 2 3 2" xfId="12193"/>
    <cellStyle name="常规 11 2 4 2 4" xfId="12195"/>
    <cellStyle name="常规 11 2 4 3" xfId="9627"/>
    <cellStyle name="常规 11 2 4 3 2" xfId="12197"/>
    <cellStyle name="常规 11 2 4 3 2 2" xfId="12199"/>
    <cellStyle name="常规 11 2 4 3 3" xfId="12202"/>
    <cellStyle name="常规 11 2 4 4" xfId="12204"/>
    <cellStyle name="常规 11 2 4 4 2" xfId="3534"/>
    <cellStyle name="常规 11 2 4 4 2 2" xfId="3535"/>
    <cellStyle name="常规 11 2 4 4 3" xfId="739"/>
    <cellStyle name="常规 11 2 4 5" xfId="12207"/>
    <cellStyle name="常规 11 2 4 5 2" xfId="2474"/>
    <cellStyle name="常规 11 2 4 6" xfId="12208"/>
    <cellStyle name="常规 11 2 4 7" xfId="12209"/>
    <cellStyle name="常规 11 2 5" xfId="12210"/>
    <cellStyle name="常规 11 2 5 2" xfId="12212"/>
    <cellStyle name="常规 11 2 5 2 2" xfId="12216"/>
    <cellStyle name="常规 11 2 5 2 2 2" xfId="12221"/>
    <cellStyle name="常规 11 2 5 2 3" xfId="12224"/>
    <cellStyle name="常规 11 2 5 3" xfId="12226"/>
    <cellStyle name="常规 11 2 5 3 2" xfId="12229"/>
    <cellStyle name="常规 11 2 5 4" xfId="12232"/>
    <cellStyle name="常规 11 2 6" xfId="12236"/>
    <cellStyle name="常规 11 2 6 2" xfId="12238"/>
    <cellStyle name="常规 11 2 6 2 2" xfId="12242"/>
    <cellStyle name="常规 11 2 6 3" xfId="12245"/>
    <cellStyle name="常规 11 2 7" xfId="12249"/>
    <cellStyle name="常规 11 2 7 2" xfId="12251"/>
    <cellStyle name="常规 11 2 7 2 2" xfId="12254"/>
    <cellStyle name="常规 11 2 7 3" xfId="12257"/>
    <cellStyle name="常规 11 2 8" xfId="12259"/>
    <cellStyle name="常规 11 2 8 2" xfId="9139"/>
    <cellStyle name="常规 11 2 9" xfId="12262"/>
    <cellStyle name="常规 11 2 9 2" xfId="12264"/>
    <cellStyle name="常规 11 3" xfId="12266"/>
    <cellStyle name="常规 11 3 2" xfId="12267"/>
    <cellStyle name="常规 11 3 2 2" xfId="12270"/>
    <cellStyle name="常规 11 3 2 2 2" xfId="476"/>
    <cellStyle name="常规 11 3 2 2 2 2" xfId="3172"/>
    <cellStyle name="常规 11 3 2 2 2 2 2" xfId="3372"/>
    <cellStyle name="常规 11 3 2 2 2 3" xfId="12272"/>
    <cellStyle name="常规 11 3 2 2 3" xfId="5575"/>
    <cellStyle name="常规 11 3 2 2 3 2" xfId="12273"/>
    <cellStyle name="常规 11 3 2 2 4" xfId="12277"/>
    <cellStyle name="常规 11 3 2 3" xfId="12283"/>
    <cellStyle name="常规 11 3 2 3 2" xfId="5583"/>
    <cellStyle name="常规 11 3 2 3 2 2" xfId="12286"/>
    <cellStyle name="常规 11 3 2 3 3" xfId="12289"/>
    <cellStyle name="常规 11 3 2 4" xfId="12294"/>
    <cellStyle name="常规 11 3 2 4 2" xfId="5591"/>
    <cellStyle name="常规 11 3 2 4 2 2" xfId="12297"/>
    <cellStyle name="常规 11 3 2 4 3" xfId="12299"/>
    <cellStyle name="常规 11 3 2 5" xfId="12302"/>
    <cellStyle name="常规 11 3 2 5 2" xfId="12306"/>
    <cellStyle name="常规 11 3 2 6" xfId="12308"/>
    <cellStyle name="常规 11 3 2 7" xfId="12311"/>
    <cellStyle name="常规 11 3 3" xfId="12315"/>
    <cellStyle name="常规 11 3 3 2" xfId="12317"/>
    <cellStyle name="常规 11 3 3 2 2" xfId="4178"/>
    <cellStyle name="常规 11 3 3 2 2 2" xfId="5655"/>
    <cellStyle name="常规 11 3 3 2 3" xfId="1201"/>
    <cellStyle name="常规 11 3 3 3" xfId="12318"/>
    <cellStyle name="常规 11 3 3 3 2" xfId="5684"/>
    <cellStyle name="常规 11 3 3 4" xfId="12319"/>
    <cellStyle name="常规 11 3 4" xfId="12321"/>
    <cellStyle name="常规 11 3 4 2" xfId="12323"/>
    <cellStyle name="常规 11 3 4 2 2" xfId="5720"/>
    <cellStyle name="常规 11 3 4 3" xfId="12325"/>
    <cellStyle name="常规 11 3 5" xfId="12326"/>
    <cellStyle name="常规 11 3 5 2" xfId="12328"/>
    <cellStyle name="常规 11 3 5 2 2" xfId="12330"/>
    <cellStyle name="常规 11 3 5 3" xfId="12334"/>
    <cellStyle name="常规 11 3 6" xfId="12336"/>
    <cellStyle name="常规 11 3 6 2" xfId="12339"/>
    <cellStyle name="常规 11 3 7" xfId="12341"/>
    <cellStyle name="常规 11 3 7 2" xfId="12343"/>
    <cellStyle name="常规 11 3 8" xfId="12344"/>
    <cellStyle name="常规 11 4" xfId="12346"/>
    <cellStyle name="常规 11 4 2" xfId="12347"/>
    <cellStyle name="常规 11 4 2 2" xfId="12349"/>
    <cellStyle name="常规 11 4 2 2 2" xfId="4166"/>
    <cellStyle name="常规 11 4 2 2 2 2" xfId="12350"/>
    <cellStyle name="常规 11 4 2 2 2 2 2" xfId="12351"/>
    <cellStyle name="常规 11 4 2 2 2 2 2 2" xfId="12354"/>
    <cellStyle name="常规 11 4 2 2 2 2 3" xfId="12356"/>
    <cellStyle name="常规 11 4 2 2 2 3" xfId="12357"/>
    <cellStyle name="常规 11 4 2 2 2 3 2" xfId="10614"/>
    <cellStyle name="常规 11 4 2 2 2 4" xfId="12358"/>
    <cellStyle name="常规 11 4 2 2 3" xfId="12360"/>
    <cellStyle name="常规 11 4 2 2 3 2" xfId="12362"/>
    <cellStyle name="常规 11 4 2 2 3 2 2" xfId="12363"/>
    <cellStyle name="常规 11 4 2 2 3 3" xfId="12366"/>
    <cellStyle name="常规 11 4 2 2 4" xfId="12367"/>
    <cellStyle name="常规 11 4 2 2 4 2" xfId="12369"/>
    <cellStyle name="常规 11 4 2 2 4 2 2" xfId="12371"/>
    <cellStyle name="常规 11 4 2 2 4 3" xfId="12374"/>
    <cellStyle name="常规 11 4 2 2 5" xfId="12375"/>
    <cellStyle name="常规 11 4 2 2 5 2" xfId="12378"/>
    <cellStyle name="常规 11 4 2 2 6" xfId="12380"/>
    <cellStyle name="常规 11 4 2 2 7" xfId="12383"/>
    <cellStyle name="常规 11 4 2 3" xfId="12385"/>
    <cellStyle name="常规 11 4 2 3 2" xfId="5802"/>
    <cellStyle name="常规 11 4 2 3 2 2" xfId="12386"/>
    <cellStyle name="常规 11 4 2 3 2 2 2" xfId="12388"/>
    <cellStyle name="常规 11 4 2 3 2 3" xfId="12389"/>
    <cellStyle name="常规 11 4 2 3 3" xfId="12391"/>
    <cellStyle name="常规 11 4 2 3 3 2" xfId="12392"/>
    <cellStyle name="常规 11 4 2 3 4" xfId="12393"/>
    <cellStyle name="常规 11 4 2 4" xfId="12395"/>
    <cellStyle name="常规 11 4 2 4 2" xfId="12396"/>
    <cellStyle name="常规 11 4 2 4 2 2" xfId="12397"/>
    <cellStyle name="常规 11 4 2 4 3" xfId="12398"/>
    <cellStyle name="常规 11 4 2 5" xfId="12399"/>
    <cellStyle name="常规 11 4 2 5 2" xfId="12400"/>
    <cellStyle name="常规 11 4 2 5 2 2" xfId="2364"/>
    <cellStyle name="常规 11 4 2 5 3" xfId="12401"/>
    <cellStyle name="常规 11 4 2 6" xfId="12402"/>
    <cellStyle name="常规 11 4 2 6 2" xfId="12403"/>
    <cellStyle name="常规 11 4 2 7" xfId="12404"/>
    <cellStyle name="常规 11 4 2 7 2" xfId="12406"/>
    <cellStyle name="常规 11 4 2 8" xfId="12407"/>
    <cellStyle name="常规 11 4 3" xfId="12408"/>
    <cellStyle name="常规 11 4 3 2" xfId="12409"/>
    <cellStyle name="常规 11 4 3 2 2" xfId="12410"/>
    <cellStyle name="常规 11 4 3 2 2 2" xfId="12412"/>
    <cellStyle name="常规 11 4 3 2 2 2 2" xfId="12414"/>
    <cellStyle name="常规 11 4 3 2 2 3" xfId="12416"/>
    <cellStyle name="常规 11 4 3 2 3" xfId="12418"/>
    <cellStyle name="常规 11 4 3 2 3 2" xfId="12420"/>
    <cellStyle name="常规 11 4 3 2 4" xfId="12421"/>
    <cellStyle name="常规 11 4 3 3" xfId="12423"/>
    <cellStyle name="常规 11 4 3 3 2" xfId="12424"/>
    <cellStyle name="常规 11 4 3 3 2 2" xfId="12425"/>
    <cellStyle name="常规 11 4 3 3 3" xfId="12426"/>
    <cellStyle name="常规 11 4 3 4" xfId="12427"/>
    <cellStyle name="常规 11 4 3 4 2" xfId="692"/>
    <cellStyle name="常规 11 4 3 4 2 2" xfId="12428"/>
    <cellStyle name="常规 11 4 3 4 3" xfId="694"/>
    <cellStyle name="常规 11 4 3 5" xfId="12430"/>
    <cellStyle name="常规 11 4 3 5 2" xfId="12431"/>
    <cellStyle name="常规 11 4 3 6" xfId="12432"/>
    <cellStyle name="常规 11 4 3 7" xfId="12433"/>
    <cellStyle name="常规 11 4 4" xfId="12435"/>
    <cellStyle name="常规 11 4 4 2" xfId="12436"/>
    <cellStyle name="常规 11 4 4 2 2" xfId="12437"/>
    <cellStyle name="常规 11 4 4 2 2 2" xfId="12440"/>
    <cellStyle name="常规 11 4 4 2 3" xfId="12441"/>
    <cellStyle name="常规 11 4 4 3" xfId="12443"/>
    <cellStyle name="常规 11 4 4 3 2" xfId="12444"/>
    <cellStyle name="常规 11 4 4 4" xfId="12446"/>
    <cellStyle name="常规 11 4 5" xfId="12447"/>
    <cellStyle name="常规 11 4 5 2" xfId="12449"/>
    <cellStyle name="常规 11 4 5 2 2" xfId="12451"/>
    <cellStyle name="常规 11 4 5 3" xfId="12452"/>
    <cellStyle name="常规 11 4 6" xfId="12453"/>
    <cellStyle name="常规 11 4 6 2" xfId="12455"/>
    <cellStyle name="常规 11 4 6 2 2" xfId="12456"/>
    <cellStyle name="常规 11 4 6 3" xfId="12457"/>
    <cellStyle name="常规 11 4 7" xfId="12458"/>
    <cellStyle name="常规 11 4 7 2" xfId="12460"/>
    <cellStyle name="常规 11 4 8" xfId="12461"/>
    <cellStyle name="常规 11 4 8 2" xfId="12462"/>
    <cellStyle name="常规 11 4 9" xfId="12463"/>
    <cellStyle name="常规 11 5" xfId="12464"/>
    <cellStyle name="常规 11 5 2" xfId="12465"/>
    <cellStyle name="常规 11 5 2 2" xfId="12466"/>
    <cellStyle name="常规 11 5 2 2 2" xfId="5890"/>
    <cellStyle name="常规 11 5 2 2 2 2" xfId="5896"/>
    <cellStyle name="常规 11 5 2 2 3" xfId="5901"/>
    <cellStyle name="常规 11 5 2 3" xfId="12467"/>
    <cellStyle name="常规 11 5 2 3 2" xfId="5908"/>
    <cellStyle name="常规 11 5 2 4" xfId="12468"/>
    <cellStyle name="常规 11 5 3" xfId="12469"/>
    <cellStyle name="常规 11 5 3 2" xfId="12470"/>
    <cellStyle name="常规 11 5 3 2 2" xfId="4530"/>
    <cellStyle name="常规 11 5 3 3" xfId="12471"/>
    <cellStyle name="常规 11 5 4" xfId="12472"/>
    <cellStyle name="常规 11 5 4 2" xfId="12473"/>
    <cellStyle name="常规 11 5 4 2 2" xfId="12474"/>
    <cellStyle name="常规 11 5 4 3" xfId="12475"/>
    <cellStyle name="常规 11 5 5" xfId="12476"/>
    <cellStyle name="常规 11 5 5 2" xfId="12478"/>
    <cellStyle name="常规 11 5 6" xfId="12480"/>
    <cellStyle name="常规 11 5 7" xfId="12482"/>
    <cellStyle name="常规 11 6" xfId="2774"/>
    <cellStyle name="常规 11 6 2" xfId="2778"/>
    <cellStyle name="常规 11 6 2 2" xfId="2782"/>
    <cellStyle name="常规 11 6 2 2 2" xfId="2787"/>
    <cellStyle name="常规 11 6 2 3" xfId="2791"/>
    <cellStyle name="常规 11 6 3" xfId="1759"/>
    <cellStyle name="常规 11 6 3 2" xfId="1768"/>
    <cellStyle name="常规 11 6 4" xfId="414"/>
    <cellStyle name="常规 11 7" xfId="2800"/>
    <cellStyle name="常规 11 7 2" xfId="2806"/>
    <cellStyle name="常规 11 7 2 2" xfId="156"/>
    <cellStyle name="常规 11 7 3" xfId="1790"/>
    <cellStyle name="常规 11 8" xfId="2811"/>
    <cellStyle name="常规 11 8 2" xfId="2816"/>
    <cellStyle name="常规 11 8 2 2" xfId="2820"/>
    <cellStyle name="常规 11 8 3" xfId="161"/>
    <cellStyle name="常规 11 9" xfId="2823"/>
    <cellStyle name="常规 11 9 2" xfId="2828"/>
    <cellStyle name="常规 12" xfId="10763"/>
    <cellStyle name="常规 12 2" xfId="12484"/>
    <cellStyle name="常规 12 2 2" xfId="12486"/>
    <cellStyle name="常规 12 2 2 2" xfId="12488"/>
    <cellStyle name="常规 12 2 2 2 2" xfId="12490"/>
    <cellStyle name="常规 12 2 2 2 2 2" xfId="12491"/>
    <cellStyle name="常规 12 2 2 2 2 2 2" xfId="12495"/>
    <cellStyle name="常规 12 2 2 2 2 3" xfId="12497"/>
    <cellStyle name="常规 12 2 2 2 3" xfId="12499"/>
    <cellStyle name="常规 12 2 2 2 3 2" xfId="12500"/>
    <cellStyle name="常规 12 2 2 2 4" xfId="12503"/>
    <cellStyle name="常规 12 2 2 3" xfId="12504"/>
    <cellStyle name="常规 12 2 2 3 2" xfId="12505"/>
    <cellStyle name="常规 12 2 2 3 2 2" xfId="12506"/>
    <cellStyle name="常规 12 2 2 3 3" xfId="12508"/>
    <cellStyle name="常规 12 2 2 4" xfId="12510"/>
    <cellStyle name="常规 12 2 2 4 2" xfId="12511"/>
    <cellStyle name="常规 12 2 2 4 2 2" xfId="12512"/>
    <cellStyle name="常规 12 2 2 4 3" xfId="12514"/>
    <cellStyle name="常规 12 2 2 5" xfId="12516"/>
    <cellStyle name="常规 12 2 2 5 2" xfId="12517"/>
    <cellStyle name="常规 12 2 2 6" xfId="12518"/>
    <cellStyle name="常规 12 2 2 7" xfId="12519"/>
    <cellStyle name="常规 12 2 3" xfId="12521"/>
    <cellStyle name="常规 12 2 3 2" xfId="12523"/>
    <cellStyle name="常规 12 2 3 2 2" xfId="12524"/>
    <cellStyle name="常规 12 2 3 2 2 2" xfId="12525"/>
    <cellStyle name="常规 12 2 3 2 3" xfId="12527"/>
    <cellStyle name="常规 12 2 3 3" xfId="12528"/>
    <cellStyle name="常规 12 2 3 3 2" xfId="12529"/>
    <cellStyle name="常规 12 2 3 4" xfId="12530"/>
    <cellStyle name="常规 12 2 4" xfId="12531"/>
    <cellStyle name="常规 12 2 4 2" xfId="12532"/>
    <cellStyle name="常规 12 2 4 2 2" xfId="12534"/>
    <cellStyle name="常规 12 2 4 3" xfId="12535"/>
    <cellStyle name="常规 12 2 5" xfId="12536"/>
    <cellStyle name="常规 12 2 5 2" xfId="12538"/>
    <cellStyle name="常规 12 2 5 2 2" xfId="12540"/>
    <cellStyle name="常规 12 2 5 3" xfId="12541"/>
    <cellStyle name="常规 12 2 6" xfId="12542"/>
    <cellStyle name="常规 12 2 6 2" xfId="12544"/>
    <cellStyle name="常规 12 2 7" xfId="12545"/>
    <cellStyle name="常规 12 2 7 2" xfId="12547"/>
    <cellStyle name="常规 12 3" xfId="12548"/>
    <cellStyle name="常规 12 3 2" xfId="12549"/>
    <cellStyle name="常规 12 3 2 2" xfId="12551"/>
    <cellStyle name="常规 12 3 2 2 2" xfId="12552"/>
    <cellStyle name="常规 12 3 2 2 2 2" xfId="4036"/>
    <cellStyle name="常规 12 3 2 2 2 2 2" xfId="12553"/>
    <cellStyle name="常规 12 3 2 2 2 2 2 2" xfId="4554"/>
    <cellStyle name="常规 12 3 2 2 2 2 3" xfId="12556"/>
    <cellStyle name="常规 12 3 2 2 2 3" xfId="12558"/>
    <cellStyle name="常规 12 3 2 2 2 3 2" xfId="12560"/>
    <cellStyle name="常规 12 3 2 2 2 4" xfId="8142"/>
    <cellStyle name="常规 12 3 2 2 3" xfId="12562"/>
    <cellStyle name="常规 12 3 2 2 3 2" xfId="12566"/>
    <cellStyle name="常规 12 3 2 2 3 2 2" xfId="12571"/>
    <cellStyle name="常规 12 3 2 2 3 3" xfId="12577"/>
    <cellStyle name="常规 12 3 2 2 4" xfId="12581"/>
    <cellStyle name="常规 12 3 2 2 4 2" xfId="12585"/>
    <cellStyle name="常规 12 3 2 2 4 2 2" xfId="12589"/>
    <cellStyle name="常规 12 3 2 2 4 3" xfId="12594"/>
    <cellStyle name="常规 12 3 2 2 5" xfId="12597"/>
    <cellStyle name="常规 12 3 2 2 5 2" xfId="12600"/>
    <cellStyle name="常规 12 3 2 2 6" xfId="12603"/>
    <cellStyle name="常规 12 3 2 2 7" xfId="12606"/>
    <cellStyle name="常规 12 3 2 3" xfId="12608"/>
    <cellStyle name="常规 12 3 2 3 2" xfId="12609"/>
    <cellStyle name="常规 12 3 2 3 2 2" xfId="12610"/>
    <cellStyle name="常规 12 3 2 3 2 2 2" xfId="12612"/>
    <cellStyle name="常规 12 3 2 3 2 3" xfId="12615"/>
    <cellStyle name="常规 12 3 2 3 3" xfId="12616"/>
    <cellStyle name="常规 12 3 2 3 3 2" xfId="12618"/>
    <cellStyle name="常规 12 3 2 3 4" xfId="12493"/>
    <cellStyle name="常规 12 3 2 4" xfId="12621"/>
    <cellStyle name="常规 12 3 2 4 2" xfId="12622"/>
    <cellStyle name="常规 12 3 2 4 2 2" xfId="12623"/>
    <cellStyle name="常规 12 3 2 4 3" xfId="12624"/>
    <cellStyle name="常规 12 3 2 5" xfId="4783"/>
    <cellStyle name="常规 12 3 2 5 2" xfId="4785"/>
    <cellStyle name="常规 12 3 2 5 2 2" xfId="12626"/>
    <cellStyle name="常规 12 3 2 5 3" xfId="12628"/>
    <cellStyle name="常规 12 3 2 6" xfId="4791"/>
    <cellStyle name="常规 12 3 2 6 2" xfId="12630"/>
    <cellStyle name="常规 12 3 2 7" xfId="12631"/>
    <cellStyle name="常规 12 3 2 7 2" xfId="12633"/>
    <cellStyle name="常规 12 3 2 8" xfId="4845"/>
    <cellStyle name="常规 12 3 3" xfId="12635"/>
    <cellStyle name="常规 12 3 3 2" xfId="11971"/>
    <cellStyle name="常规 12 3 3 2 2" xfId="11973"/>
    <cellStyle name="常规 12 3 3 2 2 2" xfId="11975"/>
    <cellStyle name="常规 12 3 3 2 2 2 2" xfId="12636"/>
    <cellStyle name="常规 12 3 3 2 2 3" xfId="12640"/>
    <cellStyle name="常规 12 3 3 2 3" xfId="11978"/>
    <cellStyle name="常规 12 3 3 2 3 2" xfId="8162"/>
    <cellStyle name="常规 12 3 3 2 4" xfId="12641"/>
    <cellStyle name="常规 12 3 3 3" xfId="11981"/>
    <cellStyle name="常规 12 3 3 3 2" xfId="11983"/>
    <cellStyle name="常规 12 3 3 3 2 2" xfId="11985"/>
    <cellStyle name="常规 12 3 3 3 3" xfId="11987"/>
    <cellStyle name="常规 12 3 3 4" xfId="11990"/>
    <cellStyle name="常规 12 3 3 4 2" xfId="11992"/>
    <cellStyle name="常规 12 3 3 4 2 2" xfId="12645"/>
    <cellStyle name="常规 12 3 3 4 3" xfId="12646"/>
    <cellStyle name="常规 12 3 3 5" xfId="4800"/>
    <cellStyle name="常规 12 3 3 5 2" xfId="12648"/>
    <cellStyle name="常规 12 3 3 6" xfId="11994"/>
    <cellStyle name="常规 12 3 3 7" xfId="12649"/>
    <cellStyle name="常规 12 3 4" xfId="12651"/>
    <cellStyle name="常规 12 3 4 2" xfId="12002"/>
    <cellStyle name="常规 12 3 4 2 2" xfId="12005"/>
    <cellStyle name="常规 12 3 4 2 2 2" xfId="12653"/>
    <cellStyle name="常规 12 3 4 2 3" xfId="7149"/>
    <cellStyle name="常规 12 3 4 3" xfId="12008"/>
    <cellStyle name="常规 12 3 4 3 2" xfId="12654"/>
    <cellStyle name="常规 12 3 4 4" xfId="12655"/>
    <cellStyle name="常规 12 3 5" xfId="12657"/>
    <cellStyle name="常规 12 3 5 2" xfId="12014"/>
    <cellStyle name="常规 12 3 5 2 2" xfId="12660"/>
    <cellStyle name="常规 12 3 5 3" xfId="12661"/>
    <cellStyle name="常规 12 3 6" xfId="12662"/>
    <cellStyle name="常规 12 3 6 2" xfId="12021"/>
    <cellStyle name="常规 12 3 6 2 2" xfId="12665"/>
    <cellStyle name="常规 12 3 6 3" xfId="12666"/>
    <cellStyle name="常规 12 3 7" xfId="12668"/>
    <cellStyle name="常规 12 3 7 2" xfId="12671"/>
    <cellStyle name="常规 12 3 8" xfId="12672"/>
    <cellStyle name="常规 12 3 8 2" xfId="12674"/>
    <cellStyle name="常规 12 3 9" xfId="12675"/>
    <cellStyle name="常规 12 4" xfId="12677"/>
    <cellStyle name="常规 12 4 2" xfId="12679"/>
    <cellStyle name="常规 12 4 2 2" xfId="12681"/>
    <cellStyle name="常规 12 4 2 2 2" xfId="12682"/>
    <cellStyle name="常规 12 4 2 2 2 2" xfId="12683"/>
    <cellStyle name="常规 12 4 2 2 3" xfId="12685"/>
    <cellStyle name="常规 12 4 2 3" xfId="12686"/>
    <cellStyle name="常规 12 4 2 3 2" xfId="12687"/>
    <cellStyle name="常规 12 4 2 4" xfId="12688"/>
    <cellStyle name="常规 12 4 3" xfId="12689"/>
    <cellStyle name="常规 12 4 3 2" xfId="12090"/>
    <cellStyle name="常规 12 4 3 2 2" xfId="12092"/>
    <cellStyle name="常规 12 4 3 3" xfId="12108"/>
    <cellStyle name="常规 12 4 4" xfId="12690"/>
    <cellStyle name="常规 12 4 4 2" xfId="12138"/>
    <cellStyle name="常规 12 4 4 2 2" xfId="12141"/>
    <cellStyle name="常规 12 4 4 3" xfId="12148"/>
    <cellStyle name="常规 12 4 5" xfId="12692"/>
    <cellStyle name="常规 12 4 5 2" xfId="8775"/>
    <cellStyle name="常规 12 4 6" xfId="12695"/>
    <cellStyle name="常规 12 4 7" xfId="12698"/>
    <cellStyle name="常规 12 5" xfId="12700"/>
    <cellStyle name="常规 12 5 2" xfId="12702"/>
    <cellStyle name="常规 12 5 2 2" xfId="12703"/>
    <cellStyle name="常规 12 5 2 2 2" xfId="12704"/>
    <cellStyle name="常规 12 5 2 3" xfId="12705"/>
    <cellStyle name="常规 12 5 3" xfId="12706"/>
    <cellStyle name="常规 12 5 3 2" xfId="10459"/>
    <cellStyle name="常规 12 5 4" xfId="12707"/>
    <cellStyle name="常规 12 6" xfId="604"/>
    <cellStyle name="常规 12 6 2" xfId="789"/>
    <cellStyle name="常规 12 6 2 2" xfId="798"/>
    <cellStyle name="常规 12 6 3" xfId="120"/>
    <cellStyle name="常规 12 7" xfId="615"/>
    <cellStyle name="常规 12 7 2" xfId="985"/>
    <cellStyle name="常规 12 7 2 2" xfId="12709"/>
    <cellStyle name="常规 12 7 3" xfId="12710"/>
    <cellStyle name="常规 12 8" xfId="1066"/>
    <cellStyle name="常规 12 8 2" xfId="12712"/>
    <cellStyle name="常规 12 9" xfId="12713"/>
    <cellStyle name="常规 12 9 2" xfId="12715"/>
    <cellStyle name="常规 13" xfId="12716"/>
    <cellStyle name="常规 13 10" xfId="6870"/>
    <cellStyle name="常规 13 2" xfId="12718"/>
    <cellStyle name="常规 13 2 2" xfId="12720"/>
    <cellStyle name="常规 13 2 2 2" xfId="12722"/>
    <cellStyle name="常规 13 2 2 2 2" xfId="9915"/>
    <cellStyle name="常规 13 2 2 2 2 2" xfId="12724"/>
    <cellStyle name="常规 13 2 2 2 2 2 2" xfId="12728"/>
    <cellStyle name="常规 13 2 2 2 2 3" xfId="12730"/>
    <cellStyle name="常规 13 2 2 2 3" xfId="12733"/>
    <cellStyle name="常规 13 2 2 2 3 2" xfId="12735"/>
    <cellStyle name="常规 13 2 2 2 4" xfId="12737"/>
    <cellStyle name="常规 13 2 2 3" xfId="12739"/>
    <cellStyle name="常规 13 2 2 3 2" xfId="12742"/>
    <cellStyle name="常规 13 2 2 3 2 2" xfId="12748"/>
    <cellStyle name="常规 13 2 2 3 3" xfId="12750"/>
    <cellStyle name="常规 13 2 2 4" xfId="12754"/>
    <cellStyle name="常规 13 2 2 4 2" xfId="12756"/>
    <cellStyle name="常规 13 2 2 4 2 2" xfId="12761"/>
    <cellStyle name="常规 13 2 2 4 3" xfId="12763"/>
    <cellStyle name="常规 13 2 2 5" xfId="12765"/>
    <cellStyle name="常规 13 2 2 5 2" xfId="12767"/>
    <cellStyle name="常规 13 2 2 6" xfId="12770"/>
    <cellStyle name="常规 13 2 2 7" xfId="12773"/>
    <cellStyle name="常规 13 2 3" xfId="12775"/>
    <cellStyle name="常规 13 2 3 2" xfId="12776"/>
    <cellStyle name="常规 13 2 3 2 2" xfId="12777"/>
    <cellStyle name="常规 13 2 3 2 2 2" xfId="12779"/>
    <cellStyle name="常规 13 2 3 2 3" xfId="12781"/>
    <cellStyle name="常规 13 2 3 3" xfId="12782"/>
    <cellStyle name="常规 13 2 3 3 2" xfId="12784"/>
    <cellStyle name="常规 13 2 3 4" xfId="12787"/>
    <cellStyle name="常规 13 2 4" xfId="12789"/>
    <cellStyle name="常规 13 2 4 2" xfId="12790"/>
    <cellStyle name="常规 13 2 4 2 2" xfId="12791"/>
    <cellStyle name="常规 13 2 4 3" xfId="12792"/>
    <cellStyle name="常规 13 2 5" xfId="12794"/>
    <cellStyle name="常规 13 2 5 2" xfId="12796"/>
    <cellStyle name="常规 13 2 5 2 2" xfId="12797"/>
    <cellStyle name="常规 13 2 5 3" xfId="12798"/>
    <cellStyle name="常规 13 2 6" xfId="12800"/>
    <cellStyle name="常规 13 2 6 2" xfId="12801"/>
    <cellStyle name="常规 13 2 7" xfId="12802"/>
    <cellStyle name="常规 13 2 7 2" xfId="12803"/>
    <cellStyle name="常规 13 2 8" xfId="12804"/>
    <cellStyle name="常规 13 3" xfId="12805"/>
    <cellStyle name="常规 13 3 2" xfId="12807"/>
    <cellStyle name="常规 13 3 2 2" xfId="5557"/>
    <cellStyle name="常规 13 3 2 2 2" xfId="5562"/>
    <cellStyle name="常规 13 3 2 2 2 2" xfId="4810"/>
    <cellStyle name="常规 13 3 2 2 3" xfId="5567"/>
    <cellStyle name="常规 13 3 2 3" xfId="1616"/>
    <cellStyle name="常规 13 3 2 3 2" xfId="782"/>
    <cellStyle name="常规 13 3 2 4" xfId="1623"/>
    <cellStyle name="常规 13 3 3" xfId="12809"/>
    <cellStyle name="常规 13 3 3 2" xfId="5576"/>
    <cellStyle name="常规 13 3 3 2 2" xfId="12274"/>
    <cellStyle name="常规 13 3 3 3" xfId="12278"/>
    <cellStyle name="常规 13 3 4" xfId="12811"/>
    <cellStyle name="常规 13 3 4 2" xfId="12290"/>
    <cellStyle name="常规 13 3 4 2 2" xfId="12813"/>
    <cellStyle name="常规 13 3 4 3" xfId="12816"/>
    <cellStyle name="常规 13 3 5" xfId="12820"/>
    <cellStyle name="常规 13 3 5 2" xfId="12300"/>
    <cellStyle name="常规 13 3 6" xfId="12822"/>
    <cellStyle name="常规 13 3 7" xfId="12824"/>
    <cellStyle name="常规 13 4" xfId="12825"/>
    <cellStyle name="常规 13 4 2" xfId="12828"/>
    <cellStyle name="常规 13 4 2 2" xfId="1135"/>
    <cellStyle name="常规 13 4 2 2 2" xfId="1147"/>
    <cellStyle name="常规 13 4 2 3" xfId="1182"/>
    <cellStyle name="常规 13 4 3" xfId="12829"/>
    <cellStyle name="常规 13 4 3 2" xfId="1200"/>
    <cellStyle name="常规 13 4 4" xfId="12830"/>
    <cellStyle name="常规 13 5" xfId="12832"/>
    <cellStyle name="常规 13 5 2" xfId="12834"/>
    <cellStyle name="常规 13 5 2 2" xfId="1251"/>
    <cellStyle name="常规 13 5 3" xfId="12836"/>
    <cellStyle name="常规 13 6" xfId="1313"/>
    <cellStyle name="常规 13 6 2" xfId="180"/>
    <cellStyle name="常规 13 6 2 2" xfId="12838"/>
    <cellStyle name="常规 13 6 3" xfId="12840"/>
    <cellStyle name="常规 13 7" xfId="1341"/>
    <cellStyle name="常规 13 7 2" xfId="12842"/>
    <cellStyle name="常规 13 8" xfId="12844"/>
    <cellStyle name="常规 13 8 2" xfId="12845"/>
    <cellStyle name="常规 13 9" xfId="12846"/>
    <cellStyle name="常规 13 9 2" xfId="12847"/>
    <cellStyle name="常规 14" xfId="12849"/>
    <cellStyle name="常规 14 2" xfId="12854"/>
    <cellStyle name="常规 14 2 2" xfId="12858"/>
    <cellStyle name="常规 14 2 2 2" xfId="12860"/>
    <cellStyle name="常规 14 2 2 2 2" xfId="12861"/>
    <cellStyle name="常规 14 2 2 2 2 2" xfId="12863"/>
    <cellStyle name="常规 14 2 2 2 3" xfId="12865"/>
    <cellStyle name="常规 14 2 2 3" xfId="12867"/>
    <cellStyle name="常规 14 2 2 3 2" xfId="12869"/>
    <cellStyle name="常规 14 2 2 4" xfId="12871"/>
    <cellStyle name="常规 14 2 3" xfId="12873"/>
    <cellStyle name="常规 14 2 3 2" xfId="12874"/>
    <cellStyle name="常规 14 2 3 2 2" xfId="12875"/>
    <cellStyle name="常规 14 2 3 3" xfId="12876"/>
    <cellStyle name="常规 14 2 4" xfId="12878"/>
    <cellStyle name="常规 14 2 4 2" xfId="12880"/>
    <cellStyle name="常规 14 2 4 2 2" xfId="12882"/>
    <cellStyle name="常规 14 2 4 3" xfId="12884"/>
    <cellStyle name="常规 14 2 5" xfId="12886"/>
    <cellStyle name="常规 14 2 5 2" xfId="12889"/>
    <cellStyle name="常规 14 2 6" xfId="12891"/>
    <cellStyle name="常规 14 2 7" xfId="12894"/>
    <cellStyle name="常规 14 3" xfId="12897"/>
    <cellStyle name="常规 14 3 2" xfId="12901"/>
    <cellStyle name="常规 14 3 2 2" xfId="5011"/>
    <cellStyle name="常规 14 3 2 2 2" xfId="5014"/>
    <cellStyle name="常规 14 3 2 3" xfId="5018"/>
    <cellStyle name="常规 14 3 3" xfId="12903"/>
    <cellStyle name="常规 14 3 3 2" xfId="12361"/>
    <cellStyle name="常规 14 3 4" xfId="12904"/>
    <cellStyle name="常规 14 4" xfId="12908"/>
    <cellStyle name="常规 14 4 2" xfId="12912"/>
    <cellStyle name="常规 14 4 2 2" xfId="12914"/>
    <cellStyle name="常规 14 4 3" xfId="12917"/>
    <cellStyle name="常规 14 5" xfId="12919"/>
    <cellStyle name="常规 14 5 2" xfId="12921"/>
    <cellStyle name="常规 14 5 2 2" xfId="12923"/>
    <cellStyle name="常规 14 5 3" xfId="12925"/>
    <cellStyle name="常规 14 6" xfId="1037"/>
    <cellStyle name="常规 14 6 2" xfId="1427"/>
    <cellStyle name="常规 14 7" xfId="1430"/>
    <cellStyle name="常规 14 7 2" xfId="12927"/>
    <cellStyle name="常规 14 8" xfId="12929"/>
    <cellStyle name="常规 15" xfId="12931"/>
    <cellStyle name="常规 15 2" xfId="9761"/>
    <cellStyle name="常规 15 2 2" xfId="12934"/>
    <cellStyle name="常规 15 2 2 2" xfId="12936"/>
    <cellStyle name="常规 15 2 2 2 2" xfId="12938"/>
    <cellStyle name="常规 15 2 2 2 2 2" xfId="12940"/>
    <cellStyle name="常规 15 2 2 2 3" xfId="12942"/>
    <cellStyle name="常规 15 2 2 3" xfId="12943"/>
    <cellStyle name="常规 15 2 2 3 2" xfId="12945"/>
    <cellStyle name="常规 15 2 2 4" xfId="12947"/>
    <cellStyle name="常规 15 2 3" xfId="12949"/>
    <cellStyle name="常规 15 2 3 2" xfId="12951"/>
    <cellStyle name="常规 15 2 3 2 2" xfId="4041"/>
    <cellStyle name="常规 15 2 3 3" xfId="12952"/>
    <cellStyle name="常规 15 2 4" xfId="12955"/>
    <cellStyle name="常规 15 2 4 2" xfId="12957"/>
    <cellStyle name="常规 15 2 5" xfId="12959"/>
    <cellStyle name="常规 15 3" xfId="12963"/>
    <cellStyle name="常规 15 3 2" xfId="12965"/>
    <cellStyle name="常规 15 3 2 2" xfId="4394"/>
    <cellStyle name="常规 15 3 3" xfId="12967"/>
    <cellStyle name="常规 15 4" xfId="12971"/>
    <cellStyle name="常规 15 4 2" xfId="12973"/>
    <cellStyle name="常规 15 4 2 2" xfId="1451"/>
    <cellStyle name="常规 15 4 3" xfId="12974"/>
    <cellStyle name="常规 15 5" xfId="12976"/>
    <cellStyle name="常规 16" xfId="12978"/>
    <cellStyle name="常规 16 2" xfId="9813"/>
    <cellStyle name="常规 16 2 2" xfId="9817"/>
    <cellStyle name="常规 16 2 2 2" xfId="12982"/>
    <cellStyle name="常规 16 2 2 2 2" xfId="12984"/>
    <cellStyle name="常规 16 2 2 2 2 2" xfId="12986"/>
    <cellStyle name="常规 16 2 2 2 3" xfId="12987"/>
    <cellStyle name="常规 16 2 2 3" xfId="12988"/>
    <cellStyle name="常规 16 2 2 3 2" xfId="12990"/>
    <cellStyle name="常规 16 2 2 4" xfId="12992"/>
    <cellStyle name="常规 16 2 3" xfId="12995"/>
    <cellStyle name="常规 16 2 3 2" xfId="12997"/>
    <cellStyle name="常规 16 2 3 2 2" xfId="12999"/>
    <cellStyle name="常规 16 2 3 3" xfId="13000"/>
    <cellStyle name="常规 16 2 4" xfId="13004"/>
    <cellStyle name="常规 16 2 4 2" xfId="13006"/>
    <cellStyle name="常规 16 2 4 2 2" xfId="13008"/>
    <cellStyle name="常规 16 2 4 3" xfId="13010"/>
    <cellStyle name="常规 16 2 5" xfId="13013"/>
    <cellStyle name="常规 16 2 6" xfId="13017"/>
    <cellStyle name="常规 16 3" xfId="9821"/>
    <cellStyle name="常规 16 3 2" xfId="13021"/>
    <cellStyle name="常规 16 3 2 2" xfId="13024"/>
    <cellStyle name="常规 16 3 2 2 2" xfId="13027"/>
    <cellStyle name="常规 16 3 2 2 2 2" xfId="13030"/>
    <cellStyle name="常规 16 3 2 2 3" xfId="13032"/>
    <cellStyle name="常规 16 3 2 3" xfId="13033"/>
    <cellStyle name="常规 16 3 2 3 2" xfId="13036"/>
    <cellStyle name="常规 16 3 2 4" xfId="13038"/>
    <cellStyle name="常规 16 3 3" xfId="13042"/>
    <cellStyle name="常规 16 3 3 2" xfId="13044"/>
    <cellStyle name="常规 16 3 3 2 2" xfId="13047"/>
    <cellStyle name="常规 16 3 3 3" xfId="13048"/>
    <cellStyle name="常规 16 3 4" xfId="13052"/>
    <cellStyle name="常规 16 3 4 2" xfId="13054"/>
    <cellStyle name="常规 16 3 5" xfId="13057"/>
    <cellStyle name="常规 16 4" xfId="13061"/>
    <cellStyle name="常规 16 4 2" xfId="13063"/>
    <cellStyle name="常规 16 4 2 2" xfId="13065"/>
    <cellStyle name="常规 16 4 3" xfId="13068"/>
    <cellStyle name="常规 16 5" xfId="13071"/>
    <cellStyle name="常规 16 5 2" xfId="13073"/>
    <cellStyle name="常规 16 5 2 2" xfId="13075"/>
    <cellStyle name="常规 16 5 3" xfId="10047"/>
    <cellStyle name="常规 16 6" xfId="1597"/>
    <cellStyle name="常规 17" xfId="13077"/>
    <cellStyle name="常规 17 2" xfId="1275"/>
    <cellStyle name="常规 17 2 2" xfId="5550"/>
    <cellStyle name="常规 17 2 2 2" xfId="2563"/>
    <cellStyle name="常规 17 2 2 3" xfId="13080"/>
    <cellStyle name="常规 17 2 3" xfId="5554"/>
    <cellStyle name="常规 17 2 3 2" xfId="13083"/>
    <cellStyle name="常规 17 3" xfId="5559"/>
    <cellStyle name="常规 17 3 2" xfId="5564"/>
    <cellStyle name="常规 17 3 2 2" xfId="4808"/>
    <cellStyle name="常规 17 3 3" xfId="5569"/>
    <cellStyle name="常规 17 4" xfId="1614"/>
    <cellStyle name="常规 17 4 2" xfId="779"/>
    <cellStyle name="常规 17 4 2 2" xfId="13085"/>
    <cellStyle name="常规 17 4 3" xfId="13088"/>
    <cellStyle name="常规 17 5" xfId="1621"/>
    <cellStyle name="常规 17 6" xfId="1630"/>
    <cellStyle name="常规 18" xfId="12268"/>
    <cellStyle name="常规 18 2" xfId="475"/>
    <cellStyle name="常规 18 3" xfId="5577"/>
    <cellStyle name="常规 18 3 2" xfId="12275"/>
    <cellStyle name="常规 19" xfId="12281"/>
    <cellStyle name="常规 19 2" xfId="5584"/>
    <cellStyle name="常规 19 2 2" xfId="12287"/>
    <cellStyle name="常规 19 2 2 2" xfId="13090"/>
    <cellStyle name="常规 19 2 3" xfId="7200"/>
    <cellStyle name="常规 19 2 4" xfId="4719"/>
    <cellStyle name="常规 19 3" xfId="12292"/>
    <cellStyle name="常规 19 3 2" xfId="12814"/>
    <cellStyle name="常规 19 3 2 2" xfId="13092"/>
    <cellStyle name="常规 19 3 3" xfId="7205"/>
    <cellStyle name="常规 19 4" xfId="12818"/>
    <cellStyle name="常规 19 4 2" xfId="13095"/>
    <cellStyle name="常规 19 5" xfId="13099"/>
    <cellStyle name="常规 19 6" xfId="13101"/>
    <cellStyle name="常规 19 7" xfId="13105"/>
    <cellStyle name="常规 19 8" xfId="13108"/>
    <cellStyle name="常规 2" xfId="1454"/>
    <cellStyle name="常规 2 10" xfId="13110"/>
    <cellStyle name="常规 2 10 10" xfId="13112"/>
    <cellStyle name="常规 2 10 2" xfId="6291"/>
    <cellStyle name="常规 2 10 2 10" xfId="13116"/>
    <cellStyle name="常规 2 10 2 2" xfId="13081"/>
    <cellStyle name="常规 2 10 2 2 2" xfId="13120"/>
    <cellStyle name="常规 2 10 2 2 2 2" xfId="13122"/>
    <cellStyle name="常规 2 10 2 2 2 2 2" xfId="13124"/>
    <cellStyle name="常规 2 10 2 2 2 2 2 2" xfId="13126"/>
    <cellStyle name="常规 2 10 2 2 2 2 2 2 2" xfId="13128"/>
    <cellStyle name="常规 2 10 2 2 2 2 2 3" xfId="13129"/>
    <cellStyle name="常规 2 10 2 2 2 2 3" xfId="13132"/>
    <cellStyle name="常规 2 10 2 2 2 2 3 2" xfId="13134"/>
    <cellStyle name="常规 2 10 2 2 2 2 4" xfId="13135"/>
    <cellStyle name="常规 2 10 2 2 2 3" xfId="13137"/>
    <cellStyle name="常规 2 10 2 2 2 3 2" xfId="13139"/>
    <cellStyle name="常规 2 10 2 2 2 3 2 2" xfId="13141"/>
    <cellStyle name="常规 2 10 2 2 2 3 3" xfId="13142"/>
    <cellStyle name="常规 2 10 2 2 2 4" xfId="13143"/>
    <cellStyle name="常规 2 10 2 2 2 4 2" xfId="13145"/>
    <cellStyle name="常规 2 10 2 2 2 4 2 2" xfId="13146"/>
    <cellStyle name="常规 2 10 2 2 2 4 3" xfId="13149"/>
    <cellStyle name="常规 2 10 2 2 2 5" xfId="13150"/>
    <cellStyle name="常规 2 10 2 2 2 5 2" xfId="13152"/>
    <cellStyle name="常规 2 10 2 2 2 6" xfId="13154"/>
    <cellStyle name="常规 2 10 2 2 2 7" xfId="13156"/>
    <cellStyle name="常规 2 10 2 2 3" xfId="13157"/>
    <cellStyle name="常规 2 10 2 2 3 2" xfId="13159"/>
    <cellStyle name="常规 2 10 2 2 3 2 2" xfId="13162"/>
    <cellStyle name="常规 2 10 2 2 3 2 2 2" xfId="13165"/>
    <cellStyle name="常规 2 10 2 2 3 2 3" xfId="13166"/>
    <cellStyle name="常规 2 10 2 2 3 3" xfId="13167"/>
    <cellStyle name="常规 2 10 2 2 3 3 2" xfId="131"/>
    <cellStyle name="常规 2 10 2 2 3 4" xfId="13170"/>
    <cellStyle name="常规 2 10 2 2 4" xfId="13174"/>
    <cellStyle name="常规 2 10 2 2 4 2" xfId="13177"/>
    <cellStyle name="常规 2 10 2 2 4 2 2" xfId="13181"/>
    <cellStyle name="常规 2 10 2 2 4 3" xfId="13185"/>
    <cellStyle name="常规 2 10 2 2 5" xfId="13189"/>
    <cellStyle name="常规 2 10 2 2 5 2" xfId="13192"/>
    <cellStyle name="常规 2 10 2 2 5 2 2" xfId="8267"/>
    <cellStyle name="常规 2 10 2 2 5 3" xfId="13197"/>
    <cellStyle name="常规 2 10 2 2 6" xfId="13199"/>
    <cellStyle name="常规 2 10 2 2 6 2" xfId="13203"/>
    <cellStyle name="常规 2 10 2 2 7" xfId="13207"/>
    <cellStyle name="常规 2 10 2 2 7 2" xfId="856"/>
    <cellStyle name="常规 2 10 2 2 8" xfId="13211"/>
    <cellStyle name="常规 2 10 2 3" xfId="13214"/>
    <cellStyle name="常规 2 10 2 3 2" xfId="70"/>
    <cellStyle name="常规 2 10 2 3 2 2" xfId="13216"/>
    <cellStyle name="常规 2 10 2 3 2 2 2" xfId="13219"/>
    <cellStyle name="常规 2 10 2 3 2 2 2 2" xfId="7597"/>
    <cellStyle name="常规 2 10 2 3 2 2 2 2 2" xfId="7599"/>
    <cellStyle name="常规 2 10 2 3 2 2 2 2 2 2" xfId="13221"/>
    <cellStyle name="常规 2 10 2 3 2 2 2 2 3" xfId="13222"/>
    <cellStyle name="常规 2 10 2 3 2 2 2 3" xfId="7601"/>
    <cellStyle name="常规 2 10 2 3 2 2 2 3 2" xfId="13223"/>
    <cellStyle name="常规 2 10 2 3 2 2 2 4" xfId="13225"/>
    <cellStyle name="常规 2 10 2 3 2 2 3" xfId="13226"/>
    <cellStyle name="常规 2 10 2 3 2 2 3 2" xfId="13227"/>
    <cellStyle name="常规 2 10 2 3 2 2 3 2 2" xfId="13228"/>
    <cellStyle name="常规 2 10 2 3 2 2 3 3" xfId="177"/>
    <cellStyle name="常规 2 10 2 3 2 2 4" xfId="13229"/>
    <cellStyle name="常规 2 10 2 3 2 2 4 2" xfId="13230"/>
    <cellStyle name="常规 2 10 2 3 2 2 4 2 2" xfId="13231"/>
    <cellStyle name="常规 2 10 2 3 2 2 4 3" xfId="1264"/>
    <cellStyle name="常规 2 10 2 3 2 2 5" xfId="13232"/>
    <cellStyle name="常规 2 10 2 3 2 2 5 2" xfId="13233"/>
    <cellStyle name="常规 2 10 2 3 2 2 6" xfId="13235"/>
    <cellStyle name="常规 2 10 2 3 2 2 7" xfId="13236"/>
    <cellStyle name="常规 2 10 2 3 2 3" xfId="13237"/>
    <cellStyle name="常规 2 10 2 3 2 3 2" xfId="13240"/>
    <cellStyle name="常规 2 10 2 3 2 3 2 2" xfId="13241"/>
    <cellStyle name="常规 2 10 2 3 2 3 2 2 2" xfId="13242"/>
    <cellStyle name="常规 2 10 2 3 2 3 2 3" xfId="13243"/>
    <cellStyle name="常规 2 10 2 3 2 3 3" xfId="2251"/>
    <cellStyle name="常规 2 10 2 3 2 3 3 2" xfId="2254"/>
    <cellStyle name="常规 2 10 2 3 2 3 4" xfId="2261"/>
    <cellStyle name="常规 2 10 2 3 2 4" xfId="13244"/>
    <cellStyle name="常规 2 10 2 3 2 4 2" xfId="13246"/>
    <cellStyle name="常规 2 10 2 3 2 4 2 2" xfId="13248"/>
    <cellStyle name="常规 2 10 2 3 2 4 3" xfId="2274"/>
    <cellStyle name="常规 2 10 2 3 2 5" xfId="13250"/>
    <cellStyle name="常规 2 10 2 3 2 5 2" xfId="13251"/>
    <cellStyle name="常规 2 10 2 3 2 5 2 2" xfId="13254"/>
    <cellStyle name="常规 2 10 2 3 2 5 3" xfId="2282"/>
    <cellStyle name="常规 2 10 2 3 2 6" xfId="13256"/>
    <cellStyle name="常规 2 10 2 3 2 6 2" xfId="13257"/>
    <cellStyle name="常规 2 10 2 3 2 7" xfId="13261"/>
    <cellStyle name="常规 2 10 2 3 2 7 2" xfId="13262"/>
    <cellStyle name="常规 2 10 2 3 2 8" xfId="13265"/>
    <cellStyle name="常规 2 10 2 3 3" xfId="13266"/>
    <cellStyle name="常规 2 10 2 3 3 2" xfId="13268"/>
    <cellStyle name="常规 2 10 2 3 3 2 2" xfId="13271"/>
    <cellStyle name="常规 2 10 2 3 3 2 2 2" xfId="13272"/>
    <cellStyle name="常规 2 10 2 3 3 2 2 2 2" xfId="13273"/>
    <cellStyle name="常规 2 10 2 3 3 2 2 3" xfId="13274"/>
    <cellStyle name="常规 2 10 2 3 3 2 3" xfId="13276"/>
    <cellStyle name="常规 2 10 2 3 3 2 3 2" xfId="13277"/>
    <cellStyle name="常规 2 10 2 3 3 2 4" xfId="13278"/>
    <cellStyle name="常规 2 10 2 3 3 3" xfId="13279"/>
    <cellStyle name="常规 2 10 2 3 3 3 2" xfId="13281"/>
    <cellStyle name="常规 2 10 2 3 3 3 2 2" xfId="13282"/>
    <cellStyle name="常规 2 10 2 3 3 3 3" xfId="2331"/>
    <cellStyle name="常规 2 10 2 3 3 4" xfId="13283"/>
    <cellStyle name="常规 2 10 2 3 3 4 2" xfId="13284"/>
    <cellStyle name="常规 2 10 2 3 3 4 2 2" xfId="13286"/>
    <cellStyle name="常规 2 10 2 3 3 4 3" xfId="2337"/>
    <cellStyle name="常规 2 10 2 3 3 5" xfId="13287"/>
    <cellStyle name="常规 2 10 2 3 3 5 2" xfId="13288"/>
    <cellStyle name="常规 2 10 2 3 3 6" xfId="1090"/>
    <cellStyle name="常规 2 10 2 3 3 7" xfId="3520"/>
    <cellStyle name="常规 2 10 2 3 4" xfId="13291"/>
    <cellStyle name="常规 2 10 2 3 4 2" xfId="13294"/>
    <cellStyle name="常规 2 10 2 3 4 2 2" xfId="13296"/>
    <cellStyle name="常规 2 10 2 3 4 2 2 2" xfId="13298"/>
    <cellStyle name="常规 2 10 2 3 4 2 3" xfId="13301"/>
    <cellStyle name="常规 2 10 2 3 4 2 4" xfId="13304"/>
    <cellStyle name="常规 2 10 2 3 4 3" xfId="13306"/>
    <cellStyle name="常规 2 10 2 3 4 3 2" xfId="13308"/>
    <cellStyle name="常规 2 10 2 3 4 4" xfId="13310"/>
    <cellStyle name="常规 2 10 2 3 4 5" xfId="13313"/>
    <cellStyle name="常规 2 10 2 3 4 6" xfId="3523"/>
    <cellStyle name="常规 2 10 2 3 5" xfId="13315"/>
    <cellStyle name="常规 2 10 2 3 5 2" xfId="13318"/>
    <cellStyle name="常规 2 10 2 3 5 2 2" xfId="13320"/>
    <cellStyle name="常规 2 10 2 3 5 3" xfId="13322"/>
    <cellStyle name="常规 2 10 2 3 5 4" xfId="13324"/>
    <cellStyle name="常规 2 10 2 3 6" xfId="13326"/>
    <cellStyle name="常规 2 10 2 3 6 2" xfId="13330"/>
    <cellStyle name="常规 2 10 2 3 6 2 2" xfId="13333"/>
    <cellStyle name="常规 2 10 2 3 6 3" xfId="13335"/>
    <cellStyle name="常规 2 10 2 3 6 4" xfId="13338"/>
    <cellStyle name="常规 2 10 2 3 7" xfId="13341"/>
    <cellStyle name="常规 2 10 2 3 7 2" xfId="600"/>
    <cellStyle name="常规 2 10 2 3 8" xfId="13344"/>
    <cellStyle name="常规 2 10 2 3 8 2" xfId="13347"/>
    <cellStyle name="常规 2 10 2 3 9" xfId="13349"/>
    <cellStyle name="常规 2 10 2 4" xfId="13350"/>
    <cellStyle name="常规 2 10 2 4 2" xfId="13352"/>
    <cellStyle name="常规 2 10 2 4 2 2" xfId="13354"/>
    <cellStyle name="常规 2 10 2 4 2 2 2" xfId="13356"/>
    <cellStyle name="常规 2 10 2 4 2 2 2 2" xfId="13357"/>
    <cellStyle name="常规 2 10 2 4 2 2 3" xfId="13358"/>
    <cellStyle name="常规 2 10 2 4 2 2 4" xfId="13359"/>
    <cellStyle name="常规 2 10 2 4 2 3" xfId="13360"/>
    <cellStyle name="常规 2 10 2 4 2 3 2" xfId="13361"/>
    <cellStyle name="常规 2 10 2 4 2 4" xfId="13362"/>
    <cellStyle name="常规 2 10 2 4 2 5" xfId="13363"/>
    <cellStyle name="常规 2 10 2 4 3" xfId="13365"/>
    <cellStyle name="常规 2 10 2 4 3 2" xfId="13367"/>
    <cellStyle name="常规 2 10 2 4 3 2 2" xfId="13368"/>
    <cellStyle name="常规 2 10 2 4 3 3" xfId="13369"/>
    <cellStyle name="常规 2 10 2 4 3 4" xfId="13370"/>
    <cellStyle name="常规 2 10 2 4 4" xfId="13372"/>
    <cellStyle name="常规 2 10 2 4 4 2" xfId="13375"/>
    <cellStyle name="常规 2 10 2 4 4 2 2" xfId="13377"/>
    <cellStyle name="常规 2 10 2 4 4 3" xfId="13380"/>
    <cellStyle name="常规 2 10 2 4 4 4" xfId="13382"/>
    <cellStyle name="常规 2 10 2 4 5" xfId="13385"/>
    <cellStyle name="常规 2 10 2 4 5 2" xfId="9556"/>
    <cellStyle name="常规 2 10 2 4 6" xfId="13387"/>
    <cellStyle name="常规 2 10 2 4 7" xfId="13390"/>
    <cellStyle name="常规 2 10 2 4 8" xfId="13393"/>
    <cellStyle name="常规 2 10 2 5" xfId="13396"/>
    <cellStyle name="常规 2 10 2 5 2" xfId="13398"/>
    <cellStyle name="常规 2 10 2 5 2 2" xfId="13400"/>
    <cellStyle name="常规 2 10 2 5 2 2 2" xfId="13402"/>
    <cellStyle name="常规 2 10 2 5 2 3" xfId="13403"/>
    <cellStyle name="常规 2 10 2 5 2 4" xfId="13404"/>
    <cellStyle name="常规 2 10 2 5 3" xfId="11920"/>
    <cellStyle name="常规 2 10 2 5 3 2" xfId="13405"/>
    <cellStyle name="常规 2 10 2 5 4" xfId="13407"/>
    <cellStyle name="常规 2 10 2 5 5" xfId="13410"/>
    <cellStyle name="常规 2 10 2 5 6" xfId="13412"/>
    <cellStyle name="常规 2 10 2 6" xfId="13415"/>
    <cellStyle name="常规 2 10 2 6 2" xfId="13417"/>
    <cellStyle name="常规 2 10 2 6 2 2" xfId="8834"/>
    <cellStyle name="常规 2 10 2 6 3" xfId="13419"/>
    <cellStyle name="常规 2 10 2 6 4" xfId="13421"/>
    <cellStyle name="常规 2 10 2 7" xfId="13422"/>
    <cellStyle name="常规 2 10 2 7 2" xfId="13424"/>
    <cellStyle name="常规 2 10 2 7 2 2" xfId="13426"/>
    <cellStyle name="常规 2 10 2 7 3" xfId="13427"/>
    <cellStyle name="常规 2 10 2 7 4" xfId="13429"/>
    <cellStyle name="常规 2 10 2 8" xfId="13430"/>
    <cellStyle name="常规 2 10 2 8 2" xfId="13432"/>
    <cellStyle name="常规 2 10 2 9" xfId="13434"/>
    <cellStyle name="常规 2 10 2 9 2" xfId="13437"/>
    <cellStyle name="常规 2 10 3" xfId="13439"/>
    <cellStyle name="常规 2 10 3 10" xfId="13441"/>
    <cellStyle name="常规 2 10 3 11" xfId="13443"/>
    <cellStyle name="常规 2 10 3 2" xfId="13445"/>
    <cellStyle name="常规 2 10 3 2 10" xfId="13447"/>
    <cellStyle name="常规 2 10 3 2 2" xfId="13448"/>
    <cellStyle name="常规 2 10 3 2 2 2" xfId="13450"/>
    <cellStyle name="常规 2 10 3 2 2 2 2" xfId="13452"/>
    <cellStyle name="常规 2 10 3 2 2 2 2 2" xfId="13454"/>
    <cellStyle name="常规 2 10 3 2 2 2 2 2 2" xfId="13455"/>
    <cellStyle name="常规 2 10 3 2 2 2 2 3" xfId="13456"/>
    <cellStyle name="常规 2 10 3 2 2 2 2 4" xfId="13457"/>
    <cellStyle name="常规 2 10 3 2 2 2 3" xfId="13458"/>
    <cellStyle name="常规 2 10 3 2 2 2 3 2" xfId="13459"/>
    <cellStyle name="常规 2 10 3 2 2 2 4" xfId="13460"/>
    <cellStyle name="常规 2 10 3 2 2 2 5" xfId="13461"/>
    <cellStyle name="常规 2 10 3 2 2 3" xfId="13462"/>
    <cellStyle name="常规 2 10 3 2 2 3 2" xfId="13464"/>
    <cellStyle name="常规 2 10 3 2 2 3 2 2" xfId="13466"/>
    <cellStyle name="常规 2 10 3 2 2 3 3" xfId="13468"/>
    <cellStyle name="常规 2 10 3 2 2 3 4" xfId="13469"/>
    <cellStyle name="常规 2 10 3 2 2 4" xfId="13470"/>
    <cellStyle name="常规 2 10 3 2 2 4 2" xfId="13472"/>
    <cellStyle name="常规 2 10 3 2 2 4 2 2" xfId="13473"/>
    <cellStyle name="常规 2 10 3 2 2 4 3" xfId="13474"/>
    <cellStyle name="常规 2 10 3 2 2 4 4" xfId="13475"/>
    <cellStyle name="常规 2 10 3 2 2 5" xfId="13476"/>
    <cellStyle name="常规 2 10 3 2 2 5 2" xfId="13477"/>
    <cellStyle name="常规 2 10 3 2 2 6" xfId="13479"/>
    <cellStyle name="常规 2 10 3 2 2 7" xfId="13480"/>
    <cellStyle name="常规 2 10 3 2 2 8" xfId="13482"/>
    <cellStyle name="常规 2 10 3 2 3" xfId="13484"/>
    <cellStyle name="常规 2 10 3 2 3 2" xfId="13486"/>
    <cellStyle name="常规 2 10 3 2 3 2 2" xfId="13489"/>
    <cellStyle name="常规 2 10 3 2 3 2 2 2" xfId="13490"/>
    <cellStyle name="常规 2 10 3 2 3 2 3" xfId="13491"/>
    <cellStyle name="常规 2 10 3 2 3 2 4" xfId="13492"/>
    <cellStyle name="常规 2 10 3 2 3 3" xfId="13493"/>
    <cellStyle name="常规 2 10 3 2 3 3 2" xfId="13494"/>
    <cellStyle name="常规 2 10 3 2 3 4" xfId="13495"/>
    <cellStyle name="常规 2 10 3 2 3 5" xfId="13496"/>
    <cellStyle name="常规 2 10 3 2 3 6" xfId="282"/>
    <cellStyle name="常规 2 10 3 2 4" xfId="13498"/>
    <cellStyle name="常规 2 10 3 2 4 2" xfId="13501"/>
    <cellStyle name="常规 2 10 3 2 4 2 2" xfId="13503"/>
    <cellStyle name="常规 2 10 3 2 4 3" xfId="13505"/>
    <cellStyle name="常规 2 10 3 2 4 4" xfId="13507"/>
    <cellStyle name="常规 2 10 3 2 5" xfId="13510"/>
    <cellStyle name="常规 2 10 3 2 5 2" xfId="13513"/>
    <cellStyle name="常规 2 10 3 2 5 2 2" xfId="13515"/>
    <cellStyle name="常规 2 10 3 2 5 3" xfId="13517"/>
    <cellStyle name="常规 2 10 3 2 5 4" xfId="13519"/>
    <cellStyle name="常规 2 10 3 2 6" xfId="1143"/>
    <cellStyle name="常规 2 10 3 2 6 2" xfId="1156"/>
    <cellStyle name="常规 2 10 3 2 7" xfId="1169"/>
    <cellStyle name="常规 2 10 3 2 7 2" xfId="1006"/>
    <cellStyle name="常规 2 10 3 2 8" xfId="4950"/>
    <cellStyle name="常规 2 10 3 2 9" xfId="4958"/>
    <cellStyle name="常规 2 10 3 3" xfId="13520"/>
    <cellStyle name="常规 2 10 3 3 2" xfId="13522"/>
    <cellStyle name="常规 2 10 3 3 2 2" xfId="13524"/>
    <cellStyle name="常规 2 10 3 3 2 2 2" xfId="13526"/>
    <cellStyle name="常规 2 10 3 3 2 2 2 2" xfId="13527"/>
    <cellStyle name="常规 2 10 3 3 2 2 3" xfId="13528"/>
    <cellStyle name="常规 2 10 3 3 2 2 4" xfId="13529"/>
    <cellStyle name="常规 2 10 3 3 2 3" xfId="13530"/>
    <cellStyle name="常规 2 10 3 3 2 3 2" xfId="13531"/>
    <cellStyle name="常规 2 10 3 3 2 4" xfId="13533"/>
    <cellStyle name="常规 2 10 3 3 2 5" xfId="13534"/>
    <cellStyle name="常规 2 10 3 3 3" xfId="13535"/>
    <cellStyle name="常规 2 10 3 3 3 2" xfId="13537"/>
    <cellStyle name="常规 2 10 3 3 3 2 2" xfId="10017"/>
    <cellStyle name="常规 2 10 3 3 3 3" xfId="13538"/>
    <cellStyle name="常规 2 10 3 3 3 4" xfId="13539"/>
    <cellStyle name="常规 2 10 3 3 4" xfId="13541"/>
    <cellStyle name="常规 2 10 3 3 4 2" xfId="13544"/>
    <cellStyle name="常规 2 10 3 3 4 2 2" xfId="13546"/>
    <cellStyle name="常规 2 10 3 3 4 3" xfId="5609"/>
    <cellStyle name="常规 2 10 3 3 4 4" xfId="5614"/>
    <cellStyle name="常规 2 10 3 3 5" xfId="13548"/>
    <cellStyle name="常规 2 10 3 3 5 2" xfId="13551"/>
    <cellStyle name="常规 2 10 3 3 6" xfId="144"/>
    <cellStyle name="常规 2 10 3 3 7" xfId="13553"/>
    <cellStyle name="常规 2 10 3 3 8" xfId="2973"/>
    <cellStyle name="常规 2 10 3 4" xfId="13556"/>
    <cellStyle name="常规 2 10 3 4 2" xfId="13558"/>
    <cellStyle name="常规 2 10 3 4 2 2" xfId="8857"/>
    <cellStyle name="常规 2 10 3 4 2 2 2" xfId="8860"/>
    <cellStyle name="常规 2 10 3 4 2 3" xfId="8862"/>
    <cellStyle name="常规 2 10 3 4 2 4" xfId="8864"/>
    <cellStyle name="常规 2 10 3 4 3" xfId="13561"/>
    <cellStyle name="常规 2 10 3 4 3 2" xfId="13564"/>
    <cellStyle name="常规 2 10 3 4 4" xfId="13566"/>
    <cellStyle name="常规 2 10 3 4 5" xfId="13571"/>
    <cellStyle name="常规 2 10 3 4 6" xfId="847"/>
    <cellStyle name="常规 2 10 3 5" xfId="13572"/>
    <cellStyle name="常规 2 10 3 5 2" xfId="13574"/>
    <cellStyle name="常规 2 10 3 5 2 2" xfId="9058"/>
    <cellStyle name="常规 2 10 3 5 3" xfId="13577"/>
    <cellStyle name="常规 2 10 3 5 4" xfId="13580"/>
    <cellStyle name="常规 2 10 3 6" xfId="13581"/>
    <cellStyle name="常规 2 10 3 6 2" xfId="13583"/>
    <cellStyle name="常规 2 10 3 6 2 2" xfId="9025"/>
    <cellStyle name="常规 2 10 3 6 3" xfId="13584"/>
    <cellStyle name="常规 2 10 3 6 4" xfId="13586"/>
    <cellStyle name="常规 2 10 3 7" xfId="13587"/>
    <cellStyle name="常规 2 10 3 7 2" xfId="13589"/>
    <cellStyle name="常规 2 10 3 8" xfId="13590"/>
    <cellStyle name="常规 2 10 3 8 2" xfId="13592"/>
    <cellStyle name="常规 2 10 3 9" xfId="13594"/>
    <cellStyle name="常规 2 10 4" xfId="13595"/>
    <cellStyle name="常规 2 10 4 2" xfId="13597"/>
    <cellStyle name="常规 2 10 4 2 2" xfId="13601"/>
    <cellStyle name="常规 2 10 4 2 2 2" xfId="13603"/>
    <cellStyle name="常规 2 10 4 2 2 2 2" xfId="13605"/>
    <cellStyle name="常规 2 10 4 2 2 3" xfId="13606"/>
    <cellStyle name="常规 2 10 4 2 2 4" xfId="13607"/>
    <cellStyle name="常规 2 10 4 2 3" xfId="13608"/>
    <cellStyle name="常规 2 10 4 2 3 2" xfId="13611"/>
    <cellStyle name="常规 2 10 4 2 4" xfId="13614"/>
    <cellStyle name="常规 2 10 4 2 5" xfId="13617"/>
    <cellStyle name="常规 2 10 4 3" xfId="12095"/>
    <cellStyle name="常规 2 10 4 3 2" xfId="13618"/>
    <cellStyle name="常规 2 10 4 3 2 2" xfId="13621"/>
    <cellStyle name="常规 2 10 4 3 3" xfId="13622"/>
    <cellStyle name="常规 2 10 4 3 4" xfId="13625"/>
    <cellStyle name="常规 2 10 4 4" xfId="13626"/>
    <cellStyle name="常规 2 10 4 4 2" xfId="13628"/>
    <cellStyle name="常规 2 10 4 4 2 2" xfId="13630"/>
    <cellStyle name="常规 2 10 4 4 3" xfId="13633"/>
    <cellStyle name="常规 2 10 4 4 4" xfId="13636"/>
    <cellStyle name="常规 2 10 4 5" xfId="11222"/>
    <cellStyle name="常规 2 10 4 5 2" xfId="13637"/>
    <cellStyle name="常规 2 10 4 6" xfId="13639"/>
    <cellStyle name="常规 2 10 4 7" xfId="13641"/>
    <cellStyle name="常规 2 10 4 8" xfId="13642"/>
    <cellStyle name="常规 2 10 5" xfId="10390"/>
    <cellStyle name="常规 2 10 5 2" xfId="10393"/>
    <cellStyle name="常规 2 10 5 2 2" xfId="10396"/>
    <cellStyle name="常规 2 10 5 2 2 2" xfId="10399"/>
    <cellStyle name="常规 2 10 5 2 3" xfId="10401"/>
    <cellStyle name="常规 2 10 5 2 4" xfId="10405"/>
    <cellStyle name="常规 2 10 5 3" xfId="10408"/>
    <cellStyle name="常规 2 10 5 3 2" xfId="10411"/>
    <cellStyle name="常规 2 10 5 4" xfId="10413"/>
    <cellStyle name="常规 2 10 5 5" xfId="10417"/>
    <cellStyle name="常规 2 10 5 6" xfId="10419"/>
    <cellStyle name="常规 2 10 6" xfId="10421"/>
    <cellStyle name="常规 2 10 6 2" xfId="10424"/>
    <cellStyle name="常规 2 10 6 2 2" xfId="10429"/>
    <cellStyle name="常规 2 10 6 3" xfId="10432"/>
    <cellStyle name="常规 2 10 6 4" xfId="10436"/>
    <cellStyle name="常规 2 10 7" xfId="10440"/>
    <cellStyle name="常规 2 10 7 2" xfId="10443"/>
    <cellStyle name="常规 2 10 7 2 2" xfId="13643"/>
    <cellStyle name="常规 2 10 7 3" xfId="13645"/>
    <cellStyle name="常规 2 10 7 4" xfId="13647"/>
    <cellStyle name="常规 2 10 8" xfId="10447"/>
    <cellStyle name="常规 2 10 8 2" xfId="10450"/>
    <cellStyle name="常规 2 10 9" xfId="10455"/>
    <cellStyle name="常规 2 10 9 2" xfId="12188"/>
    <cellStyle name="常规 2 11" xfId="13651"/>
    <cellStyle name="常规 2 11 10" xfId="13654"/>
    <cellStyle name="常规 2 11 11" xfId="13658"/>
    <cellStyle name="常规 2 11 12" xfId="13661"/>
    <cellStyle name="常规 2 11 2" xfId="6535"/>
    <cellStyle name="常规 2 11 2 10" xfId="10096"/>
    <cellStyle name="常规 2 11 2 2" xfId="13664"/>
    <cellStyle name="常规 2 11 2 2 2" xfId="13667"/>
    <cellStyle name="常规 2 11 2 2 2 2" xfId="13670"/>
    <cellStyle name="常规 2 11 2 2 2 2 2" xfId="13673"/>
    <cellStyle name="常规 2 11 2 2 2 2 2 2" xfId="13675"/>
    <cellStyle name="常规 2 11 2 2 2 2 3" xfId="13678"/>
    <cellStyle name="常规 2 11 2 2 2 2 4" xfId="13681"/>
    <cellStyle name="常规 2 11 2 2 2 3" xfId="298"/>
    <cellStyle name="常规 2 11 2 2 2 3 2" xfId="690"/>
    <cellStyle name="常规 2 11 2 2 2 4" xfId="271"/>
    <cellStyle name="常规 2 11 2 2 2 5" xfId="771"/>
    <cellStyle name="常规 2 11 2 2 3" xfId="11601"/>
    <cellStyle name="常规 2 11 2 2 3 2" xfId="13685"/>
    <cellStyle name="常规 2 11 2 2 3 2 2" xfId="13687"/>
    <cellStyle name="常规 2 11 2 2 3 3" xfId="1351"/>
    <cellStyle name="常规 2 11 2 2 3 4" xfId="5817"/>
    <cellStyle name="常规 2 11 2 2 4" xfId="13690"/>
    <cellStyle name="常规 2 11 2 2 4 2" xfId="13695"/>
    <cellStyle name="常规 2 11 2 2 4 2 2" xfId="13699"/>
    <cellStyle name="常规 2 11 2 2 4 3" xfId="1363"/>
    <cellStyle name="常规 2 11 2 2 4 4" xfId="5919"/>
    <cellStyle name="常规 2 11 2 2 5" xfId="4895"/>
    <cellStyle name="常规 2 11 2 2 5 2" xfId="13702"/>
    <cellStyle name="常规 2 11 2 2 6" xfId="13707"/>
    <cellStyle name="常规 2 11 2 2 7" xfId="13711"/>
    <cellStyle name="常规 2 11 2 2 8" xfId="13715"/>
    <cellStyle name="常规 2 11 2 3" xfId="13717"/>
    <cellStyle name="常规 2 11 2 3 2" xfId="13720"/>
    <cellStyle name="常规 2 11 2 3 2 2" xfId="13723"/>
    <cellStyle name="常规 2 11 2 3 2 2 2" xfId="13725"/>
    <cellStyle name="常规 2 11 2 3 2 3" xfId="310"/>
    <cellStyle name="常规 2 11 2 3 2 4" xfId="265"/>
    <cellStyle name="常规 2 11 2 3 3" xfId="13727"/>
    <cellStyle name="常规 2 11 2 3 3 2" xfId="13729"/>
    <cellStyle name="常规 2 11 2 3 4" xfId="13731"/>
    <cellStyle name="常规 2 11 2 3 5" xfId="13734"/>
    <cellStyle name="常规 2 11 2 3 6" xfId="13736"/>
    <cellStyle name="常规 2 11 2 4" xfId="13738"/>
    <cellStyle name="常规 2 11 2 4 2" xfId="13741"/>
    <cellStyle name="常规 2 11 2 4 2 2" xfId="13747"/>
    <cellStyle name="常规 2 11 2 4 3" xfId="13750"/>
    <cellStyle name="常规 2 11 2 4 4" xfId="13752"/>
    <cellStyle name="常规 2 11 2 5" xfId="1970"/>
    <cellStyle name="常规 2 11 2 5 2" xfId="13754"/>
    <cellStyle name="常规 2 11 2 5 2 2" xfId="13756"/>
    <cellStyle name="常规 2 11 2 5 3" xfId="13759"/>
    <cellStyle name="常规 2 11 2 5 4" xfId="13761"/>
    <cellStyle name="常规 2 11 2 6" xfId="13763"/>
    <cellStyle name="常规 2 11 2 6 2" xfId="13765"/>
    <cellStyle name="常规 2 11 2 7" xfId="13767"/>
    <cellStyle name="常规 2 11 2 7 2" xfId="13769"/>
    <cellStyle name="常规 2 11 2 8" xfId="6367"/>
    <cellStyle name="常规 2 11 2 9" xfId="6381"/>
    <cellStyle name="常规 2 11 3" xfId="13771"/>
    <cellStyle name="常规 2 11 3 10" xfId="13775"/>
    <cellStyle name="常规 2 11 3 11" xfId="13778"/>
    <cellStyle name="常规 2 11 3 2" xfId="13780"/>
    <cellStyle name="常规 2 11 3 2 10" xfId="13783"/>
    <cellStyle name="常规 2 11 3 2 2" xfId="13784"/>
    <cellStyle name="常规 2 11 3 2 2 2" xfId="13787"/>
    <cellStyle name="常规 2 11 3 2 2 2 2" xfId="13789"/>
    <cellStyle name="常规 2 11 3 2 2 2 2 2" xfId="13791"/>
    <cellStyle name="常规 2 11 3 2 2 2 2 2 2" xfId="13794"/>
    <cellStyle name="常规 2 11 3 2 2 2 2 3" xfId="13797"/>
    <cellStyle name="常规 2 11 3 2 2 2 2 4" xfId="13800"/>
    <cellStyle name="常规 2 11 3 2 2 2 3" xfId="13802"/>
    <cellStyle name="常规 2 11 3 2 2 2 3 2" xfId="13803"/>
    <cellStyle name="常规 2 11 3 2 2 2 4" xfId="13806"/>
    <cellStyle name="常规 2 11 3 2 2 2 5" xfId="13809"/>
    <cellStyle name="常规 2 11 3 2 2 3" xfId="13811"/>
    <cellStyle name="常规 2 11 3 2 2 3 2" xfId="6018"/>
    <cellStyle name="常规 2 11 3 2 2 3 2 2" xfId="6023"/>
    <cellStyle name="常规 2 11 3 2 2 3 3" xfId="4245"/>
    <cellStyle name="常规 2 11 3 2 2 3 4" xfId="4255"/>
    <cellStyle name="常规 2 11 3 2 2 4" xfId="13813"/>
    <cellStyle name="常规 2 11 3 2 2 4 2" xfId="13815"/>
    <cellStyle name="常规 2 11 3 2 2 4 2 2" xfId="13817"/>
    <cellStyle name="常规 2 11 3 2 2 4 3" xfId="13818"/>
    <cellStyle name="常规 2 11 3 2 2 4 4" xfId="13820"/>
    <cellStyle name="常规 2 11 3 2 2 5" xfId="13821"/>
    <cellStyle name="常规 2 11 3 2 2 5 2" xfId="13822"/>
    <cellStyle name="常规 2 11 3 2 2 6" xfId="13823"/>
    <cellStyle name="常规 2 11 3 2 2 7" xfId="13824"/>
    <cellStyle name="常规 2 11 3 2 2 8" xfId="13825"/>
    <cellStyle name="常规 2 11 3 2 3" xfId="13826"/>
    <cellStyle name="常规 2 11 3 2 3 2" xfId="13828"/>
    <cellStyle name="常规 2 11 3 2 3 2 2" xfId="13830"/>
    <cellStyle name="常规 2 11 3 2 3 2 2 2" xfId="13831"/>
    <cellStyle name="常规 2 11 3 2 3 2 3" xfId="13833"/>
    <cellStyle name="常规 2 11 3 2 3 2 4" xfId="13834"/>
    <cellStyle name="常规 2 11 3 2 3 3" xfId="13836"/>
    <cellStyle name="常规 2 11 3 2 3 3 2" xfId="13837"/>
    <cellStyle name="常规 2 11 3 2 3 4" xfId="13838"/>
    <cellStyle name="常规 2 11 3 2 3 5" xfId="13839"/>
    <cellStyle name="常规 2 11 3 2 3 6" xfId="1315"/>
    <cellStyle name="常规 2 11 3 2 4" xfId="13840"/>
    <cellStyle name="常规 2 11 3 2 4 2" xfId="13842"/>
    <cellStyle name="常规 2 11 3 2 4 2 2" xfId="13844"/>
    <cellStyle name="常规 2 11 3 2 4 3" xfId="13845"/>
    <cellStyle name="常规 2 11 3 2 4 4" xfId="13847"/>
    <cellStyle name="常规 2 11 3 2 5" xfId="13848"/>
    <cellStyle name="常规 2 11 3 2 5 2" xfId="13851"/>
    <cellStyle name="常规 2 11 3 2 5 2 2" xfId="13853"/>
    <cellStyle name="常规 2 11 3 2 5 3" xfId="13854"/>
    <cellStyle name="常规 2 11 3 2 5 4" xfId="13856"/>
    <cellStyle name="常规 2 11 3 2 6" xfId="1255"/>
    <cellStyle name="常规 2 11 3 2 6 2" xfId="1262"/>
    <cellStyle name="常规 2 11 3 2 7" xfId="1268"/>
    <cellStyle name="常规 2 11 3 2 7 2" xfId="1271"/>
    <cellStyle name="常规 2 11 3 2 8" xfId="1278"/>
    <cellStyle name="常规 2 11 3 2 9" xfId="1281"/>
    <cellStyle name="常规 2 11 3 3" xfId="13857"/>
    <cellStyle name="常规 2 11 3 3 2" xfId="13861"/>
    <cellStyle name="常规 2 11 3 3 2 2" xfId="13864"/>
    <cellStyle name="常规 2 11 3 3 2 2 2" xfId="2004"/>
    <cellStyle name="常规 2 11 3 3 2 2 2 2" xfId="2006"/>
    <cellStyle name="常规 2 11 3 3 2 2 3" xfId="2008"/>
    <cellStyle name="常规 2 11 3 3 2 2 4" xfId="2013"/>
    <cellStyle name="常规 2 11 3 3 2 3" xfId="13866"/>
    <cellStyle name="常规 2 11 3 3 2 3 2" xfId="13867"/>
    <cellStyle name="常规 2 11 3 3 2 4" xfId="13869"/>
    <cellStyle name="常规 2 11 3 3 2 5" xfId="13870"/>
    <cellStyle name="常规 2 11 3 3 3" xfId="13871"/>
    <cellStyle name="常规 2 11 3 3 3 2" xfId="13873"/>
    <cellStyle name="常规 2 11 3 3 3 2 2" xfId="13874"/>
    <cellStyle name="常规 2 11 3 3 3 3" xfId="13875"/>
    <cellStyle name="常规 2 11 3 3 3 4" xfId="13876"/>
    <cellStyle name="常规 2 11 3 3 4" xfId="13877"/>
    <cellStyle name="常规 2 11 3 3 4 2" xfId="13879"/>
    <cellStyle name="常规 2 11 3 3 4 2 2" xfId="13880"/>
    <cellStyle name="常规 2 11 3 3 4 3" xfId="1983"/>
    <cellStyle name="常规 2 11 3 3 4 4" xfId="13881"/>
    <cellStyle name="常规 2 11 3 3 5" xfId="13882"/>
    <cellStyle name="常规 2 11 3 3 5 2" xfId="13885"/>
    <cellStyle name="常规 2 11 3 3 6" xfId="1151"/>
    <cellStyle name="常规 2 11 3 3 7" xfId="332"/>
    <cellStyle name="常规 2 11 3 3 8" xfId="4174"/>
    <cellStyle name="常规 2 11 3 4" xfId="13886"/>
    <cellStyle name="常规 2 11 3 4 2" xfId="13890"/>
    <cellStyle name="常规 2 11 3 4 2 2" xfId="13892"/>
    <cellStyle name="常规 2 11 3 4 2 2 2" xfId="13895"/>
    <cellStyle name="常规 2 11 3 4 2 3" xfId="13896"/>
    <cellStyle name="常规 2 11 3 4 2 4" xfId="13897"/>
    <cellStyle name="常规 2 11 3 4 3" xfId="13898"/>
    <cellStyle name="常规 2 11 3 4 3 2" xfId="13900"/>
    <cellStyle name="常规 2 11 3 4 4" xfId="13901"/>
    <cellStyle name="常规 2 11 3 4 5" xfId="13903"/>
    <cellStyle name="常规 2 11 3 4 6" xfId="1002"/>
    <cellStyle name="常规 2 11 3 5" xfId="13904"/>
    <cellStyle name="常规 2 11 3 5 2" xfId="13907"/>
    <cellStyle name="常规 2 11 3 5 2 2" xfId="13909"/>
    <cellStyle name="常规 2 11 3 5 3" xfId="13911"/>
    <cellStyle name="常规 2 11 3 5 4" xfId="13912"/>
    <cellStyle name="常规 2 11 3 6" xfId="13913"/>
    <cellStyle name="常规 2 11 3 6 2" xfId="13915"/>
    <cellStyle name="常规 2 11 3 6 2 2" xfId="13916"/>
    <cellStyle name="常规 2 11 3 6 3" xfId="13917"/>
    <cellStyle name="常规 2 11 3 6 4" xfId="13918"/>
    <cellStyle name="常规 2 11 3 7" xfId="13919"/>
    <cellStyle name="常规 2 11 3 7 2" xfId="13921"/>
    <cellStyle name="常规 2 11 3 8" xfId="6392"/>
    <cellStyle name="常规 2 11 3 8 2" xfId="6396"/>
    <cellStyle name="常规 2 11 3 9" xfId="6400"/>
    <cellStyle name="常规 2 11 4" xfId="13922"/>
    <cellStyle name="常规 2 11 4 2" xfId="13926"/>
    <cellStyle name="常规 2 11 4 2 2" xfId="3796"/>
    <cellStyle name="常规 2 11 4 2 2 2" xfId="13930"/>
    <cellStyle name="常规 2 11 4 2 2 2 2" xfId="13932"/>
    <cellStyle name="常规 2 11 4 2 2 3" xfId="13933"/>
    <cellStyle name="常规 2 11 4 2 2 4" xfId="13934"/>
    <cellStyle name="常规 2 11 4 2 3" xfId="13935"/>
    <cellStyle name="常规 2 11 4 2 3 2" xfId="13937"/>
    <cellStyle name="常规 2 11 4 2 4" xfId="13940"/>
    <cellStyle name="常规 2 11 4 2 5" xfId="13942"/>
    <cellStyle name="常规 2 11 4 3" xfId="13943"/>
    <cellStyle name="常规 2 11 4 3 2" xfId="13948"/>
    <cellStyle name="常规 2 11 4 3 2 2" xfId="13950"/>
    <cellStyle name="常规 2 11 4 3 3" xfId="13951"/>
    <cellStyle name="常规 2 11 4 3 4" xfId="13952"/>
    <cellStyle name="常规 2 11 4 4" xfId="13953"/>
    <cellStyle name="常规 2 11 4 4 2" xfId="13957"/>
    <cellStyle name="常规 2 11 4 4 2 2" xfId="13958"/>
    <cellStyle name="常规 2 11 4 4 3" xfId="13961"/>
    <cellStyle name="常规 2 11 4 4 4" xfId="13962"/>
    <cellStyle name="常规 2 11 4 5" xfId="13963"/>
    <cellStyle name="常规 2 11 4 5 2" xfId="13966"/>
    <cellStyle name="常规 2 11 4 6" xfId="13967"/>
    <cellStyle name="常规 2 11 4 7" xfId="13970"/>
    <cellStyle name="常规 2 11 4 8" xfId="6408"/>
    <cellStyle name="常规 2 11 5" xfId="10463"/>
    <cellStyle name="常规 2 11 5 2" xfId="10468"/>
    <cellStyle name="常规 2 11 5 2 2" xfId="13971"/>
    <cellStyle name="常规 2 11 5 2 2 2" xfId="13973"/>
    <cellStyle name="常规 2 11 5 2 3" xfId="13974"/>
    <cellStyle name="常规 2 11 5 2 4" xfId="13975"/>
    <cellStyle name="常规 2 11 5 3" xfId="13976"/>
    <cellStyle name="常规 2 11 5 3 2" xfId="13979"/>
    <cellStyle name="常规 2 11 5 4" xfId="13980"/>
    <cellStyle name="常规 2 11 5 5" xfId="13982"/>
    <cellStyle name="常规 2 11 5 6" xfId="13983"/>
    <cellStyle name="常规 2 11 6" xfId="10473"/>
    <cellStyle name="常规 2 11 6 2" xfId="10477"/>
    <cellStyle name="常规 2 11 6 2 2" xfId="13984"/>
    <cellStyle name="常规 2 11 6 3" xfId="6778"/>
    <cellStyle name="常规 2 11 6 4" xfId="6782"/>
    <cellStyle name="常规 2 11 7" xfId="10480"/>
    <cellStyle name="常规 2 11 7 2" xfId="13986"/>
    <cellStyle name="常规 2 11 7 2 2" xfId="13989"/>
    <cellStyle name="常规 2 11 7 3" xfId="13991"/>
    <cellStyle name="常规 2 11 7 4" xfId="13993"/>
    <cellStyle name="常规 2 11 8" xfId="10484"/>
    <cellStyle name="常规 2 11 8 2" xfId="13996"/>
    <cellStyle name="常规 2 11 9" xfId="12198"/>
    <cellStyle name="常规 2 11 9 2" xfId="12200"/>
    <cellStyle name="常规 2 12" xfId="13999"/>
    <cellStyle name="常规 2 12 10" xfId="14001"/>
    <cellStyle name="常规 2 12 11" xfId="14004"/>
    <cellStyle name="常规 2 12 2" xfId="5088"/>
    <cellStyle name="常规 2 12 2 10" xfId="1705"/>
    <cellStyle name="常规 2 12 2 2" xfId="14005"/>
    <cellStyle name="常规 2 12 2 2 2" xfId="14009"/>
    <cellStyle name="常规 2 12 2 2 2 2" xfId="14012"/>
    <cellStyle name="常规 2 12 2 2 2 2 2" xfId="14015"/>
    <cellStyle name="常规 2 12 2 2 2 2 2 2" xfId="14019"/>
    <cellStyle name="常规 2 12 2 2 2 2 3" xfId="14022"/>
    <cellStyle name="常规 2 12 2 2 2 2 4" xfId="14027"/>
    <cellStyle name="常规 2 12 2 2 2 3" xfId="14033"/>
    <cellStyle name="常规 2 12 2 2 2 3 2" xfId="1021"/>
    <cellStyle name="常规 2 12 2 2 2 4" xfId="14037"/>
    <cellStyle name="常规 2 12 2 2 2 5" xfId="14041"/>
    <cellStyle name="常规 2 12 2 2 3" xfId="14045"/>
    <cellStyle name="常规 2 12 2 2 3 2" xfId="14048"/>
    <cellStyle name="常规 2 12 2 2 3 2 2" xfId="14051"/>
    <cellStyle name="常规 2 12 2 2 3 3" xfId="2024"/>
    <cellStyle name="常规 2 12 2 2 3 4" xfId="2040"/>
    <cellStyle name="常规 2 12 2 2 4" xfId="14054"/>
    <cellStyle name="常规 2 12 2 2 4 2" xfId="14057"/>
    <cellStyle name="常规 2 12 2 2 4 2 2" xfId="14061"/>
    <cellStyle name="常规 2 12 2 2 4 3" xfId="2051"/>
    <cellStyle name="常规 2 12 2 2 4 4" xfId="14063"/>
    <cellStyle name="常规 2 12 2 2 5" xfId="14068"/>
    <cellStyle name="常规 2 12 2 2 5 2" xfId="14070"/>
    <cellStyle name="常规 2 12 2 2 6" xfId="14073"/>
    <cellStyle name="常规 2 12 2 2 7" xfId="14075"/>
    <cellStyle name="常规 2 12 2 2 8" xfId="13792"/>
    <cellStyle name="常规 2 12 2 3" xfId="14078"/>
    <cellStyle name="常规 2 12 2 3 2" xfId="14082"/>
    <cellStyle name="常规 2 12 2 3 2 2" xfId="14084"/>
    <cellStyle name="常规 2 12 2 3 2 2 2" xfId="14087"/>
    <cellStyle name="常规 2 12 2 3 2 3" xfId="14090"/>
    <cellStyle name="常规 2 12 2 3 2 4" xfId="14094"/>
    <cellStyle name="常规 2 12 2 3 3" xfId="14097"/>
    <cellStyle name="常规 2 12 2 3 3 2" xfId="14100"/>
    <cellStyle name="常规 2 12 2 3 4" xfId="14103"/>
    <cellStyle name="常规 2 12 2 3 5" xfId="2198"/>
    <cellStyle name="常规 2 12 2 3 6" xfId="3218"/>
    <cellStyle name="常规 2 12 2 4" xfId="14105"/>
    <cellStyle name="常规 2 12 2 4 2" xfId="14108"/>
    <cellStyle name="常规 2 12 2 4 2 2" xfId="14110"/>
    <cellStyle name="常规 2 12 2 4 3" xfId="14112"/>
    <cellStyle name="常规 2 12 2 4 4" xfId="12746"/>
    <cellStyle name="常规 2 12 2 5" xfId="14114"/>
    <cellStyle name="常规 2 12 2 5 2" xfId="14116"/>
    <cellStyle name="常规 2 12 2 5 2 2" xfId="14118"/>
    <cellStyle name="常规 2 12 2 5 3" xfId="14120"/>
    <cellStyle name="常规 2 12 2 5 4" xfId="14122"/>
    <cellStyle name="常规 2 12 2 6" xfId="14125"/>
    <cellStyle name="常规 2 12 2 6 2" xfId="14127"/>
    <cellStyle name="常规 2 12 2 7" xfId="14129"/>
    <cellStyle name="常规 2 12 2 7 2" xfId="14131"/>
    <cellStyle name="常规 2 12 2 8" xfId="14133"/>
    <cellStyle name="常规 2 12 2 9" xfId="14136"/>
    <cellStyle name="常规 2 12 3" xfId="14138"/>
    <cellStyle name="常规 2 12 3 2" xfId="14141"/>
    <cellStyle name="常规 2 12 3 2 2" xfId="14144"/>
    <cellStyle name="常规 2 12 3 2 2 2" xfId="14147"/>
    <cellStyle name="常规 2 12 3 2 2 2 2" xfId="14152"/>
    <cellStyle name="常规 2 12 3 2 2 3" xfId="14156"/>
    <cellStyle name="常规 2 12 3 2 2 4" xfId="14159"/>
    <cellStyle name="常规 2 12 3 2 3" xfId="14162"/>
    <cellStyle name="常规 2 12 3 2 3 2" xfId="14164"/>
    <cellStyle name="常规 2 12 3 2 4" xfId="14167"/>
    <cellStyle name="常规 2 12 3 2 5" xfId="14169"/>
    <cellStyle name="常规 2 12 3 3" xfId="14173"/>
    <cellStyle name="常规 2 12 3 3 2" xfId="14176"/>
    <cellStyle name="常规 2 12 3 3 2 2" xfId="14179"/>
    <cellStyle name="常规 2 12 3 3 3" xfId="14182"/>
    <cellStyle name="常规 2 12 3 3 4" xfId="14184"/>
    <cellStyle name="常规 2 12 3 4" xfId="14186"/>
    <cellStyle name="常规 2 12 3 4 2" xfId="14188"/>
    <cellStyle name="常规 2 12 3 4 2 2" xfId="14190"/>
    <cellStyle name="常规 2 12 3 4 3" xfId="14192"/>
    <cellStyle name="常规 2 12 3 4 4" xfId="12759"/>
    <cellStyle name="常规 2 12 3 5" xfId="14194"/>
    <cellStyle name="常规 2 12 3 5 2" xfId="14196"/>
    <cellStyle name="常规 2 12 3 6" xfId="4505"/>
    <cellStyle name="常规 2 12 3 7" xfId="14198"/>
    <cellStyle name="常规 2 12 3 8" xfId="14200"/>
    <cellStyle name="常规 2 12 4" xfId="14203"/>
    <cellStyle name="常规 2 12 4 2" xfId="14206"/>
    <cellStyle name="常规 2 12 4 2 2" xfId="14209"/>
    <cellStyle name="常规 2 12 4 2 2 2" xfId="4302"/>
    <cellStyle name="常规 2 12 4 2 3" xfId="14212"/>
    <cellStyle name="常规 2 12 4 2 4" xfId="14215"/>
    <cellStyle name="常规 2 12 4 3" xfId="14217"/>
    <cellStyle name="常规 2 12 4 3 2" xfId="14221"/>
    <cellStyle name="常规 2 12 4 4" xfId="14223"/>
    <cellStyle name="常规 2 12 4 5" xfId="14226"/>
    <cellStyle name="常规 2 12 4 6" xfId="14229"/>
    <cellStyle name="常规 2 12 5" xfId="10489"/>
    <cellStyle name="常规 2 12 5 2" xfId="14232"/>
    <cellStyle name="常规 2 12 5 2 2" xfId="14235"/>
    <cellStyle name="常规 2 12 5 3" xfId="14237"/>
    <cellStyle name="常规 2 12 5 4" xfId="14240"/>
    <cellStyle name="常规 2 12 6" xfId="14242"/>
    <cellStyle name="常规 2 12 6 2" xfId="14246"/>
    <cellStyle name="常规 2 12 6 2 2" xfId="14249"/>
    <cellStyle name="常规 2 12 6 3" xfId="14251"/>
    <cellStyle name="常规 2 12 6 4" xfId="14253"/>
    <cellStyle name="常规 2 12 7" xfId="3424"/>
    <cellStyle name="常规 2 12 7 2" xfId="1516"/>
    <cellStyle name="常规 2 12 8" xfId="3518"/>
    <cellStyle name="常规 2 12 8 2" xfId="1077"/>
    <cellStyle name="常规 2 12 9" xfId="3532"/>
    <cellStyle name="常规 2 13" xfId="14255"/>
    <cellStyle name="常规 2 13 2" xfId="14259"/>
    <cellStyle name="常规 2 13 2 2" xfId="14263"/>
    <cellStyle name="常规 2 13 2 2 2" xfId="14267"/>
    <cellStyle name="常规 2 13 2 2 2 2" xfId="14270"/>
    <cellStyle name="常规 2 13 2 2 2 2 2" xfId="14274"/>
    <cellStyle name="常规 2 13 2 2 2 3" xfId="14277"/>
    <cellStyle name="常规 2 13 2 2 2 4" xfId="750"/>
    <cellStyle name="常规 2 13 2 2 3" xfId="14280"/>
    <cellStyle name="常规 2 13 2 2 3 2" xfId="14284"/>
    <cellStyle name="常规 2 13 2 2 4" xfId="14287"/>
    <cellStyle name="常规 2 13 2 2 5" xfId="14290"/>
    <cellStyle name="常规 2 13 2 3" xfId="14292"/>
    <cellStyle name="常规 2 13 2 3 2" xfId="14294"/>
    <cellStyle name="常规 2 13 2 3 2 2" xfId="14297"/>
    <cellStyle name="常规 2 13 2 3 3" xfId="6824"/>
    <cellStyle name="常规 2 13 2 3 4" xfId="14299"/>
    <cellStyle name="常规 2 13 2 4" xfId="14301"/>
    <cellStyle name="常规 2 13 2 4 2" xfId="14304"/>
    <cellStyle name="常规 2 13 2 4 2 2" xfId="14307"/>
    <cellStyle name="常规 2 13 2 4 3" xfId="14310"/>
    <cellStyle name="常规 2 13 2 4 4" xfId="14313"/>
    <cellStyle name="常规 2 13 2 5" xfId="14319"/>
    <cellStyle name="常规 2 13 2 6" xfId="14321"/>
    <cellStyle name="常规 2 13 2 7" xfId="14324"/>
    <cellStyle name="常规 2 13 3" xfId="14327"/>
    <cellStyle name="常规 2 13 3 2" xfId="10074"/>
    <cellStyle name="常规 2 13 3 2 2" xfId="10077"/>
    <cellStyle name="常规 2 13 3 2 2 2" xfId="14332"/>
    <cellStyle name="常规 2 13 3 2 2 2 2" xfId="14335"/>
    <cellStyle name="常规 2 13 3 2 2 3" xfId="14338"/>
    <cellStyle name="常规 2 13 3 2 2 4" xfId="7414"/>
    <cellStyle name="常规 2 13 3 2 3" xfId="14340"/>
    <cellStyle name="常规 2 13 3 2 3 2" xfId="14343"/>
    <cellStyle name="常规 2 13 3 2 4" xfId="14345"/>
    <cellStyle name="常规 2 13 3 2 5" xfId="14347"/>
    <cellStyle name="常规 2 13 3 3" xfId="10080"/>
    <cellStyle name="常规 2 13 3 3 2" xfId="14350"/>
    <cellStyle name="常规 2 13 3 3 2 2" xfId="14353"/>
    <cellStyle name="常规 2 13 3 3 3" xfId="14355"/>
    <cellStyle name="常规 2 13 3 3 4" xfId="14357"/>
    <cellStyle name="常规 2 13 3 4" xfId="10084"/>
    <cellStyle name="常规 2 13 3 4 2" xfId="14359"/>
    <cellStyle name="常规 2 13 3 5" xfId="14361"/>
    <cellStyle name="常规 2 13 3 6" xfId="14364"/>
    <cellStyle name="常规 2 13 3 7" xfId="14367"/>
    <cellStyle name="常规 2 13 4" xfId="14369"/>
    <cellStyle name="常规 2 13 4 2" xfId="14374"/>
    <cellStyle name="常规 2 13 4 2 2" xfId="14377"/>
    <cellStyle name="常规 2 13 4 3" xfId="14379"/>
    <cellStyle name="常规 2 13 4 4" xfId="14381"/>
    <cellStyle name="常规 2 13 5" xfId="10494"/>
    <cellStyle name="常规 2 13 5 2" xfId="14385"/>
    <cellStyle name="常规 2 13 5 2 2" xfId="14387"/>
    <cellStyle name="常规 2 13 5 3" xfId="14390"/>
    <cellStyle name="常规 2 13 5 4" xfId="14392"/>
    <cellStyle name="常规 2 13 6" xfId="14395"/>
    <cellStyle name="常规 2 13 7" xfId="3552"/>
    <cellStyle name="常规 2 13 8" xfId="3677"/>
    <cellStyle name="常规 2 14" xfId="14397"/>
    <cellStyle name="常规 2 14 2" xfId="14400"/>
    <cellStyle name="常规 2 14 2 2" xfId="14404"/>
    <cellStyle name="常规 2 14 2 2 2" xfId="14408"/>
    <cellStyle name="常规 2 14 2 2 3" xfId="14410"/>
    <cellStyle name="常规 2 14 2 3" xfId="14412"/>
    <cellStyle name="常规 2 14 2 4" xfId="14414"/>
    <cellStyle name="常规 2 14 2 5" xfId="14417"/>
    <cellStyle name="常规 2 14 3" xfId="14420"/>
    <cellStyle name="常规 2 14 3 2" xfId="14424"/>
    <cellStyle name="常规 2 14 3 2 2" xfId="3578"/>
    <cellStyle name="常规 2 14 3 3" xfId="14426"/>
    <cellStyle name="常规 2 14 3 4" xfId="14428"/>
    <cellStyle name="常规 2 14 4" xfId="14431"/>
    <cellStyle name="常规 2 14 4 2" xfId="14434"/>
    <cellStyle name="常规 2 14 5" xfId="14436"/>
    <cellStyle name="常规 2 14 6" xfId="14438"/>
    <cellStyle name="常规 2 14 7" xfId="3737"/>
    <cellStyle name="常规 2 14 8" xfId="3766"/>
    <cellStyle name="常规 2 14 9" xfId="2486"/>
    <cellStyle name="常规 2 15" xfId="7963"/>
    <cellStyle name="常规 2 15 2" xfId="14443"/>
    <cellStyle name="常规 2 15 2 2" xfId="14445"/>
    <cellStyle name="常规 2 15 2 2 2" xfId="14447"/>
    <cellStyle name="常规 2 15 2 3" xfId="14451"/>
    <cellStyle name="常规 2 15 2 4" xfId="14455"/>
    <cellStyle name="常规 2 15 3" xfId="14457"/>
    <cellStyle name="常规 2 15 3 2" xfId="14459"/>
    <cellStyle name="常规 2 15 3 2 2" xfId="14461"/>
    <cellStyle name="常规 2 15 3 3" xfId="14465"/>
    <cellStyle name="常规 2 15 3 4" xfId="14467"/>
    <cellStyle name="常规 2 15 4" xfId="14471"/>
    <cellStyle name="常规 2 15 4 2" xfId="14475"/>
    <cellStyle name="常规 2 15 5" xfId="14478"/>
    <cellStyle name="常规 2 15 6" xfId="14481"/>
    <cellStyle name="常规 2 15 7" xfId="3805"/>
    <cellStyle name="常规 2 16" xfId="14485"/>
    <cellStyle name="常规 2 16 2" xfId="14487"/>
    <cellStyle name="常规 2 16 2 2" xfId="14492"/>
    <cellStyle name="常规 2 16 3" xfId="14494"/>
    <cellStyle name="常规 2 16 4" xfId="14499"/>
    <cellStyle name="常规 2 17" xfId="14502"/>
    <cellStyle name="常规 2 17 2" xfId="14504"/>
    <cellStyle name="常规 2 17 2 2" xfId="14507"/>
    <cellStyle name="常规 2 17 3" xfId="14510"/>
    <cellStyle name="常规 2 17 4" xfId="14516"/>
    <cellStyle name="常规 2 18" xfId="14518"/>
    <cellStyle name="常规 2 18 2" xfId="14520"/>
    <cellStyle name="常规 2 19" xfId="14523"/>
    <cellStyle name="常规 2 19 2" xfId="14525"/>
    <cellStyle name="常规 2 2" xfId="14527"/>
    <cellStyle name="常规 2 2 10" xfId="1533"/>
    <cellStyle name="常规 2 2 10 10" xfId="14529"/>
    <cellStyle name="常规 2 2 10 10 2" xfId="14530"/>
    <cellStyle name="常规 2 2 10 10 2 2" xfId="14531"/>
    <cellStyle name="常规 2 2 10 10 3" xfId="14532"/>
    <cellStyle name="常规 2 2 10 10 4" xfId="14534"/>
    <cellStyle name="常规 2 2 10 11" xfId="14536"/>
    <cellStyle name="常规 2 2 10 11 2" xfId="14537"/>
    <cellStyle name="常规 2 2 10 11 2 2" xfId="14538"/>
    <cellStyle name="常规 2 2 10 11 3" xfId="14539"/>
    <cellStyle name="常规 2 2 10 11 4" xfId="14541"/>
    <cellStyle name="常规 2 2 10 12" xfId="14543"/>
    <cellStyle name="常规 2 2 10 12 2" xfId="14544"/>
    <cellStyle name="常规 2 2 10 13" xfId="14545"/>
    <cellStyle name="常规 2 2 10 13 2" xfId="14547"/>
    <cellStyle name="常规 2 2 10 14" xfId="14548"/>
    <cellStyle name="常规 2 2 10 15" xfId="14550"/>
    <cellStyle name="常规 2 2 10 16" xfId="14551"/>
    <cellStyle name="常规 2 2 10 2" xfId="1538"/>
    <cellStyle name="常规 2 2 10 2 10" xfId="14554"/>
    <cellStyle name="常规 2 2 10 2 11" xfId="13816"/>
    <cellStyle name="常规 2 2 10 2 12" xfId="13819"/>
    <cellStyle name="常规 2 2 10 2 2" xfId="1543"/>
    <cellStyle name="常规 2 2 10 2 2 10" xfId="14556"/>
    <cellStyle name="常规 2 2 10 2 2 2" xfId="14557"/>
    <cellStyle name="常规 2 2 10 2 2 2 2" xfId="14559"/>
    <cellStyle name="常规 2 2 10 2 2 2 2 2" xfId="14562"/>
    <cellStyle name="常规 2 2 10 2 2 2 2 2 2" xfId="14564"/>
    <cellStyle name="常规 2 2 10 2 2 2 2 2 2 2" xfId="14565"/>
    <cellStyle name="常规 2 2 10 2 2 2 2 2 3" xfId="14567"/>
    <cellStyle name="常规 2 2 10 2 2 2 2 2 4" xfId="14569"/>
    <cellStyle name="常规 2 2 10 2 2 2 2 3" xfId="14570"/>
    <cellStyle name="常规 2 2 10 2 2 2 2 3 2" xfId="14571"/>
    <cellStyle name="常规 2 2 10 2 2 2 2 4" xfId="12627"/>
    <cellStyle name="常规 2 2 10 2 2 2 2 5" xfId="14572"/>
    <cellStyle name="常规 2 2 10 2 2 2 3" xfId="14573"/>
    <cellStyle name="常规 2 2 10 2 2 2 3 2" xfId="14575"/>
    <cellStyle name="常规 2 2 10 2 2 2 3 2 2" xfId="11043"/>
    <cellStyle name="常规 2 2 10 2 2 2 3 3" xfId="14576"/>
    <cellStyle name="常规 2 2 10 2 2 2 3 4" xfId="14578"/>
    <cellStyle name="常规 2 2 10 2 2 2 4" xfId="14579"/>
    <cellStyle name="常规 2 2 10 2 2 2 4 2" xfId="14583"/>
    <cellStyle name="常规 2 2 10 2 2 2 4 2 2" xfId="14585"/>
    <cellStyle name="常规 2 2 10 2 2 2 4 3" xfId="14590"/>
    <cellStyle name="常规 2 2 10 2 2 2 4 4" xfId="14592"/>
    <cellStyle name="常规 2 2 10 2 2 2 5" xfId="9116"/>
    <cellStyle name="常规 2 2 10 2 2 2 5 2" xfId="14595"/>
    <cellStyle name="常规 2 2 10 2 2 2 6" xfId="14597"/>
    <cellStyle name="常规 2 2 10 2 2 2 7" xfId="14600"/>
    <cellStyle name="常规 2 2 10 2 2 2 8" xfId="14602"/>
    <cellStyle name="常规 2 2 10 2 2 3" xfId="14605"/>
    <cellStyle name="常规 2 2 10 2 2 3 2" xfId="14607"/>
    <cellStyle name="常规 2 2 10 2 2 3 2 2" xfId="14610"/>
    <cellStyle name="常规 2 2 10 2 2 3 2 2 2" xfId="14611"/>
    <cellStyle name="常规 2 2 10 2 2 3 2 3" xfId="14612"/>
    <cellStyle name="常规 2 2 10 2 2 3 2 4" xfId="14613"/>
    <cellStyle name="常规 2 2 10 2 2 3 3" xfId="14614"/>
    <cellStyle name="常规 2 2 10 2 2 3 3 2" xfId="14615"/>
    <cellStyle name="常规 2 2 10 2 2 3 4" xfId="14616"/>
    <cellStyle name="常规 2 2 10 2 2 3 5" xfId="14619"/>
    <cellStyle name="常规 2 2 10 2 2 3 6" xfId="14622"/>
    <cellStyle name="常规 2 2 10 2 2 4" xfId="14625"/>
    <cellStyle name="常规 2 2 10 2 2 4 2" xfId="14627"/>
    <cellStyle name="常规 2 2 10 2 2 4 2 2" xfId="14628"/>
    <cellStyle name="常规 2 2 10 2 2 4 3" xfId="14629"/>
    <cellStyle name="常规 2 2 10 2 2 4 4" xfId="14630"/>
    <cellStyle name="常规 2 2 10 2 2 5" xfId="14633"/>
    <cellStyle name="常规 2 2 10 2 2 5 2" xfId="14635"/>
    <cellStyle name="常规 2 2 10 2 2 5 2 2" xfId="12969"/>
    <cellStyle name="常规 2 2 10 2 2 5 3" xfId="14637"/>
    <cellStyle name="常规 2 2 10 2 2 5 4" xfId="14638"/>
    <cellStyle name="常规 2 2 10 2 2 6" xfId="14641"/>
    <cellStyle name="常规 2 2 10 2 2 6 2" xfId="14643"/>
    <cellStyle name="常规 2 2 10 2 2 7" xfId="14645"/>
    <cellStyle name="常规 2 2 10 2 2 7 2" xfId="14647"/>
    <cellStyle name="常规 2 2 10 2 2 8" xfId="14650"/>
    <cellStyle name="常规 2 2 10 2 2 9" xfId="14652"/>
    <cellStyle name="常规 2 2 10 2 3" xfId="14654"/>
    <cellStyle name="常规 2 2 10 2 3 10" xfId="14657"/>
    <cellStyle name="常规 2 2 10 2 3 11" xfId="14659"/>
    <cellStyle name="常规 2 2 10 2 3 2" xfId="14661"/>
    <cellStyle name="常规 2 2 10 2 3 2 10" xfId="9947"/>
    <cellStyle name="常规 2 2 10 2 3 2 2" xfId="14663"/>
    <cellStyle name="常规 2 2 10 2 3 2 2 2" xfId="14667"/>
    <cellStyle name="常规 2 2 10 2 3 2 2 2 2" xfId="14668"/>
    <cellStyle name="常规 2 2 10 2 3 2 2 2 2 2" xfId="14669"/>
    <cellStyle name="常规 2 2 10 2 3 2 2 2 2 2 2" xfId="14670"/>
    <cellStyle name="常规 2 2 10 2 3 2 2 2 2 3" xfId="5246"/>
    <cellStyle name="常规 2 2 10 2 3 2 2 2 2 4" xfId="14671"/>
    <cellStyle name="常规 2 2 10 2 3 2 2 2 3" xfId="14672"/>
    <cellStyle name="常规 2 2 10 2 3 2 2 2 3 2" xfId="14673"/>
    <cellStyle name="常规 2 2 10 2 3 2 2 2 4" xfId="14674"/>
    <cellStyle name="常规 2 2 10 2 3 2 2 2 5" xfId="14675"/>
    <cellStyle name="常规 2 2 10 2 3 2 2 3" xfId="14678"/>
    <cellStyle name="常规 2 2 10 2 3 2 2 3 2" xfId="8511"/>
    <cellStyle name="常规 2 2 10 2 3 2 2 3 2 2" xfId="14679"/>
    <cellStyle name="常规 2 2 10 2 3 2 2 3 3" xfId="14680"/>
    <cellStyle name="常规 2 2 10 2 3 2 2 3 4" xfId="14683"/>
    <cellStyle name="常规 2 2 10 2 3 2 2 4" xfId="14684"/>
    <cellStyle name="常规 2 2 10 2 3 2 2 4 2" xfId="14685"/>
    <cellStyle name="常规 2 2 10 2 3 2 2 4 2 2" xfId="14687"/>
    <cellStyle name="常规 2 2 10 2 3 2 2 4 3" xfId="14688"/>
    <cellStyle name="常规 2 2 10 2 3 2 2 4 4" xfId="6788"/>
    <cellStyle name="常规 2 2 10 2 3 2 2 5" xfId="14690"/>
    <cellStyle name="常规 2 2 10 2 3 2 2 5 2" xfId="14691"/>
    <cellStyle name="常规 2 2 10 2 3 2 2 6" xfId="6740"/>
    <cellStyle name="常规 2 2 10 2 3 2 2 7" xfId="14692"/>
    <cellStyle name="常规 2 2 10 2 3 2 2 8" xfId="14693"/>
    <cellStyle name="常规 2 2 10 2 3 2 3" xfId="14695"/>
    <cellStyle name="常规 2 2 10 2 3 2 3 2" xfId="14696"/>
    <cellStyle name="常规 2 2 10 2 3 2 3 2 2" xfId="14697"/>
    <cellStyle name="常规 2 2 10 2 3 2 3 2 2 2" xfId="11909"/>
    <cellStyle name="常规 2 2 10 2 3 2 3 2 3" xfId="14700"/>
    <cellStyle name="常规 2 2 10 2 3 2 3 2 4" xfId="14703"/>
    <cellStyle name="常规 2 2 10 2 3 2 3 3" xfId="14704"/>
    <cellStyle name="常规 2 2 10 2 3 2 3 3 2" xfId="14706"/>
    <cellStyle name="常规 2 2 10 2 3 2 3 4" xfId="14708"/>
    <cellStyle name="常规 2 2 10 2 3 2 3 5" xfId="14710"/>
    <cellStyle name="常规 2 2 10 2 3 2 3 6" xfId="6743"/>
    <cellStyle name="常规 2 2 10 2 3 2 4" xfId="12727"/>
    <cellStyle name="常规 2 2 10 2 3 2 4 2" xfId="14712"/>
    <cellStyle name="常规 2 2 10 2 3 2 4 2 2" xfId="14714"/>
    <cellStyle name="常规 2 2 10 2 3 2 4 3" xfId="14715"/>
    <cellStyle name="常规 2 2 10 2 3 2 4 4" xfId="14718"/>
    <cellStyle name="常规 2 2 10 2 3 2 5" xfId="14719"/>
    <cellStyle name="常规 2 2 10 2 3 2 5 2" xfId="14721"/>
    <cellStyle name="常规 2 2 10 2 3 2 5 2 2" xfId="14722"/>
    <cellStyle name="常规 2 2 10 2 3 2 5 3" xfId="14723"/>
    <cellStyle name="常规 2 2 10 2 3 2 5 4" xfId="14724"/>
    <cellStyle name="常规 2 2 10 2 3 2 6" xfId="14725"/>
    <cellStyle name="常规 2 2 10 2 3 2 6 2" xfId="14729"/>
    <cellStyle name="常规 2 2 10 2 3 2 7" xfId="14732"/>
    <cellStyle name="常规 2 2 10 2 3 2 7 2" xfId="14734"/>
    <cellStyle name="常规 2 2 10 2 3 2 8" xfId="14735"/>
    <cellStyle name="常规 2 2 10 2 3 2 9" xfId="14736"/>
    <cellStyle name="常规 2 2 10 2 3 3" xfId="14738"/>
    <cellStyle name="常规 2 2 10 2 3 3 2" xfId="14740"/>
    <cellStyle name="常规 2 2 10 2 3 3 2 2" xfId="14741"/>
    <cellStyle name="常规 2 2 10 2 3 3 2 2 2" xfId="14742"/>
    <cellStyle name="常规 2 2 10 2 3 3 2 2 2 2" xfId="14743"/>
    <cellStyle name="常规 2 2 10 2 3 3 2 2 3" xfId="14744"/>
    <cellStyle name="常规 2 2 10 2 3 3 2 2 4" xfId="14745"/>
    <cellStyle name="常规 2 2 10 2 3 3 2 3" xfId="14747"/>
    <cellStyle name="常规 2 2 10 2 3 3 2 3 2" xfId="14748"/>
    <cellStyle name="常规 2 2 10 2 3 3 2 4" xfId="14750"/>
    <cellStyle name="常规 2 2 10 2 3 3 2 5" xfId="14751"/>
    <cellStyle name="常规 2 2 10 2 3 3 3" xfId="14752"/>
    <cellStyle name="常规 2 2 10 2 3 3 3 2" xfId="14753"/>
    <cellStyle name="常规 2 2 10 2 3 3 3 2 2" xfId="14754"/>
    <cellStyle name="常规 2 2 10 2 3 3 3 3" xfId="14756"/>
    <cellStyle name="常规 2 2 10 2 3 3 3 4" xfId="14757"/>
    <cellStyle name="常规 2 2 10 2 3 3 4" xfId="14758"/>
    <cellStyle name="常规 2 2 10 2 3 3 4 2" xfId="14761"/>
    <cellStyle name="常规 2 2 10 2 3 3 4 2 2" xfId="14763"/>
    <cellStyle name="常规 2 2 10 2 3 3 4 3" xfId="14765"/>
    <cellStyle name="常规 2 2 10 2 3 3 4 4" xfId="14767"/>
    <cellStyle name="常规 2 2 10 2 3 3 5" xfId="14769"/>
    <cellStyle name="常规 2 2 10 2 3 3 5 2" xfId="14771"/>
    <cellStyle name="常规 2 2 10 2 3 3 6" xfId="14773"/>
    <cellStyle name="常规 2 2 10 2 3 3 7" xfId="14775"/>
    <cellStyle name="常规 2 2 10 2 3 3 8" xfId="14777"/>
    <cellStyle name="常规 2 2 10 2 3 4" xfId="14782"/>
    <cellStyle name="常规 2 2 10 2 3 4 2" xfId="14784"/>
    <cellStyle name="常规 2 2 10 2 3 4 2 2" xfId="6155"/>
    <cellStyle name="常规 2 2 10 2 3 4 2 2 2" xfId="1589"/>
    <cellStyle name="常规 2 2 10 2 3 4 2 3" xfId="6158"/>
    <cellStyle name="常规 2 2 10 2 3 4 2 4" xfId="14785"/>
    <cellStyle name="常规 2 2 10 2 3 4 3" xfId="14786"/>
    <cellStyle name="常规 2 2 10 2 3 4 3 2" xfId="6175"/>
    <cellStyle name="常规 2 2 10 2 3 4 4" xfId="14787"/>
    <cellStyle name="常规 2 2 10 2 3 4 5" xfId="14789"/>
    <cellStyle name="常规 2 2 10 2 3 4 6" xfId="14791"/>
    <cellStyle name="常规 2 2 10 2 3 5" xfId="14793"/>
    <cellStyle name="常规 2 2 10 2 3 5 2" xfId="14795"/>
    <cellStyle name="常规 2 2 10 2 3 5 2 2" xfId="14797"/>
    <cellStyle name="常规 2 2 10 2 3 5 3" xfId="14798"/>
    <cellStyle name="常规 2 2 10 2 3 5 4" xfId="14799"/>
    <cellStyle name="常规 2 2 10 2 3 6" xfId="14801"/>
    <cellStyle name="常规 2 2 10 2 3 6 2" xfId="14804"/>
    <cellStyle name="常规 2 2 10 2 3 6 2 2" xfId="6336"/>
    <cellStyle name="常规 2 2 10 2 3 6 3" xfId="14807"/>
    <cellStyle name="常规 2 2 10 2 3 6 4" xfId="14809"/>
    <cellStyle name="常规 2 2 10 2 3 7" xfId="7948"/>
    <cellStyle name="常规 2 2 10 2 3 7 2" xfId="14812"/>
    <cellStyle name="常规 2 2 10 2 3 8" xfId="14815"/>
    <cellStyle name="常规 2 2 10 2 3 8 2" xfId="14818"/>
    <cellStyle name="常规 2 2 10 2 3 9" xfId="14820"/>
    <cellStyle name="常规 2 2 10 2 4" xfId="14822"/>
    <cellStyle name="常规 2 2 10 2 4 2" xfId="14824"/>
    <cellStyle name="常规 2 2 10 2 4 2 2" xfId="14826"/>
    <cellStyle name="常规 2 2 10 2 4 2 2 2" xfId="14828"/>
    <cellStyle name="常规 2 2 10 2 4 2 2 2 2" xfId="14829"/>
    <cellStyle name="常规 2 2 10 2 4 2 2 3" xfId="14830"/>
    <cellStyle name="常规 2 2 10 2 4 2 2 4" xfId="14831"/>
    <cellStyle name="常规 2 2 10 2 4 2 3" xfId="14832"/>
    <cellStyle name="常规 2 2 10 2 4 2 3 2" xfId="14833"/>
    <cellStyle name="常规 2 2 10 2 4 2 4" xfId="14834"/>
    <cellStyle name="常规 2 2 10 2 4 2 5" xfId="14835"/>
    <cellStyle name="常规 2 2 10 2 4 3" xfId="14836"/>
    <cellStyle name="常规 2 2 10 2 4 3 2" xfId="14838"/>
    <cellStyle name="常规 2 2 10 2 4 3 2 2" xfId="14839"/>
    <cellStyle name="常规 2 2 10 2 4 3 3" xfId="14840"/>
    <cellStyle name="常规 2 2 10 2 4 3 4" xfId="14841"/>
    <cellStyle name="常规 2 2 10 2 4 4" xfId="14843"/>
    <cellStyle name="常规 2 2 10 2 4 4 2" xfId="14846"/>
    <cellStyle name="常规 2 2 10 2 4 4 2 2" xfId="14847"/>
    <cellStyle name="常规 2 2 10 2 4 4 3" xfId="14848"/>
    <cellStyle name="常规 2 2 10 2 4 4 4" xfId="14849"/>
    <cellStyle name="常规 2 2 10 2 4 5" xfId="14852"/>
    <cellStyle name="常规 2 2 10 2 4 5 2" xfId="14854"/>
    <cellStyle name="常规 2 2 10 2 4 6" xfId="14855"/>
    <cellStyle name="常规 2 2 10 2 4 7" xfId="14857"/>
    <cellStyle name="常规 2 2 10 2 4 8" xfId="14861"/>
    <cellStyle name="常规 2 2 10 2 5" xfId="14862"/>
    <cellStyle name="常规 2 2 10 2 5 2" xfId="14864"/>
    <cellStyle name="常规 2 2 10 2 5 2 2" xfId="14866"/>
    <cellStyle name="常规 2 2 10 2 5 2 2 2" xfId="14867"/>
    <cellStyle name="常规 2 2 10 2 5 2 3" xfId="14868"/>
    <cellStyle name="常规 2 2 10 2 5 2 4" xfId="14869"/>
    <cellStyle name="常规 2 2 10 2 5 3" xfId="14870"/>
    <cellStyle name="常规 2 2 10 2 5 3 2" xfId="14871"/>
    <cellStyle name="常规 2 2 10 2 5 4" xfId="14872"/>
    <cellStyle name="常规 2 2 10 2 5 5" xfId="14874"/>
    <cellStyle name="常规 2 2 10 2 5 6" xfId="14875"/>
    <cellStyle name="常规 2 2 10 2 6" xfId="14877"/>
    <cellStyle name="常规 2 2 10 2 6 2" xfId="14879"/>
    <cellStyle name="常规 2 2 10 2 6 2 2" xfId="14881"/>
    <cellStyle name="常规 2 2 10 2 6 3" xfId="14882"/>
    <cellStyle name="常规 2 2 10 2 6 4" xfId="14883"/>
    <cellStyle name="常规 2 2 10 2 7" xfId="14884"/>
    <cellStyle name="常规 2 2 10 2 7 2" xfId="14886"/>
    <cellStyle name="常规 2 2 10 2 7 2 2" xfId="14887"/>
    <cellStyle name="常规 2 2 10 2 7 3" xfId="14888"/>
    <cellStyle name="常规 2 2 10 2 7 4" xfId="14890"/>
    <cellStyle name="常规 2 2 10 2 8" xfId="14891"/>
    <cellStyle name="常规 2 2 10 2 8 2" xfId="14893"/>
    <cellStyle name="常规 2 2 10 2 9" xfId="12352"/>
    <cellStyle name="常规 2 2 10 2 9 2" xfId="12355"/>
    <cellStyle name="常规 2 2 10 3" xfId="1336"/>
    <cellStyle name="常规 2 2 10 3 10" xfId="14895"/>
    <cellStyle name="常规 2 2 10 3 2" xfId="14897"/>
    <cellStyle name="常规 2 2 10 3 2 2" xfId="14899"/>
    <cellStyle name="常规 2 2 10 3 2 2 2" xfId="14901"/>
    <cellStyle name="常规 2 2 10 3 2 2 2 2" xfId="14904"/>
    <cellStyle name="常规 2 2 10 3 2 2 2 2 2" xfId="14905"/>
    <cellStyle name="常规 2 2 10 3 2 2 2 3" xfId="3185"/>
    <cellStyle name="常规 2 2 10 3 2 2 2 4" xfId="3191"/>
    <cellStyle name="常规 2 2 10 3 2 2 3" xfId="14906"/>
    <cellStyle name="常规 2 2 10 3 2 2 3 2" xfId="14907"/>
    <cellStyle name="常规 2 2 10 3 2 2 4" xfId="14908"/>
    <cellStyle name="常规 2 2 10 3 2 2 5" xfId="14910"/>
    <cellStyle name="常规 2 2 10 3 2 3" xfId="14914"/>
    <cellStyle name="常规 2 2 10 3 2 3 2" xfId="14916"/>
    <cellStyle name="常规 2 2 10 3 2 3 2 2" xfId="14918"/>
    <cellStyle name="常规 2 2 10 3 2 3 3" xfId="14919"/>
    <cellStyle name="常规 2 2 10 3 2 3 4" xfId="7314"/>
    <cellStyle name="常规 2 2 10 3 2 4" xfId="14920"/>
    <cellStyle name="常规 2 2 10 3 2 4 2" xfId="14922"/>
    <cellStyle name="常规 2 2 10 3 2 4 2 2" xfId="14923"/>
    <cellStyle name="常规 2 2 10 3 2 4 3" xfId="14924"/>
    <cellStyle name="常规 2 2 10 3 2 4 4" xfId="14925"/>
    <cellStyle name="常规 2 2 10 3 2 5" xfId="14927"/>
    <cellStyle name="常规 2 2 10 3 2 5 2" xfId="14928"/>
    <cellStyle name="常规 2 2 10 3 2 6" xfId="3419"/>
    <cellStyle name="常规 2 2 10 3 2 7" xfId="14401"/>
    <cellStyle name="常规 2 2 10 3 2 8" xfId="14421"/>
    <cellStyle name="常规 2 2 10 3 3" xfId="14929"/>
    <cellStyle name="常规 2 2 10 3 3 2" xfId="14931"/>
    <cellStyle name="常规 2 2 10 3 3 2 2" xfId="6152"/>
    <cellStyle name="常规 2 2 10 3 3 2 2 2" xfId="14933"/>
    <cellStyle name="常规 2 2 10 3 3 2 3" xfId="14934"/>
    <cellStyle name="常规 2 2 10 3 3 2 4" xfId="14935"/>
    <cellStyle name="常规 2 2 10 3 3 3" xfId="14937"/>
    <cellStyle name="常规 2 2 10 3 3 3 2" xfId="14939"/>
    <cellStyle name="常规 2 2 10 3 3 4" xfId="14940"/>
    <cellStyle name="常规 2 2 10 3 3 5" xfId="14942"/>
    <cellStyle name="常规 2 2 10 3 3 6" xfId="14944"/>
    <cellStyle name="常规 2 2 10 3 4" xfId="14947"/>
    <cellStyle name="常规 2 2 10 3 4 2" xfId="14950"/>
    <cellStyle name="常规 2 2 10 3 4 2 2" xfId="14953"/>
    <cellStyle name="常规 2 2 10 3 4 3" xfId="14955"/>
    <cellStyle name="常规 2 2 10 3 4 4" xfId="14957"/>
    <cellStyle name="常规 2 2 10 3 5" xfId="14959"/>
    <cellStyle name="常规 2 2 10 3 5 2" xfId="14962"/>
    <cellStyle name="常规 2 2 10 3 5 2 2" xfId="14964"/>
    <cellStyle name="常规 2 2 10 3 5 3" xfId="14966"/>
    <cellStyle name="常规 2 2 10 3 5 4" xfId="14968"/>
    <cellStyle name="常规 2 2 10 3 6" xfId="10587"/>
    <cellStyle name="常规 2 2 10 3 6 2" xfId="10591"/>
    <cellStyle name="常规 2 2 10 3 7" xfId="10602"/>
    <cellStyle name="常规 2 2 10 3 7 2" xfId="10606"/>
    <cellStyle name="常规 2 2 10 3 8" xfId="10609"/>
    <cellStyle name="常规 2 2 10 3 9" xfId="10615"/>
    <cellStyle name="常规 2 2 10 4" xfId="14971"/>
    <cellStyle name="常规 2 2 10 4 10" xfId="14973"/>
    <cellStyle name="常规 2 2 10 4 11" xfId="14974"/>
    <cellStyle name="常规 2 2 10 4 2" xfId="14975"/>
    <cellStyle name="常规 2 2 10 4 2 10" xfId="2885"/>
    <cellStyle name="常规 2 2 10 4 2 2" xfId="14977"/>
    <cellStyle name="常规 2 2 10 4 2 2 2" xfId="14980"/>
    <cellStyle name="常规 2 2 10 4 2 2 2 2" xfId="14983"/>
    <cellStyle name="常规 2 2 10 4 2 2 2 2 2" xfId="14986"/>
    <cellStyle name="常规 2 2 10 4 2 2 2 2 2 2" xfId="14989"/>
    <cellStyle name="常规 2 2 10 4 2 2 2 2 3" xfId="14730"/>
    <cellStyle name="常规 2 2 10 4 2 2 2 2 4" xfId="6693"/>
    <cellStyle name="常规 2 2 10 4 2 2 2 3" xfId="14990"/>
    <cellStyle name="常规 2 2 10 4 2 2 2 3 2" xfId="14991"/>
    <cellStyle name="常规 2 2 10 4 2 2 2 4" xfId="14992"/>
    <cellStyle name="常规 2 2 10 4 2 2 2 5" xfId="14994"/>
    <cellStyle name="常规 2 2 10 4 2 2 3" xfId="14996"/>
    <cellStyle name="常规 2 2 10 4 2 2 3 2" xfId="14998"/>
    <cellStyle name="常规 2 2 10 4 2 2 3 2 2" xfId="14999"/>
    <cellStyle name="常规 2 2 10 4 2 2 3 3" xfId="15000"/>
    <cellStyle name="常规 2 2 10 4 2 2 3 4" xfId="15002"/>
    <cellStyle name="常规 2 2 10 4 2 2 4" xfId="15004"/>
    <cellStyle name="常规 2 2 10 4 2 2 4 2" xfId="12879"/>
    <cellStyle name="常规 2 2 10 4 2 2 4 2 2" xfId="12881"/>
    <cellStyle name="常规 2 2 10 4 2 2 4 3" xfId="12887"/>
    <cellStyle name="常规 2 2 10 4 2 2 4 4" xfId="12892"/>
    <cellStyle name="常规 2 2 10 4 2 2 5" xfId="15005"/>
    <cellStyle name="常规 2 2 10 4 2 2 5 2" xfId="12905"/>
    <cellStyle name="常规 2 2 10 4 2 2 6" xfId="15009"/>
    <cellStyle name="常规 2 2 10 4 2 2 7" xfId="15012"/>
    <cellStyle name="常规 2 2 10 4 2 2 8" xfId="15014"/>
    <cellStyle name="常规 2 2 10 4 2 3" xfId="15015"/>
    <cellStyle name="常规 2 2 10 4 2 3 2" xfId="15017"/>
    <cellStyle name="常规 2 2 10 4 2 3 2 2" xfId="15020"/>
    <cellStyle name="常规 2 2 10 4 2 3 2 2 2" xfId="15021"/>
    <cellStyle name="常规 2 2 10 4 2 3 2 3" xfId="15022"/>
    <cellStyle name="常规 2 2 10 4 2 3 2 4" xfId="15023"/>
    <cellStyle name="常规 2 2 10 4 2 3 3" xfId="13147"/>
    <cellStyle name="常规 2 2 10 4 2 3 3 2" xfId="15025"/>
    <cellStyle name="常规 2 2 10 4 2 3 4" xfId="15026"/>
    <cellStyle name="常规 2 2 10 4 2 3 5" xfId="15028"/>
    <cellStyle name="常规 2 2 10 4 2 3 6" xfId="15031"/>
    <cellStyle name="常规 2 2 10 4 2 4" xfId="15034"/>
    <cellStyle name="常规 2 2 10 4 2 4 2" xfId="15035"/>
    <cellStyle name="常规 2 2 10 4 2 4 2 2" xfId="15036"/>
    <cellStyle name="常规 2 2 10 4 2 4 3" xfId="15037"/>
    <cellStyle name="常规 2 2 10 4 2 4 4" xfId="15038"/>
    <cellStyle name="常规 2 2 10 4 2 5" xfId="15041"/>
    <cellStyle name="常规 2 2 10 4 2 5 2" xfId="15042"/>
    <cellStyle name="常规 2 2 10 4 2 5 2 2" xfId="15043"/>
    <cellStyle name="常规 2 2 10 4 2 5 3" xfId="15044"/>
    <cellStyle name="常规 2 2 10 4 2 5 4" xfId="15045"/>
    <cellStyle name="常规 2 2 10 4 2 6" xfId="15047"/>
    <cellStyle name="常规 2 2 10 4 2 6 2" xfId="15049"/>
    <cellStyle name="常规 2 2 10 4 2 7" xfId="15051"/>
    <cellStyle name="常规 2 2 10 4 2 7 2" xfId="15054"/>
    <cellStyle name="常规 2 2 10 4 2 8" xfId="15058"/>
    <cellStyle name="常规 2 2 10 4 2 9" xfId="15061"/>
    <cellStyle name="常规 2 2 10 4 3" xfId="15064"/>
    <cellStyle name="常规 2 2 10 4 3 2" xfId="15066"/>
    <cellStyle name="常规 2 2 10 4 3 2 2" xfId="15067"/>
    <cellStyle name="常规 2 2 10 4 3 2 2 2" xfId="15068"/>
    <cellStyle name="常规 2 2 10 4 3 2 2 2 2" xfId="15069"/>
    <cellStyle name="常规 2 2 10 4 3 2 2 3" xfId="15070"/>
    <cellStyle name="常规 2 2 10 4 3 2 2 4" xfId="15071"/>
    <cellStyle name="常规 2 2 10 4 3 2 3" xfId="15073"/>
    <cellStyle name="常规 2 2 10 4 3 2 3 2" xfId="15074"/>
    <cellStyle name="常规 2 2 10 4 3 2 4" xfId="15075"/>
    <cellStyle name="常规 2 2 10 4 3 2 5" xfId="15077"/>
    <cellStyle name="常规 2 2 10 4 3 3" xfId="15080"/>
    <cellStyle name="常规 2 2 10 4 3 3 2" xfId="15081"/>
    <cellStyle name="常规 2 2 10 4 3 3 2 2" xfId="15082"/>
    <cellStyle name="常规 2 2 10 4 3 3 3" xfId="15083"/>
    <cellStyle name="常规 2 2 10 4 3 3 4" xfId="15084"/>
    <cellStyle name="常规 2 2 10 4 3 4" xfId="15086"/>
    <cellStyle name="常规 2 2 10 4 3 4 2" xfId="15088"/>
    <cellStyle name="常规 2 2 10 4 3 4 2 2" xfId="6950"/>
    <cellStyle name="常规 2 2 10 4 3 4 3" xfId="15090"/>
    <cellStyle name="常规 2 2 10 4 3 4 4" xfId="15092"/>
    <cellStyle name="常规 2 2 10 4 3 5" xfId="15096"/>
    <cellStyle name="常规 2 2 10 4 3 5 2" xfId="15098"/>
    <cellStyle name="常规 2 2 10 4 3 6" xfId="15101"/>
    <cellStyle name="常规 2 2 10 4 3 7" xfId="15105"/>
    <cellStyle name="常规 2 2 10 4 3 8" xfId="15109"/>
    <cellStyle name="常规 2 2 10 4 4" xfId="15113"/>
    <cellStyle name="常规 2 2 10 4 4 2" xfId="15117"/>
    <cellStyle name="常规 2 2 10 4 4 2 2" xfId="15120"/>
    <cellStyle name="常规 2 2 10 4 4 2 2 2" xfId="15123"/>
    <cellStyle name="常规 2 2 10 4 4 2 3" xfId="15125"/>
    <cellStyle name="常规 2 2 10 4 4 2 4" xfId="15129"/>
    <cellStyle name="常规 2 2 10 4 4 3" xfId="15132"/>
    <cellStyle name="常规 2 2 10 4 4 3 2" xfId="15135"/>
    <cellStyle name="常规 2 2 10 4 4 4" xfId="15137"/>
    <cellStyle name="常规 2 2 10 4 4 5" xfId="15141"/>
    <cellStyle name="常规 2 2 10 4 4 6" xfId="15144"/>
    <cellStyle name="常规 2 2 10 4 5" xfId="15148"/>
    <cellStyle name="常规 2 2 10 4 5 2" xfId="15153"/>
    <cellStyle name="常规 2 2 10 4 5 2 2" xfId="15157"/>
    <cellStyle name="常规 2 2 10 4 5 3" xfId="15160"/>
    <cellStyle name="常规 2 2 10 4 5 4" xfId="15163"/>
    <cellStyle name="常规 2 2 10 4 6" xfId="10624"/>
    <cellStyle name="常规 2 2 10 4 6 2" xfId="10631"/>
    <cellStyle name="常规 2 2 10 4 6 2 2" xfId="10635"/>
    <cellStyle name="常规 2 2 10 4 6 3" xfId="10643"/>
    <cellStyle name="常规 2 2 10 4 6 4" xfId="10648"/>
    <cellStyle name="常规 2 2 10 4 7" xfId="10661"/>
    <cellStyle name="常规 2 2 10 4 7 2" xfId="10666"/>
    <cellStyle name="常规 2 2 10 4 8" xfId="10680"/>
    <cellStyle name="常规 2 2 10 4 8 2" xfId="10684"/>
    <cellStyle name="常规 2 2 10 4 9" xfId="10687"/>
    <cellStyle name="常规 2 2 10 5" xfId="15167"/>
    <cellStyle name="常规 2 2 10 5 2" xfId="15168"/>
    <cellStyle name="常规 2 2 10 5 2 2" xfId="15170"/>
    <cellStyle name="常规 2 2 10 5 2 2 2" xfId="15173"/>
    <cellStyle name="常规 2 2 10 5 2 2 2 2" xfId="15175"/>
    <cellStyle name="常规 2 2 10 5 2 2 2 2 2" xfId="5449"/>
    <cellStyle name="常规 2 2 10 5 2 2 2 3" xfId="15176"/>
    <cellStyle name="常规 2 2 10 5 2 2 2 4" xfId="6657"/>
    <cellStyle name="常规 2 2 10 5 2 2 3" xfId="15177"/>
    <cellStyle name="常规 2 2 10 5 2 2 3 2" xfId="15179"/>
    <cellStyle name="常规 2 2 10 5 2 2 4" xfId="15180"/>
    <cellStyle name="常规 2 2 10 5 2 2 5" xfId="15181"/>
    <cellStyle name="常规 2 2 10 5 2 3" xfId="15182"/>
    <cellStyle name="常规 2 2 10 5 2 3 2" xfId="15183"/>
    <cellStyle name="常规 2 2 10 5 2 3 2 2" xfId="15185"/>
    <cellStyle name="常规 2 2 10 5 2 3 3" xfId="15186"/>
    <cellStyle name="常规 2 2 10 5 2 3 4" xfId="15187"/>
    <cellStyle name="常规 2 2 10 5 2 4" xfId="15189"/>
    <cellStyle name="常规 2 2 10 5 2 4 2" xfId="15190"/>
    <cellStyle name="常规 2 2 10 5 2 5" xfId="10900"/>
    <cellStyle name="常规 2 2 10 5 2 6" xfId="10911"/>
    <cellStyle name="常规 2 2 10 5 2 7" xfId="10921"/>
    <cellStyle name="常规 2 2 10 5 3" xfId="15191"/>
    <cellStyle name="常规 2 2 10 5 3 2" xfId="15193"/>
    <cellStyle name="常规 2 2 10 5 3 2 2" xfId="15195"/>
    <cellStyle name="常规 2 2 10 5 3 3" xfId="15197"/>
    <cellStyle name="常规 2 2 10 5 3 4" xfId="15198"/>
    <cellStyle name="常规 2 2 10 5 4" xfId="15200"/>
    <cellStyle name="常规 2 2 10 5 4 2" xfId="9275"/>
    <cellStyle name="常规 2 2 10 5 4 2 2" xfId="9280"/>
    <cellStyle name="常规 2 2 10 5 4 3" xfId="9324"/>
    <cellStyle name="常规 2 2 10 5 4 4" xfId="9343"/>
    <cellStyle name="常规 2 2 10 5 5" xfId="15204"/>
    <cellStyle name="常规 2 2 10 5 6" xfId="10701"/>
    <cellStyle name="常规 2 2 10 5 7" xfId="10706"/>
    <cellStyle name="常规 2 2 10 6" xfId="15209"/>
    <cellStyle name="常规 2 2 10 6 2" xfId="15212"/>
    <cellStyle name="常规 2 2 10 6 2 2" xfId="10716"/>
    <cellStyle name="常规 2 2 10 6 2 2 2" xfId="10722"/>
    <cellStyle name="常规 2 2 10 6 2 2 2 2" xfId="15214"/>
    <cellStyle name="常规 2 2 10 6 2 2 3" xfId="15215"/>
    <cellStyle name="常规 2 2 10 6 2 2 4" xfId="15218"/>
    <cellStyle name="常规 2 2 10 6 2 3" xfId="10727"/>
    <cellStyle name="常规 2 2 10 6 2 3 2" xfId="10731"/>
    <cellStyle name="常规 2 2 10 6 2 3 2 2" xfId="15219"/>
    <cellStyle name="常规 2 2 10 6 2 3 3" xfId="15220"/>
    <cellStyle name="常规 2 2 10 6 2 3 4" xfId="15222"/>
    <cellStyle name="常规 2 2 10 6 2 4" xfId="124"/>
    <cellStyle name="常规 2 2 10 6 2 5" xfId="10735"/>
    <cellStyle name="常规 2 2 10 6 3" xfId="15224"/>
    <cellStyle name="常规 2 2 10 6 3 2" xfId="10807"/>
    <cellStyle name="常规 2 2 10 6 3 2 2" xfId="10810"/>
    <cellStyle name="常规 2 2 10 6 3 2 2 2" xfId="15229"/>
    <cellStyle name="常规 2 2 10 6 3 2 3" xfId="15231"/>
    <cellStyle name="常规 2 2 10 6 3 2 4" xfId="15235"/>
    <cellStyle name="常规 2 2 10 6 3 3" xfId="10816"/>
    <cellStyle name="常规 2 2 10 6 3 3 2" xfId="15237"/>
    <cellStyle name="常规 2 2 10 6 3 4" xfId="10819"/>
    <cellStyle name="常规 2 2 10 6 3 5" xfId="11275"/>
    <cellStyle name="常规 2 2 10 6 4" xfId="15238"/>
    <cellStyle name="常规 2 2 10 6 4 2" xfId="10836"/>
    <cellStyle name="常规 2 2 10 6 4 2 2" xfId="15242"/>
    <cellStyle name="常规 2 2 10 6 4 3" xfId="15243"/>
    <cellStyle name="常规 2 2 10 6 4 4" xfId="15244"/>
    <cellStyle name="常规 2 2 10 6 5" xfId="15246"/>
    <cellStyle name="常规 2 2 10 6 5 2" xfId="15251"/>
    <cellStyle name="常规 2 2 10 6 5 2 2" xfId="15253"/>
    <cellStyle name="常规 2 2 10 6 5 3" xfId="15254"/>
    <cellStyle name="常规 2 2 10 6 5 4" xfId="15255"/>
    <cellStyle name="常规 2 2 10 6 6" xfId="10720"/>
    <cellStyle name="常规 2 2 10 6 7" xfId="15216"/>
    <cellStyle name="常规 2 2 10 7" xfId="15256"/>
    <cellStyle name="常规 2 2 10 7 2" xfId="15257"/>
    <cellStyle name="常规 2 2 10 7 2 2" xfId="10235"/>
    <cellStyle name="常规 2 2 10 7 2 2 2" xfId="10237"/>
    <cellStyle name="常规 2 2 10 7 2 2 2 2" xfId="10240"/>
    <cellStyle name="常规 2 2 10 7 2 2 3" xfId="10242"/>
    <cellStyle name="常规 2 2 10 7 2 2 4" xfId="10245"/>
    <cellStyle name="常规 2 2 10 7 2 3" xfId="10248"/>
    <cellStyle name="常规 2 2 10 7 2 3 2" xfId="10250"/>
    <cellStyle name="常规 2 2 10 7 2 3 2 2" xfId="14439"/>
    <cellStyle name="常规 2 2 10 7 2 3 3" xfId="15258"/>
    <cellStyle name="常规 2 2 10 7 2 3 4" xfId="15259"/>
    <cellStyle name="常规 2 2 10 7 2 4" xfId="10253"/>
    <cellStyle name="常规 2 2 10 7 2 5" xfId="10257"/>
    <cellStyle name="常规 2 2 10 7 3" xfId="15263"/>
    <cellStyle name="常规 2 2 10 7 3 2" xfId="10266"/>
    <cellStyle name="常规 2 2 10 7 3 2 2" xfId="10269"/>
    <cellStyle name="常规 2 2 10 7 3 3" xfId="10271"/>
    <cellStyle name="常规 2 2 10 7 3 4" xfId="10273"/>
    <cellStyle name="常规 2 2 10 7 4" xfId="15265"/>
    <cellStyle name="常规 2 2 10 7 4 2" xfId="15269"/>
    <cellStyle name="常规 2 2 10 7 4 2 2" xfId="15271"/>
    <cellStyle name="常规 2 2 10 7 4 3" xfId="2612"/>
    <cellStyle name="常规 2 2 10 7 4 4" xfId="2725"/>
    <cellStyle name="常规 2 2 10 7 5" xfId="15272"/>
    <cellStyle name="常规 2 2 10 7 6" xfId="10729"/>
    <cellStyle name="常规 2 2 10 8" xfId="15276"/>
    <cellStyle name="常规 2 2 10 8 2" xfId="15277"/>
    <cellStyle name="常规 2 2 10 8 2 2" xfId="10314"/>
    <cellStyle name="常规 2 2 10 8 2 2 2" xfId="10316"/>
    <cellStyle name="常规 2 2 10 8 2 3" xfId="10320"/>
    <cellStyle name="常规 2 2 10 8 2 4" xfId="10323"/>
    <cellStyle name="常规 2 2 10 8 3" xfId="15278"/>
    <cellStyle name="常规 2 2 10 8 3 2" xfId="15280"/>
    <cellStyle name="常规 2 2 10 8 3 2 2" xfId="15282"/>
    <cellStyle name="常规 2 2 10 8 3 3" xfId="11444"/>
    <cellStyle name="常规 2 2 10 8 3 4" xfId="11450"/>
    <cellStyle name="常规 2 2 10 8 4" xfId="15283"/>
    <cellStyle name="常规 2 2 10 8 4 2" xfId="15286"/>
    <cellStyle name="常规 2 2 10 8 5" xfId="15287"/>
    <cellStyle name="常规 2 2 10 8 6" xfId="15290"/>
    <cellStyle name="常规 2 2 10 8 7" xfId="15291"/>
    <cellStyle name="常规 2 2 10 9" xfId="15292"/>
    <cellStyle name="常规 2 2 10 9 2" xfId="15293"/>
    <cellStyle name="常规 2 2 10 9 2 2" xfId="15296"/>
    <cellStyle name="常规 2 2 10 9 2 2 2" xfId="15297"/>
    <cellStyle name="常规 2 2 10 9 2 3" xfId="85"/>
    <cellStyle name="常规 2 2 10 9 2 4" xfId="15299"/>
    <cellStyle name="常规 2 2 10 9 3" xfId="15300"/>
    <cellStyle name="常规 2 2 10 9 3 2" xfId="2944"/>
    <cellStyle name="常规 2 2 10 9 4" xfId="15303"/>
    <cellStyle name="常规 2 2 10 9 5" xfId="15307"/>
    <cellStyle name="常规 2 2 10 9 6" xfId="10991"/>
    <cellStyle name="常规 2 2 11" xfId="1546"/>
    <cellStyle name="常规 2 2 11 10" xfId="5836"/>
    <cellStyle name="常规 2 2 11 10 2" xfId="5839"/>
    <cellStyle name="常规 2 2 11 11" xfId="15310"/>
    <cellStyle name="常规 2 2 11 12" xfId="15311"/>
    <cellStyle name="常规 2 2 11 13" xfId="15312"/>
    <cellStyle name="常规 2 2 11 2" xfId="257"/>
    <cellStyle name="常规 2 2 11 2 10" xfId="8044"/>
    <cellStyle name="常规 2 2 11 2 11" xfId="8051"/>
    <cellStyle name="常规 2 2 11 2 12" xfId="15314"/>
    <cellStyle name="常规 2 2 11 2 2" xfId="2718"/>
    <cellStyle name="常规 2 2 11 2 2 10" xfId="5365"/>
    <cellStyle name="常规 2 2 11 2 2 2" xfId="15319"/>
    <cellStyle name="常规 2 2 11 2 2 2 2" xfId="149"/>
    <cellStyle name="常规 2 2 11 2 2 2 2 2" xfId="15321"/>
    <cellStyle name="常规 2 2 11 2 2 2 2 2 2" xfId="15322"/>
    <cellStyle name="常规 2 2 11 2 2 2 2 2 2 2" xfId="15325"/>
    <cellStyle name="常规 2 2 11 2 2 2 2 2 3" xfId="11026"/>
    <cellStyle name="常规 2 2 11 2 2 2 2 2 4" xfId="15327"/>
    <cellStyle name="常规 2 2 11 2 2 2 2 3" xfId="15329"/>
    <cellStyle name="常规 2 2 11 2 2 2 2 3 2" xfId="15330"/>
    <cellStyle name="常规 2 2 11 2 2 2 2 4" xfId="15332"/>
    <cellStyle name="常规 2 2 11 2 2 2 2 5" xfId="14406"/>
    <cellStyle name="常规 2 2 11 2 2 2 3" xfId="15333"/>
    <cellStyle name="常规 2 2 11 2 2 2 3 2" xfId="15334"/>
    <cellStyle name="常规 2 2 11 2 2 2 3 2 2" xfId="15335"/>
    <cellStyle name="常规 2 2 11 2 2 2 3 3" xfId="15338"/>
    <cellStyle name="常规 2 2 11 2 2 2 3 4" xfId="10105"/>
    <cellStyle name="常规 2 2 11 2 2 2 4" xfId="15339"/>
    <cellStyle name="常规 2 2 11 2 2 2 4 2" xfId="15341"/>
    <cellStyle name="常规 2 2 11 2 2 2 4 2 2" xfId="15344"/>
    <cellStyle name="常规 2 2 11 2 2 2 4 3" xfId="15349"/>
    <cellStyle name="常规 2 2 11 2 2 2 4 4" xfId="10109"/>
    <cellStyle name="常规 2 2 11 2 2 2 5" xfId="15351"/>
    <cellStyle name="常规 2 2 11 2 2 2 5 2" xfId="15353"/>
    <cellStyle name="常规 2 2 11 2 2 2 6" xfId="8189"/>
    <cellStyle name="常规 2 2 11 2 2 2 7" xfId="15355"/>
    <cellStyle name="常规 2 2 11 2 2 2 8" xfId="15357"/>
    <cellStyle name="常规 2 2 11 2 2 3" xfId="15359"/>
    <cellStyle name="常规 2 2 11 2 2 3 2" xfId="15360"/>
    <cellStyle name="常规 2 2 11 2 2 3 2 2" xfId="15362"/>
    <cellStyle name="常规 2 2 11 2 2 3 2 2 2" xfId="15363"/>
    <cellStyle name="常规 2 2 11 2 2 3 2 3" xfId="15367"/>
    <cellStyle name="常规 2 2 11 2 2 3 2 4" xfId="15368"/>
    <cellStyle name="常规 2 2 11 2 2 3 3" xfId="15369"/>
    <cellStyle name="常规 2 2 11 2 2 3 3 2" xfId="15370"/>
    <cellStyle name="常规 2 2 11 2 2 3 4" xfId="15371"/>
    <cellStyle name="常规 2 2 11 2 2 3 5" xfId="15374"/>
    <cellStyle name="常规 2 2 11 2 2 3 6" xfId="15377"/>
    <cellStyle name="常规 2 2 11 2 2 4" xfId="15380"/>
    <cellStyle name="常规 2 2 11 2 2 4 2" xfId="15381"/>
    <cellStyle name="常规 2 2 11 2 2 4 2 2" xfId="15382"/>
    <cellStyle name="常规 2 2 11 2 2 4 3" xfId="15383"/>
    <cellStyle name="常规 2 2 11 2 2 4 4" xfId="15384"/>
    <cellStyle name="常规 2 2 11 2 2 5" xfId="15388"/>
    <cellStyle name="常规 2 2 11 2 2 5 2" xfId="2704"/>
    <cellStyle name="常规 2 2 11 2 2 5 2 2" xfId="2713"/>
    <cellStyle name="常规 2 2 11 2 2 5 3" xfId="2717"/>
    <cellStyle name="常规 2 2 11 2 2 5 4" xfId="2305"/>
    <cellStyle name="常规 2 2 11 2 2 6" xfId="15390"/>
    <cellStyle name="常规 2 2 11 2 2 6 2" xfId="15392"/>
    <cellStyle name="常规 2 2 11 2 2 7" xfId="15394"/>
    <cellStyle name="常规 2 2 11 2 2 7 2" xfId="15396"/>
    <cellStyle name="常规 2 2 11 2 2 8" xfId="15398"/>
    <cellStyle name="常规 2 2 11 2 2 9" xfId="15400"/>
    <cellStyle name="常规 2 2 11 2 3" xfId="2304"/>
    <cellStyle name="常规 2 2 11 2 3 10" xfId="15402"/>
    <cellStyle name="常规 2 2 11 2 3 11" xfId="15403"/>
    <cellStyle name="常规 2 2 11 2 3 2" xfId="4780"/>
    <cellStyle name="常规 2 2 11 2 3 2 10" xfId="15405"/>
    <cellStyle name="常规 2 2 11 2 3 2 2" xfId="15409"/>
    <cellStyle name="常规 2 2 11 2 3 2 2 2" xfId="15410"/>
    <cellStyle name="常规 2 2 11 2 3 2 2 2 2" xfId="15411"/>
    <cellStyle name="常规 2 2 11 2 3 2 2 2 2 2" xfId="12696"/>
    <cellStyle name="常规 2 2 11 2 3 2 2 2 2 2 2" xfId="12172"/>
    <cellStyle name="常规 2 2 11 2 3 2 2 2 2 3" xfId="12699"/>
    <cellStyle name="常规 2 2 11 2 3 2 2 2 2 4" xfId="15412"/>
    <cellStyle name="常规 2 2 11 2 3 2 2 2 3" xfId="15413"/>
    <cellStyle name="常规 2 2 11 2 3 2 2 2 3 2" xfId="13117"/>
    <cellStyle name="常规 2 2 11 2 3 2 2 2 4" xfId="15414"/>
    <cellStyle name="常规 2 2 11 2 3 2 2 2 5" xfId="15415"/>
    <cellStyle name="常规 2 2 11 2 3 2 2 3" xfId="15417"/>
    <cellStyle name="常规 2 2 11 2 3 2 2 3 2" xfId="15418"/>
    <cellStyle name="常规 2 2 11 2 3 2 2 3 2 2" xfId="15419"/>
    <cellStyle name="常规 2 2 11 2 3 2 2 3 3" xfId="15420"/>
    <cellStyle name="常规 2 2 11 2 3 2 2 3 4" xfId="15422"/>
    <cellStyle name="常规 2 2 11 2 3 2 2 4" xfId="15423"/>
    <cellStyle name="常规 2 2 11 2 3 2 2 4 2" xfId="15424"/>
    <cellStyle name="常规 2 2 11 2 3 2 2 4 2 2" xfId="15425"/>
    <cellStyle name="常规 2 2 11 2 3 2 2 4 3" xfId="15426"/>
    <cellStyle name="常规 2 2 11 2 3 2 2 4 4" xfId="15427"/>
    <cellStyle name="常规 2 2 11 2 3 2 2 5" xfId="15056"/>
    <cellStyle name="常规 2 2 11 2 3 2 2 5 2" xfId="15428"/>
    <cellStyle name="常规 2 2 11 2 3 2 2 6" xfId="15430"/>
    <cellStyle name="常规 2 2 11 2 3 2 2 7" xfId="15433"/>
    <cellStyle name="常规 2 2 11 2 3 2 2 8" xfId="15435"/>
    <cellStyle name="常规 2 2 11 2 3 2 3" xfId="15437"/>
    <cellStyle name="常规 2 2 11 2 3 2 3 2" xfId="15438"/>
    <cellStyle name="常规 2 2 11 2 3 2 3 2 2" xfId="15439"/>
    <cellStyle name="常规 2 2 11 2 3 2 3 2 2 2" xfId="15442"/>
    <cellStyle name="常规 2 2 11 2 3 2 3 2 3" xfId="15443"/>
    <cellStyle name="常规 2 2 11 2 3 2 3 2 4" xfId="22"/>
    <cellStyle name="常规 2 2 11 2 3 2 3 3" xfId="15446"/>
    <cellStyle name="常规 2 2 11 2 3 2 3 3 2" xfId="15447"/>
    <cellStyle name="常规 2 2 11 2 3 2 3 4" xfId="15449"/>
    <cellStyle name="常规 2 2 11 2 3 2 3 5" xfId="15450"/>
    <cellStyle name="常规 2 2 11 2 3 2 3 6" xfId="15452"/>
    <cellStyle name="常规 2 2 11 2 3 2 4" xfId="15455"/>
    <cellStyle name="常规 2 2 11 2 3 2 4 2" xfId="15457"/>
    <cellStyle name="常规 2 2 11 2 3 2 4 2 2" xfId="15459"/>
    <cellStyle name="常规 2 2 11 2 3 2 4 3" xfId="15461"/>
    <cellStyle name="常规 2 2 11 2 3 2 4 4" xfId="15462"/>
    <cellStyle name="常规 2 2 11 2 3 2 5" xfId="15463"/>
    <cellStyle name="常规 2 2 11 2 3 2 5 2" xfId="5414"/>
    <cellStyle name="常规 2 2 11 2 3 2 5 2 2" xfId="5416"/>
    <cellStyle name="常规 2 2 11 2 3 2 5 3" xfId="5419"/>
    <cellStyle name="常规 2 2 11 2 3 2 5 4" xfId="15465"/>
    <cellStyle name="常规 2 2 11 2 3 2 6" xfId="8197"/>
    <cellStyle name="常规 2 2 11 2 3 2 6 2" xfId="5454"/>
    <cellStyle name="常规 2 2 11 2 3 2 7" xfId="15466"/>
    <cellStyle name="常规 2 2 11 2 3 2 7 2" xfId="15468"/>
    <cellStyle name="常规 2 2 11 2 3 2 8" xfId="15469"/>
    <cellStyle name="常规 2 2 11 2 3 2 9" xfId="10984"/>
    <cellStyle name="常规 2 2 11 2 3 3" xfId="15470"/>
    <cellStyle name="常规 2 2 11 2 3 3 2" xfId="15471"/>
    <cellStyle name="常规 2 2 11 2 3 3 2 2" xfId="15472"/>
    <cellStyle name="常规 2 2 11 2 3 3 2 2 2" xfId="15473"/>
    <cellStyle name="常规 2 2 11 2 3 3 2 2 2 2" xfId="15474"/>
    <cellStyle name="常规 2 2 11 2 3 3 2 2 3" xfId="15475"/>
    <cellStyle name="常规 2 2 11 2 3 3 2 2 4" xfId="15476"/>
    <cellStyle name="常规 2 2 11 2 3 3 2 3" xfId="15477"/>
    <cellStyle name="常规 2 2 11 2 3 3 2 3 2" xfId="15478"/>
    <cellStyle name="常规 2 2 11 2 3 3 2 4" xfId="15479"/>
    <cellStyle name="常规 2 2 11 2 3 3 2 5" xfId="15481"/>
    <cellStyle name="常规 2 2 11 2 3 3 3" xfId="15483"/>
    <cellStyle name="常规 2 2 11 2 3 3 3 2" xfId="15484"/>
    <cellStyle name="常规 2 2 11 2 3 3 3 2 2" xfId="15485"/>
    <cellStyle name="常规 2 2 11 2 3 3 3 3" xfId="15487"/>
    <cellStyle name="常规 2 2 11 2 3 3 3 4" xfId="15488"/>
    <cellStyle name="常规 2 2 11 2 3 3 4" xfId="15489"/>
    <cellStyle name="常规 2 2 11 2 3 3 4 2" xfId="15492"/>
    <cellStyle name="常规 2 2 11 2 3 3 4 2 2" xfId="15225"/>
    <cellStyle name="常规 2 2 11 2 3 3 4 3" xfId="15494"/>
    <cellStyle name="常规 2 2 11 2 3 3 4 4" xfId="15496"/>
    <cellStyle name="常规 2 2 11 2 3 3 5" xfId="15498"/>
    <cellStyle name="常规 2 2 11 2 3 3 5 2" xfId="15500"/>
    <cellStyle name="常规 2 2 11 2 3 3 6" xfId="15503"/>
    <cellStyle name="常规 2 2 11 2 3 3 7" xfId="15505"/>
    <cellStyle name="常规 2 2 11 2 3 3 8" xfId="8032"/>
    <cellStyle name="常规 2 2 11 2 3 4" xfId="15507"/>
    <cellStyle name="常规 2 2 11 2 3 4 2" xfId="15508"/>
    <cellStyle name="常规 2 2 11 2 3 4 2 2" xfId="15509"/>
    <cellStyle name="常规 2 2 11 2 3 4 2 2 2" xfId="15510"/>
    <cellStyle name="常规 2 2 11 2 3 4 2 3" xfId="15513"/>
    <cellStyle name="常规 2 2 11 2 3 4 2 4" xfId="15514"/>
    <cellStyle name="常规 2 2 11 2 3 4 3" xfId="15515"/>
    <cellStyle name="常规 2 2 11 2 3 4 3 2" xfId="15516"/>
    <cellStyle name="常规 2 2 11 2 3 4 4" xfId="15517"/>
    <cellStyle name="常规 2 2 11 2 3 4 5" xfId="15519"/>
    <cellStyle name="常规 2 2 11 2 3 4 6" xfId="15521"/>
    <cellStyle name="常规 2 2 11 2 3 5" xfId="15523"/>
    <cellStyle name="常规 2 2 11 2 3 5 2" xfId="15527"/>
    <cellStyle name="常规 2 2 11 2 3 5 2 2" xfId="15529"/>
    <cellStyle name="常规 2 2 11 2 3 5 3" xfId="15531"/>
    <cellStyle name="常规 2 2 11 2 3 5 4" xfId="4849"/>
    <cellStyle name="常规 2 2 11 2 3 6" xfId="15534"/>
    <cellStyle name="常规 2 2 11 2 3 6 2" xfId="15537"/>
    <cellStyle name="常规 2 2 11 2 3 6 2 2" xfId="15539"/>
    <cellStyle name="常规 2 2 11 2 3 6 3" xfId="15540"/>
    <cellStyle name="常规 2 2 11 2 3 6 4" xfId="15542"/>
    <cellStyle name="常规 2 2 11 2 3 7" xfId="15545"/>
    <cellStyle name="常规 2 2 11 2 3 7 2" xfId="15548"/>
    <cellStyle name="常规 2 2 11 2 3 8" xfId="243"/>
    <cellStyle name="常规 2 2 11 2 3 8 2" xfId="15549"/>
    <cellStyle name="常规 2 2 11 2 3 9" xfId="15550"/>
    <cellStyle name="常规 2 2 11 2 4" xfId="4793"/>
    <cellStyle name="常规 2 2 11 2 4 2" xfId="15552"/>
    <cellStyle name="常规 2 2 11 2 4 2 2" xfId="15554"/>
    <cellStyle name="常规 2 2 11 2 4 2 2 2" xfId="15556"/>
    <cellStyle name="常规 2 2 11 2 4 2 2 2 2" xfId="15557"/>
    <cellStyle name="常规 2 2 11 2 4 2 2 3" xfId="15558"/>
    <cellStyle name="常规 2 2 11 2 4 2 2 4" xfId="15559"/>
    <cellStyle name="常规 2 2 11 2 4 2 3" xfId="15560"/>
    <cellStyle name="常规 2 2 11 2 4 2 3 2" xfId="15561"/>
    <cellStyle name="常规 2 2 11 2 4 2 4" xfId="15562"/>
    <cellStyle name="常规 2 2 11 2 4 2 5" xfId="15563"/>
    <cellStyle name="常规 2 2 11 2 4 3" xfId="15564"/>
    <cellStyle name="常规 2 2 11 2 4 3 2" xfId="15566"/>
    <cellStyle name="常规 2 2 11 2 4 3 2 2" xfId="15568"/>
    <cellStyle name="常规 2 2 11 2 4 3 3" xfId="15569"/>
    <cellStyle name="常规 2 2 11 2 4 3 4" xfId="15570"/>
    <cellStyle name="常规 2 2 11 2 4 4" xfId="15572"/>
    <cellStyle name="常规 2 2 11 2 4 4 2" xfId="15574"/>
    <cellStyle name="常规 2 2 11 2 4 4 2 2" xfId="15575"/>
    <cellStyle name="常规 2 2 11 2 4 4 3" xfId="15576"/>
    <cellStyle name="常规 2 2 11 2 4 4 4" xfId="15577"/>
    <cellStyle name="常规 2 2 11 2 4 5" xfId="15579"/>
    <cellStyle name="常规 2 2 11 2 4 5 2" xfId="15582"/>
    <cellStyle name="常规 2 2 11 2 4 6" xfId="15584"/>
    <cellStyle name="常规 2 2 11 2 4 7" xfId="15587"/>
    <cellStyle name="常规 2 2 11 2 4 8" xfId="15589"/>
    <cellStyle name="常规 2 2 11 2 5" xfId="15590"/>
    <cellStyle name="常规 2 2 11 2 5 2" xfId="15592"/>
    <cellStyle name="常规 2 2 11 2 5 2 2" xfId="15596"/>
    <cellStyle name="常规 2 2 11 2 5 2 2 2" xfId="15598"/>
    <cellStyle name="常规 2 2 11 2 5 2 3" xfId="15599"/>
    <cellStyle name="常规 2 2 11 2 5 2 4" xfId="15601"/>
    <cellStyle name="常规 2 2 11 2 5 3" xfId="15602"/>
    <cellStyle name="常规 2 2 11 2 5 3 2" xfId="15604"/>
    <cellStyle name="常规 2 2 11 2 5 4" xfId="15605"/>
    <cellStyle name="常规 2 2 11 2 5 5" xfId="15607"/>
    <cellStyle name="常规 2 2 11 2 5 6" xfId="15610"/>
    <cellStyle name="常规 2 2 11 2 6" xfId="15613"/>
    <cellStyle name="常规 2 2 11 2 6 2" xfId="15614"/>
    <cellStyle name="常规 2 2 11 2 6 2 2" xfId="15616"/>
    <cellStyle name="常规 2 2 11 2 6 3" xfId="15617"/>
    <cellStyle name="常规 2 2 11 2 6 4" xfId="15618"/>
    <cellStyle name="常规 2 2 11 2 7" xfId="7988"/>
    <cellStyle name="常规 2 2 11 2 7 2" xfId="7991"/>
    <cellStyle name="常规 2 2 11 2 7 2 2" xfId="15619"/>
    <cellStyle name="常规 2 2 11 2 7 3" xfId="15620"/>
    <cellStyle name="常规 2 2 11 2 7 4" xfId="15621"/>
    <cellStyle name="常规 2 2 11 2 8" xfId="7995"/>
    <cellStyle name="常规 2 2 11 2 8 2" xfId="15623"/>
    <cellStyle name="常规 2 2 11 2 9" xfId="12364"/>
    <cellStyle name="常规 2 2 11 2 9 2" xfId="15624"/>
    <cellStyle name="常规 2 2 11 3" xfId="15625"/>
    <cellStyle name="常规 2 2 11 3 10" xfId="15626"/>
    <cellStyle name="常规 2 2 11 3 2" xfId="15627"/>
    <cellStyle name="常规 2 2 11 3 2 2" xfId="15629"/>
    <cellStyle name="常规 2 2 11 3 2 2 2" xfId="15630"/>
    <cellStyle name="常规 2 2 11 3 2 2 2 2" xfId="15632"/>
    <cellStyle name="常规 2 2 11 3 2 2 2 2 2" xfId="15633"/>
    <cellStyle name="常规 2 2 11 3 2 2 2 3" xfId="4078"/>
    <cellStyle name="常规 2 2 11 3 2 2 2 4" xfId="2989"/>
    <cellStyle name="常规 2 2 11 3 2 2 3" xfId="15636"/>
    <cellStyle name="常规 2 2 11 3 2 2 3 2" xfId="15637"/>
    <cellStyle name="常规 2 2 11 3 2 2 4" xfId="15638"/>
    <cellStyle name="常规 2 2 11 3 2 2 5" xfId="15640"/>
    <cellStyle name="常规 2 2 11 3 2 3" xfId="6031"/>
    <cellStyle name="常规 2 2 11 3 2 3 2" xfId="6060"/>
    <cellStyle name="常规 2 2 11 3 2 3 2 2" xfId="6063"/>
    <cellStyle name="常规 2 2 11 3 2 3 3" xfId="6209"/>
    <cellStyle name="常规 2 2 11 3 2 3 4" xfId="2394"/>
    <cellStyle name="常规 2 2 11 3 2 4" xfId="6424"/>
    <cellStyle name="常规 2 2 11 3 2 4 2" xfId="6427"/>
    <cellStyle name="常规 2 2 11 3 2 4 2 2" xfId="15643"/>
    <cellStyle name="常规 2 2 11 3 2 4 3" xfId="15645"/>
    <cellStyle name="常规 2 2 11 3 2 4 4" xfId="15648"/>
    <cellStyle name="常规 2 2 11 3 2 5" xfId="15651"/>
    <cellStyle name="常规 2 2 11 3 2 5 2" xfId="1734"/>
    <cellStyle name="常规 2 2 11 3 2 6" xfId="15655"/>
    <cellStyle name="常规 2 2 11 3 2 7" xfId="15659"/>
    <cellStyle name="常规 2 2 11 3 2 8" xfId="15663"/>
    <cellStyle name="常规 2 2 11 3 3" xfId="2319"/>
    <cellStyle name="常规 2 2 11 3 3 2" xfId="15665"/>
    <cellStyle name="常规 2 2 11 3 3 2 2" xfId="15667"/>
    <cellStyle name="常规 2 2 11 3 3 2 2 2" xfId="15668"/>
    <cellStyle name="常规 2 2 11 3 3 2 3" xfId="15669"/>
    <cellStyle name="常规 2 2 11 3 3 2 4" xfId="15670"/>
    <cellStyle name="常规 2 2 11 3 3 3" xfId="386"/>
    <cellStyle name="常规 2 2 11 3 3 3 2" xfId="6430"/>
    <cellStyle name="常规 2 2 11 3 3 4" xfId="399"/>
    <cellStyle name="常规 2 2 11 3 3 5" xfId="15673"/>
    <cellStyle name="常规 2 2 11 3 3 6" xfId="15677"/>
    <cellStyle name="常规 2 2 11 3 4" xfId="15679"/>
    <cellStyle name="常规 2 2 11 3 4 2" xfId="15682"/>
    <cellStyle name="常规 2 2 11 3 4 2 2" xfId="15685"/>
    <cellStyle name="常规 2 2 11 3 4 3" xfId="586"/>
    <cellStyle name="常规 2 2 11 3 4 4" xfId="612"/>
    <cellStyle name="常规 2 2 11 3 5" xfId="15688"/>
    <cellStyle name="常规 2 2 11 3 5 2" xfId="15692"/>
    <cellStyle name="常规 2 2 11 3 5 2 2" xfId="15696"/>
    <cellStyle name="常规 2 2 11 3 5 3" xfId="7131"/>
    <cellStyle name="常规 2 2 11 3 5 4" xfId="7438"/>
    <cellStyle name="常规 2 2 11 3 6" xfId="10740"/>
    <cellStyle name="常规 2 2 11 3 6 2" xfId="10744"/>
    <cellStyle name="常规 2 2 11 3 7" xfId="8005"/>
    <cellStyle name="常规 2 2 11 3 7 2" xfId="10755"/>
    <cellStyle name="常规 2 2 11 3 8" xfId="10760"/>
    <cellStyle name="常规 2 2 11 3 9" xfId="10769"/>
    <cellStyle name="常规 2 2 11 4" xfId="15699"/>
    <cellStyle name="常规 2 2 11 4 10" xfId="15701"/>
    <cellStyle name="常规 2 2 11 4 11" xfId="712"/>
    <cellStyle name="常规 2 2 11 4 2" xfId="15702"/>
    <cellStyle name="常规 2 2 11 4 2 10" xfId="15704"/>
    <cellStyle name="常规 2 2 11 4 2 2" xfId="15705"/>
    <cellStyle name="常规 2 2 11 4 2 2 2" xfId="15706"/>
    <cellStyle name="常规 2 2 11 4 2 2 2 2" xfId="15708"/>
    <cellStyle name="常规 2 2 11 4 2 2 2 2 2" xfId="15709"/>
    <cellStyle name="常规 2 2 11 4 2 2 2 2 2 2" xfId="15711"/>
    <cellStyle name="常规 2 2 11 4 2 2 2 2 3" xfId="15713"/>
    <cellStyle name="常规 2 2 11 4 2 2 2 2 4" xfId="1117"/>
    <cellStyle name="常规 2 2 11 4 2 2 2 3" xfId="15716"/>
    <cellStyle name="常规 2 2 11 4 2 2 2 3 2" xfId="15717"/>
    <cellStyle name="常规 2 2 11 4 2 2 2 4" xfId="15720"/>
    <cellStyle name="常规 2 2 11 4 2 2 2 5" xfId="15722"/>
    <cellStyle name="常规 2 2 11 4 2 2 3" xfId="15724"/>
    <cellStyle name="常规 2 2 11 4 2 2 3 2" xfId="15726"/>
    <cellStyle name="常规 2 2 11 4 2 2 3 2 2" xfId="15727"/>
    <cellStyle name="常规 2 2 11 4 2 2 3 3" xfId="15729"/>
    <cellStyle name="常规 2 2 11 4 2 2 3 4" xfId="15730"/>
    <cellStyle name="常规 2 2 11 4 2 2 4" xfId="15731"/>
    <cellStyle name="常规 2 2 11 4 2 2 4 2" xfId="15732"/>
    <cellStyle name="常规 2 2 11 4 2 2 4 2 2" xfId="15733"/>
    <cellStyle name="常规 2 2 11 4 2 2 4 3" xfId="15735"/>
    <cellStyle name="常规 2 2 11 4 2 2 4 4" xfId="15736"/>
    <cellStyle name="常规 2 2 11 4 2 2 5" xfId="15737"/>
    <cellStyle name="常规 2 2 11 4 2 2 5 2" xfId="15738"/>
    <cellStyle name="常规 2 2 11 4 2 2 6" xfId="15739"/>
    <cellStyle name="常规 2 2 11 4 2 2 7" xfId="15740"/>
    <cellStyle name="常规 2 2 11 4 2 2 8" xfId="15741"/>
    <cellStyle name="常规 2 2 11 4 2 3" xfId="15742"/>
    <cellStyle name="常规 2 2 11 4 2 3 2" xfId="15743"/>
    <cellStyle name="常规 2 2 11 4 2 3 2 2" xfId="15745"/>
    <cellStyle name="常规 2 2 11 4 2 3 2 2 2" xfId="15746"/>
    <cellStyle name="常规 2 2 11 4 2 3 2 3" xfId="15748"/>
    <cellStyle name="常规 2 2 11 4 2 3 2 4" xfId="15749"/>
    <cellStyle name="常规 2 2 11 4 2 3 3" xfId="13249"/>
    <cellStyle name="常规 2 2 11 4 2 3 3 2" xfId="15750"/>
    <cellStyle name="常规 2 2 11 4 2 3 4" xfId="15751"/>
    <cellStyle name="常规 2 2 11 4 2 3 5" xfId="15753"/>
    <cellStyle name="常规 2 2 11 4 2 3 6" xfId="15755"/>
    <cellStyle name="常规 2 2 11 4 2 4" xfId="15757"/>
    <cellStyle name="常规 2 2 11 4 2 4 2" xfId="15759"/>
    <cellStyle name="常规 2 2 11 4 2 4 2 2" xfId="15761"/>
    <cellStyle name="常规 2 2 11 4 2 4 3" xfId="2277"/>
    <cellStyle name="常规 2 2 11 4 2 4 4" xfId="15764"/>
    <cellStyle name="常规 2 2 11 4 2 5" xfId="15766"/>
    <cellStyle name="常规 2 2 11 4 2 5 2" xfId="15768"/>
    <cellStyle name="常规 2 2 11 4 2 5 2 2" xfId="15770"/>
    <cellStyle name="常规 2 2 11 4 2 5 3" xfId="15772"/>
    <cellStyle name="常规 2 2 11 4 2 5 4" xfId="15775"/>
    <cellStyle name="常规 2 2 11 4 2 6" xfId="8090"/>
    <cellStyle name="常规 2 2 11 4 2 6 2" xfId="8094"/>
    <cellStyle name="常规 2 2 11 4 2 7" xfId="8176"/>
    <cellStyle name="常规 2 2 11 4 2 7 2" xfId="8180"/>
    <cellStyle name="常规 2 2 11 4 2 8" xfId="8223"/>
    <cellStyle name="常规 2 2 11 4 2 9" xfId="8234"/>
    <cellStyle name="常规 2 2 11 4 3" xfId="15777"/>
    <cellStyle name="常规 2 2 11 4 3 2" xfId="15780"/>
    <cellStyle name="常规 2 2 11 4 3 2 2" xfId="15781"/>
    <cellStyle name="常规 2 2 11 4 3 2 2 2" xfId="15782"/>
    <cellStyle name="常规 2 2 11 4 3 2 2 2 2" xfId="15783"/>
    <cellStyle name="常规 2 2 11 4 3 2 2 3" xfId="15784"/>
    <cellStyle name="常规 2 2 11 4 3 2 2 4" xfId="15785"/>
    <cellStyle name="常规 2 2 11 4 3 2 3" xfId="15786"/>
    <cellStyle name="常规 2 2 11 4 3 2 3 2" xfId="15787"/>
    <cellStyle name="常规 2 2 11 4 3 2 4" xfId="15788"/>
    <cellStyle name="常规 2 2 11 4 3 2 5" xfId="15789"/>
    <cellStyle name="常规 2 2 11 4 3 3" xfId="15790"/>
    <cellStyle name="常规 2 2 11 4 3 3 2" xfId="15791"/>
    <cellStyle name="常规 2 2 11 4 3 3 2 2" xfId="15792"/>
    <cellStyle name="常规 2 2 11 4 3 3 3" xfId="13255"/>
    <cellStyle name="常规 2 2 11 4 3 3 4" xfId="15793"/>
    <cellStyle name="常规 2 2 11 4 3 4" xfId="15796"/>
    <cellStyle name="常规 2 2 11 4 3 4 2" xfId="15799"/>
    <cellStyle name="常规 2 2 11 4 3 4 2 2" xfId="15801"/>
    <cellStyle name="常规 2 2 11 4 3 4 3" xfId="2287"/>
    <cellStyle name="常规 2 2 11 4 3 4 4" xfId="15804"/>
    <cellStyle name="常规 2 2 11 4 3 5" xfId="15807"/>
    <cellStyle name="常规 2 2 11 4 3 5 2" xfId="15809"/>
    <cellStyle name="常规 2 2 11 4 3 6" xfId="8258"/>
    <cellStyle name="常规 2 2 11 4 3 7" xfId="8278"/>
    <cellStyle name="常规 2 2 11 4 3 8" xfId="8282"/>
    <cellStyle name="常规 2 2 11 4 4" xfId="15811"/>
    <cellStyle name="常规 2 2 11 4 4 2" xfId="15814"/>
    <cellStyle name="常规 2 2 11 4 4 2 2" xfId="15818"/>
    <cellStyle name="常规 2 2 11 4 4 2 2 2" xfId="15820"/>
    <cellStyle name="常规 2 2 11 4 4 2 3" xfId="15821"/>
    <cellStyle name="常规 2 2 11 4 4 2 4" xfId="15824"/>
    <cellStyle name="常规 2 2 11 4 4 3" xfId="15826"/>
    <cellStyle name="常规 2 2 11 4 4 3 2" xfId="15828"/>
    <cellStyle name="常规 2 2 11 4 4 4" xfId="15831"/>
    <cellStyle name="常规 2 2 11 4 4 5" xfId="15833"/>
    <cellStyle name="常规 2 2 11 4 4 6" xfId="8299"/>
    <cellStyle name="常规 2 2 11 4 5" xfId="15836"/>
    <cellStyle name="常规 2 2 11 4 5 2" xfId="15841"/>
    <cellStyle name="常规 2 2 11 4 5 2 2" xfId="15845"/>
    <cellStyle name="常规 2 2 11 4 5 3" xfId="15849"/>
    <cellStyle name="常规 2 2 11 4 5 4" xfId="15854"/>
    <cellStyle name="常规 2 2 11 4 6" xfId="10779"/>
    <cellStyle name="常规 2 2 11 4 6 2" xfId="10785"/>
    <cellStyle name="常规 2 2 11 4 6 2 2" xfId="15857"/>
    <cellStyle name="常规 2 2 11 4 6 3" xfId="15858"/>
    <cellStyle name="常规 2 2 11 4 6 4" xfId="15859"/>
    <cellStyle name="常规 2 2 11 4 7" xfId="8015"/>
    <cellStyle name="常规 2 2 11 4 7 2" xfId="10789"/>
    <cellStyle name="常规 2 2 11 4 8" xfId="10793"/>
    <cellStyle name="常规 2 2 11 4 8 2" xfId="15861"/>
    <cellStyle name="常规 2 2 11 4 9" xfId="10797"/>
    <cellStyle name="常规 2 2 11 5" xfId="15863"/>
    <cellStyle name="常规 2 2 11 5 2" xfId="15864"/>
    <cellStyle name="常规 2 2 11 5 2 2" xfId="15865"/>
    <cellStyle name="常规 2 2 11 5 2 2 2" xfId="15867"/>
    <cellStyle name="常规 2 2 11 5 2 2 2 2" xfId="15869"/>
    <cellStyle name="常规 2 2 11 5 2 2 3" xfId="15870"/>
    <cellStyle name="常规 2 2 11 5 2 2 4" xfId="15872"/>
    <cellStyle name="常规 2 2 11 5 2 3" xfId="15873"/>
    <cellStyle name="常规 2 2 11 5 2 3 2" xfId="15874"/>
    <cellStyle name="常规 2 2 11 5 2 4" xfId="15876"/>
    <cellStyle name="常规 2 2 11 5 2 5" xfId="11753"/>
    <cellStyle name="常规 2 2 11 5 3" xfId="15878"/>
    <cellStyle name="常规 2 2 11 5 3 2" xfId="15880"/>
    <cellStyle name="常规 2 2 11 5 3 2 2" xfId="15881"/>
    <cellStyle name="常规 2 2 11 5 3 3" xfId="15882"/>
    <cellStyle name="常规 2 2 11 5 3 4" xfId="15884"/>
    <cellStyle name="常规 2 2 11 5 4" xfId="15886"/>
    <cellStyle name="常规 2 2 11 5 4 2" xfId="9470"/>
    <cellStyle name="常规 2 2 11 5 4 2 2" xfId="9474"/>
    <cellStyle name="常规 2 2 11 5 4 3" xfId="9519"/>
    <cellStyle name="常规 2 2 11 5 4 4" xfId="9533"/>
    <cellStyle name="常规 2 2 11 5 5" xfId="15890"/>
    <cellStyle name="常规 2 2 11 5 5 2" xfId="9567"/>
    <cellStyle name="常规 2 2 11 5 6" xfId="10803"/>
    <cellStyle name="常规 2 2 11 5 7" xfId="15895"/>
    <cellStyle name="常规 2 2 11 5 8" xfId="15898"/>
    <cellStyle name="常规 2 2 11 6" xfId="15900"/>
    <cellStyle name="常规 2 2 11 6 2" xfId="15901"/>
    <cellStyle name="常规 2 2 11 6 2 2" xfId="15902"/>
    <cellStyle name="常规 2 2 11 6 2 2 2" xfId="15904"/>
    <cellStyle name="常规 2 2 11 6 2 3" xfId="15906"/>
    <cellStyle name="常规 2 2 11 6 2 4" xfId="15907"/>
    <cellStyle name="常规 2 2 11 6 3" xfId="15909"/>
    <cellStyle name="常规 2 2 11 6 3 2" xfId="15911"/>
    <cellStyle name="常规 2 2 11 6 4" xfId="15913"/>
    <cellStyle name="常规 2 2 11 6 5" xfId="15917"/>
    <cellStyle name="常规 2 2 11 6 6" xfId="10812"/>
    <cellStyle name="常规 2 2 11 7" xfId="15920"/>
    <cellStyle name="常规 2 2 11 7 2" xfId="15921"/>
    <cellStyle name="常规 2 2 11 7 2 2" xfId="15922"/>
    <cellStyle name="常规 2 2 11 7 3" xfId="15923"/>
    <cellStyle name="常规 2 2 11 7 4" xfId="15925"/>
    <cellStyle name="常规 2 2 11 8" xfId="15926"/>
    <cellStyle name="常规 2 2 11 8 2" xfId="15927"/>
    <cellStyle name="常规 2 2 11 8 2 2" xfId="15928"/>
    <cellStyle name="常规 2 2 11 8 3" xfId="15930"/>
    <cellStyle name="常规 2 2 11 8 4" xfId="15931"/>
    <cellStyle name="常规 2 2 11 9" xfId="15932"/>
    <cellStyle name="常规 2 2 11 9 2" xfId="15933"/>
    <cellStyle name="常规 2 2 12" xfId="1074"/>
    <cellStyle name="常规 2 2 12 10" xfId="15573"/>
    <cellStyle name="常规 2 2 12 11" xfId="15580"/>
    <cellStyle name="常规 2 2 12 12" xfId="15585"/>
    <cellStyle name="常规 2 2 12 2" xfId="1088"/>
    <cellStyle name="常规 2 2 12 2 10" xfId="15934"/>
    <cellStyle name="常规 2 2 12 2 2" xfId="15532"/>
    <cellStyle name="常规 2 2 12 2 2 2" xfId="15935"/>
    <cellStyle name="常规 2 2 12 2 2 2 2" xfId="15936"/>
    <cellStyle name="常规 2 2 12 2 2 2 2 2" xfId="15938"/>
    <cellStyle name="常规 2 2 12 2 2 2 2 2 2" xfId="15940"/>
    <cellStyle name="常规 2 2 12 2 2 2 2 3" xfId="15941"/>
    <cellStyle name="常规 2 2 12 2 2 2 2 4" xfId="15942"/>
    <cellStyle name="常规 2 2 12 2 2 2 3" xfId="15943"/>
    <cellStyle name="常规 2 2 12 2 2 2 3 2" xfId="15945"/>
    <cellStyle name="常规 2 2 12 2 2 2 4" xfId="15948"/>
    <cellStyle name="常规 2 2 12 2 2 2 5" xfId="10293"/>
    <cellStyle name="常规 2 2 12 2 2 3" xfId="15951"/>
    <cellStyle name="常规 2 2 12 2 2 3 2" xfId="15952"/>
    <cellStyle name="常规 2 2 12 2 2 3 2 2" xfId="15953"/>
    <cellStyle name="常规 2 2 12 2 2 3 3" xfId="15954"/>
    <cellStyle name="常规 2 2 12 2 2 3 4" xfId="15957"/>
    <cellStyle name="常规 2 2 12 2 2 4" xfId="15962"/>
    <cellStyle name="常规 2 2 12 2 2 4 2" xfId="15963"/>
    <cellStyle name="常规 2 2 12 2 2 4 2 2" xfId="15964"/>
    <cellStyle name="常规 2 2 12 2 2 4 3" xfId="15966"/>
    <cellStyle name="常规 2 2 12 2 2 4 4" xfId="15968"/>
    <cellStyle name="常规 2 2 12 2 2 5" xfId="15972"/>
    <cellStyle name="常规 2 2 12 2 2 5 2" xfId="15973"/>
    <cellStyle name="常规 2 2 12 2 2 6" xfId="15974"/>
    <cellStyle name="常规 2 2 12 2 2 7" xfId="15975"/>
    <cellStyle name="常规 2 2 12 2 2 8" xfId="787"/>
    <cellStyle name="常规 2 2 12 2 3" xfId="4850"/>
    <cellStyle name="常规 2 2 12 2 3 2" xfId="15976"/>
    <cellStyle name="常规 2 2 12 2 3 2 2" xfId="15979"/>
    <cellStyle name="常规 2 2 12 2 3 2 2 2" xfId="15982"/>
    <cellStyle name="常规 2 2 12 2 3 2 3" xfId="15984"/>
    <cellStyle name="常规 2 2 12 2 3 2 4" xfId="15986"/>
    <cellStyle name="常规 2 2 12 2 3 3" xfId="15989"/>
    <cellStyle name="常规 2 2 12 2 3 3 2" xfId="15994"/>
    <cellStyle name="常规 2 2 12 2 3 4" xfId="15996"/>
    <cellStyle name="常规 2 2 12 2 3 5" xfId="16000"/>
    <cellStyle name="常规 2 2 12 2 3 6" xfId="16002"/>
    <cellStyle name="常规 2 2 12 2 4" xfId="16004"/>
    <cellStyle name="常规 2 2 12 2 4 2" xfId="16006"/>
    <cellStyle name="常规 2 2 12 2 4 2 2" xfId="16009"/>
    <cellStyle name="常规 2 2 12 2 4 3" xfId="16010"/>
    <cellStyle name="常规 2 2 12 2 4 4" xfId="16013"/>
    <cellStyle name="常规 2 2 12 2 5" xfId="16014"/>
    <cellStyle name="常规 2 2 12 2 5 2" xfId="16016"/>
    <cellStyle name="常规 2 2 12 2 5 2 2" xfId="6737"/>
    <cellStyle name="常规 2 2 12 2 5 3" xfId="16019"/>
    <cellStyle name="常规 2 2 12 2 5 4" xfId="16025"/>
    <cellStyle name="常规 2 2 12 2 6" xfId="16027"/>
    <cellStyle name="常规 2 2 12 2 6 2" xfId="16029"/>
    <cellStyle name="常规 2 2 12 2 7" xfId="16032"/>
    <cellStyle name="常规 2 2 12 2 7 2" xfId="14727"/>
    <cellStyle name="常规 2 2 12 2 8" xfId="16034"/>
    <cellStyle name="常规 2 2 12 2 9" xfId="12372"/>
    <cellStyle name="常规 2 2 12 3" xfId="16036"/>
    <cellStyle name="常规 2 2 12 3 10" xfId="16037"/>
    <cellStyle name="常规 2 2 12 3 11" xfId="16038"/>
    <cellStyle name="常规 2 2 12 3 2" xfId="15541"/>
    <cellStyle name="常规 2 2 12 3 2 10" xfId="16042"/>
    <cellStyle name="常规 2 2 12 3 2 2" xfId="16045"/>
    <cellStyle name="常规 2 2 12 3 2 2 2" xfId="16046"/>
    <cellStyle name="常规 2 2 12 3 2 2 2 2" xfId="16048"/>
    <cellStyle name="常规 2 2 12 3 2 2 2 2 2" xfId="16050"/>
    <cellStyle name="常规 2 2 12 3 2 2 2 2 2 2" xfId="16051"/>
    <cellStyle name="常规 2 2 12 3 2 2 2 2 3" xfId="16052"/>
    <cellStyle name="常规 2 2 12 3 2 2 2 2 4" xfId="16053"/>
    <cellStyle name="常规 2 2 12 3 2 2 2 3" xfId="2918"/>
    <cellStyle name="常规 2 2 12 3 2 2 2 3 2" xfId="4826"/>
    <cellStyle name="常规 2 2 12 3 2 2 2 4" xfId="4829"/>
    <cellStyle name="常规 2 2 12 3 2 2 2 5" xfId="16054"/>
    <cellStyle name="常规 2 2 12 3 2 2 3" xfId="16056"/>
    <cellStyle name="常规 2 2 12 3 2 2 3 2" xfId="16057"/>
    <cellStyle name="常规 2 2 12 3 2 2 3 2 2" xfId="16058"/>
    <cellStyle name="常规 2 2 12 3 2 2 3 3" xfId="4831"/>
    <cellStyle name="常规 2 2 12 3 2 2 3 4" xfId="4835"/>
    <cellStyle name="常规 2 2 12 3 2 2 4" xfId="16060"/>
    <cellStyle name="常规 2 2 12 3 2 2 4 2" xfId="16062"/>
    <cellStyle name="常规 2 2 12 3 2 2 4 2 2" xfId="16064"/>
    <cellStyle name="常规 2 2 12 3 2 2 4 3" xfId="4838"/>
    <cellStyle name="常规 2 2 12 3 2 2 4 4" xfId="16065"/>
    <cellStyle name="常规 2 2 12 3 2 2 5" xfId="16066"/>
    <cellStyle name="常规 2 2 12 3 2 2 5 2" xfId="16068"/>
    <cellStyle name="常规 2 2 12 3 2 2 6" xfId="16069"/>
    <cellStyle name="常规 2 2 12 3 2 2 7" xfId="16071"/>
    <cellStyle name="常规 2 2 12 3 2 2 8" xfId="16072"/>
    <cellStyle name="常规 2 2 12 3 2 3" xfId="16073"/>
    <cellStyle name="常规 2 2 12 3 2 3 2" xfId="16075"/>
    <cellStyle name="常规 2 2 12 3 2 3 2 2" xfId="16076"/>
    <cellStyle name="常规 2 2 12 3 2 3 2 2 2" xfId="16077"/>
    <cellStyle name="常规 2 2 12 3 2 3 2 3" xfId="4862"/>
    <cellStyle name="常规 2 2 12 3 2 3 2 4" xfId="4864"/>
    <cellStyle name="常规 2 2 12 3 2 3 3" xfId="16079"/>
    <cellStyle name="常规 2 2 12 3 2 3 3 2" xfId="6438"/>
    <cellStyle name="常规 2 2 12 3 2 3 4" xfId="16081"/>
    <cellStyle name="常规 2 2 12 3 2 3 5" xfId="16084"/>
    <cellStyle name="常规 2 2 12 3 2 3 6" xfId="16086"/>
    <cellStyle name="常规 2 2 12 3 2 4" xfId="16088"/>
    <cellStyle name="常规 2 2 12 3 2 4 2" xfId="16089"/>
    <cellStyle name="常规 2 2 12 3 2 4 2 2" xfId="16090"/>
    <cellStyle name="常规 2 2 12 3 2 4 3" xfId="16091"/>
    <cellStyle name="常规 2 2 12 3 2 4 4" xfId="16092"/>
    <cellStyle name="常规 2 2 12 3 2 5" xfId="16094"/>
    <cellStyle name="常规 2 2 12 3 2 5 2" xfId="16095"/>
    <cellStyle name="常规 2 2 12 3 2 5 2 2" xfId="16096"/>
    <cellStyle name="常规 2 2 12 3 2 5 3" xfId="16098"/>
    <cellStyle name="常规 2 2 12 3 2 5 4" xfId="16099"/>
    <cellStyle name="常规 2 2 12 3 2 6" xfId="16101"/>
    <cellStyle name="常规 2 2 12 3 2 6 2" xfId="16104"/>
    <cellStyle name="常规 2 2 12 3 2 7" xfId="16106"/>
    <cellStyle name="常规 2 2 12 3 2 7 2" xfId="15721"/>
    <cellStyle name="常规 2 2 12 3 2 8" xfId="184"/>
    <cellStyle name="常规 2 2 12 3 2 9" xfId="198"/>
    <cellStyle name="常规 2 2 12 3 3" xfId="15543"/>
    <cellStyle name="常规 2 2 12 3 3 2" xfId="16109"/>
    <cellStyle name="常规 2 2 12 3 3 2 2" xfId="9936"/>
    <cellStyle name="常规 2 2 12 3 3 2 2 2" xfId="9939"/>
    <cellStyle name="常规 2 2 12 3 3 2 2 2 2" xfId="16111"/>
    <cellStyle name="常规 2 2 12 3 3 2 2 3" xfId="16114"/>
    <cellStyle name="常规 2 2 12 3 3 2 2 4" xfId="16116"/>
    <cellStyle name="常规 2 2 12 3 3 2 3" xfId="9943"/>
    <cellStyle name="常规 2 2 12 3 3 2 3 2" xfId="16117"/>
    <cellStyle name="常规 2 2 12 3 3 2 4" xfId="9945"/>
    <cellStyle name="常规 2 2 12 3 3 2 5" xfId="15298"/>
    <cellStyle name="常规 2 2 12 3 3 3" xfId="16118"/>
    <cellStyle name="常规 2 2 12 3 3 3 2" xfId="16120"/>
    <cellStyle name="常规 2 2 12 3 3 3 2 2" xfId="16122"/>
    <cellStyle name="常规 2 2 12 3 3 3 3" xfId="16123"/>
    <cellStyle name="常规 2 2 12 3 3 3 4" xfId="93"/>
    <cellStyle name="常规 2 2 12 3 3 4" xfId="16125"/>
    <cellStyle name="常规 2 2 12 3 3 4 2" xfId="16126"/>
    <cellStyle name="常规 2 2 12 3 3 4 2 2" xfId="15404"/>
    <cellStyle name="常规 2 2 12 3 3 4 3" xfId="16127"/>
    <cellStyle name="常规 2 2 12 3 3 4 4" xfId="16129"/>
    <cellStyle name="常规 2 2 12 3 3 5" xfId="16131"/>
    <cellStyle name="常规 2 2 12 3 3 5 2" xfId="16132"/>
    <cellStyle name="常规 2 2 12 3 3 6" xfId="16133"/>
    <cellStyle name="常规 2 2 12 3 3 7" xfId="16136"/>
    <cellStyle name="常规 2 2 12 3 3 8" xfId="301"/>
    <cellStyle name="常规 2 2 12 3 4" xfId="15406"/>
    <cellStyle name="常规 2 2 12 3 4 2" xfId="16139"/>
    <cellStyle name="常规 2 2 12 3 4 2 2" xfId="16141"/>
    <cellStyle name="常规 2 2 12 3 4 2 2 2" xfId="16142"/>
    <cellStyle name="常规 2 2 12 3 4 2 3" xfId="16144"/>
    <cellStyle name="常规 2 2 12 3 4 2 4" xfId="16145"/>
    <cellStyle name="常规 2 2 12 3 4 3" xfId="16146"/>
    <cellStyle name="常规 2 2 12 3 4 3 2" xfId="16147"/>
    <cellStyle name="常规 2 2 12 3 4 4" xfId="16148"/>
    <cellStyle name="常规 2 2 12 3 4 5" xfId="16149"/>
    <cellStyle name="常规 2 2 12 3 4 6" xfId="16150"/>
    <cellStyle name="常规 2 2 12 3 5" xfId="16152"/>
    <cellStyle name="常规 2 2 12 3 5 2" xfId="16156"/>
    <cellStyle name="常规 2 2 12 3 5 2 2" xfId="7113"/>
    <cellStyle name="常规 2 2 12 3 5 3" xfId="16160"/>
    <cellStyle name="常规 2 2 12 3 5 4" xfId="16163"/>
    <cellStyle name="常规 2 2 12 3 6" xfId="10824"/>
    <cellStyle name="常规 2 2 12 3 6 2" xfId="16165"/>
    <cellStyle name="常规 2 2 12 3 6 2 2" xfId="16167"/>
    <cellStyle name="常规 2 2 12 3 6 3" xfId="16168"/>
    <cellStyle name="常规 2 2 12 3 6 4" xfId="16170"/>
    <cellStyle name="常规 2 2 12 3 7" xfId="16174"/>
    <cellStyle name="常规 2 2 12 3 7 2" xfId="16176"/>
    <cellStyle name="常规 2 2 12 3 8" xfId="16178"/>
    <cellStyle name="常规 2 2 12 3 8 2" xfId="16181"/>
    <cellStyle name="常规 2 2 12 3 9" xfId="16184"/>
    <cellStyle name="常规 2 2 12 4" xfId="16186"/>
    <cellStyle name="常规 2 2 12 4 2" xfId="16187"/>
    <cellStyle name="常规 2 2 12 4 2 2" xfId="16188"/>
    <cellStyle name="常规 2 2 12 4 2 2 2" xfId="16189"/>
    <cellStyle name="常规 2 2 12 4 2 2 2 2" xfId="16192"/>
    <cellStyle name="常规 2 2 12 4 2 2 3" xfId="16194"/>
    <cellStyle name="常规 2 2 12 4 2 2 4" xfId="4135"/>
    <cellStyle name="常规 2 2 12 4 2 3" xfId="16196"/>
    <cellStyle name="常规 2 2 12 4 2 3 2" xfId="16197"/>
    <cellStyle name="常规 2 2 12 4 2 4" xfId="16199"/>
    <cellStyle name="常规 2 2 12 4 2 5" xfId="16200"/>
    <cellStyle name="常规 2 2 12 4 3" xfId="16202"/>
    <cellStyle name="常规 2 2 12 4 3 2" xfId="16205"/>
    <cellStyle name="常规 2 2 12 4 3 2 2" xfId="16207"/>
    <cellStyle name="常规 2 2 12 4 3 3" xfId="16210"/>
    <cellStyle name="常规 2 2 12 4 3 4" xfId="16214"/>
    <cellStyle name="常规 2 2 12 4 4" xfId="16217"/>
    <cellStyle name="常规 2 2 12 4 4 2" xfId="16221"/>
    <cellStyle name="常规 2 2 12 4 4 2 2" xfId="16223"/>
    <cellStyle name="常规 2 2 12 4 4 3" xfId="16224"/>
    <cellStyle name="常规 2 2 12 4 4 4" xfId="16225"/>
    <cellStyle name="常规 2 2 12 4 5" xfId="16228"/>
    <cellStyle name="常规 2 2 12 4 5 2" xfId="16232"/>
    <cellStyle name="常规 2 2 12 4 6" xfId="10831"/>
    <cellStyle name="常规 2 2 12 4 7" xfId="16237"/>
    <cellStyle name="常规 2 2 12 4 8" xfId="16240"/>
    <cellStyle name="常规 2 2 12 5" xfId="16243"/>
    <cellStyle name="常规 2 2 12 5 2" xfId="16245"/>
    <cellStyle name="常规 2 2 12 5 2 2" xfId="16247"/>
    <cellStyle name="常规 2 2 12 5 2 2 2" xfId="16249"/>
    <cellStyle name="常规 2 2 12 5 2 3" xfId="350"/>
    <cellStyle name="常规 2 2 12 5 2 4" xfId="16251"/>
    <cellStyle name="常规 2 2 12 5 3" xfId="16253"/>
    <cellStyle name="常规 2 2 12 5 3 2" xfId="16256"/>
    <cellStyle name="常规 2 2 12 5 4" xfId="16258"/>
    <cellStyle name="常规 2 2 12 5 5" xfId="16262"/>
    <cellStyle name="常规 2 2 12 5 6" xfId="16265"/>
    <cellStyle name="常规 2 2 12 6" xfId="16267"/>
    <cellStyle name="常规 2 2 12 6 2" xfId="16270"/>
    <cellStyle name="常规 2 2 12 6 2 2" xfId="16273"/>
    <cellStyle name="常规 2 2 12 6 3" xfId="16278"/>
    <cellStyle name="常规 2 2 12 6 4" xfId="16281"/>
    <cellStyle name="常规 2 2 12 7" xfId="16283"/>
    <cellStyle name="常规 2 2 12 7 2" xfId="16287"/>
    <cellStyle name="常规 2 2 12 7 2 2" xfId="16290"/>
    <cellStyle name="常规 2 2 12 7 3" xfId="16292"/>
    <cellStyle name="常规 2 2 12 7 4" xfId="16294"/>
    <cellStyle name="常规 2 2 12 8" xfId="16295"/>
    <cellStyle name="常规 2 2 12 8 2" xfId="16298"/>
    <cellStyle name="常规 2 2 12 9" xfId="16299"/>
    <cellStyle name="常规 2 2 12 9 2" xfId="16302"/>
    <cellStyle name="常规 2 2 13" xfId="888"/>
    <cellStyle name="常规 2 2 13 10" xfId="16303"/>
    <cellStyle name="常规 2 2 13 11" xfId="16306"/>
    <cellStyle name="常规 2 2 13 2" xfId="16308"/>
    <cellStyle name="常规 2 2 13 2 10" xfId="16309"/>
    <cellStyle name="常规 2 2 13 2 2" xfId="16311"/>
    <cellStyle name="常规 2 2 13 2 2 2" xfId="16312"/>
    <cellStyle name="常规 2 2 13 2 2 2 2" xfId="16313"/>
    <cellStyle name="常规 2 2 13 2 2 2 2 2" xfId="16315"/>
    <cellStyle name="常规 2 2 13 2 2 2 2 2 2" xfId="13113"/>
    <cellStyle name="常规 2 2 13 2 2 2 2 3" xfId="16316"/>
    <cellStyle name="常规 2 2 13 2 2 2 2 4" xfId="16317"/>
    <cellStyle name="常规 2 2 13 2 2 2 3" xfId="16318"/>
    <cellStyle name="常规 2 2 13 2 2 2 3 2" xfId="16320"/>
    <cellStyle name="常规 2 2 13 2 2 2 4" xfId="16322"/>
    <cellStyle name="常规 2 2 13 2 2 2 5" xfId="16326"/>
    <cellStyle name="常规 2 2 13 2 2 3" xfId="16330"/>
    <cellStyle name="常规 2 2 13 2 2 3 2" xfId="16331"/>
    <cellStyle name="常规 2 2 13 2 2 3 2 2" xfId="16333"/>
    <cellStyle name="常规 2 2 13 2 2 3 3" xfId="16335"/>
    <cellStyle name="常规 2 2 13 2 2 3 4" xfId="16338"/>
    <cellStyle name="常规 2 2 13 2 2 4" xfId="1328"/>
    <cellStyle name="常规 2 2 13 2 2 4 2" xfId="16344"/>
    <cellStyle name="常规 2 2 13 2 2 4 2 2" xfId="16345"/>
    <cellStyle name="常规 2 2 13 2 2 4 3" xfId="16346"/>
    <cellStyle name="常规 2 2 13 2 2 4 4" xfId="16348"/>
    <cellStyle name="常规 2 2 13 2 2 5" xfId="16353"/>
    <cellStyle name="常规 2 2 13 2 2 5 2" xfId="16354"/>
    <cellStyle name="常规 2 2 13 2 2 6" xfId="16355"/>
    <cellStyle name="常规 2 2 13 2 2 7" xfId="16356"/>
    <cellStyle name="常规 2 2 13 2 2 8" xfId="16357"/>
    <cellStyle name="常规 2 2 13 2 3" xfId="5510"/>
    <cellStyle name="常规 2 2 13 2 3 2" xfId="16358"/>
    <cellStyle name="常规 2 2 13 2 3 2 2" xfId="16360"/>
    <cellStyle name="常规 2 2 13 2 3 2 2 2" xfId="16361"/>
    <cellStyle name="常规 2 2 13 2 3 2 3" xfId="16362"/>
    <cellStyle name="常规 2 2 13 2 3 2 4" xfId="16364"/>
    <cellStyle name="常规 2 2 13 2 3 3" xfId="16368"/>
    <cellStyle name="常规 2 2 13 2 3 3 2" xfId="16370"/>
    <cellStyle name="常规 2 2 13 2 3 4" xfId="16371"/>
    <cellStyle name="常规 2 2 13 2 3 5" xfId="13031"/>
    <cellStyle name="常规 2 2 13 2 3 6" xfId="16372"/>
    <cellStyle name="常规 2 2 13 2 4" xfId="16373"/>
    <cellStyle name="常规 2 2 13 2 4 2" xfId="16375"/>
    <cellStyle name="常规 2 2 13 2 4 2 2" xfId="16376"/>
    <cellStyle name="常规 2 2 13 2 4 3" xfId="16377"/>
    <cellStyle name="常规 2 2 13 2 4 4" xfId="16379"/>
    <cellStyle name="常规 2 2 13 2 5" xfId="16381"/>
    <cellStyle name="常规 2 2 13 2 5 2" xfId="16383"/>
    <cellStyle name="常规 2 2 13 2 5 2 2" xfId="16386"/>
    <cellStyle name="常规 2 2 13 2 5 3" xfId="16387"/>
    <cellStyle name="常规 2 2 13 2 5 4" xfId="15634"/>
    <cellStyle name="常规 2 2 13 2 6" xfId="16392"/>
    <cellStyle name="常规 2 2 13 2 6 2" xfId="16394"/>
    <cellStyle name="常规 2 2 13 2 7" xfId="16396"/>
    <cellStyle name="常规 2 2 13 2 7 2" xfId="16397"/>
    <cellStyle name="常规 2 2 13 2 8" xfId="16400"/>
    <cellStyle name="常规 2 2 13 2 9" xfId="16401"/>
    <cellStyle name="常规 2 2 13 3" xfId="16402"/>
    <cellStyle name="常规 2 2 13 3 2" xfId="16403"/>
    <cellStyle name="常规 2 2 13 3 2 2" xfId="16404"/>
    <cellStyle name="常规 2 2 13 3 2 2 2" xfId="16405"/>
    <cellStyle name="常规 2 2 13 3 2 2 2 2" xfId="16407"/>
    <cellStyle name="常规 2 2 13 3 2 2 3" xfId="16409"/>
    <cellStyle name="常规 2 2 13 3 2 2 4" xfId="16410"/>
    <cellStyle name="常规 2 2 13 3 2 3" xfId="16412"/>
    <cellStyle name="常规 2 2 13 3 2 3 2" xfId="16413"/>
    <cellStyle name="常规 2 2 13 3 2 4" xfId="1742"/>
    <cellStyle name="常规 2 2 13 3 2 5" xfId="16415"/>
    <cellStyle name="常规 2 2 13 3 3" xfId="16416"/>
    <cellStyle name="常规 2 2 13 3 3 2" xfId="16418"/>
    <cellStyle name="常规 2 2 13 3 3 2 2" xfId="15700"/>
    <cellStyle name="常规 2 2 13 3 3 3" xfId="16419"/>
    <cellStyle name="常规 2 2 13 3 3 4" xfId="16420"/>
    <cellStyle name="常规 2 2 13 3 4" xfId="16421"/>
    <cellStyle name="常规 2 2 13 3 4 2" xfId="16423"/>
    <cellStyle name="常规 2 2 13 3 4 2 2" xfId="16424"/>
    <cellStyle name="常规 2 2 13 3 4 3" xfId="16425"/>
    <cellStyle name="常规 2 2 13 3 4 4" xfId="16428"/>
    <cellStyle name="常规 2 2 13 3 5" xfId="16431"/>
    <cellStyle name="常规 2 2 13 3 5 2" xfId="16433"/>
    <cellStyle name="常规 2 2 13 3 6" xfId="16435"/>
    <cellStyle name="常规 2 2 13 3 7" xfId="16437"/>
    <cellStyle name="常规 2 2 13 3 8" xfId="16440"/>
    <cellStyle name="常规 2 2 13 4" xfId="16442"/>
    <cellStyle name="常规 2 2 13 4 2" xfId="16443"/>
    <cellStyle name="常规 2 2 13 4 2 2" xfId="16444"/>
    <cellStyle name="常规 2 2 13 4 2 2 2" xfId="16446"/>
    <cellStyle name="常规 2 2 13 4 2 3" xfId="16448"/>
    <cellStyle name="常规 2 2 13 4 2 4" xfId="16450"/>
    <cellStyle name="常规 2 2 13 4 3" xfId="16452"/>
    <cellStyle name="常规 2 2 13 4 3 2" xfId="16454"/>
    <cellStyle name="常规 2 2 13 4 4" xfId="16457"/>
    <cellStyle name="常规 2 2 13 4 5" xfId="16461"/>
    <cellStyle name="常规 2 2 13 4 6" xfId="16464"/>
    <cellStyle name="常规 2 2 13 5" xfId="16465"/>
    <cellStyle name="常规 2 2 13 5 2" xfId="16467"/>
    <cellStyle name="常规 2 2 13 5 2 2" xfId="16469"/>
    <cellStyle name="常规 2 2 13 5 3" xfId="16470"/>
    <cellStyle name="常规 2 2 13 5 4" xfId="16472"/>
    <cellStyle name="常规 2 2 13 6" xfId="16473"/>
    <cellStyle name="常规 2 2 13 6 2" xfId="16476"/>
    <cellStyle name="常规 2 2 13 6 2 2" xfId="16478"/>
    <cellStyle name="常规 2 2 13 6 3" xfId="16479"/>
    <cellStyle name="常规 2 2 13 6 4" xfId="16481"/>
    <cellStyle name="常规 2 2 13 7" xfId="16482"/>
    <cellStyle name="常规 2 2 13 7 2" xfId="16485"/>
    <cellStyle name="常规 2 2 13 8" xfId="16486"/>
    <cellStyle name="常规 2 2 13 8 2" xfId="16488"/>
    <cellStyle name="常规 2 2 13 9" xfId="16489"/>
    <cellStyle name="常规 2 2 14" xfId="16490"/>
    <cellStyle name="常规 2 2 14 2" xfId="16492"/>
    <cellStyle name="常规 2 2 14 2 2" xfId="16493"/>
    <cellStyle name="常规 2 2 14 2 2 2" xfId="16494"/>
    <cellStyle name="常规 2 2 14 2 2 2 2" xfId="513"/>
    <cellStyle name="常规 2 2 14 2 2 2 2 2" xfId="520"/>
    <cellStyle name="常规 2 2 14 2 2 2 3" xfId="526"/>
    <cellStyle name="常规 2 2 14 2 2 2 4" xfId="533"/>
    <cellStyle name="常规 2 2 14 2 2 3" xfId="16496"/>
    <cellStyle name="常规 2 2 14 2 2 3 2" xfId="233"/>
    <cellStyle name="常规 2 2 14 2 2 4" xfId="1930"/>
    <cellStyle name="常规 2 2 14 2 2 5" xfId="1936"/>
    <cellStyle name="常规 2 2 14 2 3" xfId="16498"/>
    <cellStyle name="常规 2 2 14 2 3 2" xfId="16500"/>
    <cellStyle name="常规 2 2 14 2 3 2 2" xfId="16502"/>
    <cellStyle name="常规 2 2 14 2 3 3" xfId="16504"/>
    <cellStyle name="常规 2 2 14 2 3 4" xfId="1939"/>
    <cellStyle name="常规 2 2 14 2 4" xfId="16505"/>
    <cellStyle name="常规 2 2 14 2 4 2" xfId="16507"/>
    <cellStyle name="常规 2 2 14 2 4 2 2" xfId="16508"/>
    <cellStyle name="常规 2 2 14 2 4 3" xfId="16509"/>
    <cellStyle name="常规 2 2 14 2 4 4" xfId="16511"/>
    <cellStyle name="常规 2 2 14 2 5" xfId="16513"/>
    <cellStyle name="常规 2 2 14 2 6" xfId="16516"/>
    <cellStyle name="常规 2 2 14 2 7" xfId="15983"/>
    <cellStyle name="常规 2 2 14 3" xfId="16517"/>
    <cellStyle name="常规 2 2 14 3 2" xfId="16518"/>
    <cellStyle name="常规 2 2 14 3 2 2" xfId="16519"/>
    <cellStyle name="常规 2 2 14 3 2 2 2" xfId="16522"/>
    <cellStyle name="常规 2 2 14 3 2 2 2 2" xfId="16524"/>
    <cellStyle name="常规 2 2 14 3 2 2 3" xfId="16526"/>
    <cellStyle name="常规 2 2 14 3 2 2 4" xfId="16527"/>
    <cellStyle name="常规 2 2 14 3 2 3" xfId="16529"/>
    <cellStyle name="常规 2 2 14 3 2 3 2" xfId="16532"/>
    <cellStyle name="常规 2 2 14 3 2 4" xfId="1945"/>
    <cellStyle name="常规 2 2 14 3 2 5" xfId="11562"/>
    <cellStyle name="常规 2 2 14 3 3" xfId="16534"/>
    <cellStyle name="常规 2 2 14 3 3 2" xfId="16536"/>
    <cellStyle name="常规 2 2 14 3 3 2 2" xfId="16538"/>
    <cellStyle name="常规 2 2 14 3 3 3" xfId="16539"/>
    <cellStyle name="常规 2 2 14 3 3 4" xfId="16541"/>
    <cellStyle name="常规 2 2 14 3 4" xfId="16542"/>
    <cellStyle name="常规 2 2 14 3 4 2" xfId="16544"/>
    <cellStyle name="常规 2 2 14 3 5" xfId="16545"/>
    <cellStyle name="常规 2 2 14 3 6" xfId="16547"/>
    <cellStyle name="常规 2 2 14 3 7" xfId="16548"/>
    <cellStyle name="常规 2 2 14 4" xfId="16550"/>
    <cellStyle name="常规 2 2 14 4 2" xfId="16551"/>
    <cellStyle name="常规 2 2 14 4 2 2" xfId="16553"/>
    <cellStyle name="常规 2 2 14 4 3" xfId="16554"/>
    <cellStyle name="常规 2 2 14 4 4" xfId="16557"/>
    <cellStyle name="常规 2 2 14 5" xfId="16559"/>
    <cellStyle name="常规 2 2 14 5 2" xfId="16561"/>
    <cellStyle name="常规 2 2 14 5 2 2" xfId="16564"/>
    <cellStyle name="常规 2 2 14 5 3" xfId="16565"/>
    <cellStyle name="常规 2 2 14 5 4" xfId="16566"/>
    <cellStyle name="常规 2 2 14 6" xfId="16567"/>
    <cellStyle name="常规 2 2 14 7" xfId="16570"/>
    <cellStyle name="常规 2 2 14 8" xfId="16573"/>
    <cellStyle name="常规 2 2 15" xfId="16575"/>
    <cellStyle name="常规 2 2 15 2" xfId="16577"/>
    <cellStyle name="常规 2 2 15 2 2" xfId="16578"/>
    <cellStyle name="常规 2 2 15 2 2 2" xfId="16580"/>
    <cellStyle name="常规 2 2 15 2 3" xfId="16581"/>
    <cellStyle name="常规 2 2 15 2 4" xfId="16584"/>
    <cellStyle name="常规 2 2 15 3" xfId="2841"/>
    <cellStyle name="常规 2 2 15 3 2" xfId="16585"/>
    <cellStyle name="常规 2 2 15 3 2 2" xfId="16586"/>
    <cellStyle name="常规 2 2 15 3 3" xfId="16587"/>
    <cellStyle name="常规 2 2 15 3 4" xfId="16588"/>
    <cellStyle name="常规 2 2 15 4" xfId="16589"/>
    <cellStyle name="常规 2 2 15 4 2" xfId="16590"/>
    <cellStyle name="常规 2 2 15 5" xfId="16592"/>
    <cellStyle name="常规 2 2 15 6" xfId="16594"/>
    <cellStyle name="常规 2 2 15 7" xfId="16596"/>
    <cellStyle name="常规 2 2 16" xfId="16598"/>
    <cellStyle name="常规 2 2 16 2" xfId="1124"/>
    <cellStyle name="常规 2 2 16 2 2" xfId="1129"/>
    <cellStyle name="常规 2 2 16 3" xfId="103"/>
    <cellStyle name="常规 2 2 16 4" xfId="12487"/>
    <cellStyle name="常规 2 2 17" xfId="16600"/>
    <cellStyle name="常规 2 2 17 2" xfId="1365"/>
    <cellStyle name="常规 2 2 17 2 2" xfId="16602"/>
    <cellStyle name="常规 2 2 17 3" xfId="1372"/>
    <cellStyle name="常规 2 2 17 4" xfId="12550"/>
    <cellStyle name="常规 2 2 18" xfId="16603"/>
    <cellStyle name="常规 2 2 18 2" xfId="16604"/>
    <cellStyle name="常规 2 2 19" xfId="16606"/>
    <cellStyle name="常规 2 2 19 2" xfId="1580"/>
    <cellStyle name="常规 2 2 2" xfId="1465"/>
    <cellStyle name="常规 2 2 2 10" xfId="16609"/>
    <cellStyle name="常规 2 2 2 10 10" xfId="16611"/>
    <cellStyle name="常规 2 2 2 10 11" xfId="16612"/>
    <cellStyle name="常规 2 2 2 10 12" xfId="16613"/>
    <cellStyle name="常规 2 2 2 10 2" xfId="16614"/>
    <cellStyle name="常规 2 2 2 10 2 10" xfId="16615"/>
    <cellStyle name="常规 2 2 2 10 2 2" xfId="16616"/>
    <cellStyle name="常规 2 2 2 10 2 2 2" xfId="4581"/>
    <cellStyle name="常规 2 2 2 10 2 2 2 2" xfId="16617"/>
    <cellStyle name="常规 2 2 2 10 2 2 2 2 2" xfId="16619"/>
    <cellStyle name="常规 2 2 2 10 2 2 2 2 2 2" xfId="16621"/>
    <cellStyle name="常规 2 2 2 10 2 2 2 2 3" xfId="16623"/>
    <cellStyle name="常规 2 2 2 10 2 2 2 2 4" xfId="16625"/>
    <cellStyle name="常规 2 2 2 10 2 2 2 3" xfId="16628"/>
    <cellStyle name="常规 2 2 2 10 2 2 2 3 2" xfId="16629"/>
    <cellStyle name="常规 2 2 2 10 2 2 2 4" xfId="16631"/>
    <cellStyle name="常规 2 2 2 10 2 2 2 5" xfId="16633"/>
    <cellStyle name="常规 2 2 2 10 2 2 3" xfId="16635"/>
    <cellStyle name="常规 2 2 2 10 2 2 3 2" xfId="16637"/>
    <cellStyle name="常规 2 2 2 10 2 2 3 2 2" xfId="16638"/>
    <cellStyle name="常规 2 2 2 10 2 2 3 3" xfId="16640"/>
    <cellStyle name="常规 2 2 2 10 2 2 3 4" xfId="16641"/>
    <cellStyle name="常规 2 2 2 10 2 2 4" xfId="16642"/>
    <cellStyle name="常规 2 2 2 10 2 2 4 2" xfId="16646"/>
    <cellStyle name="常规 2 2 2 10 2 2 4 2 2" xfId="16648"/>
    <cellStyle name="常规 2 2 2 10 2 2 4 3" xfId="16650"/>
    <cellStyle name="常规 2 2 2 10 2 2 4 4" xfId="16652"/>
    <cellStyle name="常规 2 2 2 10 2 2 5" xfId="16654"/>
    <cellStyle name="常规 2 2 2 10 2 2 5 2" xfId="16656"/>
    <cellStyle name="常规 2 2 2 10 2 2 6" xfId="16658"/>
    <cellStyle name="常规 2 2 2 10 2 2 7" xfId="16660"/>
    <cellStyle name="常规 2 2 2 10 2 2 8" xfId="16662"/>
    <cellStyle name="常规 2 2 2 10 2 3" xfId="16665"/>
    <cellStyle name="常规 2 2 2 10 2 3 2" xfId="16667"/>
    <cellStyle name="常规 2 2 2 10 2 3 2 2" xfId="16670"/>
    <cellStyle name="常规 2 2 2 10 2 3 2 2 2" xfId="16672"/>
    <cellStyle name="常规 2 2 2 10 2 3 2 3" xfId="16674"/>
    <cellStyle name="常规 2 2 2 10 2 3 2 4" xfId="16675"/>
    <cellStyle name="常规 2 2 2 10 2 3 3" xfId="16678"/>
    <cellStyle name="常规 2 2 2 10 2 3 3 2" xfId="16682"/>
    <cellStyle name="常规 2 2 2 10 2 3 4" xfId="16683"/>
    <cellStyle name="常规 2 2 2 10 2 3 5" xfId="16687"/>
    <cellStyle name="常规 2 2 2 10 2 3 6" xfId="16689"/>
    <cellStyle name="常规 2 2 2 10 2 4" xfId="16692"/>
    <cellStyle name="常规 2 2 2 10 2 4 2" xfId="16695"/>
    <cellStyle name="常规 2 2 2 10 2 4 2 2" xfId="16699"/>
    <cellStyle name="常规 2 2 2 10 2 4 3" xfId="16700"/>
    <cellStyle name="常规 2 2 2 10 2 4 4" xfId="16702"/>
    <cellStyle name="常规 2 2 2 10 2 5" xfId="16704"/>
    <cellStyle name="常规 2 2 2 10 2 5 2" xfId="16707"/>
    <cellStyle name="常规 2 2 2 10 2 5 2 2" xfId="6274"/>
    <cellStyle name="常规 2 2 2 10 2 5 3" xfId="15196"/>
    <cellStyle name="常规 2 2 2 10 2 5 4" xfId="16708"/>
    <cellStyle name="常规 2 2 2 10 2 6" xfId="16710"/>
    <cellStyle name="常规 2 2 2 10 2 6 2" xfId="16714"/>
    <cellStyle name="常规 2 2 2 10 2 7" xfId="16715"/>
    <cellStyle name="常规 2 2 2 10 2 7 2" xfId="16717"/>
    <cellStyle name="常规 2 2 2 10 2 8" xfId="16718"/>
    <cellStyle name="常规 2 2 2 10 2 9" xfId="16720"/>
    <cellStyle name="常规 2 2 2 10 3" xfId="16724"/>
    <cellStyle name="常规 2 2 2 10 3 10" xfId="16725"/>
    <cellStyle name="常规 2 2 2 10 3 11" xfId="12348"/>
    <cellStyle name="常规 2 2 2 10 3 2" xfId="16726"/>
    <cellStyle name="常规 2 2 2 10 3 2 10" xfId="16727"/>
    <cellStyle name="常规 2 2 2 10 3 2 2" xfId="3712"/>
    <cellStyle name="常规 2 2 2 10 3 2 2 2" xfId="16728"/>
    <cellStyle name="常规 2 2 2 10 3 2 2 2 2" xfId="16730"/>
    <cellStyle name="常规 2 2 2 10 3 2 2 2 2 2" xfId="16731"/>
    <cellStyle name="常规 2 2 2 10 3 2 2 2 2 2 2" xfId="16732"/>
    <cellStyle name="常规 2 2 2 10 3 2 2 2 2 3" xfId="11799"/>
    <cellStyle name="常规 2 2 2 10 3 2 2 2 2 4" xfId="11804"/>
    <cellStyle name="常规 2 2 2 10 3 2 2 2 3" xfId="16733"/>
    <cellStyle name="常规 2 2 2 10 3 2 2 2 3 2" xfId="16734"/>
    <cellStyle name="常规 2 2 2 10 3 2 2 2 4" xfId="16735"/>
    <cellStyle name="常规 2 2 2 10 3 2 2 2 5" xfId="16737"/>
    <cellStyle name="常规 2 2 2 10 3 2 2 3" xfId="16739"/>
    <cellStyle name="常规 2 2 2 10 3 2 2 3 2" xfId="3222"/>
    <cellStyle name="常规 2 2 2 10 3 2 2 3 2 2" xfId="16740"/>
    <cellStyle name="常规 2 2 2 10 3 2 2 3 3" xfId="16741"/>
    <cellStyle name="常规 2 2 2 10 3 2 2 3 4" xfId="16742"/>
    <cellStyle name="常规 2 2 2 10 3 2 2 4" xfId="16744"/>
    <cellStyle name="常规 2 2 2 10 3 2 2 4 2" xfId="16745"/>
    <cellStyle name="常规 2 2 2 10 3 2 2 4 2 2" xfId="16746"/>
    <cellStyle name="常规 2 2 2 10 3 2 2 4 3" xfId="16747"/>
    <cellStyle name="常规 2 2 2 10 3 2 2 4 4" xfId="16748"/>
    <cellStyle name="常规 2 2 2 10 3 2 2 5" xfId="16749"/>
    <cellStyle name="常规 2 2 2 10 3 2 2 5 2" xfId="16750"/>
    <cellStyle name="常规 2 2 2 10 3 2 2 6" xfId="16752"/>
    <cellStyle name="常规 2 2 2 10 3 2 2 7" xfId="16753"/>
    <cellStyle name="常规 2 2 2 10 3 2 2 8" xfId="16755"/>
    <cellStyle name="常规 2 2 2 10 3 2 3" xfId="16757"/>
    <cellStyle name="常规 2 2 2 10 3 2 3 2" xfId="16759"/>
    <cellStyle name="常规 2 2 2 10 3 2 3 2 2" xfId="16760"/>
    <cellStyle name="常规 2 2 2 10 3 2 3 2 2 2" xfId="16761"/>
    <cellStyle name="常规 2 2 2 10 3 2 3 2 3" xfId="16762"/>
    <cellStyle name="常规 2 2 2 10 3 2 3 2 4" xfId="16763"/>
    <cellStyle name="常规 2 2 2 10 3 2 3 3" xfId="16765"/>
    <cellStyle name="常规 2 2 2 10 3 2 3 3 2" xfId="16766"/>
    <cellStyle name="常规 2 2 2 10 3 2 3 4" xfId="16767"/>
    <cellStyle name="常规 2 2 2 10 3 2 3 5" xfId="16768"/>
    <cellStyle name="常规 2 2 2 10 3 2 3 6" xfId="16769"/>
    <cellStyle name="常规 2 2 2 10 3 2 4" xfId="16770"/>
    <cellStyle name="常规 2 2 2 10 3 2 4 2" xfId="16772"/>
    <cellStyle name="常规 2 2 2 10 3 2 4 2 2" xfId="16774"/>
    <cellStyle name="常规 2 2 2 10 3 2 4 3" xfId="16776"/>
    <cellStyle name="常规 2 2 2 10 3 2 4 4" xfId="16780"/>
    <cellStyle name="常规 2 2 2 10 3 2 5" xfId="16783"/>
    <cellStyle name="常规 2 2 2 10 3 2 5 2" xfId="16785"/>
    <cellStyle name="常规 2 2 2 10 3 2 5 2 2" xfId="16787"/>
    <cellStyle name="常规 2 2 2 10 3 2 5 3" xfId="16791"/>
    <cellStyle name="常规 2 2 2 10 3 2 5 4" xfId="16795"/>
    <cellStyle name="常规 2 2 2 10 3 2 6" xfId="16797"/>
    <cellStyle name="常规 2 2 2 10 3 2 6 2" xfId="16801"/>
    <cellStyle name="常规 2 2 2 10 3 2 7" xfId="16803"/>
    <cellStyle name="常规 2 2 2 10 3 2 7 2" xfId="16806"/>
    <cellStyle name="常规 2 2 2 10 3 2 8" xfId="16808"/>
    <cellStyle name="常规 2 2 2 10 3 2 9" xfId="16811"/>
    <cellStyle name="常规 2 2 2 10 3 3" xfId="16814"/>
    <cellStyle name="常规 2 2 2 10 3 3 2" xfId="16816"/>
    <cellStyle name="常规 2 2 2 10 3 3 2 2" xfId="16818"/>
    <cellStyle name="常规 2 2 2 10 3 3 2 2 2" xfId="16819"/>
    <cellStyle name="常规 2 2 2 10 3 3 2 2 2 2" xfId="16820"/>
    <cellStyle name="常规 2 2 2 10 3 3 2 2 3" xfId="7427"/>
    <cellStyle name="常规 2 2 2 10 3 3 2 2 4" xfId="16821"/>
    <cellStyle name="常规 2 2 2 10 3 3 2 3" xfId="16823"/>
    <cellStyle name="常规 2 2 2 10 3 3 2 3 2" xfId="16825"/>
    <cellStyle name="常规 2 2 2 10 3 3 2 4" xfId="16828"/>
    <cellStyle name="常规 2 2 2 10 3 3 2 5" xfId="16831"/>
    <cellStyle name="常规 2 2 2 10 3 3 3" xfId="16833"/>
    <cellStyle name="常规 2 2 2 10 3 3 3 2" xfId="16835"/>
    <cellStyle name="常规 2 2 2 10 3 3 3 2 2" xfId="16836"/>
    <cellStyle name="常规 2 2 2 10 3 3 3 3" xfId="16837"/>
    <cellStyle name="常规 2 2 2 10 3 3 3 4" xfId="16839"/>
    <cellStyle name="常规 2 2 2 10 3 3 4" xfId="16840"/>
    <cellStyle name="常规 2 2 2 10 3 3 4 2" xfId="16843"/>
    <cellStyle name="常规 2 2 2 10 3 3 4 2 2" xfId="16846"/>
    <cellStyle name="常规 2 2 2 10 3 3 4 3" xfId="16849"/>
    <cellStyle name="常规 2 2 2 10 3 3 4 4" xfId="16853"/>
    <cellStyle name="常规 2 2 2 10 3 3 5" xfId="16856"/>
    <cellStyle name="常规 2 2 2 10 3 3 5 2" xfId="16859"/>
    <cellStyle name="常规 2 2 2 10 3 3 6" xfId="16862"/>
    <cellStyle name="常规 2 2 2 10 3 3 7" xfId="16866"/>
    <cellStyle name="常规 2 2 2 10 3 3 8" xfId="16869"/>
    <cellStyle name="常规 2 2 2 10 3 4" xfId="16874"/>
    <cellStyle name="常规 2 2 2 10 3 4 2" xfId="16877"/>
    <cellStyle name="常规 2 2 2 10 3 4 2 2" xfId="16879"/>
    <cellStyle name="常规 2 2 2 10 3 4 2 2 2" xfId="16880"/>
    <cellStyle name="常规 2 2 2 10 3 4 2 3" xfId="16881"/>
    <cellStyle name="常规 2 2 2 10 3 4 2 4" xfId="16883"/>
    <cellStyle name="常规 2 2 2 10 3 4 3" xfId="9245"/>
    <cellStyle name="常规 2 2 2 10 3 4 3 2" xfId="9247"/>
    <cellStyle name="常规 2 2 2 10 3 4 4" xfId="9253"/>
    <cellStyle name="常规 2 2 2 10 3 4 5" xfId="9260"/>
    <cellStyle name="常规 2 2 2 10 3 4 6" xfId="9267"/>
    <cellStyle name="常规 2 2 2 10 3 5" xfId="16884"/>
    <cellStyle name="常规 2 2 2 10 3 5 2" xfId="16887"/>
    <cellStyle name="常规 2 2 2 10 3 5 2 2" xfId="16889"/>
    <cellStyle name="常规 2 2 2 10 3 5 3" xfId="9281"/>
    <cellStyle name="常规 2 2 2 10 3 5 4" xfId="9297"/>
    <cellStyle name="常规 2 2 2 10 3 6" xfId="16890"/>
    <cellStyle name="常规 2 2 2 10 3 6 2" xfId="16892"/>
    <cellStyle name="常规 2 2 2 10 3 6 2 2" xfId="16893"/>
    <cellStyle name="常规 2 2 2 10 3 6 3" xfId="9327"/>
    <cellStyle name="常规 2 2 2 10 3 6 4" xfId="3438"/>
    <cellStyle name="常规 2 2 2 10 3 7" xfId="16894"/>
    <cellStyle name="常规 2 2 2 10 3 7 2" xfId="16895"/>
    <cellStyle name="常规 2 2 2 10 3 8" xfId="16896"/>
    <cellStyle name="常规 2 2 2 10 3 8 2" xfId="16898"/>
    <cellStyle name="常规 2 2 2 10 3 9" xfId="16899"/>
    <cellStyle name="常规 2 2 2 10 4" xfId="16900"/>
    <cellStyle name="常规 2 2 2 10 4 2" xfId="16902"/>
    <cellStyle name="常规 2 2 2 10 4 2 2" xfId="16904"/>
    <cellStyle name="常规 2 2 2 10 4 2 2 2" xfId="16905"/>
    <cellStyle name="常规 2 2 2 10 4 2 2 2 2" xfId="16906"/>
    <cellStyle name="常规 2 2 2 10 4 2 2 3" xfId="16907"/>
    <cellStyle name="常规 2 2 2 10 4 2 2 4" xfId="16909"/>
    <cellStyle name="常规 2 2 2 10 4 2 3" xfId="16911"/>
    <cellStyle name="常规 2 2 2 10 4 2 3 2" xfId="16912"/>
    <cellStyle name="常规 2 2 2 10 4 2 4" xfId="16913"/>
    <cellStyle name="常规 2 2 2 10 4 2 5" xfId="16915"/>
    <cellStyle name="常规 2 2 2 10 4 3" xfId="16917"/>
    <cellStyle name="常规 2 2 2 10 4 3 2" xfId="16919"/>
    <cellStyle name="常规 2 2 2 10 4 3 2 2" xfId="16921"/>
    <cellStyle name="常规 2 2 2 10 4 3 3" xfId="16922"/>
    <cellStyle name="常规 2 2 2 10 4 3 4" xfId="16923"/>
    <cellStyle name="常规 2 2 2 10 4 4" xfId="16926"/>
    <cellStyle name="常规 2 2 2 10 4 4 2" xfId="16930"/>
    <cellStyle name="常规 2 2 2 10 4 4 2 2" xfId="16931"/>
    <cellStyle name="常规 2 2 2 10 4 4 3" xfId="9364"/>
    <cellStyle name="常规 2 2 2 10 4 4 4" xfId="9371"/>
    <cellStyle name="常规 2 2 2 10 4 5" xfId="16932"/>
    <cellStyle name="常规 2 2 2 10 4 5 2" xfId="16934"/>
    <cellStyle name="常规 2 2 2 10 4 6" xfId="16935"/>
    <cellStyle name="常规 2 2 2 10 4 7" xfId="16936"/>
    <cellStyle name="常规 2 2 2 10 4 8" xfId="16938"/>
    <cellStyle name="常规 2 2 2 10 5" xfId="16941"/>
    <cellStyle name="常规 2 2 2 10 5 2" xfId="4757"/>
    <cellStyle name="常规 2 2 2 10 5 2 2" xfId="16943"/>
    <cellStyle name="常规 2 2 2 10 5 2 2 2" xfId="16944"/>
    <cellStyle name="常规 2 2 2 10 5 2 3" xfId="16945"/>
    <cellStyle name="常规 2 2 2 10 5 2 4" xfId="15946"/>
    <cellStyle name="常规 2 2 2 10 5 3" xfId="16946"/>
    <cellStyle name="常规 2 2 2 10 5 3 2" xfId="16950"/>
    <cellStyle name="常规 2 2 2 10 5 4" xfId="9499"/>
    <cellStyle name="常规 2 2 2 10 5 5" xfId="16952"/>
    <cellStyle name="常规 2 2 2 10 5 6" xfId="16954"/>
    <cellStyle name="常规 2 2 2 10 6" xfId="16955"/>
    <cellStyle name="常规 2 2 2 10 6 2" xfId="16957"/>
    <cellStyle name="常规 2 2 2 10 6 2 2" xfId="16958"/>
    <cellStyle name="常规 2 2 2 10 6 3" xfId="16959"/>
    <cellStyle name="常规 2 2 2 10 6 4" xfId="9504"/>
    <cellStyle name="常规 2 2 2 10 7" xfId="16962"/>
    <cellStyle name="常规 2 2 2 10 7 2" xfId="16963"/>
    <cellStyle name="常规 2 2 2 10 7 2 2" xfId="16964"/>
    <cellStyle name="常规 2 2 2 10 7 3" xfId="16965"/>
    <cellStyle name="常规 2 2 2 10 7 4" xfId="16966"/>
    <cellStyle name="常规 2 2 2 10 8" xfId="16967"/>
    <cellStyle name="常规 2 2 2 10 8 2" xfId="16968"/>
    <cellStyle name="常规 2 2 2 10 9" xfId="16970"/>
    <cellStyle name="常规 2 2 2 10 9 2" xfId="16971"/>
    <cellStyle name="常规 2 2 2 11" xfId="16973"/>
    <cellStyle name="常规 2 2 2 11 10" xfId="302"/>
    <cellStyle name="常规 2 2 2 11 11" xfId="274"/>
    <cellStyle name="常规 2 2 2 11 2" xfId="16974"/>
    <cellStyle name="常规 2 2 2 11 2 10" xfId="16975"/>
    <cellStyle name="常规 2 2 2 11 2 2" xfId="16976"/>
    <cellStyle name="常规 2 2 2 11 2 2 2" xfId="15689"/>
    <cellStyle name="常规 2 2 2 11 2 2 2 2" xfId="15693"/>
    <cellStyle name="常规 2 2 2 11 2 2 2 2 2" xfId="15697"/>
    <cellStyle name="常规 2 2 2 11 2 2 2 2 2 2" xfId="7240"/>
    <cellStyle name="常规 2 2 2 11 2 2 2 2 3" xfId="16977"/>
    <cellStyle name="常规 2 2 2 11 2 2 2 2 4" xfId="16978"/>
    <cellStyle name="常规 2 2 2 11 2 2 2 3" xfId="7132"/>
    <cellStyle name="常规 2 2 2 11 2 2 2 3 2" xfId="7139"/>
    <cellStyle name="常规 2 2 2 11 2 2 2 4" xfId="7437"/>
    <cellStyle name="常规 2 2 2 11 2 2 2 5" xfId="16979"/>
    <cellStyle name="常规 2 2 2 11 2 2 3" xfId="10741"/>
    <cellStyle name="常规 2 2 2 11 2 2 3 2" xfId="10745"/>
    <cellStyle name="常规 2 2 2 11 2 2 3 2 2" xfId="10748"/>
    <cellStyle name="常规 2 2 2 11 2 2 3 3" xfId="7444"/>
    <cellStyle name="常规 2 2 2 11 2 2 3 4" xfId="7909"/>
    <cellStyle name="常规 2 2 2 11 2 2 4" xfId="8002"/>
    <cellStyle name="常规 2 2 2 11 2 2 4 2" xfId="10753"/>
    <cellStyle name="常规 2 2 2 11 2 2 4 2 2" xfId="16983"/>
    <cellStyle name="常规 2 2 2 11 2 2 4 3" xfId="7915"/>
    <cellStyle name="常规 2 2 2 11 2 2 4 4" xfId="8728"/>
    <cellStyle name="常规 2 2 2 11 2 2 5" xfId="10758"/>
    <cellStyle name="常规 2 2 2 11 2 2 5 2" xfId="10764"/>
    <cellStyle name="常规 2 2 2 11 2 2 6" xfId="10767"/>
    <cellStyle name="常规 2 2 2 11 2 2 7" xfId="10772"/>
    <cellStyle name="常规 2 2 2 11 2 2 8" xfId="16985"/>
    <cellStyle name="常规 2 2 2 11 2 3" xfId="16988"/>
    <cellStyle name="常规 2 2 2 11 2 3 2" xfId="15835"/>
    <cellStyle name="常规 2 2 2 11 2 3 2 2" xfId="15840"/>
    <cellStyle name="常规 2 2 2 11 2 3 2 2 2" xfId="15844"/>
    <cellStyle name="常规 2 2 2 11 2 3 2 3" xfId="15848"/>
    <cellStyle name="常规 2 2 2 11 2 3 2 4" xfId="15852"/>
    <cellStyle name="常规 2 2 2 11 2 3 3" xfId="10778"/>
    <cellStyle name="常规 2 2 2 11 2 3 3 2" xfId="10784"/>
    <cellStyle name="常规 2 2 2 11 2 3 4" xfId="8013"/>
    <cellStyle name="常规 2 2 2 11 2 3 5" xfId="10792"/>
    <cellStyle name="常规 2 2 2 11 2 3 6" xfId="10798"/>
    <cellStyle name="常规 2 2 2 11 2 4" xfId="16991"/>
    <cellStyle name="常规 2 2 2 11 2 4 2" xfId="15889"/>
    <cellStyle name="常规 2 2 2 11 2 4 2 2" xfId="9566"/>
    <cellStyle name="常规 2 2 2 11 2 4 3" xfId="10802"/>
    <cellStyle name="常规 2 2 2 11 2 4 4" xfId="15893"/>
    <cellStyle name="常规 2 2 2 11 2 5" xfId="16994"/>
    <cellStyle name="常规 2 2 2 11 2 5 2" xfId="15916"/>
    <cellStyle name="常规 2 2 2 11 2 5 2 2" xfId="16996"/>
    <cellStyle name="常规 2 2 2 11 2 5 3" xfId="10811"/>
    <cellStyle name="常规 2 2 2 11 2 5 4" xfId="15232"/>
    <cellStyle name="常规 2 2 2 11 2 6" xfId="16999"/>
    <cellStyle name="常规 2 2 2 11 2 6 2" xfId="17001"/>
    <cellStyle name="常规 2 2 2 11 2 7" xfId="17003"/>
    <cellStyle name="常规 2 2 2 11 2 7 2" xfId="17005"/>
    <cellStyle name="常规 2 2 2 11 2 8" xfId="17006"/>
    <cellStyle name="常规 2 2 2 11 2 9" xfId="17009"/>
    <cellStyle name="常规 2 2 2 11 3" xfId="17011"/>
    <cellStyle name="常规 2 2 2 11 3 2" xfId="17012"/>
    <cellStyle name="常规 2 2 2 11 3 2 2" xfId="16153"/>
    <cellStyle name="常规 2 2 2 11 3 2 2 2" xfId="16157"/>
    <cellStyle name="常规 2 2 2 11 3 2 2 2 2" xfId="7114"/>
    <cellStyle name="常规 2 2 2 11 3 2 2 3" xfId="16159"/>
    <cellStyle name="常规 2 2 2 11 3 2 2 4" xfId="16162"/>
    <cellStyle name="常规 2 2 2 11 3 2 3" xfId="10825"/>
    <cellStyle name="常规 2 2 2 11 3 2 3 2" xfId="16166"/>
    <cellStyle name="常规 2 2 2 11 3 2 4" xfId="16172"/>
    <cellStyle name="常规 2 2 2 11 3 2 5" xfId="16179"/>
    <cellStyle name="常规 2 2 2 11 3 3" xfId="17014"/>
    <cellStyle name="常规 2 2 2 11 3 3 2" xfId="16226"/>
    <cellStyle name="常规 2 2 2 11 3 3 2 2" xfId="16231"/>
    <cellStyle name="常规 2 2 2 11 3 3 3" xfId="10830"/>
    <cellStyle name="常规 2 2 2 11 3 3 4" xfId="16234"/>
    <cellStyle name="常规 2 2 2 11 3 4" xfId="17017"/>
    <cellStyle name="常规 2 2 2 11 3 4 2" xfId="16261"/>
    <cellStyle name="常规 2 2 2 11 3 4 2 2" xfId="9695"/>
    <cellStyle name="常规 2 2 2 11 3 4 3" xfId="16266"/>
    <cellStyle name="常规 2 2 2 11 3 4 4" xfId="17019"/>
    <cellStyle name="常规 2 2 2 11 3 5" xfId="17022"/>
    <cellStyle name="常规 2 2 2 11 3 5 2" xfId="17024"/>
    <cellStyle name="常规 2 2 2 11 3 6" xfId="17026"/>
    <cellStyle name="常规 2 2 2 11 3 7" xfId="17029"/>
    <cellStyle name="常规 2 2 2 11 3 8" xfId="17032"/>
    <cellStyle name="常规 2 2 2 11 4" xfId="17034"/>
    <cellStyle name="常规 2 2 2 11 4 2" xfId="17036"/>
    <cellStyle name="常规 2 2 2 11 4 2 2" xfId="16432"/>
    <cellStyle name="常规 2 2 2 11 4 2 2 2" xfId="16434"/>
    <cellStyle name="常规 2 2 2 11 4 2 3" xfId="16436"/>
    <cellStyle name="常规 2 2 2 11 4 2 4" xfId="16438"/>
    <cellStyle name="常规 2 2 2 11 4 3" xfId="17037"/>
    <cellStyle name="常规 2 2 2 11 4 3 2" xfId="16460"/>
    <cellStyle name="常规 2 2 2 11 4 4" xfId="17039"/>
    <cellStyle name="常规 2 2 2 11 4 5" xfId="17041"/>
    <cellStyle name="常规 2 2 2 11 4 6" xfId="17043"/>
    <cellStyle name="常规 2 2 2 11 5" xfId="17045"/>
    <cellStyle name="常规 2 2 2 11 5 2" xfId="17047"/>
    <cellStyle name="常规 2 2 2 11 5 2 2" xfId="16546"/>
    <cellStyle name="常规 2 2 2 11 5 3" xfId="17048"/>
    <cellStyle name="常规 2 2 2 11 5 4" xfId="17051"/>
    <cellStyle name="常规 2 2 2 11 6" xfId="17053"/>
    <cellStyle name="常规 2 2 2 11 6 2" xfId="17054"/>
    <cellStyle name="常规 2 2 2 11 6 2 2" xfId="17055"/>
    <cellStyle name="常规 2 2 2 11 6 3" xfId="17056"/>
    <cellStyle name="常规 2 2 2 11 6 4" xfId="17058"/>
    <cellStyle name="常规 2 2 2 11 7" xfId="6146"/>
    <cellStyle name="常规 2 2 2 11 7 2" xfId="17059"/>
    <cellStyle name="常规 2 2 2 11 8" xfId="17060"/>
    <cellStyle name="常规 2 2 2 11 8 2" xfId="2722"/>
    <cellStyle name="常规 2 2 2 11 9" xfId="17061"/>
    <cellStyle name="常规 2 2 2 12" xfId="17062"/>
    <cellStyle name="常规 2 2 2 12 2" xfId="17063"/>
    <cellStyle name="常规 2 2 2 12 2 2" xfId="12563"/>
    <cellStyle name="常规 2 2 2 12 2 2 2" xfId="12564"/>
    <cellStyle name="常规 2 2 2 12 2 2 2 2" xfId="12573"/>
    <cellStyle name="常规 2 2 2 12 2 2 2 2 2" xfId="17064"/>
    <cellStyle name="常规 2 2 2 12 2 2 2 3" xfId="17066"/>
    <cellStyle name="常规 2 2 2 12 2 2 2 4" xfId="17068"/>
    <cellStyle name="常规 2 2 2 12 2 2 3" xfId="12578"/>
    <cellStyle name="常规 2 2 2 12 2 2 3 2" xfId="17069"/>
    <cellStyle name="常规 2 2 2 12 2 2 4" xfId="8151"/>
    <cellStyle name="常规 2 2 2 12 2 2 5" xfId="8159"/>
    <cellStyle name="常规 2 2 2 12 2 3" xfId="12582"/>
    <cellStyle name="常规 2 2 2 12 2 3 2" xfId="12586"/>
    <cellStyle name="常规 2 2 2 12 2 3 2 2" xfId="12591"/>
    <cellStyle name="常规 2 2 2 12 2 3 3" xfId="12595"/>
    <cellStyle name="常规 2 2 2 12 2 3 4" xfId="8166"/>
    <cellStyle name="常规 2 2 2 12 2 4" xfId="12598"/>
    <cellStyle name="常规 2 2 2 12 2 4 2" xfId="12601"/>
    <cellStyle name="常规 2 2 2 12 2 5" xfId="12604"/>
    <cellStyle name="常规 2 2 2 12 2 6" xfId="12607"/>
    <cellStyle name="常规 2 2 2 12 2 7" xfId="17071"/>
    <cellStyle name="常规 2 2 2 12 3" xfId="17072"/>
    <cellStyle name="常规 2 2 2 12 3 2" xfId="12617"/>
    <cellStyle name="常规 2 2 2 12 3 2 2" xfId="12619"/>
    <cellStyle name="常规 2 2 2 12 3 3" xfId="12494"/>
    <cellStyle name="常规 2 2 2 12 3 4" xfId="17074"/>
    <cellStyle name="常规 2 2 2 12 4" xfId="17076"/>
    <cellStyle name="常规 2 2 2 12 4 2" xfId="12625"/>
    <cellStyle name="常规 2 2 2 12 4 2 2" xfId="17077"/>
    <cellStyle name="常规 2 2 2 12 4 3" xfId="17078"/>
    <cellStyle name="常规 2 2 2 12 4 4" xfId="17080"/>
    <cellStyle name="常规 2 2 2 12 5" xfId="17081"/>
    <cellStyle name="常规 2 2 2 12 5 2" xfId="12629"/>
    <cellStyle name="常规 2 2 2 12 6" xfId="17082"/>
    <cellStyle name="常规 2 2 2 12 7" xfId="17083"/>
    <cellStyle name="常规 2 2 2 12 8" xfId="17084"/>
    <cellStyle name="常规 2 2 2 13" xfId="17085"/>
    <cellStyle name="常规 2 2 2 13 2" xfId="17086"/>
    <cellStyle name="常规 2 2 2 13 2 2" xfId="11979"/>
    <cellStyle name="常规 2 2 2 13 2 2 2" xfId="8163"/>
    <cellStyle name="常规 2 2 2 13 2 2 2 2" xfId="8167"/>
    <cellStyle name="常规 2 2 2 13 2 2 2 2 2" xfId="17087"/>
    <cellStyle name="常规 2 2 2 13 2 2 2 3" xfId="17088"/>
    <cellStyle name="常规 2 2 2 13 2 2 2 4" xfId="17089"/>
    <cellStyle name="常规 2 2 2 13 2 2 3" xfId="8170"/>
    <cellStyle name="常规 2 2 2 13 2 2 3 2" xfId="8173"/>
    <cellStyle name="常规 2 2 2 13 2 2 4" xfId="17090"/>
    <cellStyle name="常规 2 2 2 13 2 2 5" xfId="17093"/>
    <cellStyle name="常规 2 2 2 13 2 3" xfId="12642"/>
    <cellStyle name="常规 2 2 2 13 2 3 2" xfId="8206"/>
    <cellStyle name="常规 2 2 2 13 2 3 2 2" xfId="8210"/>
    <cellStyle name="常规 2 2 2 13 2 3 3" xfId="8214"/>
    <cellStyle name="常规 2 2 2 13 2 3 4" xfId="8218"/>
    <cellStyle name="常规 2 2 2 13 2 4" xfId="17094"/>
    <cellStyle name="常规 2 2 2 13 2 4 2" xfId="17096"/>
    <cellStyle name="常规 2 2 2 13 2 4 2 2" xfId="17099"/>
    <cellStyle name="常规 2 2 2 13 2 4 3" xfId="17100"/>
    <cellStyle name="常规 2 2 2 13 2 4 4" xfId="17102"/>
    <cellStyle name="常规 2 2 2 13 2 5" xfId="17105"/>
    <cellStyle name="常规 2 2 2 13 2 6" xfId="17107"/>
    <cellStyle name="常规 2 2 2 13 2 7" xfId="17110"/>
    <cellStyle name="常规 2 2 2 13 3" xfId="17113"/>
    <cellStyle name="常规 2 2 2 13 3 2" xfId="11988"/>
    <cellStyle name="常规 2 2 2 13 3 2 2" xfId="17114"/>
    <cellStyle name="常规 2 2 2 13 3 2 2 2" xfId="8219"/>
    <cellStyle name="常规 2 2 2 13 3 2 2 2 2" xfId="17116"/>
    <cellStyle name="常规 2 2 2 13 3 2 2 3" xfId="3477"/>
    <cellStyle name="常规 2 2 2 13 3 2 2 4" xfId="17117"/>
    <cellStyle name="常规 2 2 2 13 3 2 3" xfId="17118"/>
    <cellStyle name="常规 2 2 2 13 3 2 3 2" xfId="17103"/>
    <cellStyle name="常规 2 2 2 13 3 2 4" xfId="6595"/>
    <cellStyle name="常规 2 2 2 13 3 2 5" xfId="17120"/>
    <cellStyle name="常规 2 2 2 13 3 3" xfId="17121"/>
    <cellStyle name="常规 2 2 2 13 3 3 2" xfId="3863"/>
    <cellStyle name="常规 2 2 2 13 3 3 2 2" xfId="3409"/>
    <cellStyle name="常规 2 2 2 13 3 3 3" xfId="17123"/>
    <cellStyle name="常规 2 2 2 13 3 3 4" xfId="3408"/>
    <cellStyle name="常规 2 2 2 13 3 4" xfId="17124"/>
    <cellStyle name="常规 2 2 2 13 3 4 2" xfId="17126"/>
    <cellStyle name="常规 2 2 2 13 3 5" xfId="17127"/>
    <cellStyle name="常规 2 2 2 13 3 6" xfId="17129"/>
    <cellStyle name="常规 2 2 2 13 3 7" xfId="17132"/>
    <cellStyle name="常规 2 2 2 13 4" xfId="17134"/>
    <cellStyle name="常规 2 2 2 13 4 2" xfId="12647"/>
    <cellStyle name="常规 2 2 2 13 4 2 2" xfId="17135"/>
    <cellStyle name="常规 2 2 2 13 4 3" xfId="17136"/>
    <cellStyle name="常规 2 2 2 13 4 4" xfId="17138"/>
    <cellStyle name="常规 2 2 2 13 5" xfId="17140"/>
    <cellStyle name="常规 2 2 2 13 5 2" xfId="17141"/>
    <cellStyle name="常规 2 2 2 13 5 2 2" xfId="14709"/>
    <cellStyle name="常规 2 2 2 13 5 3" xfId="17142"/>
    <cellStyle name="常规 2 2 2 13 5 4" xfId="17145"/>
    <cellStyle name="常规 2 2 2 13 6" xfId="17146"/>
    <cellStyle name="常规 2 2 2 13 7" xfId="17147"/>
    <cellStyle name="常规 2 2 2 13 8" xfId="17148"/>
    <cellStyle name="常规 2 2 2 14" xfId="17149"/>
    <cellStyle name="常规 2 2 2 14 2" xfId="4622"/>
    <cellStyle name="常规 2 2 2 14 2 2" xfId="7150"/>
    <cellStyle name="常规 2 2 2 14 2 2 2" xfId="17150"/>
    <cellStyle name="常规 2 2 2 14 2 2 2 2" xfId="17151"/>
    <cellStyle name="常规 2 2 2 14 2 2 3" xfId="17152"/>
    <cellStyle name="常规 2 2 2 14 2 2 4" xfId="17153"/>
    <cellStyle name="常规 2 2 2 14 2 3" xfId="17154"/>
    <cellStyle name="常规 2 2 2 14 2 3 2" xfId="17156"/>
    <cellStyle name="常规 2 2 2 14 2 3 2 2" xfId="17158"/>
    <cellStyle name="常规 2 2 2 14 2 3 3" xfId="4331"/>
    <cellStyle name="常规 2 2 2 14 2 3 4" xfId="4338"/>
    <cellStyle name="常规 2 2 2 14 2 4" xfId="17160"/>
    <cellStyle name="常规 2 2 2 14 2 5" xfId="17162"/>
    <cellStyle name="常规 2 2 2 14 3" xfId="7152"/>
    <cellStyle name="常规 2 2 2 14 3 2" xfId="17164"/>
    <cellStyle name="常规 2 2 2 14 3 2 2" xfId="17165"/>
    <cellStyle name="常规 2 2 2 14 3 3" xfId="17166"/>
    <cellStyle name="常规 2 2 2 14 3 4" xfId="17168"/>
    <cellStyle name="常规 2 2 2 14 4" xfId="17170"/>
    <cellStyle name="常规 2 2 2 14 4 2" xfId="17171"/>
    <cellStyle name="常规 2 2 2 14 4 2 2" xfId="17172"/>
    <cellStyle name="常规 2 2 2 14 4 3" xfId="17173"/>
    <cellStyle name="常规 2 2 2 14 4 4" xfId="17175"/>
    <cellStyle name="常规 2 2 2 14 5" xfId="17176"/>
    <cellStyle name="常规 2 2 2 14 6" xfId="17178"/>
    <cellStyle name="常规 2 2 2 15" xfId="17179"/>
    <cellStyle name="常规 2 2 2 15 2" xfId="3600"/>
    <cellStyle name="常规 2 2 2 15 2 2" xfId="17181"/>
    <cellStyle name="常规 2 2 2 15 2 2 2" xfId="17182"/>
    <cellStyle name="常规 2 2 2 15 2 2 2 2" xfId="12260"/>
    <cellStyle name="常规 2 2 2 15 2 2 3" xfId="17184"/>
    <cellStyle name="常规 2 2 2 15 2 2 4" xfId="14707"/>
    <cellStyle name="常规 2 2 2 15 2 3" xfId="17186"/>
    <cellStyle name="常规 2 2 2 15 2 3 2" xfId="17188"/>
    <cellStyle name="常规 2 2 2 15 2 3 2 2" xfId="17190"/>
    <cellStyle name="常规 2 2 2 15 2 3 3" xfId="3986"/>
    <cellStyle name="常规 2 2 2 15 2 3 4" xfId="17191"/>
    <cellStyle name="常规 2 2 2 15 2 4" xfId="17192"/>
    <cellStyle name="常规 2 2 2 15 2 5" xfId="5028"/>
    <cellStyle name="常规 2 2 2 15 3" xfId="6131"/>
    <cellStyle name="常规 2 2 2 15 3 2" xfId="6134"/>
    <cellStyle name="常规 2 2 2 15 3 2 2" xfId="6136"/>
    <cellStyle name="常规 2 2 2 15 3 3" xfId="4208"/>
    <cellStyle name="常规 2 2 2 15 3 4" xfId="4214"/>
    <cellStyle name="常规 2 2 2 15 4" xfId="2776"/>
    <cellStyle name="常规 2 2 2 15 4 2" xfId="2780"/>
    <cellStyle name="常规 2 2 2 15 4 2 2" xfId="2784"/>
    <cellStyle name="常规 2 2 2 15 4 3" xfId="1763"/>
    <cellStyle name="常规 2 2 2 15 4 4" xfId="410"/>
    <cellStyle name="常规 2 2 2 15 5" xfId="2802"/>
    <cellStyle name="常规 2 2 2 15 6" xfId="2813"/>
    <cellStyle name="常规 2 2 2 16" xfId="17193"/>
    <cellStyle name="常规 2 2 2 16 2" xfId="17195"/>
    <cellStyle name="常规 2 2 2 16 2 2" xfId="17197"/>
    <cellStyle name="常规 2 2 2 16 2 2 2" xfId="17198"/>
    <cellStyle name="常规 2 2 2 16 2 3" xfId="17199"/>
    <cellStyle name="常规 2 2 2 16 2 4" xfId="17200"/>
    <cellStyle name="常规 2 2 2 16 3" xfId="579"/>
    <cellStyle name="常规 2 2 2 16 3 2" xfId="590"/>
    <cellStyle name="常规 2 2 2 16 3 2 2" xfId="702"/>
    <cellStyle name="常规 2 2 2 16 3 3" xfId="759"/>
    <cellStyle name="常规 2 2 2 16 3 4" xfId="699"/>
    <cellStyle name="常规 2 2 2 16 4" xfId="606"/>
    <cellStyle name="常规 2 2 2 16 4 2" xfId="791"/>
    <cellStyle name="常规 2 2 2 16 5" xfId="617"/>
    <cellStyle name="常规 2 2 2 16 6" xfId="1068"/>
    <cellStyle name="常规 2 2 2 16 7" xfId="1111"/>
    <cellStyle name="常规 2 2 2 17" xfId="17201"/>
    <cellStyle name="常规 2 2 2 17 2" xfId="17203"/>
    <cellStyle name="常规 2 2 2 17 2 2" xfId="17204"/>
    <cellStyle name="常规 2 2 2 17 3" xfId="126"/>
    <cellStyle name="常规 2 2 2 17 4" xfId="1317"/>
    <cellStyle name="常规 2 2 2 18" xfId="17205"/>
    <cellStyle name="常规 2 2 2 18 2" xfId="8474"/>
    <cellStyle name="常规 2 2 2 18 2 2" xfId="8477"/>
    <cellStyle name="常规 2 2 2 18 3" xfId="942"/>
    <cellStyle name="常规 2 2 2 18 4" xfId="1041"/>
    <cellStyle name="常规 2 2 2 19" xfId="17207"/>
    <cellStyle name="常规 2 2 2 19 2" xfId="17208"/>
    <cellStyle name="常规 2 2 2 2" xfId="6459"/>
    <cellStyle name="常规 2 2 2 2 10" xfId="17210"/>
    <cellStyle name="常规 2 2 2 2 10 2" xfId="17211"/>
    <cellStyle name="常规 2 2 2 2 11" xfId="17212"/>
    <cellStyle name="常规 2 2 2 2 11 2" xfId="17214"/>
    <cellStyle name="常规 2 2 2 2 12" xfId="17215"/>
    <cellStyle name="常规 2 2 2 2 13" xfId="11393"/>
    <cellStyle name="常规 2 2 2 2 14" xfId="11089"/>
    <cellStyle name="常规 2 2 2 2 2" xfId="17216"/>
    <cellStyle name="常规 2 2 2 2 2 10" xfId="2805"/>
    <cellStyle name="常规 2 2 2 2 2 11" xfId="1789"/>
    <cellStyle name="常规 2 2 2 2 2 12" xfId="17218"/>
    <cellStyle name="常规 2 2 2 2 2 2" xfId="14617"/>
    <cellStyle name="常规 2 2 2 2 2 2 10" xfId="17219"/>
    <cellStyle name="常规 2 2 2 2 2 2 2" xfId="17220"/>
    <cellStyle name="常规 2 2 2 2 2 2 2 2" xfId="17223"/>
    <cellStyle name="常规 2 2 2 2 2 2 2 2 2" xfId="17225"/>
    <cellStyle name="常规 2 2 2 2 2 2 2 2 2 2" xfId="17226"/>
    <cellStyle name="常规 2 2 2 2 2 2 2 2 2 2 2" xfId="17227"/>
    <cellStyle name="常规 2 2 2 2 2 2 2 2 2 3" xfId="17228"/>
    <cellStyle name="常规 2 2 2 2 2 2 2 2 2 4" xfId="17229"/>
    <cellStyle name="常规 2 2 2 2 2 2 2 2 3" xfId="17230"/>
    <cellStyle name="常规 2 2 2 2 2 2 2 2 3 2" xfId="17231"/>
    <cellStyle name="常规 2 2 2 2 2 2 2 2 4" xfId="17232"/>
    <cellStyle name="常规 2 2 2 2 2 2 2 2 5" xfId="17233"/>
    <cellStyle name="常规 2 2 2 2 2 2 2 3" xfId="17234"/>
    <cellStyle name="常规 2 2 2 2 2 2 2 3 2" xfId="17235"/>
    <cellStyle name="常规 2 2 2 2 2 2 2 3 2 2" xfId="17236"/>
    <cellStyle name="常规 2 2 2 2 2 2 2 3 3" xfId="17238"/>
    <cellStyle name="常规 2 2 2 2 2 2 2 3 4" xfId="17239"/>
    <cellStyle name="常规 2 2 2 2 2 2 2 4" xfId="17242"/>
    <cellStyle name="常规 2 2 2 2 2 2 2 4 2" xfId="17243"/>
    <cellStyle name="常规 2 2 2 2 2 2 2 4 2 2" xfId="11946"/>
    <cellStyle name="常规 2 2 2 2 2 2 2 4 3" xfId="17244"/>
    <cellStyle name="常规 2 2 2 2 2 2 2 4 4" xfId="17245"/>
    <cellStyle name="常规 2 2 2 2 2 2 2 5" xfId="17247"/>
    <cellStyle name="常规 2 2 2 2 2 2 2 5 2" xfId="17248"/>
    <cellStyle name="常规 2 2 2 2 2 2 2 6" xfId="17249"/>
    <cellStyle name="常规 2 2 2 2 2 2 2 7" xfId="13598"/>
    <cellStyle name="常规 2 2 2 2 2 2 2 8" xfId="12096"/>
    <cellStyle name="常规 2 2 2 2 2 2 3" xfId="17251"/>
    <cellStyle name="常规 2 2 2 2 2 2 3 2" xfId="17252"/>
    <cellStyle name="常规 2 2 2 2 2 2 3 2 2" xfId="17253"/>
    <cellStyle name="常规 2 2 2 2 2 2 3 2 2 2" xfId="6751"/>
    <cellStyle name="常规 2 2 2 2 2 2 3 2 3" xfId="17254"/>
    <cellStyle name="常规 2 2 2 2 2 2 3 2 4" xfId="911"/>
    <cellStyle name="常规 2 2 2 2 2 2 3 3" xfId="17255"/>
    <cellStyle name="常规 2 2 2 2 2 2 3 3 2" xfId="17256"/>
    <cellStyle name="常规 2 2 2 2 2 2 3 4" xfId="17258"/>
    <cellStyle name="常规 2 2 2 2 2 2 3 5" xfId="17259"/>
    <cellStyle name="常规 2 2 2 2 2 2 3 6" xfId="17260"/>
    <cellStyle name="常规 2 2 2 2 2 2 4" xfId="17262"/>
    <cellStyle name="常规 2 2 2 2 2 2 4 2" xfId="17263"/>
    <cellStyle name="常规 2 2 2 2 2 2 4 2 2" xfId="17264"/>
    <cellStyle name="常规 2 2 2 2 2 2 4 3" xfId="17265"/>
    <cellStyle name="常规 2 2 2 2 2 2 4 4" xfId="17266"/>
    <cellStyle name="常规 2 2 2 2 2 2 5" xfId="17267"/>
    <cellStyle name="常规 2 2 2 2 2 2 5 2" xfId="9564"/>
    <cellStyle name="常规 2 2 2 2 2 2 5 2 2" xfId="17268"/>
    <cellStyle name="常规 2 2 2 2 2 2 5 3" xfId="17269"/>
    <cellStyle name="常规 2 2 2 2 2 2 5 4" xfId="17270"/>
    <cellStyle name="常规 2 2 2 2 2 2 6" xfId="17271"/>
    <cellStyle name="常规 2 2 2 2 2 2 6 2" xfId="17273"/>
    <cellStyle name="常规 2 2 2 2 2 2 7" xfId="17275"/>
    <cellStyle name="常规 2 2 2 2 2 2 7 2" xfId="17277"/>
    <cellStyle name="常规 2 2 2 2 2 2 8" xfId="17278"/>
    <cellStyle name="常规 2 2 2 2 2 2 9" xfId="17280"/>
    <cellStyle name="常规 2 2 2 2 2 3" xfId="14620"/>
    <cellStyle name="常规 2 2 2 2 2 3 10" xfId="13339"/>
    <cellStyle name="常规 2 2 2 2 2 3 11" xfId="17282"/>
    <cellStyle name="常规 2 2 2 2 2 3 2" xfId="17283"/>
    <cellStyle name="常规 2 2 2 2 2 3 2 10" xfId="17284"/>
    <cellStyle name="常规 2 2 2 2 2 3 2 2" xfId="16055"/>
    <cellStyle name="常规 2 2 2 2 2 3 2 2 2" xfId="17285"/>
    <cellStyle name="常规 2 2 2 2 2 3 2 2 2 2" xfId="17286"/>
    <cellStyle name="常规 2 2 2 2 2 3 2 2 2 2 2" xfId="14993"/>
    <cellStyle name="常规 2 2 2 2 2 3 2 2 2 2 2 2" xfId="17287"/>
    <cellStyle name="常规 2 2 2 2 2 3 2 2 2 2 3" xfId="14995"/>
    <cellStyle name="常规 2 2 2 2 2 3 2 2 2 2 4" xfId="17288"/>
    <cellStyle name="常规 2 2 2 2 2 3 2 2 2 3" xfId="17289"/>
    <cellStyle name="常规 2 2 2 2 2 3 2 2 2 3 2" xfId="15003"/>
    <cellStyle name="常规 2 2 2 2 2 3 2 2 2 4" xfId="17290"/>
    <cellStyle name="常规 2 2 2 2 2 3 2 2 2 5" xfId="17291"/>
    <cellStyle name="常规 2 2 2 2 2 3 2 2 3" xfId="17292"/>
    <cellStyle name="常规 2 2 2 2 2 3 2 2 3 2" xfId="17293"/>
    <cellStyle name="常规 2 2 2 2 2 3 2 2 3 2 2" xfId="15024"/>
    <cellStyle name="常规 2 2 2 2 2 3 2 2 3 3" xfId="17294"/>
    <cellStyle name="常规 2 2 2 2 2 3 2 2 3 4" xfId="17295"/>
    <cellStyle name="常规 2 2 2 2 2 3 2 2 4" xfId="14018"/>
    <cellStyle name="常规 2 2 2 2 2 3 2 2 4 2" xfId="17296"/>
    <cellStyle name="常规 2 2 2 2 2 3 2 2 4 2 2" xfId="17298"/>
    <cellStyle name="常规 2 2 2 2 2 3 2 2 4 3" xfId="17300"/>
    <cellStyle name="常规 2 2 2 2 2 3 2 2 4 4" xfId="5581"/>
    <cellStyle name="常规 2 2 2 2 2 3 2 2 5" xfId="4942"/>
    <cellStyle name="常规 2 2 2 2 2 3 2 2 5 2" xfId="17301"/>
    <cellStyle name="常规 2 2 2 2 2 3 2 2 6" xfId="17303"/>
    <cellStyle name="常规 2 2 2 2 2 3 2 2 7" xfId="17306"/>
    <cellStyle name="常规 2 2 2 2 2 3 2 2 8" xfId="17308"/>
    <cellStyle name="常规 2 2 2 2 2 3 2 3" xfId="17310"/>
    <cellStyle name="常规 2 2 2 2 2 3 2 3 2" xfId="17311"/>
    <cellStyle name="常规 2 2 2 2 2 3 2 3 2 2" xfId="17312"/>
    <cellStyle name="常规 2 2 2 2 2 3 2 3 2 2 2" xfId="15072"/>
    <cellStyle name="常规 2 2 2 2 2 3 2 3 2 3" xfId="17313"/>
    <cellStyle name="常规 2 2 2 2 2 3 2 3 2 4" xfId="17314"/>
    <cellStyle name="常规 2 2 2 2 2 3 2 3 3" xfId="17316"/>
    <cellStyle name="常规 2 2 2 2 2 3 2 3 3 2" xfId="17317"/>
    <cellStyle name="常规 2 2 2 2 2 3 2 3 4" xfId="17318"/>
    <cellStyle name="常规 2 2 2 2 2 3 2 3 5" xfId="17321"/>
    <cellStyle name="常规 2 2 2 2 2 3 2 3 6" xfId="17322"/>
    <cellStyle name="常规 2 2 2 2 2 3 2 4" xfId="17323"/>
    <cellStyle name="常规 2 2 2 2 2 3 2 4 2" xfId="17325"/>
    <cellStyle name="常规 2 2 2 2 2 3 2 4 2 2" xfId="16626"/>
    <cellStyle name="常规 2 2 2 2 2 3 2 4 3" xfId="17326"/>
    <cellStyle name="常规 2 2 2 2 2 3 2 4 4" xfId="17327"/>
    <cellStyle name="常规 2 2 2 2 2 3 2 5" xfId="17328"/>
    <cellStyle name="常规 2 2 2 2 2 3 2 5 2" xfId="17330"/>
    <cellStyle name="常规 2 2 2 2 2 3 2 5 2 2" xfId="17331"/>
    <cellStyle name="常规 2 2 2 2 2 3 2 5 3" xfId="17333"/>
    <cellStyle name="常规 2 2 2 2 2 3 2 5 4" xfId="17334"/>
    <cellStyle name="常规 2 2 2 2 2 3 2 6" xfId="17336"/>
    <cellStyle name="常规 2 2 2 2 2 3 2 6 2" xfId="3732"/>
    <cellStyle name="常规 2 2 2 2 2 3 2 7" xfId="13928"/>
    <cellStyle name="常规 2 2 2 2 2 3 2 7 2" xfId="3794"/>
    <cellStyle name="常规 2 2 2 2 2 3 2 8" xfId="13945"/>
    <cellStyle name="常规 2 2 2 2 2 3 2 9" xfId="13955"/>
    <cellStyle name="常规 2 2 2 2 2 3 3" xfId="17338"/>
    <cellStyle name="常规 2 2 2 2 2 3 3 2" xfId="17339"/>
    <cellStyle name="常规 2 2 2 2 2 3 3 2 2" xfId="17340"/>
    <cellStyle name="常规 2 2 2 2 2 3 3 2 2 2" xfId="924"/>
    <cellStyle name="常规 2 2 2 2 2 3 3 2 2 2 2" xfId="6658"/>
    <cellStyle name="常规 2 2 2 2 2 3 3 2 2 3" xfId="7124"/>
    <cellStyle name="常规 2 2 2 2 2 3 3 2 2 4" xfId="17341"/>
    <cellStyle name="常规 2 2 2 2 2 3 3 2 3" xfId="17342"/>
    <cellStyle name="常规 2 2 2 2 2 3 3 2 3 2" xfId="6128"/>
    <cellStyle name="常规 2 2 2 2 2 3 3 2 4" xfId="932"/>
    <cellStyle name="常规 2 2 2 2 2 3 3 2 5" xfId="17343"/>
    <cellStyle name="常规 2 2 2 2 2 3 3 3" xfId="17344"/>
    <cellStyle name="常规 2 2 2 2 2 3 3 3 2" xfId="17345"/>
    <cellStyle name="常规 2 2 2 2 2 3 3 3 2 2" xfId="1530"/>
    <cellStyle name="常规 2 2 2 2 2 3 3 3 3" xfId="17346"/>
    <cellStyle name="常规 2 2 2 2 2 3 3 3 4" xfId="17347"/>
    <cellStyle name="常规 2 2 2 2 2 3 3 4" xfId="17349"/>
    <cellStyle name="常规 2 2 2 2 2 3 3 4 2" xfId="17351"/>
    <cellStyle name="常规 2 2 2 2 2 3 3 4 2 2" xfId="17352"/>
    <cellStyle name="常规 2 2 2 2 2 3 3 4 3" xfId="17354"/>
    <cellStyle name="常规 2 2 2 2 2 3 3 4 4" xfId="17355"/>
    <cellStyle name="常规 2 2 2 2 2 3 3 5" xfId="17356"/>
    <cellStyle name="常规 2 2 2 2 2 3 3 5 2" xfId="3925"/>
    <cellStyle name="常规 2 2 2 2 2 3 3 6" xfId="17357"/>
    <cellStyle name="常规 2 2 2 2 2 3 3 7" xfId="10470"/>
    <cellStyle name="常规 2 2 2 2 2 3 3 8" xfId="13977"/>
    <cellStyle name="常规 2 2 2 2 2 3 4" xfId="17358"/>
    <cellStyle name="常规 2 2 2 2 2 3 4 2" xfId="17359"/>
    <cellStyle name="常规 2 2 2 2 2 3 4 2 2" xfId="17360"/>
    <cellStyle name="常规 2 2 2 2 2 3 4 2 2 2" xfId="17361"/>
    <cellStyle name="常规 2 2 2 2 2 3 4 2 3" xfId="17363"/>
    <cellStyle name="常规 2 2 2 2 2 3 4 2 4" xfId="17364"/>
    <cellStyle name="常规 2 2 2 2 2 3 4 3" xfId="17366"/>
    <cellStyle name="常规 2 2 2 2 2 3 4 3 2" xfId="17367"/>
    <cellStyle name="常规 2 2 2 2 2 3 4 4" xfId="17368"/>
    <cellStyle name="常规 2 2 2 2 2 3 4 5" xfId="17369"/>
    <cellStyle name="常规 2 2 2 2 2 3 4 6" xfId="17370"/>
    <cellStyle name="常规 2 2 2 2 2 3 5" xfId="17371"/>
    <cellStyle name="常规 2 2 2 2 2 3 5 2" xfId="17372"/>
    <cellStyle name="常规 2 2 2 2 2 3 5 2 2" xfId="17373"/>
    <cellStyle name="常规 2 2 2 2 2 3 5 3" xfId="17374"/>
    <cellStyle name="常规 2 2 2 2 2 3 5 4" xfId="17375"/>
    <cellStyle name="常规 2 2 2 2 2 3 6" xfId="17376"/>
    <cellStyle name="常规 2 2 2 2 2 3 6 2" xfId="17378"/>
    <cellStyle name="常规 2 2 2 2 2 3 6 2 2" xfId="17379"/>
    <cellStyle name="常规 2 2 2 2 2 3 6 3" xfId="17380"/>
    <cellStyle name="常规 2 2 2 2 2 3 6 4" xfId="17381"/>
    <cellStyle name="常规 2 2 2 2 2 3 7" xfId="17382"/>
    <cellStyle name="常规 2 2 2 2 2 3 7 2" xfId="17383"/>
    <cellStyle name="常规 2 2 2 2 2 3 8" xfId="17384"/>
    <cellStyle name="常规 2 2 2 2 2 3 8 2" xfId="17385"/>
    <cellStyle name="常规 2 2 2 2 2 3 9" xfId="17386"/>
    <cellStyle name="常规 2 2 2 2 2 4" xfId="14623"/>
    <cellStyle name="常规 2 2 2 2 2 4 2" xfId="17387"/>
    <cellStyle name="常规 2 2 2 2 2 4 2 2" xfId="17388"/>
    <cellStyle name="常规 2 2 2 2 2 4 2 2 2" xfId="17389"/>
    <cellStyle name="常规 2 2 2 2 2 4 2 2 2 2" xfId="17391"/>
    <cellStyle name="常规 2 2 2 2 2 4 2 2 3" xfId="17392"/>
    <cellStyle name="常规 2 2 2 2 2 4 2 2 4" xfId="17395"/>
    <cellStyle name="常规 2 2 2 2 2 4 2 3" xfId="17398"/>
    <cellStyle name="常规 2 2 2 2 2 4 2 3 2" xfId="17399"/>
    <cellStyle name="常规 2 2 2 2 2 4 2 4" xfId="17401"/>
    <cellStyle name="常规 2 2 2 2 2 4 2 5" xfId="17403"/>
    <cellStyle name="常规 2 2 2 2 2 4 3" xfId="6667"/>
    <cellStyle name="常规 2 2 2 2 2 4 3 2" xfId="17405"/>
    <cellStyle name="常规 2 2 2 2 2 4 3 2 2" xfId="17406"/>
    <cellStyle name="常规 2 2 2 2 2 4 3 3" xfId="17408"/>
    <cellStyle name="常规 2 2 2 2 2 4 3 4" xfId="17409"/>
    <cellStyle name="常规 2 2 2 2 2 4 4" xfId="17411"/>
    <cellStyle name="常规 2 2 2 2 2 4 4 2" xfId="17413"/>
    <cellStyle name="常规 2 2 2 2 2 4 4 2 2" xfId="17416"/>
    <cellStyle name="常规 2 2 2 2 2 4 4 3" xfId="17417"/>
    <cellStyle name="常规 2 2 2 2 2 4 4 4" xfId="17419"/>
    <cellStyle name="常规 2 2 2 2 2 4 5" xfId="17421"/>
    <cellStyle name="常规 2 2 2 2 2 4 5 2" xfId="17423"/>
    <cellStyle name="常规 2 2 2 2 2 4 6" xfId="17424"/>
    <cellStyle name="常规 2 2 2 2 2 4 7" xfId="17426"/>
    <cellStyle name="常规 2 2 2 2 2 4 8" xfId="17428"/>
    <cellStyle name="常规 2 2 2 2 2 5" xfId="17430"/>
    <cellStyle name="常规 2 2 2 2 2 5 2" xfId="17431"/>
    <cellStyle name="常规 2 2 2 2 2 5 2 2" xfId="17432"/>
    <cellStyle name="常规 2 2 2 2 2 5 2 2 2" xfId="17433"/>
    <cellStyle name="常规 2 2 2 2 2 5 2 3" xfId="17437"/>
    <cellStyle name="常规 2 2 2 2 2 5 2 4" xfId="17438"/>
    <cellStyle name="常规 2 2 2 2 2 5 3" xfId="17440"/>
    <cellStyle name="常规 2 2 2 2 2 5 3 2" xfId="17441"/>
    <cellStyle name="常规 2 2 2 2 2 5 4" xfId="17442"/>
    <cellStyle name="常规 2 2 2 2 2 5 5" xfId="3012"/>
    <cellStyle name="常规 2 2 2 2 2 5 6" xfId="3020"/>
    <cellStyle name="常规 2 2 2 2 2 6" xfId="17444"/>
    <cellStyle name="常规 2 2 2 2 2 6 2" xfId="17448"/>
    <cellStyle name="常规 2 2 2 2 2 6 2 2" xfId="17453"/>
    <cellStyle name="常规 2 2 2 2 2 6 3" xfId="17456"/>
    <cellStyle name="常规 2 2 2 2 2 6 4" xfId="17459"/>
    <cellStyle name="常规 2 2 2 2 2 7" xfId="17463"/>
    <cellStyle name="常规 2 2 2 2 2 7 2" xfId="17467"/>
    <cellStyle name="常规 2 2 2 2 2 7 2 2" xfId="17470"/>
    <cellStyle name="常规 2 2 2 2 2 7 3" xfId="17473"/>
    <cellStyle name="常规 2 2 2 2 2 7 4" xfId="17475"/>
    <cellStyle name="常规 2 2 2 2 2 8" xfId="17478"/>
    <cellStyle name="常规 2 2 2 2 2 8 2" xfId="17481"/>
    <cellStyle name="常规 2 2 2 2 2 9" xfId="17484"/>
    <cellStyle name="常规 2 2 2 2 2 9 2" xfId="17487"/>
    <cellStyle name="常规 2 2 2 2 3" xfId="17489"/>
    <cellStyle name="常规 2 2 2 2 3 10" xfId="17491"/>
    <cellStyle name="常规 2 2 2 2 3 11" xfId="17493"/>
    <cellStyle name="常规 2 2 2 2 3 2" xfId="14631"/>
    <cellStyle name="常规 2 2 2 2 3 2 10" xfId="17495"/>
    <cellStyle name="常规 2 2 2 2 3 2 2" xfId="12740"/>
    <cellStyle name="常规 2 2 2 2 3 2 2 2" xfId="12744"/>
    <cellStyle name="常规 2 2 2 2 3 2 2 2 2" xfId="12747"/>
    <cellStyle name="常规 2 2 2 2 3 2 2 2 2 2" xfId="14936"/>
    <cellStyle name="常规 2 2 2 2 3 2 2 2 2 2 2" xfId="17497"/>
    <cellStyle name="常规 2 2 2 2 3 2 2 2 2 3" xfId="17498"/>
    <cellStyle name="常规 2 2 2 2 3 2 2 2 2 4" xfId="16398"/>
    <cellStyle name="常规 2 2 2 2 3 2 2 2 3" xfId="7318"/>
    <cellStyle name="常规 2 2 2 2 3 2 2 2 3 2" xfId="17500"/>
    <cellStyle name="常规 2 2 2 2 3 2 2 2 4" xfId="17502"/>
    <cellStyle name="常规 2 2 2 2 3 2 2 2 5" xfId="17505"/>
    <cellStyle name="常规 2 2 2 2 3 2 2 3" xfId="12752"/>
    <cellStyle name="常规 2 2 2 2 3 2 2 3 2" xfId="14123"/>
    <cellStyle name="常规 2 2 2 2 3 2 2 3 2 2" xfId="17507"/>
    <cellStyle name="常规 2 2 2 2 3 2 2 3 3" xfId="7309"/>
    <cellStyle name="常规 2 2 2 2 3 2 2 3 4" xfId="17509"/>
    <cellStyle name="常规 2 2 2 2 3 2 2 4" xfId="17513"/>
    <cellStyle name="常规 2 2 2 2 3 2 2 4 2" xfId="17514"/>
    <cellStyle name="常规 2 2 2 2 3 2 2 4 2 2" xfId="17516"/>
    <cellStyle name="常规 2 2 2 2 3 2 2 4 3" xfId="17518"/>
    <cellStyle name="常规 2 2 2 2 3 2 2 4 4" xfId="17520"/>
    <cellStyle name="常规 2 2 2 2 3 2 2 5" xfId="3384"/>
    <cellStyle name="常规 2 2 2 2 3 2 2 5 2" xfId="17522"/>
    <cellStyle name="常规 2 2 2 2 3 2 2 6" xfId="17523"/>
    <cellStyle name="常规 2 2 2 2 3 2 2 7" xfId="17525"/>
    <cellStyle name="常规 2 2 2 2 3 2 2 8" xfId="17527"/>
    <cellStyle name="常规 2 2 2 2 3 2 3" xfId="12755"/>
    <cellStyle name="常规 2 2 2 2 3 2 3 2" xfId="12758"/>
    <cellStyle name="常规 2 2 2 2 3 2 3 2 2" xfId="12760"/>
    <cellStyle name="常规 2 2 2 2 3 2 3 2 2 2" xfId="15076"/>
    <cellStyle name="常规 2 2 2 2 3 2 3 2 3" xfId="17529"/>
    <cellStyle name="常规 2 2 2 2 3 2 3 2 4" xfId="17532"/>
    <cellStyle name="常规 2 2 2 2 3 2 3 3" xfId="12764"/>
    <cellStyle name="常规 2 2 2 2 3 2 3 3 2" xfId="17534"/>
    <cellStyle name="常规 2 2 2 2 3 2 3 4" xfId="17535"/>
    <cellStyle name="常规 2 2 2 2 3 2 3 5" xfId="6881"/>
    <cellStyle name="常规 2 2 2 2 3 2 3 6" xfId="17536"/>
    <cellStyle name="常规 2 2 2 2 3 2 4" xfId="12766"/>
    <cellStyle name="常规 2 2 2 2 3 2 4 2" xfId="12769"/>
    <cellStyle name="常规 2 2 2 2 3 2 4 2 2" xfId="17537"/>
    <cellStyle name="常规 2 2 2 2 3 2 4 3" xfId="17538"/>
    <cellStyle name="常规 2 2 2 2 3 2 4 4" xfId="17539"/>
    <cellStyle name="常规 2 2 2 2 3 2 5" xfId="12771"/>
    <cellStyle name="常规 2 2 2 2 3 2 5 2" xfId="17540"/>
    <cellStyle name="常规 2 2 2 2 3 2 5 2 2" xfId="17541"/>
    <cellStyle name="常规 2 2 2 2 3 2 5 3" xfId="17542"/>
    <cellStyle name="常规 2 2 2 2 3 2 5 4" xfId="17543"/>
    <cellStyle name="常规 2 2 2 2 3 2 6" xfId="12772"/>
    <cellStyle name="常规 2 2 2 2 3 2 6 2" xfId="17545"/>
    <cellStyle name="常规 2 2 2 2 3 2 7" xfId="17546"/>
    <cellStyle name="常规 2 2 2 2 3 2 7 2" xfId="17547"/>
    <cellStyle name="常规 2 2 2 2 3 2 8" xfId="17548"/>
    <cellStyle name="常规 2 2 2 2 3 2 9" xfId="17549"/>
    <cellStyle name="常规 2 2 2 2 3 3" xfId="17551"/>
    <cellStyle name="常规 2 2 2 2 3 3 2" xfId="12783"/>
    <cellStyle name="常规 2 2 2 2 3 3 2 2" xfId="12786"/>
    <cellStyle name="常规 2 2 2 2 3 3 2 2 2" xfId="14314"/>
    <cellStyle name="常规 2 2 2 2 3 3 2 2 2 2" xfId="15671"/>
    <cellStyle name="常规 2 2 2 2 3 3 2 2 3" xfId="17553"/>
    <cellStyle name="常规 2 2 2 2 3 3 2 2 4" xfId="17556"/>
    <cellStyle name="常规 2 2 2 2 3 3 2 3" xfId="17561"/>
    <cellStyle name="常规 2 2 2 2 3 3 2 3 2" xfId="17562"/>
    <cellStyle name="常规 2 2 2 2 3 3 2 4" xfId="17565"/>
    <cellStyle name="常规 2 2 2 2 3 3 2 5" xfId="17566"/>
    <cellStyle name="常规 2 2 2 2 3 3 3" xfId="12788"/>
    <cellStyle name="常规 2 2 2 2 3 3 3 2" xfId="17568"/>
    <cellStyle name="常规 2 2 2 2 3 3 3 2 2" xfId="17569"/>
    <cellStyle name="常规 2 2 2 2 3 3 3 3" xfId="17571"/>
    <cellStyle name="常规 2 2 2 2 3 3 3 4" xfId="17572"/>
    <cellStyle name="常规 2 2 2 2 3 3 4" xfId="17573"/>
    <cellStyle name="常规 2 2 2 2 3 3 4 2" xfId="17575"/>
    <cellStyle name="常规 2 2 2 2 3 3 4 2 2" xfId="17576"/>
    <cellStyle name="常规 2 2 2 2 3 3 4 3" xfId="17577"/>
    <cellStyle name="常规 2 2 2 2 3 3 4 4" xfId="17578"/>
    <cellStyle name="常规 2 2 2 2 3 3 5" xfId="17579"/>
    <cellStyle name="常规 2 2 2 2 3 3 5 2" xfId="17580"/>
    <cellStyle name="常规 2 2 2 2 3 3 6" xfId="17582"/>
    <cellStyle name="常规 2 2 2 2 3 3 7" xfId="17583"/>
    <cellStyle name="常规 2 2 2 2 3 3 8" xfId="17584"/>
    <cellStyle name="常规 2 2 2 2 3 4" xfId="17585"/>
    <cellStyle name="常规 2 2 2 2 3 4 2" xfId="12793"/>
    <cellStyle name="常规 2 2 2 2 3 4 2 2" xfId="17587"/>
    <cellStyle name="常规 2 2 2 2 3 4 2 2 2" xfId="17589"/>
    <cellStyle name="常规 2 2 2 2 3 4 2 3" xfId="17591"/>
    <cellStyle name="常规 2 2 2 2 3 4 2 4" xfId="17593"/>
    <cellStyle name="常规 2 2 2 2 3 4 3" xfId="6675"/>
    <cellStyle name="常规 2 2 2 2 3 4 3 2" xfId="2524"/>
    <cellStyle name="常规 2 2 2 2 3 4 4" xfId="17596"/>
    <cellStyle name="常规 2 2 2 2 3 4 5" xfId="17598"/>
    <cellStyle name="常规 2 2 2 2 3 4 6" xfId="17600"/>
    <cellStyle name="常规 2 2 2 2 3 5" xfId="17602"/>
    <cellStyle name="常规 2 2 2 2 3 5 2" xfId="12799"/>
    <cellStyle name="常规 2 2 2 2 3 5 2 2" xfId="17603"/>
    <cellStyle name="常规 2 2 2 2 3 5 3" xfId="17605"/>
    <cellStyle name="常规 2 2 2 2 3 5 4" xfId="17606"/>
    <cellStyle name="常规 2 2 2 2 3 6" xfId="17607"/>
    <cellStyle name="常规 2 2 2 2 3 6 2" xfId="17610"/>
    <cellStyle name="常规 2 2 2 2 3 6 2 2" xfId="17613"/>
    <cellStyle name="常规 2 2 2 2 3 6 3" xfId="17615"/>
    <cellStyle name="常规 2 2 2 2 3 6 4" xfId="17617"/>
    <cellStyle name="常规 2 2 2 2 3 7" xfId="17620"/>
    <cellStyle name="常规 2 2 2 2 3 7 2" xfId="17623"/>
    <cellStyle name="常规 2 2 2 2 3 8" xfId="17625"/>
    <cellStyle name="常规 2 2 2 2 3 8 2" xfId="17628"/>
    <cellStyle name="常规 2 2 2 2 3 9" xfId="17629"/>
    <cellStyle name="常规 2 2 2 2 4" xfId="17631"/>
    <cellStyle name="常规 2 2 2 2 4 2" xfId="14639"/>
    <cellStyle name="常规 2 2 2 2 4 2 2" xfId="1615"/>
    <cellStyle name="常规 2 2 2 2 4 2 2 2" xfId="781"/>
    <cellStyle name="常规 2 2 2 2 4 2 2 2 2" xfId="13086"/>
    <cellStyle name="常规 2 2 2 2 4 2 2 2 2 2" xfId="17633"/>
    <cellStyle name="常规 2 2 2 2 4 2 2 2 3" xfId="14006"/>
    <cellStyle name="常规 2 2 2 2 4 2 2 2 4" xfId="14079"/>
    <cellStyle name="常规 2 2 2 2 4 2 2 3" xfId="13089"/>
    <cellStyle name="常规 2 2 2 2 4 2 2 3 2" xfId="17634"/>
    <cellStyle name="常规 2 2 2 2 4 2 2 4" xfId="17635"/>
    <cellStyle name="常规 2 2 2 2 4 2 2 5" xfId="17637"/>
    <cellStyle name="常规 2 2 2 2 4 2 3" xfId="1622"/>
    <cellStyle name="常规 2 2 2 2 4 2 3 2" xfId="721"/>
    <cellStyle name="常规 2 2 2 2 4 2 3 2 2" xfId="17639"/>
    <cellStyle name="常规 2 2 2 2 4 2 3 3" xfId="10068"/>
    <cellStyle name="常规 2 2 2 2 4 2 3 4" xfId="10088"/>
    <cellStyle name="常规 2 2 2 2 4 2 4" xfId="1632"/>
    <cellStyle name="常规 2 2 2 2 4 2 4 2" xfId="17640"/>
    <cellStyle name="常规 2 2 2 2 4 2 5" xfId="1638"/>
    <cellStyle name="常规 2 2 2 2 4 2 6" xfId="17641"/>
    <cellStyle name="常规 2 2 2 2 4 2 7" xfId="17643"/>
    <cellStyle name="常规 2 2 2 2 4 3" xfId="17644"/>
    <cellStyle name="常规 2 2 2 2 4 3 2" xfId="12279"/>
    <cellStyle name="常规 2 2 2 2 4 3 2 2" xfId="17645"/>
    <cellStyle name="常规 2 2 2 2 4 3 3" xfId="17646"/>
    <cellStyle name="常规 2 2 2 2 4 3 4" xfId="17648"/>
    <cellStyle name="常规 2 2 2 2 4 4" xfId="17649"/>
    <cellStyle name="常规 2 2 2 2 4 4 2" xfId="12817"/>
    <cellStyle name="常规 2 2 2 2 4 4 2 2" xfId="13096"/>
    <cellStyle name="常规 2 2 2 2 4 4 3" xfId="13098"/>
    <cellStyle name="常规 2 2 2 2 4 4 4" xfId="13102"/>
    <cellStyle name="常规 2 2 2 2 4 5" xfId="17650"/>
    <cellStyle name="常规 2 2 2 2 4 6" xfId="17651"/>
    <cellStyle name="常规 2 2 2 2 4 7" xfId="17655"/>
    <cellStyle name="常规 2 2 2 2 5" xfId="17658"/>
    <cellStyle name="常规 2 2 2 2 5 2" xfId="17660"/>
    <cellStyle name="常规 2 2 2 2 5 2 2" xfId="1181"/>
    <cellStyle name="常规 2 2 2 2 5 2 2 2" xfId="140"/>
    <cellStyle name="常规 2 2 2 2 5 2 2 2 2" xfId="2957"/>
    <cellStyle name="常规 2 2 2 2 5 2 2 2 2 2" xfId="15622"/>
    <cellStyle name="常规 2 2 2 2 5 2 2 2 3" xfId="17662"/>
    <cellStyle name="常规 2 2 2 2 5 2 2 2 4" xfId="17665"/>
    <cellStyle name="常规 2 2 2 2 5 2 2 3" xfId="2968"/>
    <cellStyle name="常规 2 2 2 2 5 2 2 3 2" xfId="17668"/>
    <cellStyle name="常规 2 2 2 2 5 2 2 4" xfId="17670"/>
    <cellStyle name="常规 2 2 2 2 5 2 2 5" xfId="17671"/>
    <cellStyle name="常规 2 2 2 2 5 2 3" xfId="1187"/>
    <cellStyle name="常规 2 2 2 2 5 2 3 2" xfId="852"/>
    <cellStyle name="常规 2 2 2 2 5 2 3 2 2" xfId="17673"/>
    <cellStyle name="常规 2 2 2 2 5 2 3 3" xfId="10158"/>
    <cellStyle name="常规 2 2 2 2 5 2 3 4" xfId="17674"/>
    <cellStyle name="常规 2 2 2 2 5 2 4" xfId="1194"/>
    <cellStyle name="常规 2 2 2 2 5 2 4 2" xfId="2984"/>
    <cellStyle name="常规 2 2 2 2 5 2 4 2 2" xfId="2988"/>
    <cellStyle name="常规 2 2 2 2 5 2 4 3" xfId="10161"/>
    <cellStyle name="常规 2 2 2 2 5 2 4 4" xfId="6186"/>
    <cellStyle name="常规 2 2 2 2 5 2 5" xfId="17675"/>
    <cellStyle name="常规 2 2 2 2 5 2 6" xfId="17676"/>
    <cellStyle name="常规 2 2 2 2 5 2 7" xfId="17677"/>
    <cellStyle name="常规 2 2 2 2 5 3" xfId="17678"/>
    <cellStyle name="常规 2 2 2 2 5 3 2" xfId="1222"/>
    <cellStyle name="常规 2 2 2 2 5 3 2 2" xfId="3014"/>
    <cellStyle name="常规 2 2 2 2 5 3 2 2 2" xfId="7617"/>
    <cellStyle name="常规 2 2 2 2 5 3 2 2 2 2" xfId="17679"/>
    <cellStyle name="常规 2 2 2 2 5 3 2 2 3" xfId="17680"/>
    <cellStyle name="常规 2 2 2 2 5 3 2 2 4" xfId="17682"/>
    <cellStyle name="常规 2 2 2 2 5 3 2 3" xfId="7619"/>
    <cellStyle name="常规 2 2 2 2 5 3 2 3 2" xfId="17684"/>
    <cellStyle name="常规 2 2 2 2 5 3 2 4" xfId="7621"/>
    <cellStyle name="常规 2 2 2 2 5 3 2 5" xfId="17685"/>
    <cellStyle name="常规 2 2 2 2 5 3 3" xfId="3024"/>
    <cellStyle name="常规 2 2 2 2 5 3 3 2" xfId="3029"/>
    <cellStyle name="常规 2 2 2 2 5 3 3 2 2" xfId="17688"/>
    <cellStyle name="常规 2 2 2 2 5 3 3 3" xfId="17689"/>
    <cellStyle name="常规 2 2 2 2 5 3 3 4" xfId="17690"/>
    <cellStyle name="常规 2 2 2 2 5 3 4" xfId="3034"/>
    <cellStyle name="常规 2 2 2 2 5 3 4 2" xfId="17691"/>
    <cellStyle name="常规 2 2 2 2 5 3 5" xfId="5669"/>
    <cellStyle name="常规 2 2 2 2 5 3 6" xfId="17692"/>
    <cellStyle name="常规 2 2 2 2 5 3 7" xfId="17694"/>
    <cellStyle name="常规 2 2 2 2 5 4" xfId="17695"/>
    <cellStyle name="常规 2 2 2 2 5 4 2" xfId="17696"/>
    <cellStyle name="常规 2 2 2 2 5 4 2 2" xfId="17698"/>
    <cellStyle name="常规 2 2 2 2 5 4 3" xfId="17700"/>
    <cellStyle name="常规 2 2 2 2 5 4 4" xfId="17701"/>
    <cellStyle name="常规 2 2 2 2 5 5" xfId="17702"/>
    <cellStyle name="常规 2 2 2 2 5 5 2" xfId="17703"/>
    <cellStyle name="常规 2 2 2 2 5 5 2 2" xfId="17704"/>
    <cellStyle name="常规 2 2 2 2 5 5 3" xfId="17705"/>
    <cellStyle name="常规 2 2 2 2 5 5 4" xfId="17706"/>
    <cellStyle name="常规 2 2 2 2 5 6" xfId="17707"/>
    <cellStyle name="常规 2 2 2 2 5 7" xfId="17711"/>
    <cellStyle name="常规 2 2 2 2 5 8" xfId="17714"/>
    <cellStyle name="常规 2 2 2 2 6" xfId="17717"/>
    <cellStyle name="常规 2 2 2 2 6 2" xfId="17719"/>
    <cellStyle name="常规 2 2 2 2 6 2 2" xfId="1140"/>
    <cellStyle name="常规 2 2 2 2 6 2 2 2" xfId="17720"/>
    <cellStyle name="常规 2 2 2 2 6 2 2 2 2" xfId="17721"/>
    <cellStyle name="常规 2 2 2 2 6 2 2 3" xfId="17723"/>
    <cellStyle name="常规 2 2 2 2 6 2 2 4" xfId="17724"/>
    <cellStyle name="常规 2 2 2 2 6 2 3" xfId="17725"/>
    <cellStyle name="常规 2 2 2 2 6 2 3 2" xfId="17726"/>
    <cellStyle name="常规 2 2 2 2 6 2 4" xfId="17390"/>
    <cellStyle name="常规 2 2 2 2 6 2 5" xfId="17393"/>
    <cellStyle name="常规 2 2 2 2 6 3" xfId="17727"/>
    <cellStyle name="常规 2 2 2 2 6 3 2" xfId="17729"/>
    <cellStyle name="常规 2 2 2 2 6 3 2 2" xfId="17730"/>
    <cellStyle name="常规 2 2 2 2 6 3 3" xfId="17731"/>
    <cellStyle name="常规 2 2 2 2 6 3 4" xfId="17400"/>
    <cellStyle name="常规 2 2 2 2 6 4" xfId="17732"/>
    <cellStyle name="常规 2 2 2 2 6 4 2" xfId="17733"/>
    <cellStyle name="常规 2 2 2 2 6 4 2 2" xfId="17734"/>
    <cellStyle name="常规 2 2 2 2 6 4 3" xfId="17736"/>
    <cellStyle name="常规 2 2 2 2 6 4 4" xfId="17737"/>
    <cellStyle name="常规 2 2 2 2 6 5" xfId="17739"/>
    <cellStyle name="常规 2 2 2 2 6 5 2" xfId="17740"/>
    <cellStyle name="常规 2 2 2 2 6 6" xfId="17741"/>
    <cellStyle name="常规 2 2 2 2 6 7" xfId="17744"/>
    <cellStyle name="常规 2 2 2 2 6 8" xfId="17746"/>
    <cellStyle name="常规 2 2 2 2 7" xfId="17748"/>
    <cellStyle name="常规 2 2 2 2 7 2" xfId="17749"/>
    <cellStyle name="常规 2 2 2 2 7 2 2" xfId="17750"/>
    <cellStyle name="常规 2 2 2 2 7 2 2 2" xfId="17751"/>
    <cellStyle name="常规 2 2 2 2 7 2 3" xfId="17752"/>
    <cellStyle name="常规 2 2 2 2 7 2 4" xfId="17407"/>
    <cellStyle name="常规 2 2 2 2 7 3" xfId="17753"/>
    <cellStyle name="常规 2 2 2 2 7 3 2" xfId="17754"/>
    <cellStyle name="常规 2 2 2 2 7 4" xfId="17755"/>
    <cellStyle name="常规 2 2 2 2 7 5" xfId="17756"/>
    <cellStyle name="常规 2 2 2 2 7 6" xfId="17757"/>
    <cellStyle name="常规 2 2 2 2 8" xfId="17760"/>
    <cellStyle name="常规 2 2 2 2 8 2" xfId="17762"/>
    <cellStyle name="常规 2 2 2 2 8 2 2" xfId="17764"/>
    <cellStyle name="常规 2 2 2 2 8 3" xfId="17765"/>
    <cellStyle name="常规 2 2 2 2 8 4" xfId="17766"/>
    <cellStyle name="常规 2 2 2 2 9" xfId="17767"/>
    <cellStyle name="常规 2 2 2 2 9 2" xfId="17769"/>
    <cellStyle name="常规 2 2 2 2 9 2 2" xfId="17770"/>
    <cellStyle name="常规 2 2 2 2 9 3" xfId="17771"/>
    <cellStyle name="常规 2 2 2 2 9 4" xfId="17772"/>
    <cellStyle name="常规 2 2 2 20" xfId="17180"/>
    <cellStyle name="常规 2 2 2 20 2" xfId="3599"/>
    <cellStyle name="常规 2 2 2 21" xfId="17194"/>
    <cellStyle name="常规 2 2 2 22" xfId="17202"/>
    <cellStyle name="常规 2 2 2 23" xfId="17206"/>
    <cellStyle name="常规 2 2 2 3" xfId="17773"/>
    <cellStyle name="常规 2 2 2 3 10" xfId="17774"/>
    <cellStyle name="常规 2 2 2 3 10 2" xfId="17775"/>
    <cellStyle name="常规 2 2 2 3 11" xfId="17776"/>
    <cellStyle name="常规 2 2 2 3 12" xfId="17777"/>
    <cellStyle name="常规 2 2 2 3 13" xfId="17779"/>
    <cellStyle name="常规 2 2 2 3 2" xfId="12731"/>
    <cellStyle name="常规 2 2 2 3 2 10" xfId="17782"/>
    <cellStyle name="常规 2 2 2 3 2 11" xfId="10060"/>
    <cellStyle name="常规 2 2 2 3 2 12" xfId="17784"/>
    <cellStyle name="常规 2 2 2 3 2 2" xfId="14759"/>
    <cellStyle name="常规 2 2 2 3 2 2 10" xfId="17788"/>
    <cellStyle name="常规 2 2 2 3 2 2 2" xfId="14762"/>
    <cellStyle name="常规 2 2 2 3 2 2 2 2" xfId="14764"/>
    <cellStyle name="常规 2 2 2 3 2 2 2 2 2" xfId="17789"/>
    <cellStyle name="常规 2 2 2 3 2 2 2 2 2 2" xfId="17792"/>
    <cellStyle name="常规 2 2 2 3 2 2 2 2 2 2 2" xfId="17793"/>
    <cellStyle name="常规 2 2 2 3 2 2 2 2 2 3" xfId="17795"/>
    <cellStyle name="常规 2 2 2 3 2 2 2 2 2 4" xfId="17796"/>
    <cellStyle name="常规 2 2 2 3 2 2 2 2 3" xfId="17797"/>
    <cellStyle name="常规 2 2 2 3 2 2 2 2 3 2" xfId="17800"/>
    <cellStyle name="常规 2 2 2 3 2 2 2 2 4" xfId="17801"/>
    <cellStyle name="常规 2 2 2 3 2 2 2 2 5" xfId="17803"/>
    <cellStyle name="常规 2 2 2 3 2 2 2 3" xfId="17805"/>
    <cellStyle name="常规 2 2 2 3 2 2 2 3 2" xfId="17807"/>
    <cellStyle name="常规 2 2 2 3 2 2 2 3 2 2" xfId="17810"/>
    <cellStyle name="常规 2 2 2 3 2 2 2 3 3" xfId="17813"/>
    <cellStyle name="常规 2 2 2 3 2 2 2 3 4" xfId="17816"/>
    <cellStyle name="常规 2 2 2 3 2 2 2 4" xfId="17819"/>
    <cellStyle name="常规 2 2 2 3 2 2 2 4 2" xfId="17821"/>
    <cellStyle name="常规 2 2 2 3 2 2 2 4 2 2" xfId="17823"/>
    <cellStyle name="常规 2 2 2 3 2 2 2 4 3" xfId="17826"/>
    <cellStyle name="常规 2 2 2 3 2 2 2 4 4" xfId="17829"/>
    <cellStyle name="常规 2 2 2 3 2 2 2 5" xfId="17832"/>
    <cellStyle name="常规 2 2 2 3 2 2 2 5 2" xfId="8888"/>
    <cellStyle name="常规 2 2 2 3 2 2 2 6" xfId="17834"/>
    <cellStyle name="常规 2 2 2 3 2 2 2 7" xfId="17836"/>
    <cellStyle name="常规 2 2 2 3 2 2 2 8" xfId="17837"/>
    <cellStyle name="常规 2 2 2 3 2 2 3" xfId="14766"/>
    <cellStyle name="常规 2 2 2 3 2 2 3 2" xfId="17838"/>
    <cellStyle name="常规 2 2 2 3 2 2 3 2 2" xfId="17839"/>
    <cellStyle name="常规 2 2 2 3 2 2 3 2 2 2" xfId="10135"/>
    <cellStyle name="常规 2 2 2 3 2 2 3 2 3" xfId="17844"/>
    <cellStyle name="常规 2 2 2 3 2 2 3 2 4" xfId="17848"/>
    <cellStyle name="常规 2 2 2 3 2 2 3 3" xfId="17850"/>
    <cellStyle name="常规 2 2 2 3 2 2 3 3 2" xfId="9159"/>
    <cellStyle name="常规 2 2 2 3 2 2 3 4" xfId="17852"/>
    <cellStyle name="常规 2 2 2 3 2 2 3 5" xfId="17853"/>
    <cellStyle name="常规 2 2 2 3 2 2 3 6" xfId="17854"/>
    <cellStyle name="常规 2 2 2 3 2 2 4" xfId="14768"/>
    <cellStyle name="常规 2 2 2 3 2 2 4 2" xfId="17856"/>
    <cellStyle name="常规 2 2 2 3 2 2 4 2 2" xfId="17857"/>
    <cellStyle name="常规 2 2 2 3 2 2 4 3" xfId="17858"/>
    <cellStyle name="常规 2 2 2 3 2 2 4 4" xfId="17859"/>
    <cellStyle name="常规 2 2 2 3 2 2 5" xfId="17860"/>
    <cellStyle name="常规 2 2 2 3 2 2 5 2" xfId="9693"/>
    <cellStyle name="常规 2 2 2 3 2 2 5 2 2" xfId="17861"/>
    <cellStyle name="常规 2 2 2 3 2 2 5 3" xfId="17862"/>
    <cellStyle name="常规 2 2 2 3 2 2 5 4" xfId="17863"/>
    <cellStyle name="常规 2 2 2 3 2 2 6" xfId="17864"/>
    <cellStyle name="常规 2 2 2 3 2 2 6 2" xfId="17866"/>
    <cellStyle name="常规 2 2 2 3 2 2 7" xfId="1702"/>
    <cellStyle name="常规 2 2 2 3 2 2 7 2" xfId="17867"/>
    <cellStyle name="常规 2 2 2 3 2 2 8" xfId="17868"/>
    <cellStyle name="常规 2 2 2 3 2 2 9" xfId="17870"/>
    <cellStyle name="常规 2 2 2 3 2 3" xfId="14770"/>
    <cellStyle name="常规 2 2 2 3 2 3 10" xfId="17871"/>
    <cellStyle name="常规 2 2 2 3 2 3 11" xfId="17874"/>
    <cellStyle name="常规 2 2 2 3 2 3 2" xfId="14772"/>
    <cellStyle name="常规 2 2 2 3 2 3 2 10" xfId="17877"/>
    <cellStyle name="常规 2 2 2 3 2 3 2 2" xfId="17878"/>
    <cellStyle name="常规 2 2 2 3 2 3 2 2 2" xfId="15087"/>
    <cellStyle name="常规 2 2 2 3 2 3 2 2 2 2" xfId="15089"/>
    <cellStyle name="常规 2 2 2 3 2 3 2 2 2 2 2" xfId="6951"/>
    <cellStyle name="常规 2 2 2 3 2 3 2 2 2 2 2 2" xfId="6955"/>
    <cellStyle name="常规 2 2 2 3 2 3 2 2 2 2 3" xfId="6958"/>
    <cellStyle name="常规 2 2 2 3 2 3 2 2 2 2 4" xfId="17879"/>
    <cellStyle name="常规 2 2 2 3 2 3 2 2 2 3" xfId="15091"/>
    <cellStyle name="常规 2 2 2 3 2 3 2 2 2 3 2" xfId="6980"/>
    <cellStyle name="常规 2 2 2 3 2 3 2 2 2 4" xfId="15093"/>
    <cellStyle name="常规 2 2 2 3 2 3 2 2 2 5" xfId="17881"/>
    <cellStyle name="常规 2 2 2 3 2 3 2 2 3" xfId="15095"/>
    <cellStyle name="常规 2 2 2 3 2 3 2 2 3 2" xfId="15099"/>
    <cellStyle name="常规 2 2 2 3 2 3 2 2 3 2 2" xfId="17883"/>
    <cellStyle name="常规 2 2 2 3 2 3 2 2 3 3" xfId="17884"/>
    <cellStyle name="常规 2 2 2 3 2 3 2 2 3 4" xfId="17885"/>
    <cellStyle name="常规 2 2 2 3 2 3 2 2 4" xfId="15100"/>
    <cellStyle name="常规 2 2 2 3 2 3 2 2 4 2" xfId="17887"/>
    <cellStyle name="常规 2 2 2 3 2 3 2 2 4 2 2" xfId="7089"/>
    <cellStyle name="常规 2 2 2 3 2 3 2 2 4 3" xfId="17889"/>
    <cellStyle name="常规 2 2 2 3 2 3 2 2 4 4" xfId="17891"/>
    <cellStyle name="常规 2 2 2 3 2 3 2 2 5" xfId="15104"/>
    <cellStyle name="常规 2 2 2 3 2 3 2 2 5 2" xfId="15480"/>
    <cellStyle name="常规 2 2 2 3 2 3 2 2 6" xfId="15110"/>
    <cellStyle name="常规 2 2 2 3 2 3 2 2 7" xfId="17894"/>
    <cellStyle name="常规 2 2 2 3 2 3 2 2 8" xfId="17897"/>
    <cellStyle name="常规 2 2 2 3 2 3 2 3" xfId="17900"/>
    <cellStyle name="常规 2 2 2 3 2 3 2 3 2" xfId="15138"/>
    <cellStyle name="常规 2 2 2 3 2 3 2 3 2 2" xfId="17901"/>
    <cellStyle name="常规 2 2 2 3 2 3 2 3 2 2 2" xfId="17902"/>
    <cellStyle name="常规 2 2 2 3 2 3 2 3 2 3" xfId="17903"/>
    <cellStyle name="常规 2 2 2 3 2 3 2 3 2 4" xfId="17904"/>
    <cellStyle name="常规 2 2 2 3 2 3 2 3 3" xfId="15142"/>
    <cellStyle name="常规 2 2 2 3 2 3 2 3 3 2" xfId="17906"/>
    <cellStyle name="常规 2 2 2 3 2 3 2 3 4" xfId="15145"/>
    <cellStyle name="常规 2 2 2 3 2 3 2 3 5" xfId="17907"/>
    <cellStyle name="常规 2 2 2 3 2 3 2 3 6" xfId="17910"/>
    <cellStyle name="常规 2 2 2 3 2 3 2 4" xfId="17912"/>
    <cellStyle name="常规 2 2 2 3 2 3 2 4 2" xfId="15165"/>
    <cellStyle name="常规 2 2 2 3 2 3 2 4 2 2" xfId="17914"/>
    <cellStyle name="常规 2 2 2 3 2 3 2 4 3" xfId="17915"/>
    <cellStyle name="常规 2 2 2 3 2 3 2 4 4" xfId="17917"/>
    <cellStyle name="常规 2 2 2 3 2 3 2 5" xfId="17919"/>
    <cellStyle name="常规 2 2 2 3 2 3 2 5 2" xfId="10650"/>
    <cellStyle name="常规 2 2 2 3 2 3 2 5 2 2" xfId="10653"/>
    <cellStyle name="常规 2 2 2 3 2 3 2 5 3" xfId="10655"/>
    <cellStyle name="常规 2 2 2 3 2 3 2 5 4" xfId="10657"/>
    <cellStyle name="常规 2 2 2 3 2 3 2 6" xfId="17920"/>
    <cellStyle name="常规 2 2 2 3 2 3 2 6 2" xfId="10676"/>
    <cellStyle name="常规 2 2 2 3 2 3 2 7" xfId="17921"/>
    <cellStyle name="常规 2 2 2 3 2 3 2 7 2" xfId="17923"/>
    <cellStyle name="常规 2 2 2 3 2 3 2 8" xfId="17925"/>
    <cellStyle name="常规 2 2 2 3 2 3 2 9" xfId="15511"/>
    <cellStyle name="常规 2 2 2 3 2 3 3" xfId="17927"/>
    <cellStyle name="常规 2 2 2 3 2 3 3 2" xfId="17928"/>
    <cellStyle name="常规 2 2 2 3 2 3 3 2 2" xfId="15199"/>
    <cellStyle name="常规 2 2 2 3 2 3 3 2 2 2" xfId="17929"/>
    <cellStyle name="常规 2 2 2 3 2 3 3 2 2 2 2" xfId="7262"/>
    <cellStyle name="常规 2 2 2 3 2 3 3 2 2 3" xfId="17930"/>
    <cellStyle name="常规 2 2 2 3 2 3 3 2 2 4" xfId="17932"/>
    <cellStyle name="常规 2 2 2 3 2 3 3 2 3" xfId="10949"/>
    <cellStyle name="常规 2 2 2 3 2 3 3 2 3 2" xfId="10951"/>
    <cellStyle name="常规 2 2 2 3 2 3 3 2 4" xfId="10958"/>
    <cellStyle name="常规 2 2 2 3 2 3 3 2 5" xfId="10962"/>
    <cellStyle name="常规 2 2 2 3 2 3 3 3" xfId="17934"/>
    <cellStyle name="常规 2 2 2 3 2 3 3 3 2" xfId="9344"/>
    <cellStyle name="常规 2 2 2 3 2 3 3 3 2 2" xfId="9347"/>
    <cellStyle name="常规 2 2 2 3 2 3 3 3 3" xfId="9350"/>
    <cellStyle name="常规 2 2 2 3 2 3 3 3 4" xfId="9355"/>
    <cellStyle name="常规 2 2 2 3 2 3 3 4" xfId="17935"/>
    <cellStyle name="常规 2 2 2 3 2 3 3 4 2" xfId="9409"/>
    <cellStyle name="常规 2 2 2 3 2 3 3 4 2 2" xfId="9412"/>
    <cellStyle name="常规 2 2 2 3 2 3 3 4 3" xfId="9416"/>
    <cellStyle name="常规 2 2 2 3 2 3 3 4 4" xfId="9419"/>
    <cellStyle name="常规 2 2 2 3 2 3 3 5" xfId="17937"/>
    <cellStyle name="常规 2 2 2 3 2 3 3 5 2" xfId="9430"/>
    <cellStyle name="常规 2 2 2 3 2 3 3 6" xfId="17938"/>
    <cellStyle name="常规 2 2 2 3 2 3 3 7" xfId="17940"/>
    <cellStyle name="常规 2 2 2 3 2 3 3 8" xfId="17942"/>
    <cellStyle name="常规 2 2 2 3 2 3 4" xfId="17944"/>
    <cellStyle name="常规 2 2 2 3 2 3 4 2" xfId="17945"/>
    <cellStyle name="常规 2 2 2 3 2 3 4 2 2" xfId="10820"/>
    <cellStyle name="常规 2 2 2 3 2 3 4 2 2 2" xfId="17946"/>
    <cellStyle name="常规 2 2 2 3 2 3 4 2 3" xfId="11276"/>
    <cellStyle name="常规 2 2 2 3 2 3 4 2 4" xfId="11317"/>
    <cellStyle name="常规 2 2 2 3 2 3 4 3" xfId="17947"/>
    <cellStyle name="常规 2 2 2 3 2 3 4 3 2" xfId="15245"/>
    <cellStyle name="常规 2 2 2 3 2 3 4 4" xfId="17948"/>
    <cellStyle name="常规 2 2 2 3 2 3 4 5" xfId="17362"/>
    <cellStyle name="常规 2 2 2 3 2 3 4 6" xfId="17949"/>
    <cellStyle name="常规 2 2 2 3 2 3 5" xfId="17951"/>
    <cellStyle name="常规 2 2 2 3 2 3 5 2" xfId="17952"/>
    <cellStyle name="常规 2 2 2 3 2 3 5 2 2" xfId="10274"/>
    <cellStyle name="常规 2 2 2 3 2 3 5 3" xfId="17953"/>
    <cellStyle name="常规 2 2 2 3 2 3 5 4" xfId="17954"/>
    <cellStyle name="常规 2 2 2 3 2 3 6" xfId="1707"/>
    <cellStyle name="常规 2 2 2 3 2 3 6 2" xfId="1710"/>
    <cellStyle name="常规 2 2 2 3 2 3 6 2 2" xfId="11451"/>
    <cellStyle name="常规 2 2 2 3 2 3 6 3" xfId="17955"/>
    <cellStyle name="常规 2 2 2 3 2 3 6 4" xfId="17956"/>
    <cellStyle name="常规 2 2 2 3 2 3 7" xfId="1716"/>
    <cellStyle name="常规 2 2 2 3 2 3 7 2" xfId="17957"/>
    <cellStyle name="常规 2 2 2 3 2 3 8" xfId="17958"/>
    <cellStyle name="常规 2 2 2 3 2 3 8 2" xfId="17959"/>
    <cellStyle name="常规 2 2 2 3 2 3 9" xfId="17960"/>
    <cellStyle name="常规 2 2 2 3 2 4" xfId="14774"/>
    <cellStyle name="常规 2 2 2 3 2 4 2" xfId="17961"/>
    <cellStyle name="常规 2 2 2 3 2 4 2 2" xfId="17962"/>
    <cellStyle name="常规 2 2 2 3 2 4 2 2 2" xfId="15795"/>
    <cellStyle name="常规 2 2 2 3 2 4 2 2 2 2" xfId="15798"/>
    <cellStyle name="常规 2 2 2 3 2 4 2 2 3" xfId="15806"/>
    <cellStyle name="常规 2 2 2 3 2 4 2 2 4" xfId="8256"/>
    <cellStyle name="常规 2 2 2 3 2 4 2 3" xfId="17964"/>
    <cellStyle name="常规 2 2 2 3 2 4 2 3 2" xfId="15830"/>
    <cellStyle name="常规 2 2 2 3 2 4 2 4" xfId="17966"/>
    <cellStyle name="常规 2 2 2 3 2 4 2 5" xfId="17969"/>
    <cellStyle name="常规 2 2 2 3 2 4 3" xfId="6704"/>
    <cellStyle name="常规 2 2 2 3 2 4 3 2" xfId="17972"/>
    <cellStyle name="常规 2 2 2 3 2 4 3 2 2" xfId="15883"/>
    <cellStyle name="常规 2 2 2 3 2 4 3 3" xfId="17975"/>
    <cellStyle name="常规 2 2 2 3 2 4 3 4" xfId="17977"/>
    <cellStyle name="常规 2 2 2 3 2 4 4" xfId="17981"/>
    <cellStyle name="常规 2 2 2 3 2 4 4 2" xfId="17984"/>
    <cellStyle name="常规 2 2 2 3 2 4 4 2 2" xfId="17986"/>
    <cellStyle name="常规 2 2 2 3 2 4 4 3" xfId="17987"/>
    <cellStyle name="常规 2 2 2 3 2 4 4 4" xfId="17989"/>
    <cellStyle name="常规 2 2 2 3 2 4 5" xfId="17992"/>
    <cellStyle name="常规 2 2 2 3 2 4 5 2" xfId="17994"/>
    <cellStyle name="常规 2 2 2 3 2 4 6" xfId="1304"/>
    <cellStyle name="常规 2 2 2 3 2 4 7" xfId="17996"/>
    <cellStyle name="常规 2 2 2 3 2 4 8" xfId="17998"/>
    <cellStyle name="常规 2 2 2 3 2 5" xfId="14776"/>
    <cellStyle name="常规 2 2 2 3 2 5 2" xfId="17999"/>
    <cellStyle name="常规 2 2 2 3 2 5 2 2" xfId="18000"/>
    <cellStyle name="常规 2 2 2 3 2 5 2 2 2" xfId="16213"/>
    <cellStyle name="常规 2 2 2 3 2 5 2 3" xfId="18001"/>
    <cellStyle name="常规 2 2 2 3 2 5 2 4" xfId="18002"/>
    <cellStyle name="常规 2 2 2 3 2 5 3" xfId="18005"/>
    <cellStyle name="常规 2 2 2 3 2 5 3 2" xfId="18007"/>
    <cellStyle name="常规 2 2 2 3 2 5 4" xfId="18008"/>
    <cellStyle name="常规 2 2 2 3 2 5 5" xfId="1307"/>
    <cellStyle name="常规 2 2 2 3 2 5 6" xfId="1728"/>
    <cellStyle name="常规 2 2 2 3 2 6" xfId="14778"/>
    <cellStyle name="常规 2 2 2 3 2 6 2" xfId="18009"/>
    <cellStyle name="常规 2 2 2 3 2 6 2 2" xfId="18012"/>
    <cellStyle name="常规 2 2 2 3 2 6 3" xfId="18014"/>
    <cellStyle name="常规 2 2 2 3 2 6 4" xfId="18016"/>
    <cellStyle name="常规 2 2 2 3 2 7" xfId="18019"/>
    <cellStyle name="常规 2 2 2 3 2 7 2" xfId="16039"/>
    <cellStyle name="常规 2 2 2 3 2 7 2 2" xfId="1953"/>
    <cellStyle name="常规 2 2 2 3 2 7 3" xfId="13467"/>
    <cellStyle name="常规 2 2 2 3 2 7 4" xfId="18022"/>
    <cellStyle name="常规 2 2 2 3 2 8" xfId="18023"/>
    <cellStyle name="常规 2 2 2 3 2 8 2" xfId="18026"/>
    <cellStyle name="常规 2 2 2 3 2 9" xfId="18028"/>
    <cellStyle name="常规 2 2 2 3 2 9 2" xfId="18030"/>
    <cellStyle name="常规 2 2 2 3 3" xfId="18032"/>
    <cellStyle name="常规 2 2 2 3 3 10" xfId="802"/>
    <cellStyle name="常规 2 2 2 3 3 11" xfId="18034"/>
    <cellStyle name="常规 2 2 2 3 3 2" xfId="14788"/>
    <cellStyle name="常规 2 2 2 3 3 2 10" xfId="18035"/>
    <cellStyle name="常规 2 2 2 3 3 2 2" xfId="12868"/>
    <cellStyle name="常规 2 2 2 3 3 2 2 2" xfId="12870"/>
    <cellStyle name="常规 2 2 2 3 3 2 2 2 2" xfId="18036"/>
    <cellStyle name="常规 2 2 2 3 3 2 2 2 2 2" xfId="18038"/>
    <cellStyle name="常规 2 2 2 3 3 2 2 2 2 2 2" xfId="18039"/>
    <cellStyle name="常规 2 2 2 3 3 2 2 2 2 3" xfId="18040"/>
    <cellStyle name="常规 2 2 2 3 3 2 2 2 2 4" xfId="18041"/>
    <cellStyle name="常规 2 2 2 3 3 2 2 2 3" xfId="18042"/>
    <cellStyle name="常规 2 2 2 3 3 2 2 2 3 2" xfId="10385"/>
    <cellStyle name="常规 2 2 2 3 3 2 2 2 4" xfId="12186"/>
    <cellStyle name="常规 2 2 2 3 3 2 2 2 5" xfId="9628"/>
    <cellStyle name="常规 2 2 2 3 3 2 2 3" xfId="18043"/>
    <cellStyle name="常规 2 2 2 3 3 2 2 3 2" xfId="18044"/>
    <cellStyle name="常规 2 2 2 3 3 2 2 3 2 2" xfId="18046"/>
    <cellStyle name="常规 2 2 2 3 3 2 2 3 3" xfId="18049"/>
    <cellStyle name="常规 2 2 2 3 3 2 2 3 4" xfId="12213"/>
    <cellStyle name="常规 2 2 2 3 3 2 2 4" xfId="18051"/>
    <cellStyle name="常规 2 2 2 3 3 2 2 4 2" xfId="18052"/>
    <cellStyle name="常规 2 2 2 3 3 2 2 4 2 2" xfId="18054"/>
    <cellStyle name="常规 2 2 2 3 3 2 2 4 3" xfId="18057"/>
    <cellStyle name="常规 2 2 2 3 3 2 2 4 4" xfId="12239"/>
    <cellStyle name="常规 2 2 2 3 3 2 2 5" xfId="18059"/>
    <cellStyle name="常规 2 2 2 3 3 2 2 5 2" xfId="9094"/>
    <cellStyle name="常规 2 2 2 3 3 2 2 6" xfId="18060"/>
    <cellStyle name="常规 2 2 2 3 3 2 2 7" xfId="18062"/>
    <cellStyle name="常规 2 2 2 3 3 2 2 8" xfId="18063"/>
    <cellStyle name="常规 2 2 2 3 3 2 3" xfId="12872"/>
    <cellStyle name="常规 2 2 2 3 3 2 3 2" xfId="18064"/>
    <cellStyle name="常规 2 2 2 3 3 2 3 2 2" xfId="18065"/>
    <cellStyle name="常规 2 2 2 3 3 2 3 2 2 2" xfId="18066"/>
    <cellStyle name="常规 2 2 2 3 3 2 3 2 3" xfId="18067"/>
    <cellStyle name="常规 2 2 2 3 3 2 3 2 4" xfId="12324"/>
    <cellStyle name="常规 2 2 2 3 3 2 3 3" xfId="18069"/>
    <cellStyle name="常规 2 2 2 3 3 2 3 3 2" xfId="18070"/>
    <cellStyle name="常规 2 2 2 3 3 2 3 4" xfId="18072"/>
    <cellStyle name="常规 2 2 2 3 3 2 3 5" xfId="18073"/>
    <cellStyle name="常规 2 2 2 3 3 2 3 6" xfId="18074"/>
    <cellStyle name="常规 2 2 2 3 3 2 4" xfId="18076"/>
    <cellStyle name="常规 2 2 2 3 3 2 4 2" xfId="18077"/>
    <cellStyle name="常规 2 2 2 3 3 2 4 2 2" xfId="18078"/>
    <cellStyle name="常规 2 2 2 3 3 2 4 3" xfId="18079"/>
    <cellStyle name="常规 2 2 2 3 3 2 4 4" xfId="18080"/>
    <cellStyle name="常规 2 2 2 3 3 2 5" xfId="18081"/>
    <cellStyle name="常规 2 2 2 3 3 2 5 2" xfId="18082"/>
    <cellStyle name="常规 2 2 2 3 3 2 5 2 2" xfId="18083"/>
    <cellStyle name="常规 2 2 2 3 3 2 5 3" xfId="18085"/>
    <cellStyle name="常规 2 2 2 3 3 2 5 4" xfId="18086"/>
    <cellStyle name="常规 2 2 2 3 3 2 6" xfId="18088"/>
    <cellStyle name="常规 2 2 2 3 3 2 6 2" xfId="18089"/>
    <cellStyle name="常规 2 2 2 3 3 2 7" xfId="18090"/>
    <cellStyle name="常规 2 2 2 3 3 2 7 2" xfId="18091"/>
    <cellStyle name="常规 2 2 2 3 3 2 8" xfId="18092"/>
    <cellStyle name="常规 2 2 2 3 3 2 9" xfId="18093"/>
    <cellStyle name="常规 2 2 2 3 3 3" xfId="14790"/>
    <cellStyle name="常规 2 2 2 3 3 3 2" xfId="12877"/>
    <cellStyle name="常规 2 2 2 3 3 3 2 2" xfId="18094"/>
    <cellStyle name="常规 2 2 2 3 3 3 2 2 2" xfId="18095"/>
    <cellStyle name="常规 2 2 2 3 3 3 2 2 2 2" xfId="18097"/>
    <cellStyle name="常规 2 2 2 3 3 3 2 2 3" xfId="18098"/>
    <cellStyle name="常规 2 2 2 3 3 3 2 2 4" xfId="12533"/>
    <cellStyle name="常规 2 2 2 3 3 3 2 3" xfId="18099"/>
    <cellStyle name="常规 2 2 2 3 3 3 2 3 2" xfId="18100"/>
    <cellStyle name="常规 2 2 2 3 3 3 2 4" xfId="18103"/>
    <cellStyle name="常规 2 2 2 3 3 3 2 5" xfId="18104"/>
    <cellStyle name="常规 2 2 2 3 3 3 3" xfId="18105"/>
    <cellStyle name="常规 2 2 2 3 3 3 3 2" xfId="18106"/>
    <cellStyle name="常规 2 2 2 3 3 3 3 2 2" xfId="18107"/>
    <cellStyle name="常规 2 2 2 3 3 3 3 3" xfId="18109"/>
    <cellStyle name="常规 2 2 2 3 3 3 3 4" xfId="18110"/>
    <cellStyle name="常规 2 2 2 3 3 3 4" xfId="18111"/>
    <cellStyle name="常规 2 2 2 3 3 3 4 2" xfId="18112"/>
    <cellStyle name="常规 2 2 2 3 3 3 4 2 2" xfId="18113"/>
    <cellStyle name="常规 2 2 2 3 3 3 4 3" xfId="18115"/>
    <cellStyle name="常规 2 2 2 3 3 3 4 4" xfId="18116"/>
    <cellStyle name="常规 2 2 2 3 3 3 5" xfId="18117"/>
    <cellStyle name="常规 2 2 2 3 3 3 5 2" xfId="18118"/>
    <cellStyle name="常规 2 2 2 3 3 3 6" xfId="3084"/>
    <cellStyle name="常规 2 2 2 3 3 3 7" xfId="18119"/>
    <cellStyle name="常规 2 2 2 3 3 3 8" xfId="18120"/>
    <cellStyle name="常规 2 2 2 3 3 4" xfId="14792"/>
    <cellStyle name="常规 2 2 2 3 3 4 2" xfId="12885"/>
    <cellStyle name="常规 2 2 2 3 3 4 2 2" xfId="13682"/>
    <cellStyle name="常规 2 2 2 3 3 4 2 2 2" xfId="18121"/>
    <cellStyle name="常规 2 2 2 3 3 4 2 3" xfId="18122"/>
    <cellStyle name="常规 2 2 2 3 3 4 2 4" xfId="18125"/>
    <cellStyle name="常规 2 2 2 3 3 4 3" xfId="18127"/>
    <cellStyle name="常规 2 2 2 3 3 4 3 2" xfId="3336"/>
    <cellStyle name="常规 2 2 2 3 3 4 4" xfId="18129"/>
    <cellStyle name="常规 2 2 2 3 3 4 5" xfId="18130"/>
    <cellStyle name="常规 2 2 2 3 3 4 6" xfId="18132"/>
    <cellStyle name="常规 2 2 2 3 3 5" xfId="18134"/>
    <cellStyle name="常规 2 2 2 3 3 5 2" xfId="18135"/>
    <cellStyle name="常规 2 2 2 3 3 5 2 2" xfId="18136"/>
    <cellStyle name="常规 2 2 2 3 3 5 3" xfId="18138"/>
    <cellStyle name="常规 2 2 2 3 3 5 4" xfId="18139"/>
    <cellStyle name="常规 2 2 2 3 3 6" xfId="18140"/>
    <cellStyle name="常规 2 2 2 3 3 6 2" xfId="18143"/>
    <cellStyle name="常规 2 2 2 3 3 6 2 2" xfId="18145"/>
    <cellStyle name="常规 2 2 2 3 3 6 3" xfId="18147"/>
    <cellStyle name="常规 2 2 2 3 3 6 4" xfId="18148"/>
    <cellStyle name="常规 2 2 2 3 3 7" xfId="17872"/>
    <cellStyle name="常规 2 2 2 3 3 7 2" xfId="18149"/>
    <cellStyle name="常规 2 2 2 3 3 8" xfId="17875"/>
    <cellStyle name="常规 2 2 2 3 3 8 2" xfId="18150"/>
    <cellStyle name="常规 2 2 2 3 3 9" xfId="18151"/>
    <cellStyle name="常规 2 2 2 3 4" xfId="18152"/>
    <cellStyle name="常规 2 2 2 3 4 2" xfId="14800"/>
    <cellStyle name="常规 2 2 2 3 4 2 2" xfId="5019"/>
    <cellStyle name="常规 2 2 2 3 4 2 2 2" xfId="18154"/>
    <cellStyle name="常规 2 2 2 3 4 2 2 2 2" xfId="18155"/>
    <cellStyle name="常规 2 2 2 3 4 2 2 2 2 2" xfId="18156"/>
    <cellStyle name="常规 2 2 2 3 4 2 2 2 3" xfId="18157"/>
    <cellStyle name="常规 2 2 2 3 4 2 2 2 4" xfId="18158"/>
    <cellStyle name="常规 2 2 2 3 4 2 2 3" xfId="18159"/>
    <cellStyle name="常规 2 2 2 3 4 2 2 3 2" xfId="16798"/>
    <cellStyle name="常规 2 2 2 3 4 2 2 4" xfId="18160"/>
    <cellStyle name="常规 2 2 2 3 4 2 2 5" xfId="2466"/>
    <cellStyle name="常规 2 2 2 3 4 2 3" xfId="18162"/>
    <cellStyle name="常规 2 2 2 3 4 2 3 2" xfId="18164"/>
    <cellStyle name="常规 2 2 2 3 4 2 3 2 2" xfId="18166"/>
    <cellStyle name="常规 2 2 2 3 4 2 3 3" xfId="18167"/>
    <cellStyle name="常规 2 2 2 3 4 2 3 4" xfId="18168"/>
    <cellStyle name="常规 2 2 2 3 4 2 4" xfId="18170"/>
    <cellStyle name="常规 2 2 2 3 4 2 4 2" xfId="18172"/>
    <cellStyle name="常规 2 2 2 3 4 2 5" xfId="18174"/>
    <cellStyle name="常规 2 2 2 3 4 2 6" xfId="18176"/>
    <cellStyle name="常规 2 2 2 3 4 2 7" xfId="18177"/>
    <cellStyle name="常规 2 2 2 3 4 3" xfId="18178"/>
    <cellStyle name="常规 2 2 2 3 4 3 2" xfId="12368"/>
    <cellStyle name="常规 2 2 2 3 4 3 2 2" xfId="12370"/>
    <cellStyle name="常规 2 2 2 3 4 3 3" xfId="12376"/>
    <cellStyle name="常规 2 2 2 3 4 3 4" xfId="12381"/>
    <cellStyle name="常规 2 2 2 3 4 4" xfId="18179"/>
    <cellStyle name="常规 2 2 2 3 4 4 2" xfId="12394"/>
    <cellStyle name="常规 2 2 2 3 4 4 2 2" xfId="18181"/>
    <cellStyle name="常规 2 2 2 3 4 4 3" xfId="18184"/>
    <cellStyle name="常规 2 2 2 3 4 4 4" xfId="18186"/>
    <cellStyle name="常规 2 2 2 3 4 5" xfId="18187"/>
    <cellStyle name="常规 2 2 2 3 4 6" xfId="18189"/>
    <cellStyle name="常规 2 2 2 3 4 7" xfId="18191"/>
    <cellStyle name="常规 2 2 2 3 5" xfId="18193"/>
    <cellStyle name="常规 2 2 2 3 5 2" xfId="14810"/>
    <cellStyle name="常规 2 2 2 3 5 2 2" xfId="18196"/>
    <cellStyle name="常规 2 2 2 3 5 2 2 2" xfId="18197"/>
    <cellStyle name="常规 2 2 2 3 5 2 2 2 2" xfId="11631"/>
    <cellStyle name="常规 2 2 2 3 5 2 2 3" xfId="18198"/>
    <cellStyle name="常规 2 2 2 3 5 2 2 4" xfId="18199"/>
    <cellStyle name="常规 2 2 2 3 5 2 3" xfId="18200"/>
    <cellStyle name="常规 2 2 2 3 5 2 3 2" xfId="18202"/>
    <cellStyle name="常规 2 2 2 3 5 2 4" xfId="18204"/>
    <cellStyle name="常规 2 2 2 3 5 2 5" xfId="18206"/>
    <cellStyle name="常规 2 2 2 3 5 3" xfId="18208"/>
    <cellStyle name="常规 2 2 2 3 5 3 2" xfId="12422"/>
    <cellStyle name="常规 2 2 2 3 5 3 2 2" xfId="18209"/>
    <cellStyle name="常规 2 2 2 3 5 3 3" xfId="18210"/>
    <cellStyle name="常规 2 2 2 3 5 3 4" xfId="18212"/>
    <cellStyle name="常规 2 2 2 3 5 4" xfId="18214"/>
    <cellStyle name="常规 2 2 2 3 5 4 2" xfId="18215"/>
    <cellStyle name="常规 2 2 2 3 5 4 2 2" xfId="18216"/>
    <cellStyle name="常规 2 2 2 3 5 4 3" xfId="18218"/>
    <cellStyle name="常规 2 2 2 3 5 4 4" xfId="18221"/>
    <cellStyle name="常规 2 2 2 3 5 5" xfId="18223"/>
    <cellStyle name="常规 2 2 2 3 5 5 2" xfId="18224"/>
    <cellStyle name="常规 2 2 2 3 5 6" xfId="18226"/>
    <cellStyle name="常规 2 2 2 3 5 7" xfId="18230"/>
    <cellStyle name="常规 2 2 2 3 5 8" xfId="18101"/>
    <cellStyle name="常规 2 2 2 3 6" xfId="18232"/>
    <cellStyle name="常规 2 2 2 3 6 2" xfId="18233"/>
    <cellStyle name="常规 2 2 2 3 6 2 2" xfId="18234"/>
    <cellStyle name="常规 2 2 2 3 6 2 2 2" xfId="18236"/>
    <cellStyle name="常规 2 2 2 3 6 2 3" xfId="18237"/>
    <cellStyle name="常规 2 2 2 3 6 2 4" xfId="17435"/>
    <cellStyle name="常规 2 2 2 3 6 3" xfId="18240"/>
    <cellStyle name="常规 2 2 2 3 6 3 2" xfId="18242"/>
    <cellStyle name="常规 2 2 2 3 6 4" xfId="18243"/>
    <cellStyle name="常规 2 2 2 3 6 5" xfId="18244"/>
    <cellStyle name="常规 2 2 2 3 6 6" xfId="18247"/>
    <cellStyle name="常规 2 2 2 3 7" xfId="18250"/>
    <cellStyle name="常规 2 2 2 3 7 2" xfId="18251"/>
    <cellStyle name="常规 2 2 2 3 7 2 2" xfId="18252"/>
    <cellStyle name="常规 2 2 2 3 7 3" xfId="18253"/>
    <cellStyle name="常规 2 2 2 3 7 4" xfId="18254"/>
    <cellStyle name="常规 2 2 2 3 8" xfId="18255"/>
    <cellStyle name="常规 2 2 2 3 8 2" xfId="18258"/>
    <cellStyle name="常规 2 2 2 3 8 2 2" xfId="18260"/>
    <cellStyle name="常规 2 2 2 3 8 3" xfId="18262"/>
    <cellStyle name="常规 2 2 2 3 8 4" xfId="18264"/>
    <cellStyle name="常规 2 2 2 3 9" xfId="18266"/>
    <cellStyle name="常规 2 2 2 3 9 2" xfId="18268"/>
    <cellStyle name="常规 2 2 2 4" xfId="18270"/>
    <cellStyle name="常规 2 2 2 4 10" xfId="18271"/>
    <cellStyle name="常规 2 2 2 4 11" xfId="18272"/>
    <cellStyle name="常规 2 2 2 4 12" xfId="18275"/>
    <cellStyle name="常规 2 2 2 4 2" xfId="18276"/>
    <cellStyle name="常规 2 2 2 4 2 10" xfId="18278"/>
    <cellStyle name="常规 2 2 2 4 2 11" xfId="1976"/>
    <cellStyle name="常规 2 2 2 4 2 12" xfId="1987"/>
    <cellStyle name="常规 2 2 2 4 2 2" xfId="14842"/>
    <cellStyle name="常规 2 2 2 4 2 2 10" xfId="16928"/>
    <cellStyle name="常规 2 2 2 4 2 2 2" xfId="18280"/>
    <cellStyle name="常规 2 2 2 4 2 2 2 2" xfId="18281"/>
    <cellStyle name="常规 2 2 2 4 2 2 2 2 2" xfId="18282"/>
    <cellStyle name="常规 2 2 2 4 2 2 2 2 2 2" xfId="18283"/>
    <cellStyle name="常规 2 2 2 4 2 2 2 2 2 2 2" xfId="18284"/>
    <cellStyle name="常规 2 2 2 4 2 2 2 2 2 3" xfId="18286"/>
    <cellStyle name="常规 2 2 2 4 2 2 2 2 2 4" xfId="11777"/>
    <cellStyle name="常规 2 2 2 4 2 2 2 2 3" xfId="18287"/>
    <cellStyle name="常规 2 2 2 4 2 2 2 2 3 2" xfId="18288"/>
    <cellStyle name="常规 2 2 2 4 2 2 2 2 4" xfId="18289"/>
    <cellStyle name="常规 2 2 2 4 2 2 2 2 5" xfId="18290"/>
    <cellStyle name="常规 2 2 2 4 2 2 2 3" xfId="18291"/>
    <cellStyle name="常规 2 2 2 4 2 2 2 3 2" xfId="18293"/>
    <cellStyle name="常规 2 2 2 4 2 2 2 3 2 2" xfId="18296"/>
    <cellStyle name="常规 2 2 2 4 2 2 2 3 3" xfId="10874"/>
    <cellStyle name="常规 2 2 2 4 2 2 2 3 4" xfId="10882"/>
    <cellStyle name="常规 2 2 2 4 2 2 2 4" xfId="18299"/>
    <cellStyle name="常规 2 2 2 4 2 2 2 4 2" xfId="18301"/>
    <cellStyle name="常规 2 2 2 4 2 2 2 4 2 2" xfId="18303"/>
    <cellStyle name="常规 2 2 2 4 2 2 2 4 3" xfId="18306"/>
    <cellStyle name="常规 2 2 2 4 2 2 2 4 4" xfId="18310"/>
    <cellStyle name="常规 2 2 2 4 2 2 2 5" xfId="18312"/>
    <cellStyle name="常规 2 2 2 4 2 2 2 5 2" xfId="18314"/>
    <cellStyle name="常规 2 2 2 4 2 2 2 6" xfId="18316"/>
    <cellStyle name="常规 2 2 2 4 2 2 2 7" xfId="18317"/>
    <cellStyle name="常规 2 2 2 4 2 2 2 8" xfId="18318"/>
    <cellStyle name="常规 2 2 2 4 2 2 3" xfId="18320"/>
    <cellStyle name="常规 2 2 2 4 2 2 3 2" xfId="18321"/>
    <cellStyle name="常规 2 2 2 4 2 2 3 2 2" xfId="18322"/>
    <cellStyle name="常规 2 2 2 4 2 2 3 2 2 2" xfId="18323"/>
    <cellStyle name="常规 2 2 2 4 2 2 3 2 3" xfId="18324"/>
    <cellStyle name="常规 2 2 2 4 2 2 3 2 4" xfId="18325"/>
    <cellStyle name="常规 2 2 2 4 2 2 3 3" xfId="18326"/>
    <cellStyle name="常规 2 2 2 4 2 2 3 3 2" xfId="18328"/>
    <cellStyle name="常规 2 2 2 4 2 2 3 4" xfId="18330"/>
    <cellStyle name="常规 2 2 2 4 2 2 3 5" xfId="18331"/>
    <cellStyle name="常规 2 2 2 4 2 2 3 6" xfId="18332"/>
    <cellStyle name="常规 2 2 2 4 2 2 4" xfId="18334"/>
    <cellStyle name="常规 2 2 2 4 2 2 4 2" xfId="18335"/>
    <cellStyle name="常规 2 2 2 4 2 2 4 2 2" xfId="18337"/>
    <cellStyle name="常规 2 2 2 4 2 2 4 3" xfId="18338"/>
    <cellStyle name="常规 2 2 2 4 2 2 4 4" xfId="18340"/>
    <cellStyle name="常规 2 2 2 4 2 2 5" xfId="5842"/>
    <cellStyle name="常规 2 2 2 4 2 2 5 2" xfId="5844"/>
    <cellStyle name="常规 2 2 2 4 2 2 5 2 2" xfId="18342"/>
    <cellStyle name="常规 2 2 2 4 2 2 5 3" xfId="18343"/>
    <cellStyle name="常规 2 2 2 4 2 2 5 4" xfId="18345"/>
    <cellStyle name="常规 2 2 2 4 2 2 6" xfId="1818"/>
    <cellStyle name="常规 2 2 2 4 2 2 6 2" xfId="18347"/>
    <cellStyle name="常规 2 2 2 4 2 2 7" xfId="16620"/>
    <cellStyle name="常规 2 2 2 4 2 2 7 2" xfId="16622"/>
    <cellStyle name="常规 2 2 2 4 2 2 8" xfId="16624"/>
    <cellStyle name="常规 2 2 2 4 2 2 9" xfId="16627"/>
    <cellStyle name="常规 2 2 2 4 2 3" xfId="18348"/>
    <cellStyle name="常规 2 2 2 4 2 3 10" xfId="18349"/>
    <cellStyle name="常规 2 2 2 4 2 3 11" xfId="18352"/>
    <cellStyle name="常规 2 2 2 4 2 3 2" xfId="18354"/>
    <cellStyle name="常规 2 2 2 4 2 3 2 10" xfId="18355"/>
    <cellStyle name="常规 2 2 2 4 2 3 2 2" xfId="18356"/>
    <cellStyle name="常规 2 2 2 4 2 3 2 2 2" xfId="18357"/>
    <cellStyle name="常规 2 2 2 4 2 3 2 2 2 2" xfId="18358"/>
    <cellStyle name="常规 2 2 2 4 2 3 2 2 2 2 2" xfId="18359"/>
    <cellStyle name="常规 2 2 2 4 2 3 2 2 2 2 2 2" xfId="18361"/>
    <cellStyle name="常规 2 2 2 4 2 3 2 2 2 2 3" xfId="18364"/>
    <cellStyle name="常规 2 2 2 4 2 3 2 2 2 2 4" xfId="18366"/>
    <cellStyle name="常规 2 2 2 4 2 3 2 2 2 3" xfId="5715"/>
    <cellStyle name="常规 2 2 2 4 2 3 2 2 2 3 2" xfId="5717"/>
    <cellStyle name="常规 2 2 2 4 2 3 2 2 2 4" xfId="5721"/>
    <cellStyle name="常规 2 2 2 4 2 3 2 2 2 5" xfId="18369"/>
    <cellStyle name="常规 2 2 2 4 2 3 2 2 3" xfId="18370"/>
    <cellStyle name="常规 2 2 2 4 2 3 2 2 3 2" xfId="18371"/>
    <cellStyle name="常规 2 2 2 4 2 3 2 2 3 2 2" xfId="18373"/>
    <cellStyle name="常规 2 2 2 4 2 3 2 2 3 3" xfId="5725"/>
    <cellStyle name="常规 2 2 2 4 2 3 2 2 3 4" xfId="5733"/>
    <cellStyle name="常规 2 2 2 4 2 3 2 2 4" xfId="8786"/>
    <cellStyle name="常规 2 2 2 4 2 3 2 2 4 2" xfId="18376"/>
    <cellStyle name="常规 2 2 2 4 2 3 2 2 4 2 2" xfId="18379"/>
    <cellStyle name="常规 2 2 2 4 2 3 2 2 4 3" xfId="5742"/>
    <cellStyle name="常规 2 2 2 4 2 3 2 2 4 4" xfId="18382"/>
    <cellStyle name="常规 2 2 2 4 2 3 2 2 5" xfId="8111"/>
    <cellStyle name="常规 2 2 2 4 2 3 2 2 5 2" xfId="18383"/>
    <cellStyle name="常规 2 2 2 4 2 3 2 2 6" xfId="18386"/>
    <cellStyle name="常规 2 2 2 4 2 3 2 2 7" xfId="18388"/>
    <cellStyle name="常规 2 2 2 4 2 3 2 2 8" xfId="18390"/>
    <cellStyle name="常规 2 2 2 4 2 3 2 3" xfId="18392"/>
    <cellStyle name="常规 2 2 2 4 2 3 2 3 2" xfId="18394"/>
    <cellStyle name="常规 2 2 2 4 2 3 2 3 2 2" xfId="18396"/>
    <cellStyle name="常规 2 2 2 4 2 3 2 3 2 2 2" xfId="18398"/>
    <cellStyle name="常规 2 2 2 4 2 3 2 3 2 3" xfId="4384"/>
    <cellStyle name="常规 2 2 2 4 2 3 2 3 2 4" xfId="12331"/>
    <cellStyle name="常规 2 2 2 4 2 3 2 3 3" xfId="11515"/>
    <cellStyle name="常规 2 2 2 4 2 3 2 3 3 2" xfId="11518"/>
    <cellStyle name="常规 2 2 2 4 2 3 2 3 4" xfId="11528"/>
    <cellStyle name="常规 2 2 2 4 2 3 2 3 5" xfId="11533"/>
    <cellStyle name="常规 2 2 2 4 2 3 2 3 6" xfId="18402"/>
    <cellStyle name="常规 2 2 2 4 2 3 2 4" xfId="18403"/>
    <cellStyle name="常规 2 2 2 4 2 3 2 4 2" xfId="18406"/>
    <cellStyle name="常规 2 2 2 4 2 3 2 4 2 2" xfId="18408"/>
    <cellStyle name="常规 2 2 2 4 2 3 2 4 3" xfId="11538"/>
    <cellStyle name="常规 2 2 2 4 2 3 2 4 4" xfId="11544"/>
    <cellStyle name="常规 2 2 2 4 2 3 2 5" xfId="18410"/>
    <cellStyle name="常规 2 2 2 4 2 3 2 5 2" xfId="18411"/>
    <cellStyle name="常规 2 2 2 4 2 3 2 5 2 2" xfId="18413"/>
    <cellStyle name="常规 2 2 2 4 2 3 2 5 3" xfId="11549"/>
    <cellStyle name="常规 2 2 2 4 2 3 2 5 4" xfId="18415"/>
    <cellStyle name="常规 2 2 2 4 2 3 2 6" xfId="18416"/>
    <cellStyle name="常规 2 2 2 4 2 3 2 6 2" xfId="18417"/>
    <cellStyle name="常规 2 2 2 4 2 3 2 7" xfId="18418"/>
    <cellStyle name="常规 2 2 2 4 2 3 2 7 2" xfId="18420"/>
    <cellStyle name="常规 2 2 2 4 2 3 2 8" xfId="1647"/>
    <cellStyle name="常规 2 2 2 4 2 3 2 9" xfId="1650"/>
    <cellStyle name="常规 2 2 2 4 2 3 3" xfId="18422"/>
    <cellStyle name="常规 2 2 2 4 2 3 3 2" xfId="18423"/>
    <cellStyle name="常规 2 2 2 4 2 3 3 2 2" xfId="18424"/>
    <cellStyle name="常规 2 2 2 4 2 3 3 2 2 2" xfId="18425"/>
    <cellStyle name="常规 2 2 2 4 2 3 3 2 2 2 2" xfId="18426"/>
    <cellStyle name="常规 2 2 2 4 2 3 3 2 2 3" xfId="18427"/>
    <cellStyle name="常规 2 2 2 4 2 3 3 2 2 4" xfId="12438"/>
    <cellStyle name="常规 2 2 2 4 2 3 3 2 3" xfId="18429"/>
    <cellStyle name="常规 2 2 2 4 2 3 3 2 3 2" xfId="18431"/>
    <cellStyle name="常规 2 2 2 4 2 3 3 2 4" xfId="18433"/>
    <cellStyle name="常规 2 2 2 4 2 3 3 2 5" xfId="18434"/>
    <cellStyle name="常规 2 2 2 4 2 3 3 3" xfId="18436"/>
    <cellStyle name="常规 2 2 2 4 2 3 3 3 2" xfId="18437"/>
    <cellStyle name="常规 2 2 2 4 2 3 3 3 2 2" xfId="18439"/>
    <cellStyle name="常规 2 2 2 4 2 3 3 3 3" xfId="11556"/>
    <cellStyle name="常规 2 2 2 4 2 3 3 3 4" xfId="18441"/>
    <cellStyle name="常规 2 2 2 4 2 3 3 4" xfId="18442"/>
    <cellStyle name="常规 2 2 2 4 2 3 3 4 2" xfId="18444"/>
    <cellStyle name="常规 2 2 2 4 2 3 3 4 2 2" xfId="18445"/>
    <cellStyle name="常规 2 2 2 4 2 3 3 4 3" xfId="18447"/>
    <cellStyle name="常规 2 2 2 4 2 3 3 4 4" xfId="18449"/>
    <cellStyle name="常规 2 2 2 4 2 3 3 5" xfId="18450"/>
    <cellStyle name="常规 2 2 2 4 2 3 3 5 2" xfId="18451"/>
    <cellStyle name="常规 2 2 2 4 2 3 3 6" xfId="18452"/>
    <cellStyle name="常规 2 2 2 4 2 3 3 7" xfId="18454"/>
    <cellStyle name="常规 2 2 2 4 2 3 3 8" xfId="1237"/>
    <cellStyle name="常规 2 2 2 4 2 3 4" xfId="18456"/>
    <cellStyle name="常规 2 2 2 4 2 3 4 2" xfId="18457"/>
    <cellStyle name="常规 2 2 2 4 2 3 4 2 2" xfId="18459"/>
    <cellStyle name="常规 2 2 2 4 2 3 4 2 2 2" xfId="18460"/>
    <cellStyle name="常规 2 2 2 4 2 3 4 2 3" xfId="18461"/>
    <cellStyle name="常规 2 2 2 4 2 3 4 2 4" xfId="18462"/>
    <cellStyle name="常规 2 2 2 4 2 3 4 3" xfId="18463"/>
    <cellStyle name="常规 2 2 2 4 2 3 4 3 2" xfId="18464"/>
    <cellStyle name="常规 2 2 2 4 2 3 4 4" xfId="18465"/>
    <cellStyle name="常规 2 2 2 4 2 3 4 5" xfId="18466"/>
    <cellStyle name="常规 2 2 2 4 2 3 4 6" xfId="18467"/>
    <cellStyle name="常规 2 2 2 4 2 3 5" xfId="5848"/>
    <cellStyle name="常规 2 2 2 4 2 3 5 2" xfId="18468"/>
    <cellStyle name="常规 2 2 2 4 2 3 5 2 2" xfId="18469"/>
    <cellStyle name="常规 2 2 2 4 2 3 5 3" xfId="18470"/>
    <cellStyle name="常规 2 2 2 4 2 3 5 4" xfId="18471"/>
    <cellStyle name="常规 2 2 2 4 2 3 6" xfId="1842"/>
    <cellStyle name="常规 2 2 2 4 2 3 6 2" xfId="18472"/>
    <cellStyle name="常规 2 2 2 4 2 3 6 2 2" xfId="18473"/>
    <cellStyle name="常规 2 2 2 4 2 3 6 3" xfId="18474"/>
    <cellStyle name="常规 2 2 2 4 2 3 6 4" xfId="18475"/>
    <cellStyle name="常规 2 2 2 4 2 3 7" xfId="16630"/>
    <cellStyle name="常规 2 2 2 4 2 3 7 2" xfId="18476"/>
    <cellStyle name="常规 2 2 2 4 2 3 8" xfId="18477"/>
    <cellStyle name="常规 2 2 2 4 2 3 8 2" xfId="18478"/>
    <cellStyle name="常规 2 2 2 4 2 3 9" xfId="18479"/>
    <cellStyle name="常规 2 2 2 4 2 4" xfId="16182"/>
    <cellStyle name="常规 2 2 2 4 2 4 2" xfId="18480"/>
    <cellStyle name="常规 2 2 2 4 2 4 2 2" xfId="18481"/>
    <cellStyle name="常规 2 2 2 4 2 4 2 2 2" xfId="18482"/>
    <cellStyle name="常规 2 2 2 4 2 4 2 2 2 2" xfId="18483"/>
    <cellStyle name="常规 2 2 2 4 2 4 2 2 3" xfId="18484"/>
    <cellStyle name="常规 2 2 2 4 2 4 2 2 4" xfId="18485"/>
    <cellStyle name="常规 2 2 2 4 2 4 2 3" xfId="18486"/>
    <cellStyle name="常规 2 2 2 4 2 4 2 3 2" xfId="18487"/>
    <cellStyle name="常规 2 2 2 4 2 4 2 4" xfId="18489"/>
    <cellStyle name="常规 2 2 2 4 2 4 2 5" xfId="18490"/>
    <cellStyle name="常规 2 2 2 4 2 4 3" xfId="18491"/>
    <cellStyle name="常规 2 2 2 4 2 4 3 2" xfId="18493"/>
    <cellStyle name="常规 2 2 2 4 2 4 3 2 2" xfId="18495"/>
    <cellStyle name="常规 2 2 2 4 2 4 3 3" xfId="18496"/>
    <cellStyle name="常规 2 2 2 4 2 4 3 4" xfId="18497"/>
    <cellStyle name="常规 2 2 2 4 2 4 4" xfId="18499"/>
    <cellStyle name="常规 2 2 2 4 2 4 4 2" xfId="18500"/>
    <cellStyle name="常规 2 2 2 4 2 4 4 2 2" xfId="18501"/>
    <cellStyle name="常规 2 2 2 4 2 4 4 3" xfId="18502"/>
    <cellStyle name="常规 2 2 2 4 2 4 4 4" xfId="18503"/>
    <cellStyle name="常规 2 2 2 4 2 4 5" xfId="5851"/>
    <cellStyle name="常规 2 2 2 4 2 4 5 2" xfId="11009"/>
    <cellStyle name="常规 2 2 2 4 2 4 6" xfId="11011"/>
    <cellStyle name="常规 2 2 2 4 2 4 7" xfId="18504"/>
    <cellStyle name="常规 2 2 2 4 2 4 8" xfId="18505"/>
    <cellStyle name="常规 2 2 2 4 2 5" xfId="18506"/>
    <cellStyle name="常规 2 2 2 4 2 5 2" xfId="18508"/>
    <cellStyle name="常规 2 2 2 4 2 5 2 2" xfId="18509"/>
    <cellStyle name="常规 2 2 2 4 2 5 2 2 2" xfId="17304"/>
    <cellStyle name="常规 2 2 2 4 2 5 2 3" xfId="18510"/>
    <cellStyle name="常规 2 2 2 4 2 5 2 4" xfId="18511"/>
    <cellStyle name="常规 2 2 2 4 2 5 3" xfId="18512"/>
    <cellStyle name="常规 2 2 2 4 2 5 3 2" xfId="18513"/>
    <cellStyle name="常规 2 2 2 4 2 5 4" xfId="18514"/>
    <cellStyle name="常规 2 2 2 4 2 5 5" xfId="3283"/>
    <cellStyle name="常规 2 2 2 4 2 5 6" xfId="18515"/>
    <cellStyle name="常规 2 2 2 4 2 6" xfId="18517"/>
    <cellStyle name="常规 2 2 2 4 2 6 2" xfId="18520"/>
    <cellStyle name="常规 2 2 2 4 2 6 2 2" xfId="18522"/>
    <cellStyle name="常规 2 2 2 4 2 6 3" xfId="18523"/>
    <cellStyle name="常规 2 2 2 4 2 6 4" xfId="18524"/>
    <cellStyle name="常规 2 2 2 4 2 7" xfId="18525"/>
    <cellStyle name="常规 2 2 2 4 2 7 2" xfId="18527"/>
    <cellStyle name="常规 2 2 2 4 2 7 2 2" xfId="18528"/>
    <cellStyle name="常规 2 2 2 4 2 7 3" xfId="18529"/>
    <cellStyle name="常规 2 2 2 4 2 7 4" xfId="18530"/>
    <cellStyle name="常规 2 2 2 4 2 8" xfId="18531"/>
    <cellStyle name="常规 2 2 2 4 2 8 2" xfId="18533"/>
    <cellStyle name="常规 2 2 2 4 2 9" xfId="18534"/>
    <cellStyle name="常规 2 2 2 4 2 9 2" xfId="18535"/>
    <cellStyle name="常规 2 2 2 4 3" xfId="18536"/>
    <cellStyle name="常规 2 2 2 4 3 10" xfId="18539"/>
    <cellStyle name="常规 2 2 2 4 3 11" xfId="18541"/>
    <cellStyle name="常规 2 2 2 4 3 2" xfId="14850"/>
    <cellStyle name="常规 2 2 2 4 3 2 10" xfId="411"/>
    <cellStyle name="常规 2 2 2 4 3 2 2" xfId="12944"/>
    <cellStyle name="常规 2 2 2 4 3 2 2 2" xfId="12946"/>
    <cellStyle name="常规 2 2 2 4 3 2 2 2 2" xfId="13394"/>
    <cellStyle name="常规 2 2 2 4 3 2 2 2 2 2" xfId="18543"/>
    <cellStyle name="常规 2 2 2 4 3 2 2 2 2 2 2" xfId="18544"/>
    <cellStyle name="常规 2 2 2 4 3 2 2 2 2 3" xfId="18545"/>
    <cellStyle name="常规 2 2 2 4 3 2 2 2 2 4" xfId="18546"/>
    <cellStyle name="常规 2 2 2 4 3 2 2 2 3" xfId="18547"/>
    <cellStyle name="常规 2 2 2 4 3 2 2 2 3 2" xfId="18548"/>
    <cellStyle name="常规 2 2 2 4 3 2 2 2 4" xfId="18549"/>
    <cellStyle name="常规 2 2 2 4 3 2 2 2 5" xfId="18550"/>
    <cellStyle name="常规 2 2 2 4 3 2 2 3" xfId="18551"/>
    <cellStyle name="常规 2 2 2 4 3 2 2 3 2" xfId="18552"/>
    <cellStyle name="常规 2 2 2 4 3 2 2 3 2 2" xfId="18554"/>
    <cellStyle name="常规 2 2 2 4 3 2 2 3 3" xfId="2933"/>
    <cellStyle name="常规 2 2 2 4 3 2 2 3 4" xfId="18557"/>
    <cellStyle name="常规 2 2 2 4 3 2 2 4" xfId="18559"/>
    <cellStyle name="常规 2 2 2 4 3 2 2 4 2" xfId="18560"/>
    <cellStyle name="常规 2 2 2 4 3 2 2 4 2 2" xfId="18562"/>
    <cellStyle name="常规 2 2 2 4 3 2 2 4 3" xfId="18564"/>
    <cellStyle name="常规 2 2 2 4 3 2 2 4 4" xfId="18566"/>
    <cellStyle name="常规 2 2 2 4 3 2 2 5" xfId="18569"/>
    <cellStyle name="常规 2 2 2 4 3 2 2 5 2" xfId="18570"/>
    <cellStyle name="常规 2 2 2 4 3 2 2 6" xfId="18572"/>
    <cellStyle name="常规 2 2 2 4 3 2 2 7" xfId="18573"/>
    <cellStyle name="常规 2 2 2 4 3 2 2 8" xfId="18574"/>
    <cellStyle name="常规 2 2 2 4 3 2 3" xfId="12948"/>
    <cellStyle name="常规 2 2 2 4 3 2 3 2" xfId="3939"/>
    <cellStyle name="常规 2 2 2 4 3 2 3 2 2" xfId="4962"/>
    <cellStyle name="常规 2 2 2 4 3 2 3 2 2 2" xfId="18575"/>
    <cellStyle name="常规 2 2 2 4 3 2 3 2 3" xfId="18576"/>
    <cellStyle name="常规 2 2 2 4 3 2 3 2 4" xfId="18577"/>
    <cellStyle name="常规 2 2 2 4 3 2 3 3" xfId="18578"/>
    <cellStyle name="常规 2 2 2 4 3 2 3 3 2" xfId="18579"/>
    <cellStyle name="常规 2 2 2 4 3 2 3 4" xfId="18581"/>
    <cellStyle name="常规 2 2 2 4 3 2 3 5" xfId="18582"/>
    <cellStyle name="常规 2 2 2 4 3 2 3 6" xfId="18583"/>
    <cellStyle name="常规 2 2 2 4 3 2 4" xfId="18585"/>
    <cellStyle name="常规 2 2 2 4 3 2 4 2" xfId="18586"/>
    <cellStyle name="常规 2 2 2 4 3 2 4 2 2" xfId="18587"/>
    <cellStyle name="常规 2 2 2 4 3 2 4 3" xfId="18588"/>
    <cellStyle name="常规 2 2 2 4 3 2 4 4" xfId="14566"/>
    <cellStyle name="常规 2 2 2 4 3 2 5" xfId="5854"/>
    <cellStyle name="常规 2 2 2 4 3 2 5 2" xfId="18590"/>
    <cellStyle name="常规 2 2 2 4 3 2 5 2 2" xfId="18591"/>
    <cellStyle name="常规 2 2 2 4 3 2 5 3" xfId="18592"/>
    <cellStyle name="常规 2 2 2 4 3 2 5 4" xfId="18593"/>
    <cellStyle name="常规 2 2 2 4 3 2 6" xfId="18594"/>
    <cellStyle name="常规 2 2 2 4 3 2 6 2" xfId="18595"/>
    <cellStyle name="常规 2 2 2 4 3 2 7" xfId="16639"/>
    <cellStyle name="常规 2 2 2 4 3 2 7 2" xfId="18596"/>
    <cellStyle name="常规 2 2 2 4 3 2 8" xfId="18597"/>
    <cellStyle name="常规 2 2 2 4 3 2 9" xfId="17332"/>
    <cellStyle name="常规 2 2 2 4 3 3" xfId="18598"/>
    <cellStyle name="常规 2 2 2 4 3 3 2" xfId="12953"/>
    <cellStyle name="常规 2 2 2 4 3 3 2 2" xfId="18599"/>
    <cellStyle name="常规 2 2 2 4 3 3 2 2 2" xfId="18600"/>
    <cellStyle name="常规 2 2 2 4 3 3 2 2 2 2" xfId="18601"/>
    <cellStyle name="常规 2 2 2 4 3 3 2 2 3" xfId="18603"/>
    <cellStyle name="常规 2 2 2 4 3 3 2 2 4" xfId="18604"/>
    <cellStyle name="常规 2 2 2 4 3 3 2 3" xfId="18605"/>
    <cellStyle name="常规 2 2 2 4 3 3 2 3 2" xfId="18606"/>
    <cellStyle name="常规 2 2 2 4 3 3 2 4" xfId="18608"/>
    <cellStyle name="常规 2 2 2 4 3 3 2 5" xfId="18609"/>
    <cellStyle name="常规 2 2 2 4 3 3 3" xfId="18610"/>
    <cellStyle name="常规 2 2 2 4 3 3 3 2" xfId="4185"/>
    <cellStyle name="常规 2 2 2 4 3 3 3 2 2" xfId="4189"/>
    <cellStyle name="常规 2 2 2 4 3 3 3 3" xfId="18611"/>
    <cellStyle name="常规 2 2 2 4 3 3 3 4" xfId="18612"/>
    <cellStyle name="常规 2 2 2 4 3 3 4" xfId="18613"/>
    <cellStyle name="常规 2 2 2 4 3 3 4 2" xfId="18614"/>
    <cellStyle name="常规 2 2 2 4 3 3 4 2 2" xfId="18615"/>
    <cellStyle name="常规 2 2 2 4 3 3 4 3" xfId="18616"/>
    <cellStyle name="常规 2 2 2 4 3 3 4 4" xfId="18617"/>
    <cellStyle name="常规 2 2 2 4 3 3 5" xfId="18618"/>
    <cellStyle name="常规 2 2 2 4 3 3 5 2" xfId="18619"/>
    <cellStyle name="常规 2 2 2 4 3 3 6" xfId="18620"/>
    <cellStyle name="常规 2 2 2 4 3 3 7" xfId="18621"/>
    <cellStyle name="常规 2 2 2 4 3 3 8" xfId="18622"/>
    <cellStyle name="常规 2 2 2 4 3 4" xfId="18623"/>
    <cellStyle name="常规 2 2 2 4 3 4 2" xfId="18624"/>
    <cellStyle name="常规 2 2 2 4 3 4 2 2" xfId="13807"/>
    <cellStyle name="常规 2 2 2 4 3 4 2 2 2" xfId="18626"/>
    <cellStyle name="常规 2 2 2 4 3 4 2 3" xfId="13810"/>
    <cellStyle name="常规 2 2 2 4 3 4 2 4" xfId="18628"/>
    <cellStyle name="常规 2 2 2 4 3 4 3" xfId="18629"/>
    <cellStyle name="常规 2 2 2 4 3 4 3 2" xfId="4256"/>
    <cellStyle name="常规 2 2 2 4 3 4 4" xfId="18631"/>
    <cellStyle name="常规 2 2 2 4 3 4 5" xfId="11017"/>
    <cellStyle name="常规 2 2 2 4 3 4 6" xfId="18633"/>
    <cellStyle name="常规 2 2 2 4 3 5" xfId="18635"/>
    <cellStyle name="常规 2 2 2 4 3 5 2" xfId="18636"/>
    <cellStyle name="常规 2 2 2 4 3 5 2 2" xfId="13835"/>
    <cellStyle name="常规 2 2 2 4 3 5 3" xfId="18638"/>
    <cellStyle name="常规 2 2 2 4 3 5 4" xfId="18640"/>
    <cellStyle name="常规 2 2 2 4 3 6" xfId="18641"/>
    <cellStyle name="常规 2 2 2 4 3 6 2" xfId="18643"/>
    <cellStyle name="常规 2 2 2 4 3 6 2 2" xfId="18645"/>
    <cellStyle name="常规 2 2 2 4 3 6 3" xfId="18646"/>
    <cellStyle name="常规 2 2 2 4 3 6 4" xfId="18648"/>
    <cellStyle name="常规 2 2 2 4 3 7" xfId="18649"/>
    <cellStyle name="常规 2 2 2 4 3 7 2" xfId="18650"/>
    <cellStyle name="常规 2 2 2 4 3 8" xfId="18651"/>
    <cellStyle name="常规 2 2 2 4 3 8 2" xfId="18652"/>
    <cellStyle name="常规 2 2 2 4 3 9" xfId="11961"/>
    <cellStyle name="常规 2 2 2 4 4" xfId="18653"/>
    <cellStyle name="常规 2 2 2 4 4 2" xfId="18655"/>
    <cellStyle name="常规 2 2 2 4 4 2 2" xfId="5865"/>
    <cellStyle name="常规 2 2 2 4 4 2 2 2" xfId="5868"/>
    <cellStyle name="常规 2 2 2 4 4 2 2 2 2" xfId="18656"/>
    <cellStyle name="常规 2 2 2 4 4 2 2 3" xfId="18658"/>
    <cellStyle name="常规 2 2 2 4 4 2 2 4" xfId="11034"/>
    <cellStyle name="常规 2 2 2 4 4 2 3" xfId="5870"/>
    <cellStyle name="常规 2 2 2 4 4 2 3 2" xfId="5873"/>
    <cellStyle name="常规 2 2 2 4 4 2 4" xfId="5876"/>
    <cellStyle name="常规 2 2 2 4 4 2 5" xfId="5859"/>
    <cellStyle name="常规 2 2 2 4 4 3" xfId="18659"/>
    <cellStyle name="常规 2 2 2 4 4 3 2" xfId="18660"/>
    <cellStyle name="常规 2 2 2 4 4 3 2 2" xfId="9639"/>
    <cellStyle name="常规 2 2 2 4 4 3 3" xfId="18662"/>
    <cellStyle name="常规 2 2 2 4 4 3 4" xfId="18665"/>
    <cellStyle name="常规 2 2 2 4 4 4" xfId="18667"/>
    <cellStyle name="常规 2 2 2 4 4 4 2" xfId="18668"/>
    <cellStyle name="常规 2 2 2 4 4 4 2 2" xfId="2012"/>
    <cellStyle name="常规 2 2 2 4 4 4 3" xfId="18671"/>
    <cellStyle name="常规 2 2 2 4 4 4 4" xfId="15323"/>
    <cellStyle name="常规 2 2 2 4 4 5" xfId="18674"/>
    <cellStyle name="常规 2 2 2 4 4 5 2" xfId="18675"/>
    <cellStyle name="常规 2 2 2 4 4 6" xfId="18676"/>
    <cellStyle name="常规 2 2 2 4 4 7" xfId="18677"/>
    <cellStyle name="常规 2 2 2 4 4 8" xfId="18108"/>
    <cellStyle name="常规 2 2 2 4 5" xfId="18678"/>
    <cellStyle name="常规 2 2 2 4 5 2" xfId="18680"/>
    <cellStyle name="常规 2 2 2 4 5 2 2" xfId="1477"/>
    <cellStyle name="常规 2 2 2 4 5 2 2 2" xfId="9686"/>
    <cellStyle name="常规 2 2 2 4 5 2 3" xfId="18681"/>
    <cellStyle name="常规 2 2 2 4 5 2 4" xfId="18683"/>
    <cellStyle name="常规 2 2 2 4 5 3" xfId="18685"/>
    <cellStyle name="常规 2 2 2 4 5 3 2" xfId="18686"/>
    <cellStyle name="常规 2 2 2 4 5 4" xfId="18687"/>
    <cellStyle name="常规 2 2 2 4 5 5" xfId="18688"/>
    <cellStyle name="常规 2 2 2 4 5 6" xfId="18689"/>
    <cellStyle name="常规 2 2 2 4 6" xfId="18691"/>
    <cellStyle name="常规 2 2 2 4 6 2" xfId="18692"/>
    <cellStyle name="常规 2 2 2 4 6 2 2" xfId="18693"/>
    <cellStyle name="常规 2 2 2 4 6 3" xfId="18694"/>
    <cellStyle name="常规 2 2 2 4 6 4" xfId="18695"/>
    <cellStyle name="常规 2 2 2 4 7" xfId="18696"/>
    <cellStyle name="常规 2 2 2 4 7 2" xfId="18697"/>
    <cellStyle name="常规 2 2 2 4 7 2 2" xfId="18698"/>
    <cellStyle name="常规 2 2 2 4 7 3" xfId="18699"/>
    <cellStyle name="常规 2 2 2 4 7 4" xfId="18700"/>
    <cellStyle name="常规 2 2 2 4 8" xfId="18701"/>
    <cellStyle name="常规 2 2 2 4 8 2" xfId="18703"/>
    <cellStyle name="常规 2 2 2 4 9" xfId="18705"/>
    <cellStyle name="常规 2 2 2 4 9 2" xfId="18706"/>
    <cellStyle name="常规 2 2 2 5" xfId="18708"/>
    <cellStyle name="常规 2 2 2 5 10" xfId="6019"/>
    <cellStyle name="常规 2 2 2 5 11" xfId="4246"/>
    <cellStyle name="常规 2 2 2 5 12" xfId="4257"/>
    <cellStyle name="常规 2 2 2 5 2" xfId="18709"/>
    <cellStyle name="常规 2 2 2 5 2 10" xfId="18710"/>
    <cellStyle name="常规 2 2 2 5 2 11" xfId="18711"/>
    <cellStyle name="常规 2 2 2 5 2 12" xfId="18713"/>
    <cellStyle name="常规 2 2 2 5 2 2" xfId="18714"/>
    <cellStyle name="常规 2 2 2 5 2 2 10" xfId="18715"/>
    <cellStyle name="常规 2 2 2 5 2 2 2" xfId="18717"/>
    <cellStyle name="常规 2 2 2 5 2 2 2 2" xfId="18718"/>
    <cellStyle name="常规 2 2 2 5 2 2 2 2 2" xfId="18719"/>
    <cellStyle name="常规 2 2 2 5 2 2 2 2 2 2" xfId="18720"/>
    <cellStyle name="常规 2 2 2 5 2 2 2 2 2 2 2" xfId="18722"/>
    <cellStyle name="常规 2 2 2 5 2 2 2 2 2 3" xfId="18724"/>
    <cellStyle name="常规 2 2 2 5 2 2 2 2 2 4" xfId="18725"/>
    <cellStyle name="常规 2 2 2 5 2 2 2 2 3" xfId="18726"/>
    <cellStyle name="常规 2 2 2 5 2 2 2 2 3 2" xfId="18727"/>
    <cellStyle name="常规 2 2 2 5 2 2 2 2 4" xfId="18728"/>
    <cellStyle name="常规 2 2 2 5 2 2 2 2 5" xfId="18729"/>
    <cellStyle name="常规 2 2 2 5 2 2 2 3" xfId="18730"/>
    <cellStyle name="常规 2 2 2 5 2 2 2 3 2" xfId="18731"/>
    <cellStyle name="常规 2 2 2 5 2 2 2 3 2 2" xfId="18733"/>
    <cellStyle name="常规 2 2 2 5 2 2 2 3 3" xfId="18736"/>
    <cellStyle name="常规 2 2 2 5 2 2 2 3 4" xfId="18738"/>
    <cellStyle name="常规 2 2 2 5 2 2 2 4" xfId="18740"/>
    <cellStyle name="常规 2 2 2 5 2 2 2 4 2" xfId="18741"/>
    <cellStyle name="常规 2 2 2 5 2 2 2 4 2 2" xfId="18744"/>
    <cellStyle name="常规 2 2 2 5 2 2 2 4 3" xfId="18747"/>
    <cellStyle name="常规 2 2 2 5 2 2 2 4 4" xfId="18749"/>
    <cellStyle name="常规 2 2 2 5 2 2 2 5" xfId="18751"/>
    <cellStyle name="常规 2 2 2 5 2 2 2 5 2" xfId="18754"/>
    <cellStyle name="常规 2 2 2 5 2 2 2 6" xfId="18756"/>
    <cellStyle name="常规 2 2 2 5 2 2 2 7" xfId="4606"/>
    <cellStyle name="常规 2 2 2 5 2 2 2 8" xfId="18758"/>
    <cellStyle name="常规 2 2 2 5 2 2 3" xfId="5006"/>
    <cellStyle name="常规 2 2 2 5 2 2 3 2" xfId="18759"/>
    <cellStyle name="常规 2 2 2 5 2 2 3 2 2" xfId="18760"/>
    <cellStyle name="常规 2 2 2 5 2 2 3 2 2 2" xfId="18762"/>
    <cellStyle name="常规 2 2 2 5 2 2 3 2 3" xfId="18764"/>
    <cellStyle name="常规 2 2 2 5 2 2 3 2 4" xfId="18765"/>
    <cellStyle name="常规 2 2 2 5 2 2 3 3" xfId="18766"/>
    <cellStyle name="常规 2 2 2 5 2 2 3 3 2" xfId="18767"/>
    <cellStyle name="常规 2 2 2 5 2 2 3 4" xfId="18770"/>
    <cellStyle name="常规 2 2 2 5 2 2 3 5" xfId="18771"/>
    <cellStyle name="常规 2 2 2 5 2 2 3 6" xfId="18773"/>
    <cellStyle name="常规 2 2 2 5 2 2 4" xfId="18774"/>
    <cellStyle name="常规 2 2 2 5 2 2 4 2" xfId="18775"/>
    <cellStyle name="常规 2 2 2 5 2 2 4 2 2" xfId="9236"/>
    <cellStyle name="常规 2 2 2 5 2 2 4 3" xfId="18776"/>
    <cellStyle name="常规 2 2 2 5 2 2 4 4" xfId="18777"/>
    <cellStyle name="常规 2 2 2 5 2 2 5" xfId="5883"/>
    <cellStyle name="常规 2 2 2 5 2 2 5 2" xfId="18778"/>
    <cellStyle name="常规 2 2 2 5 2 2 5 2 2" xfId="18780"/>
    <cellStyle name="常规 2 2 2 5 2 2 5 3" xfId="18781"/>
    <cellStyle name="常规 2 2 2 5 2 2 5 4" xfId="18782"/>
    <cellStyle name="常规 2 2 2 5 2 2 6" xfId="18783"/>
    <cellStyle name="常规 2 2 2 5 2 2 6 2" xfId="18784"/>
    <cellStyle name="常规 2 2 2 5 2 2 7" xfId="16673"/>
    <cellStyle name="常规 2 2 2 5 2 2 7 2" xfId="18785"/>
    <cellStyle name="常规 2 2 2 5 2 2 8" xfId="2614"/>
    <cellStyle name="常规 2 2 2 5 2 2 9" xfId="17353"/>
    <cellStyle name="常规 2 2 2 5 2 3" xfId="18786"/>
    <cellStyle name="常规 2 2 2 5 2 3 10" xfId="7781"/>
    <cellStyle name="常规 2 2 2 5 2 3 11" xfId="7784"/>
    <cellStyle name="常规 2 2 2 5 2 3 2" xfId="18787"/>
    <cellStyle name="常规 2 2 2 5 2 3 2 10" xfId="18788"/>
    <cellStyle name="常规 2 2 2 5 2 3 2 2" xfId="18789"/>
    <cellStyle name="常规 2 2 2 5 2 3 2 2 2" xfId="18790"/>
    <cellStyle name="常规 2 2 2 5 2 3 2 2 2 2" xfId="18791"/>
    <cellStyle name="常规 2 2 2 5 2 3 2 2 2 2 2" xfId="5750"/>
    <cellStyle name="常规 2 2 2 5 2 3 2 2 2 2 2 2" xfId="18792"/>
    <cellStyle name="常规 2 2 2 5 2 3 2 2 2 2 3" xfId="5753"/>
    <cellStyle name="常规 2 2 2 5 2 3 2 2 2 2 4" xfId="18793"/>
    <cellStyle name="常规 2 2 2 5 2 3 2 2 2 3" xfId="18795"/>
    <cellStyle name="常规 2 2 2 5 2 3 2 2 2 3 2" xfId="18796"/>
    <cellStyle name="常规 2 2 2 5 2 3 2 2 2 4" xfId="18797"/>
    <cellStyle name="常规 2 2 2 5 2 3 2 2 2 5" xfId="18798"/>
    <cellStyle name="常规 2 2 2 5 2 3 2 2 3" xfId="18800"/>
    <cellStyle name="常规 2 2 2 5 2 3 2 2 3 2" xfId="18801"/>
    <cellStyle name="常规 2 2 2 5 2 3 2 2 3 2 2" xfId="18802"/>
    <cellStyle name="常规 2 2 2 5 2 3 2 2 3 3" xfId="18804"/>
    <cellStyle name="常规 2 2 2 5 2 3 2 2 3 4" xfId="18805"/>
    <cellStyle name="常规 2 2 2 5 2 3 2 2 4" xfId="8943"/>
    <cellStyle name="常规 2 2 2 5 2 3 2 2 4 2" xfId="18806"/>
    <cellStyle name="常规 2 2 2 5 2 3 2 2 4 2 2" xfId="18807"/>
    <cellStyle name="常规 2 2 2 5 2 3 2 2 4 3" xfId="18808"/>
    <cellStyle name="常规 2 2 2 5 2 3 2 2 4 4" xfId="18809"/>
    <cellStyle name="常规 2 2 2 5 2 3 2 2 5" xfId="18810"/>
    <cellStyle name="常规 2 2 2 5 2 3 2 2 5 2" xfId="18811"/>
    <cellStyle name="常规 2 2 2 5 2 3 2 2 6" xfId="18813"/>
    <cellStyle name="常规 2 2 2 5 2 3 2 2 7" xfId="18815"/>
    <cellStyle name="常规 2 2 2 5 2 3 2 2 8" xfId="18817"/>
    <cellStyle name="常规 2 2 2 5 2 3 2 3" xfId="18819"/>
    <cellStyle name="常规 2 2 2 5 2 3 2 3 2" xfId="18820"/>
    <cellStyle name="常规 2 2 2 5 2 3 2 3 2 2" xfId="18822"/>
    <cellStyle name="常规 2 2 2 5 2 3 2 3 2 2 2" xfId="18823"/>
    <cellStyle name="常规 2 2 2 5 2 3 2 3 2 3" xfId="18824"/>
    <cellStyle name="常规 2 2 2 5 2 3 2 3 2 4" xfId="18825"/>
    <cellStyle name="常规 2 2 2 5 2 3 2 3 3" xfId="18826"/>
    <cellStyle name="常规 2 2 2 5 2 3 2 3 3 2" xfId="18827"/>
    <cellStyle name="常规 2 2 2 5 2 3 2 3 4" xfId="18828"/>
    <cellStyle name="常规 2 2 2 5 2 3 2 3 5" xfId="18829"/>
    <cellStyle name="常规 2 2 2 5 2 3 2 3 6" xfId="18830"/>
    <cellStyle name="常规 2 2 2 5 2 3 2 4" xfId="18831"/>
    <cellStyle name="常规 2 2 2 5 2 3 2 4 2" xfId="18833"/>
    <cellStyle name="常规 2 2 2 5 2 3 2 4 2 2" xfId="18834"/>
    <cellStyle name="常规 2 2 2 5 2 3 2 4 3" xfId="18836"/>
    <cellStyle name="常规 2 2 2 5 2 3 2 4 4" xfId="18837"/>
    <cellStyle name="常规 2 2 2 5 2 3 2 5" xfId="18838"/>
    <cellStyle name="常规 2 2 2 5 2 3 2 5 2" xfId="18840"/>
    <cellStyle name="常规 2 2 2 5 2 3 2 5 2 2" xfId="18841"/>
    <cellStyle name="常规 2 2 2 5 2 3 2 5 3" xfId="18843"/>
    <cellStyle name="常规 2 2 2 5 2 3 2 5 4" xfId="18844"/>
    <cellStyle name="常规 2 2 2 5 2 3 2 6" xfId="1"/>
    <cellStyle name="常规 2 2 2 5 2 3 2 6 2" xfId="18845"/>
    <cellStyle name="常规 2 2 2 5 2 3 2 7" xfId="4614"/>
    <cellStyle name="常规 2 2 2 5 2 3 2 7 2" xfId="18847"/>
    <cellStyle name="常规 2 2 2 5 2 3 2 8" xfId="18849"/>
    <cellStyle name="常规 2 2 2 5 2 3 2 9" xfId="18851"/>
    <cellStyle name="常规 2 2 2 5 2 3 3" xfId="18852"/>
    <cellStyle name="常规 2 2 2 5 2 3 3 2" xfId="110"/>
    <cellStyle name="常规 2 2 2 5 2 3 3 2 2" xfId="18853"/>
    <cellStyle name="常规 2 2 2 5 2 3 3 2 2 2" xfId="18854"/>
    <cellStyle name="常规 2 2 2 5 2 3 3 2 2 2 2" xfId="18855"/>
    <cellStyle name="常规 2 2 2 5 2 3 3 2 2 3" xfId="18856"/>
    <cellStyle name="常规 2 2 2 5 2 3 3 2 2 4" xfId="18857"/>
    <cellStyle name="常规 2 2 2 5 2 3 3 2 3" xfId="18858"/>
    <cellStyle name="常规 2 2 2 5 2 3 3 2 3 2" xfId="18861"/>
    <cellStyle name="常规 2 2 2 5 2 3 3 2 4" xfId="18862"/>
    <cellStyle name="常规 2 2 2 5 2 3 3 2 5" xfId="18864"/>
    <cellStyle name="常规 2 2 2 5 2 3 3 3" xfId="18865"/>
    <cellStyle name="常规 2 2 2 5 2 3 3 3 2" xfId="18866"/>
    <cellStyle name="常规 2 2 2 5 2 3 3 3 2 2" xfId="18867"/>
    <cellStyle name="常规 2 2 2 5 2 3 3 3 3" xfId="18868"/>
    <cellStyle name="常规 2 2 2 5 2 3 3 3 4" xfId="18869"/>
    <cellStyle name="常规 2 2 2 5 2 3 3 4" xfId="18870"/>
    <cellStyle name="常规 2 2 2 5 2 3 3 4 2" xfId="18872"/>
    <cellStyle name="常规 2 2 2 5 2 3 3 4 2 2" xfId="18873"/>
    <cellStyle name="常规 2 2 2 5 2 3 3 4 3" xfId="18874"/>
    <cellStyle name="常规 2 2 2 5 2 3 3 4 4" xfId="18875"/>
    <cellStyle name="常规 2 2 2 5 2 3 3 5" xfId="18876"/>
    <cellStyle name="常规 2 2 2 5 2 3 3 5 2" xfId="18877"/>
    <cellStyle name="常规 2 2 2 5 2 3 3 6" xfId="18878"/>
    <cellStyle name="常规 2 2 2 5 2 3 3 7" xfId="18880"/>
    <cellStyle name="常规 2 2 2 5 2 3 3 8" xfId="18882"/>
    <cellStyle name="常规 2 2 2 5 2 3 4" xfId="18883"/>
    <cellStyle name="常规 2 2 2 5 2 3 4 2" xfId="18884"/>
    <cellStyle name="常规 2 2 2 5 2 3 4 2 2" xfId="18885"/>
    <cellStyle name="常规 2 2 2 5 2 3 4 2 2 2" xfId="18886"/>
    <cellStyle name="常规 2 2 2 5 2 3 4 2 3" xfId="18887"/>
    <cellStyle name="常规 2 2 2 5 2 3 4 2 4" xfId="18889"/>
    <cellStyle name="常规 2 2 2 5 2 3 4 3" xfId="18890"/>
    <cellStyle name="常规 2 2 2 5 2 3 4 3 2" xfId="18891"/>
    <cellStyle name="常规 2 2 2 5 2 3 4 4" xfId="18892"/>
    <cellStyle name="常规 2 2 2 5 2 3 4 5" xfId="18893"/>
    <cellStyle name="常规 2 2 2 5 2 3 4 6" xfId="18894"/>
    <cellStyle name="常规 2 2 2 5 2 3 5" xfId="18895"/>
    <cellStyle name="常规 2 2 2 5 2 3 5 2" xfId="18896"/>
    <cellStyle name="常规 2 2 2 5 2 3 5 2 2" xfId="18897"/>
    <cellStyle name="常规 2 2 2 5 2 3 5 3" xfId="18898"/>
    <cellStyle name="常规 2 2 2 5 2 3 5 4" xfId="18899"/>
    <cellStyle name="常规 2 2 2 5 2 3 6" xfId="18900"/>
    <cellStyle name="常规 2 2 2 5 2 3 6 2" xfId="18901"/>
    <cellStyle name="常规 2 2 2 5 2 3 6 2 2" xfId="18902"/>
    <cellStyle name="常规 2 2 2 5 2 3 6 3" xfId="18903"/>
    <cellStyle name="常规 2 2 2 5 2 3 6 4" xfId="18904"/>
    <cellStyle name="常规 2 2 2 5 2 3 7" xfId="18905"/>
    <cellStyle name="常规 2 2 2 5 2 3 7 2" xfId="18906"/>
    <cellStyle name="常规 2 2 2 5 2 3 8" xfId="18907"/>
    <cellStyle name="常规 2 2 2 5 2 3 8 2" xfId="18908"/>
    <cellStyle name="常规 2 2 2 5 2 3 9" xfId="18909"/>
    <cellStyle name="常规 2 2 2 5 2 4" xfId="18910"/>
    <cellStyle name="常规 2 2 2 5 2 4 2" xfId="18911"/>
    <cellStyle name="常规 2 2 2 5 2 4 2 2" xfId="18912"/>
    <cellStyle name="常规 2 2 2 5 2 4 2 2 2" xfId="18913"/>
    <cellStyle name="常规 2 2 2 5 2 4 2 2 2 2" xfId="18915"/>
    <cellStyle name="常规 2 2 2 5 2 4 2 2 3" xfId="18917"/>
    <cellStyle name="常规 2 2 2 5 2 4 2 2 4" xfId="18919"/>
    <cellStyle name="常规 2 2 2 5 2 4 2 3" xfId="18921"/>
    <cellStyle name="常规 2 2 2 5 2 4 2 3 2" xfId="18924"/>
    <cellStyle name="常规 2 2 2 5 2 4 2 4" xfId="18926"/>
    <cellStyle name="常规 2 2 2 5 2 4 2 5" xfId="18927"/>
    <cellStyle name="常规 2 2 2 5 2 4 3" xfId="18929"/>
    <cellStyle name="常规 2 2 2 5 2 4 3 2" xfId="18930"/>
    <cellStyle name="常规 2 2 2 5 2 4 3 2 2" xfId="18932"/>
    <cellStyle name="常规 2 2 2 5 2 4 3 3" xfId="18936"/>
    <cellStyle name="常规 2 2 2 5 2 4 3 4" xfId="18938"/>
    <cellStyle name="常规 2 2 2 5 2 4 4" xfId="18940"/>
    <cellStyle name="常规 2 2 2 5 2 4 4 2" xfId="18941"/>
    <cellStyle name="常规 2 2 2 5 2 4 4 2 2" xfId="18943"/>
    <cellStyle name="常规 2 2 2 5 2 4 4 3" xfId="18946"/>
    <cellStyle name="常规 2 2 2 5 2 4 4 4" xfId="18948"/>
    <cellStyle name="常规 2 2 2 5 2 4 5" xfId="11112"/>
    <cellStyle name="常规 2 2 2 5 2 4 5 2" xfId="11114"/>
    <cellStyle name="常规 2 2 2 5 2 4 6" xfId="11125"/>
    <cellStyle name="常规 2 2 2 5 2 4 7" xfId="11130"/>
    <cellStyle name="常规 2 2 2 5 2 4 8" xfId="18950"/>
    <cellStyle name="常规 2 2 2 5 2 5" xfId="18951"/>
    <cellStyle name="常规 2 2 2 5 2 5 2" xfId="18952"/>
    <cellStyle name="常规 2 2 2 5 2 5 2 2" xfId="18953"/>
    <cellStyle name="常规 2 2 2 5 2 5 2 2 2" xfId="15111"/>
    <cellStyle name="常规 2 2 2 5 2 5 2 3" xfId="18954"/>
    <cellStyle name="常规 2 2 2 5 2 5 2 4" xfId="18955"/>
    <cellStyle name="常规 2 2 2 5 2 5 3" xfId="18956"/>
    <cellStyle name="常规 2 2 2 5 2 5 3 2" xfId="18957"/>
    <cellStyle name="常规 2 2 2 5 2 5 4" xfId="18959"/>
    <cellStyle name="常规 2 2 2 5 2 5 5" xfId="11133"/>
    <cellStyle name="常规 2 2 2 5 2 5 6" xfId="11138"/>
    <cellStyle name="常规 2 2 2 5 2 6" xfId="18960"/>
    <cellStyle name="常规 2 2 2 5 2 6 2" xfId="5527"/>
    <cellStyle name="常规 2 2 2 5 2 6 2 2" xfId="5531"/>
    <cellStyle name="常规 2 2 2 5 2 6 3" xfId="6603"/>
    <cellStyle name="常规 2 2 2 5 2 6 4" xfId="6607"/>
    <cellStyle name="常规 2 2 2 5 2 7" xfId="18963"/>
    <cellStyle name="常规 2 2 2 5 2 7 2" xfId="18964"/>
    <cellStyle name="常规 2 2 2 5 2 7 2 2" xfId="1428"/>
    <cellStyle name="常规 2 2 2 5 2 7 3" xfId="18965"/>
    <cellStyle name="常规 2 2 2 5 2 7 4" xfId="18966"/>
    <cellStyle name="常规 2 2 2 5 2 8" xfId="18967"/>
    <cellStyle name="常规 2 2 2 5 2 8 2" xfId="18968"/>
    <cellStyle name="常规 2 2 2 5 2 9" xfId="18969"/>
    <cellStyle name="常规 2 2 2 5 2 9 2" xfId="18970"/>
    <cellStyle name="常规 2 2 2 5 3" xfId="18971"/>
    <cellStyle name="常规 2 2 2 5 3 10" xfId="18973"/>
    <cellStyle name="常规 2 2 2 5 3 11" xfId="18976"/>
    <cellStyle name="常规 2 2 2 5 3 2" xfId="18978"/>
    <cellStyle name="常规 2 2 2 5 3 2 10" xfId="8245"/>
    <cellStyle name="常规 2 2 2 5 3 2 2" xfId="12989"/>
    <cellStyle name="常规 2 2 2 5 3 2 2 2" xfId="12991"/>
    <cellStyle name="常规 2 2 2 5 3 2 2 2 2" xfId="18979"/>
    <cellStyle name="常规 2 2 2 5 3 2 2 2 2 2" xfId="189"/>
    <cellStyle name="常规 2 2 2 5 3 2 2 2 2 2 2" xfId="1321"/>
    <cellStyle name="常规 2 2 2 5 3 2 2 2 2 3" xfId="196"/>
    <cellStyle name="常规 2 2 2 5 3 2 2 2 2 4" xfId="34"/>
    <cellStyle name="常规 2 2 2 5 3 2 2 2 3" xfId="18980"/>
    <cellStyle name="常规 2 2 2 5 3 2 2 2 3 2" xfId="1925"/>
    <cellStyle name="常规 2 2 2 5 3 2 2 2 4" xfId="18981"/>
    <cellStyle name="常规 2 2 2 5 3 2 2 2 5" xfId="3709"/>
    <cellStyle name="常规 2 2 2 5 3 2 2 3" xfId="18982"/>
    <cellStyle name="常规 2 2 2 5 3 2 2 3 2" xfId="18983"/>
    <cellStyle name="常规 2 2 2 5 3 2 2 3 2 2" xfId="2149"/>
    <cellStyle name="常规 2 2 2 5 3 2 2 3 3" xfId="18985"/>
    <cellStyle name="常规 2 2 2 5 3 2 2 3 4" xfId="18987"/>
    <cellStyle name="常规 2 2 2 5 3 2 2 4" xfId="18989"/>
    <cellStyle name="常规 2 2 2 5 3 2 2 4 2" xfId="18990"/>
    <cellStyle name="常规 2 2 2 5 3 2 2 4 2 2" xfId="2342"/>
    <cellStyle name="常规 2 2 2 5 3 2 2 4 3" xfId="18992"/>
    <cellStyle name="常规 2 2 2 5 3 2 2 4 4" xfId="18995"/>
    <cellStyle name="常规 2 2 2 5 3 2 2 5" xfId="18997"/>
    <cellStyle name="常规 2 2 2 5 3 2 2 5 2" xfId="18999"/>
    <cellStyle name="常规 2 2 2 5 3 2 2 6" xfId="19001"/>
    <cellStyle name="常规 2 2 2 5 3 2 2 7" xfId="19002"/>
    <cellStyle name="常规 2 2 2 5 3 2 2 8" xfId="19003"/>
    <cellStyle name="常规 2 2 2 5 3 2 3" xfId="12993"/>
    <cellStyle name="常规 2 2 2 5 3 2 3 2" xfId="19004"/>
    <cellStyle name="常规 2 2 2 5 3 2 3 2 2" xfId="19005"/>
    <cellStyle name="常规 2 2 2 5 3 2 3 2 2 2" xfId="19006"/>
    <cellStyle name="常规 2 2 2 5 3 2 3 2 3" xfId="19007"/>
    <cellStyle name="常规 2 2 2 5 3 2 3 2 4" xfId="19008"/>
    <cellStyle name="常规 2 2 2 5 3 2 3 3" xfId="19009"/>
    <cellStyle name="常规 2 2 2 5 3 2 3 3 2" xfId="19010"/>
    <cellStyle name="常规 2 2 2 5 3 2 3 4" xfId="19012"/>
    <cellStyle name="常规 2 2 2 5 3 2 3 5" xfId="19013"/>
    <cellStyle name="常规 2 2 2 5 3 2 3 6" xfId="19014"/>
    <cellStyle name="常规 2 2 2 5 3 2 4" xfId="19015"/>
    <cellStyle name="常规 2 2 2 5 3 2 4 2" xfId="19016"/>
    <cellStyle name="常规 2 2 2 5 3 2 4 2 2" xfId="19017"/>
    <cellStyle name="常规 2 2 2 5 3 2 4 3" xfId="19018"/>
    <cellStyle name="常规 2 2 2 5 3 2 4 4" xfId="19019"/>
    <cellStyle name="常规 2 2 2 5 3 2 5" xfId="19020"/>
    <cellStyle name="常规 2 2 2 5 3 2 5 2" xfId="19021"/>
    <cellStyle name="常规 2 2 2 5 3 2 5 2 2" xfId="19023"/>
    <cellStyle name="常规 2 2 2 5 3 2 5 3" xfId="19024"/>
    <cellStyle name="常规 2 2 2 5 3 2 5 4" xfId="19026"/>
    <cellStyle name="常规 2 2 2 5 3 2 6" xfId="19028"/>
    <cellStyle name="常规 2 2 2 5 3 2 6 2" xfId="19029"/>
    <cellStyle name="常规 2 2 2 5 3 2 7" xfId="19030"/>
    <cellStyle name="常规 2 2 2 5 3 2 7 2" xfId="19031"/>
    <cellStyle name="常规 2 2 2 5 3 2 8" xfId="3081"/>
    <cellStyle name="常规 2 2 2 5 3 2 9" xfId="19032"/>
    <cellStyle name="常规 2 2 2 5 3 3" xfId="19033"/>
    <cellStyle name="常规 2 2 2 5 3 3 2" xfId="13001"/>
    <cellStyle name="常规 2 2 2 5 3 3 2 2" xfId="19034"/>
    <cellStyle name="常规 2 2 2 5 3 3 2 2 2" xfId="11694"/>
    <cellStyle name="常规 2 2 2 5 3 3 2 2 2 2" xfId="2738"/>
    <cellStyle name="常规 2 2 2 5 3 3 2 2 3" xfId="11696"/>
    <cellStyle name="常规 2 2 2 5 3 3 2 2 4" xfId="11698"/>
    <cellStyle name="常规 2 2 2 5 3 3 2 3" xfId="19035"/>
    <cellStyle name="常规 2 2 2 5 3 3 2 3 2" xfId="11724"/>
    <cellStyle name="常规 2 2 2 5 3 3 2 4" xfId="19036"/>
    <cellStyle name="常规 2 2 2 5 3 3 2 5" xfId="19037"/>
    <cellStyle name="常规 2 2 2 5 3 3 3" xfId="19038"/>
    <cellStyle name="常规 2 2 2 5 3 3 3 2" xfId="19039"/>
    <cellStyle name="常规 2 2 2 5 3 3 3 2 2" xfId="19040"/>
    <cellStyle name="常规 2 2 2 5 3 3 3 3" xfId="19041"/>
    <cellStyle name="常规 2 2 2 5 3 3 3 4" xfId="19042"/>
    <cellStyle name="常规 2 2 2 5 3 3 4" xfId="19043"/>
    <cellStyle name="常规 2 2 2 5 3 3 4 2" xfId="19044"/>
    <cellStyle name="常规 2 2 2 5 3 3 4 2 2" xfId="11893"/>
    <cellStyle name="常规 2 2 2 5 3 3 4 3" xfId="19045"/>
    <cellStyle name="常规 2 2 2 5 3 3 4 4" xfId="19046"/>
    <cellStyle name="常规 2 2 2 5 3 3 5" xfId="19047"/>
    <cellStyle name="常规 2 2 2 5 3 3 5 2" xfId="19048"/>
    <cellStyle name="常规 2 2 2 5 3 3 6" xfId="19049"/>
    <cellStyle name="常规 2 2 2 5 3 3 7" xfId="19050"/>
    <cellStyle name="常规 2 2 2 5 3 3 8" xfId="19051"/>
    <cellStyle name="常规 2 2 2 5 3 4" xfId="19052"/>
    <cellStyle name="常规 2 2 2 5 3 4 2" xfId="13011"/>
    <cellStyle name="常规 2 2 2 5 3 4 2 2" xfId="19053"/>
    <cellStyle name="常规 2 2 2 5 3 4 2 2 2" xfId="12205"/>
    <cellStyle name="常规 2 2 2 5 3 4 2 3" xfId="19055"/>
    <cellStyle name="常规 2 2 2 5 3 4 2 4" xfId="19058"/>
    <cellStyle name="常规 2 2 2 5 3 4 3" xfId="12038"/>
    <cellStyle name="常规 2 2 2 5 3 4 3 2" xfId="12041"/>
    <cellStyle name="常规 2 2 2 5 3 4 4" xfId="12045"/>
    <cellStyle name="常规 2 2 2 5 3 4 5" xfId="11156"/>
    <cellStyle name="常规 2 2 2 5 3 4 6" xfId="11161"/>
    <cellStyle name="常规 2 2 2 5 3 5" xfId="19061"/>
    <cellStyle name="常规 2 2 2 5 3 5 2" xfId="19062"/>
    <cellStyle name="常规 2 2 2 5 3 5 2 2" xfId="19064"/>
    <cellStyle name="常规 2 2 2 5 3 5 3" xfId="12049"/>
    <cellStyle name="常规 2 2 2 5 3 5 4" xfId="19066"/>
    <cellStyle name="常规 2 2 2 5 3 6" xfId="19068"/>
    <cellStyle name="常规 2 2 2 5 3 6 2" xfId="6670"/>
    <cellStyle name="常规 2 2 2 5 3 6 2 2" xfId="6673"/>
    <cellStyle name="常规 2 2 2 5 3 6 3" xfId="6679"/>
    <cellStyle name="常规 2 2 2 5 3 6 4" xfId="6683"/>
    <cellStyle name="常规 2 2 2 5 3 7" xfId="19069"/>
    <cellStyle name="常规 2 2 2 5 3 7 2" xfId="6708"/>
    <cellStyle name="常规 2 2 2 5 3 8" xfId="19070"/>
    <cellStyle name="常规 2 2 2 5 3 8 2" xfId="19071"/>
    <cellStyle name="常规 2 2 2 5 3 9" xfId="12033"/>
    <cellStyle name="常规 2 2 2 5 4" xfId="19073"/>
    <cellStyle name="常规 2 2 2 5 4 2" xfId="19074"/>
    <cellStyle name="常规 2 2 2 5 4 2 2" xfId="13034"/>
    <cellStyle name="常规 2 2 2 5 4 2 2 2" xfId="13037"/>
    <cellStyle name="常规 2 2 2 5 4 2 2 2 2" xfId="19075"/>
    <cellStyle name="常规 2 2 2 5 4 2 2 3" xfId="19076"/>
    <cellStyle name="常规 2 2 2 5 4 2 2 4" xfId="19077"/>
    <cellStyle name="常规 2 2 2 5 4 2 3" xfId="13039"/>
    <cellStyle name="常规 2 2 2 5 4 2 3 2" xfId="19079"/>
    <cellStyle name="常规 2 2 2 5 4 2 4" xfId="19080"/>
    <cellStyle name="常规 2 2 2 5 4 2 5" xfId="19081"/>
    <cellStyle name="常规 2 2 2 5 4 3" xfId="19082"/>
    <cellStyle name="常规 2 2 2 5 4 3 2" xfId="13049"/>
    <cellStyle name="常规 2 2 2 5 4 3 2 2" xfId="11569"/>
    <cellStyle name="常规 2 2 2 5 4 3 3" xfId="19083"/>
    <cellStyle name="常规 2 2 2 5 4 3 4" xfId="19085"/>
    <cellStyle name="常规 2 2 2 5 4 4" xfId="19087"/>
    <cellStyle name="常规 2 2 2 5 4 4 2" xfId="19088"/>
    <cellStyle name="常规 2 2 2 5 4 4 2 2" xfId="3006"/>
    <cellStyle name="常规 2 2 2 5 4 4 3" xfId="12057"/>
    <cellStyle name="常规 2 2 2 5 4 4 4" xfId="15364"/>
    <cellStyle name="常规 2 2 2 5 4 5" xfId="19090"/>
    <cellStyle name="常规 2 2 2 5 4 5 2" xfId="19091"/>
    <cellStyle name="常规 2 2 2 5 4 6" xfId="19093"/>
    <cellStyle name="常规 2 2 2 5 4 7" xfId="19095"/>
    <cellStyle name="常规 2 2 2 5 4 8" xfId="18114"/>
    <cellStyle name="常规 2 2 2 5 5" xfId="19096"/>
    <cellStyle name="常规 2 2 2 5 5 2" xfId="19097"/>
    <cellStyle name="常规 2 2 2 5 5 2 2" xfId="19099"/>
    <cellStyle name="常规 2 2 2 5 5 2 2 2" xfId="19101"/>
    <cellStyle name="常规 2 2 2 5 5 2 3" xfId="19102"/>
    <cellStyle name="常规 2 2 2 5 5 2 4" xfId="19104"/>
    <cellStyle name="常规 2 2 2 5 5 3" xfId="19105"/>
    <cellStyle name="常规 2 2 2 5 5 3 2" xfId="19106"/>
    <cellStyle name="常规 2 2 2 5 5 4" xfId="19107"/>
    <cellStyle name="常规 2 2 2 5 5 5" xfId="19108"/>
    <cellStyle name="常规 2 2 2 5 5 6" xfId="19109"/>
    <cellStyle name="常规 2 2 2 5 6" xfId="19112"/>
    <cellStyle name="常规 2 2 2 5 6 2" xfId="19115"/>
    <cellStyle name="常规 2 2 2 5 6 2 2" xfId="19118"/>
    <cellStyle name="常规 2 2 2 5 6 3" xfId="19120"/>
    <cellStyle name="常规 2 2 2 5 6 4" xfId="19123"/>
    <cellStyle name="常规 2 2 2 5 7" xfId="19125"/>
    <cellStyle name="常规 2 2 2 5 7 2" xfId="14646"/>
    <cellStyle name="常规 2 2 2 5 7 2 2" xfId="14648"/>
    <cellStyle name="常规 2 2 2 5 7 3" xfId="14651"/>
    <cellStyle name="常规 2 2 2 5 7 4" xfId="14653"/>
    <cellStyle name="常规 2 2 2 5 8" xfId="7944"/>
    <cellStyle name="常规 2 2 2 5 8 2" xfId="7949"/>
    <cellStyle name="常规 2 2 2 5 9" xfId="7955"/>
    <cellStyle name="常规 2 2 2 5 9 2" xfId="14858"/>
    <cellStyle name="常规 2 2 2 6" xfId="19126"/>
    <cellStyle name="常规 2 2 2 6 10" xfId="19127"/>
    <cellStyle name="常规 2 2 2 6 11" xfId="19129"/>
    <cellStyle name="常规 2 2 2 6 12" xfId="19131"/>
    <cellStyle name="常规 2 2 2 6 2" xfId="19132"/>
    <cellStyle name="常规 2 2 2 6 2 10" xfId="19133"/>
    <cellStyle name="常规 2 2 2 6 2 11" xfId="19135"/>
    <cellStyle name="常规 2 2 2 6 2 12" xfId="11441"/>
    <cellStyle name="常规 2 2 2 6 2 2" xfId="6517"/>
    <cellStyle name="常规 2 2 2 6 2 2 10" xfId="19137"/>
    <cellStyle name="常规 2 2 2 6 2 2 2" xfId="5546"/>
    <cellStyle name="常规 2 2 2 6 2 2 2 2" xfId="19138"/>
    <cellStyle name="常规 2 2 2 6 2 2 2 2 2" xfId="19139"/>
    <cellStyle name="常规 2 2 2 6 2 2 2 2 2 2" xfId="19140"/>
    <cellStyle name="常规 2 2 2 6 2 2 2 2 2 2 2" xfId="19141"/>
    <cellStyle name="常规 2 2 2 6 2 2 2 2 2 3" xfId="19142"/>
    <cellStyle name="常规 2 2 2 6 2 2 2 2 2 4" xfId="19143"/>
    <cellStyle name="常规 2 2 2 6 2 2 2 2 3" xfId="19144"/>
    <cellStyle name="常规 2 2 2 6 2 2 2 2 3 2" xfId="19146"/>
    <cellStyle name="常规 2 2 2 6 2 2 2 2 4" xfId="19148"/>
    <cellStyle name="常规 2 2 2 6 2 2 2 2 5" xfId="19151"/>
    <cellStyle name="常规 2 2 2 6 2 2 2 3" xfId="19153"/>
    <cellStyle name="常规 2 2 2 6 2 2 2 3 2" xfId="19154"/>
    <cellStyle name="常规 2 2 2 6 2 2 2 3 2 2" xfId="6959"/>
    <cellStyle name="常规 2 2 2 6 2 2 2 3 3" xfId="19157"/>
    <cellStyle name="常规 2 2 2 6 2 2 2 3 4" xfId="19159"/>
    <cellStyle name="常规 2 2 2 6 2 2 2 4" xfId="19161"/>
    <cellStyle name="常规 2 2 2 6 2 2 2 4 2" xfId="19164"/>
    <cellStyle name="常规 2 2 2 6 2 2 2 4 2 2" xfId="19167"/>
    <cellStyle name="常规 2 2 2 6 2 2 2 4 3" xfId="6928"/>
    <cellStyle name="常规 2 2 2 6 2 2 2 4 4" xfId="6932"/>
    <cellStyle name="常规 2 2 2 6 2 2 2 5" xfId="19169"/>
    <cellStyle name="常规 2 2 2 6 2 2 2 5 2" xfId="19174"/>
    <cellStyle name="常规 2 2 2 6 2 2 2 6" xfId="19176"/>
    <cellStyle name="常规 2 2 2 6 2 2 2 7" xfId="19179"/>
    <cellStyle name="常规 2 2 2 6 2 2 2 8" xfId="19182"/>
    <cellStyle name="常规 2 2 2 6 2 2 3" xfId="19185"/>
    <cellStyle name="常规 2 2 2 6 2 2 3 2" xfId="19186"/>
    <cellStyle name="常规 2 2 2 6 2 2 3 2 2" xfId="19187"/>
    <cellStyle name="常规 2 2 2 6 2 2 3 2 2 2" xfId="19188"/>
    <cellStyle name="常规 2 2 2 6 2 2 3 2 3" xfId="7918"/>
    <cellStyle name="常规 2 2 2 6 2 2 3 2 4" xfId="7922"/>
    <cellStyle name="常规 2 2 2 6 2 2 3 3" xfId="19189"/>
    <cellStyle name="常规 2 2 2 6 2 2 3 3 2" xfId="19191"/>
    <cellStyle name="常规 2 2 2 6 2 2 3 4" xfId="19192"/>
    <cellStyle name="常规 2 2 2 6 2 2 3 5" xfId="19194"/>
    <cellStyle name="常规 2 2 2 6 2 2 3 6" xfId="541"/>
    <cellStyle name="常规 2 2 2 6 2 2 4" xfId="19197"/>
    <cellStyle name="常规 2 2 2 6 2 2 4 2" xfId="19198"/>
    <cellStyle name="常规 2 2 2 6 2 2 4 2 2" xfId="1783"/>
    <cellStyle name="常规 2 2 2 6 2 2 4 3" xfId="19199"/>
    <cellStyle name="常规 2 2 2 6 2 2 4 4" xfId="19200"/>
    <cellStyle name="常规 2 2 2 6 2 2 5" xfId="19202"/>
    <cellStyle name="常规 2 2 2 6 2 2 5 2" xfId="19203"/>
    <cellStyle name="常规 2 2 2 6 2 2 5 2 2" xfId="19204"/>
    <cellStyle name="常规 2 2 2 6 2 2 5 3" xfId="11850"/>
    <cellStyle name="常规 2 2 2 6 2 2 5 4" xfId="11856"/>
    <cellStyle name="常规 2 2 2 6 2 2 6" xfId="19205"/>
    <cellStyle name="常规 2 2 2 6 2 2 6 2" xfId="19206"/>
    <cellStyle name="常规 2 2 2 6 2 2 7" xfId="19207"/>
    <cellStyle name="常规 2 2 2 6 2 2 7 2" xfId="19208"/>
    <cellStyle name="常规 2 2 2 6 2 2 8" xfId="19209"/>
    <cellStyle name="常规 2 2 2 6 2 2 9" xfId="19210"/>
    <cellStyle name="常规 2 2 2 6 2 3" xfId="6521"/>
    <cellStyle name="常规 2 2 2 6 2 3 10" xfId="19211"/>
    <cellStyle name="常规 2 2 2 6 2 3 11" xfId="19213"/>
    <cellStyle name="常规 2 2 2 6 2 3 2" xfId="19218"/>
    <cellStyle name="常规 2 2 2 6 2 3 2 10" xfId="14151"/>
    <cellStyle name="常规 2 2 2 6 2 3 2 2" xfId="19219"/>
    <cellStyle name="常规 2 2 2 6 2 3 2 2 2" xfId="19220"/>
    <cellStyle name="常规 2 2 2 6 2 3 2 2 2 2" xfId="19221"/>
    <cellStyle name="常规 2 2 2 6 2 3 2 2 2 2 2" xfId="19222"/>
    <cellStyle name="常规 2 2 2 6 2 3 2 2 2 2 2 2" xfId="19224"/>
    <cellStyle name="常规 2 2 2 6 2 3 2 2 2 2 3" xfId="19225"/>
    <cellStyle name="常规 2 2 2 6 2 3 2 2 2 2 4" xfId="19227"/>
    <cellStyle name="常规 2 2 2 6 2 3 2 2 2 3" xfId="19228"/>
    <cellStyle name="常规 2 2 2 6 2 3 2 2 2 3 2" xfId="19229"/>
    <cellStyle name="常规 2 2 2 6 2 3 2 2 2 4" xfId="19230"/>
    <cellStyle name="常规 2 2 2 6 2 3 2 2 2 5" xfId="19231"/>
    <cellStyle name="常规 2 2 2 6 2 3 2 2 3" xfId="19232"/>
    <cellStyle name="常规 2 2 2 6 2 3 2 2 3 2" xfId="19233"/>
    <cellStyle name="常规 2 2 2 6 2 3 2 2 3 2 2" xfId="19235"/>
    <cellStyle name="常规 2 2 2 6 2 3 2 2 3 3" xfId="19238"/>
    <cellStyle name="常规 2 2 2 6 2 3 2 2 3 4" xfId="19240"/>
    <cellStyle name="常规 2 2 2 6 2 3 2 2 4" xfId="9152"/>
    <cellStyle name="常规 2 2 2 6 2 3 2 2 4 2" xfId="19242"/>
    <cellStyle name="常规 2 2 2 6 2 3 2 2 4 2 2" xfId="19244"/>
    <cellStyle name="常规 2 2 2 6 2 3 2 2 4 3" xfId="19247"/>
    <cellStyle name="常规 2 2 2 6 2 3 2 2 4 4" xfId="19250"/>
    <cellStyle name="常规 2 2 2 6 2 3 2 2 5" xfId="19252"/>
    <cellStyle name="常规 2 2 2 6 2 3 2 2 5 2" xfId="19253"/>
    <cellStyle name="常规 2 2 2 6 2 3 2 2 6" xfId="19255"/>
    <cellStyle name="常规 2 2 2 6 2 3 2 2 7" xfId="19257"/>
    <cellStyle name="常规 2 2 2 6 2 3 2 2 8" xfId="19259"/>
    <cellStyle name="常规 2 2 2 6 2 3 2 3" xfId="19261"/>
    <cellStyle name="常规 2 2 2 6 2 3 2 3 2" xfId="19263"/>
    <cellStyle name="常规 2 2 2 6 2 3 2 3 2 2" xfId="7266"/>
    <cellStyle name="常规 2 2 2 6 2 3 2 3 2 2 2" xfId="7268"/>
    <cellStyle name="常规 2 2 2 6 2 3 2 3 2 3" xfId="19266"/>
    <cellStyle name="常规 2 2 2 6 2 3 2 3 2 4" xfId="19267"/>
    <cellStyle name="常规 2 2 2 6 2 3 2 3 3" xfId="19269"/>
    <cellStyle name="常规 2 2 2 6 2 3 2 3 3 2" xfId="7288"/>
    <cellStyle name="常规 2 2 2 6 2 3 2 3 4" xfId="19270"/>
    <cellStyle name="常规 2 2 2 6 2 3 2 3 5" xfId="19271"/>
    <cellStyle name="常规 2 2 2 6 2 3 2 3 6" xfId="19273"/>
    <cellStyle name="常规 2 2 2 6 2 3 2 4" xfId="19275"/>
    <cellStyle name="常规 2 2 2 6 2 3 2 4 2" xfId="19278"/>
    <cellStyle name="常规 2 2 2 6 2 3 2 4 2 2" xfId="19281"/>
    <cellStyle name="常规 2 2 2 6 2 3 2 4 3" xfId="6971"/>
    <cellStyle name="常规 2 2 2 6 2 3 2 4 4" xfId="19283"/>
    <cellStyle name="常规 2 2 2 6 2 3 2 5" xfId="19285"/>
    <cellStyle name="常规 2 2 2 6 2 3 2 5 2" xfId="19288"/>
    <cellStyle name="常规 2 2 2 6 2 3 2 5 2 2" xfId="6617"/>
    <cellStyle name="常规 2 2 2 6 2 3 2 5 3" xfId="19290"/>
    <cellStyle name="常规 2 2 2 6 2 3 2 5 4" xfId="19292"/>
    <cellStyle name="常规 2 2 2 6 2 3 2 6" xfId="19294"/>
    <cellStyle name="常规 2 2 2 6 2 3 2 6 2" xfId="19215"/>
    <cellStyle name="常规 2 2 2 6 2 3 2 7" xfId="19298"/>
    <cellStyle name="常规 2 2 2 6 2 3 2 7 2" xfId="19304"/>
    <cellStyle name="常规 2 2 2 6 2 3 2 8" xfId="4280"/>
    <cellStyle name="常规 2 2 2 6 2 3 2 9" xfId="4291"/>
    <cellStyle name="常规 2 2 2 6 2 3 3" xfId="19307"/>
    <cellStyle name="常规 2 2 2 6 2 3 3 2" xfId="19308"/>
    <cellStyle name="常规 2 2 2 6 2 3 3 2 2" xfId="19309"/>
    <cellStyle name="常规 2 2 2 6 2 3 3 2 2 2" xfId="19310"/>
    <cellStyle name="常规 2 2 2 6 2 3 3 2 2 2 2" xfId="19311"/>
    <cellStyle name="常规 2 2 2 6 2 3 3 2 2 3" xfId="19312"/>
    <cellStyle name="常规 2 2 2 6 2 3 3 2 2 4" xfId="19313"/>
    <cellStyle name="常规 2 2 2 6 2 3 3 2 3" xfId="19314"/>
    <cellStyle name="常规 2 2 2 6 2 3 3 2 3 2" xfId="19316"/>
    <cellStyle name="常规 2 2 2 6 2 3 3 2 4" xfId="10334"/>
    <cellStyle name="常规 2 2 2 6 2 3 3 2 5" xfId="10339"/>
    <cellStyle name="常规 2 2 2 6 2 3 3 3" xfId="19318"/>
    <cellStyle name="常规 2 2 2 6 2 3 3 3 2" xfId="19320"/>
    <cellStyle name="常规 2 2 2 6 2 3 3 3 2 2" xfId="19323"/>
    <cellStyle name="常规 2 2 2 6 2 3 3 3 3" xfId="19324"/>
    <cellStyle name="常规 2 2 2 6 2 3 3 3 4" xfId="10345"/>
    <cellStyle name="常规 2 2 2 6 2 3 3 4" xfId="19328"/>
    <cellStyle name="常规 2 2 2 6 2 3 3 4 2" xfId="19331"/>
    <cellStyle name="常规 2 2 2 6 2 3 3 4 2 2" xfId="19335"/>
    <cellStyle name="常规 2 2 2 6 2 3 3 4 3" xfId="19337"/>
    <cellStyle name="常规 2 2 2 6 2 3 3 4 4" xfId="10348"/>
    <cellStyle name="常规 2 2 2 6 2 3 3 5" xfId="19340"/>
    <cellStyle name="常规 2 2 2 6 2 3 3 5 2" xfId="19343"/>
    <cellStyle name="常规 2 2 2 6 2 3 3 6" xfId="775"/>
    <cellStyle name="常规 2 2 2 6 2 3 3 7" xfId="964"/>
    <cellStyle name="常规 2 2 2 6 2 3 3 8" xfId="3744"/>
    <cellStyle name="常规 2 2 2 6 2 3 4" xfId="19346"/>
    <cellStyle name="常规 2 2 2 6 2 3 4 2" xfId="19347"/>
    <cellStyle name="常规 2 2 2 6 2 3 4 2 2" xfId="19348"/>
    <cellStyle name="常规 2 2 2 6 2 3 4 2 2 2" xfId="19350"/>
    <cellStyle name="常规 2 2 2 6 2 3 4 2 3" xfId="19351"/>
    <cellStyle name="常规 2 2 2 6 2 3 4 2 4" xfId="19352"/>
    <cellStyle name="常规 2 2 2 6 2 3 4 3" xfId="19353"/>
    <cellStyle name="常规 2 2 2 6 2 3 4 3 2" xfId="19354"/>
    <cellStyle name="常规 2 2 2 6 2 3 4 4" xfId="19355"/>
    <cellStyle name="常规 2 2 2 6 2 3 4 5" xfId="19357"/>
    <cellStyle name="常规 2 2 2 6 2 3 4 6" xfId="719"/>
    <cellStyle name="常规 2 2 2 6 2 3 5" xfId="19360"/>
    <cellStyle name="常规 2 2 2 6 2 3 5 2" xfId="19361"/>
    <cellStyle name="常规 2 2 2 6 2 3 5 2 2" xfId="19362"/>
    <cellStyle name="常规 2 2 2 6 2 3 5 3" xfId="11883"/>
    <cellStyle name="常规 2 2 2 6 2 3 5 4" xfId="11887"/>
    <cellStyle name="常规 2 2 2 6 2 3 6" xfId="19363"/>
    <cellStyle name="常规 2 2 2 6 2 3 6 2" xfId="19364"/>
    <cellStyle name="常规 2 2 2 6 2 3 6 2 2" xfId="19365"/>
    <cellStyle name="常规 2 2 2 6 2 3 6 3" xfId="11891"/>
    <cellStyle name="常规 2 2 2 6 2 3 6 4" xfId="19366"/>
    <cellStyle name="常规 2 2 2 6 2 3 7" xfId="19368"/>
    <cellStyle name="常规 2 2 2 6 2 3 7 2" xfId="19369"/>
    <cellStyle name="常规 2 2 2 6 2 3 8" xfId="19370"/>
    <cellStyle name="常规 2 2 2 6 2 3 8 2" xfId="19371"/>
    <cellStyle name="常规 2 2 2 6 2 3 9" xfId="19373"/>
    <cellStyle name="常规 2 2 2 6 2 4" xfId="19374"/>
    <cellStyle name="常规 2 2 2 6 2 4 2" xfId="19375"/>
    <cellStyle name="常规 2 2 2 6 2 4 2 2" xfId="19376"/>
    <cellStyle name="常规 2 2 2 6 2 4 2 2 2" xfId="19377"/>
    <cellStyle name="常规 2 2 2 6 2 4 2 2 2 2" xfId="19378"/>
    <cellStyle name="常规 2 2 2 6 2 4 2 2 3" xfId="19379"/>
    <cellStyle name="常规 2 2 2 6 2 4 2 2 4" xfId="19380"/>
    <cellStyle name="常规 2 2 2 6 2 4 2 3" xfId="19381"/>
    <cellStyle name="常规 2 2 2 6 2 4 2 3 2" xfId="19383"/>
    <cellStyle name="常规 2 2 2 6 2 4 2 4" xfId="19387"/>
    <cellStyle name="常规 2 2 2 6 2 4 2 5" xfId="19389"/>
    <cellStyle name="常规 2 2 2 6 2 4 3" xfId="19391"/>
    <cellStyle name="常规 2 2 2 6 2 4 3 2" xfId="19392"/>
    <cellStyle name="常规 2 2 2 6 2 4 3 2 2" xfId="19395"/>
    <cellStyle name="常规 2 2 2 6 2 4 3 3" xfId="19396"/>
    <cellStyle name="常规 2 2 2 6 2 4 3 4" xfId="19399"/>
    <cellStyle name="常规 2 2 2 6 2 4 4" xfId="19400"/>
    <cellStyle name="常规 2 2 2 6 2 4 4 2" xfId="19401"/>
    <cellStyle name="常规 2 2 2 6 2 4 4 2 2" xfId="19402"/>
    <cellStyle name="常规 2 2 2 6 2 4 4 3" xfId="19406"/>
    <cellStyle name="常规 2 2 2 6 2 4 4 4" xfId="19407"/>
    <cellStyle name="常规 2 2 2 6 2 4 5" xfId="11216"/>
    <cellStyle name="常规 2 2 2 6 2 4 5 2" xfId="19408"/>
    <cellStyle name="常规 2 2 2 6 2 4 6" xfId="19409"/>
    <cellStyle name="常规 2 2 2 6 2 4 7" xfId="19411"/>
    <cellStyle name="常规 2 2 2 6 2 4 8" xfId="19412"/>
    <cellStyle name="常规 2 2 2 6 2 5" xfId="10359"/>
    <cellStyle name="常规 2 2 2 6 2 5 2" xfId="10362"/>
    <cellStyle name="常规 2 2 2 6 2 5 2 2" xfId="10364"/>
    <cellStyle name="常规 2 2 2 6 2 5 2 2 2" xfId="18387"/>
    <cellStyle name="常规 2 2 2 6 2 5 2 3" xfId="19413"/>
    <cellStyle name="常规 2 2 2 6 2 5 2 4" xfId="19414"/>
    <cellStyle name="常规 2 2 2 6 2 5 3" xfId="10366"/>
    <cellStyle name="常规 2 2 2 6 2 5 3 2" xfId="10368"/>
    <cellStyle name="常规 2 2 2 6 2 5 4" xfId="10370"/>
    <cellStyle name="常规 2 2 2 6 2 5 5" xfId="10372"/>
    <cellStyle name="常规 2 2 2 6 2 5 6" xfId="19415"/>
    <cellStyle name="常规 2 2 2 6 2 6" xfId="10374"/>
    <cellStyle name="常规 2 2 2 6 2 6 2" xfId="10377"/>
    <cellStyle name="常规 2 2 2 6 2 6 2 2" xfId="19416"/>
    <cellStyle name="常规 2 2 2 6 2 6 3" xfId="19417"/>
    <cellStyle name="常规 2 2 2 6 2 6 4" xfId="19418"/>
    <cellStyle name="常规 2 2 2 6 2 7" xfId="10379"/>
    <cellStyle name="常规 2 2 2 6 2 7 2" xfId="10381"/>
    <cellStyle name="常规 2 2 2 6 2 7 2 2" xfId="19419"/>
    <cellStyle name="常规 2 2 2 6 2 7 3" xfId="19420"/>
    <cellStyle name="常规 2 2 2 6 2 7 4" xfId="19421"/>
    <cellStyle name="常规 2 2 2 6 2 8" xfId="10383"/>
    <cellStyle name="常规 2 2 2 6 2 8 2" xfId="19422"/>
    <cellStyle name="常规 2 2 2 6 2 9" xfId="10386"/>
    <cellStyle name="常规 2 2 2 6 2 9 2" xfId="19423"/>
    <cellStyle name="常规 2 2 2 6 3" xfId="13111"/>
    <cellStyle name="常规 2 2 2 6 3 10" xfId="13114"/>
    <cellStyle name="常规 2 2 2 6 3 11" xfId="19424"/>
    <cellStyle name="常规 2 2 2 6 3 2" xfId="6292"/>
    <cellStyle name="常规 2 2 2 6 3 2 10" xfId="13118"/>
    <cellStyle name="常规 2 2 2 6 3 2 2" xfId="13082"/>
    <cellStyle name="常规 2 2 2 6 3 2 2 2" xfId="13121"/>
    <cellStyle name="常规 2 2 2 6 3 2 2 2 2" xfId="13123"/>
    <cellStyle name="常规 2 2 2 6 3 2 2 2 2 2" xfId="13125"/>
    <cellStyle name="常规 2 2 2 6 3 2 2 2 2 2 2" xfId="13127"/>
    <cellStyle name="常规 2 2 2 6 3 2 2 2 2 3" xfId="13133"/>
    <cellStyle name="常规 2 2 2 6 3 2 2 2 2 4" xfId="13136"/>
    <cellStyle name="常规 2 2 2 6 3 2 2 2 3" xfId="13138"/>
    <cellStyle name="常规 2 2 2 6 3 2 2 2 3 2" xfId="13140"/>
    <cellStyle name="常规 2 2 2 6 3 2 2 2 4" xfId="13144"/>
    <cellStyle name="常规 2 2 2 6 3 2 2 2 5" xfId="13151"/>
    <cellStyle name="常规 2 2 2 6 3 2 2 3" xfId="13158"/>
    <cellStyle name="常规 2 2 2 6 3 2 2 3 2" xfId="13161"/>
    <cellStyle name="常规 2 2 2 6 3 2 2 3 2 2" xfId="13164"/>
    <cellStyle name="常规 2 2 2 6 3 2 2 3 3" xfId="13169"/>
    <cellStyle name="常规 2 2 2 6 3 2 2 3 4" xfId="13172"/>
    <cellStyle name="常规 2 2 2 6 3 2 2 4" xfId="13175"/>
    <cellStyle name="常规 2 2 2 6 3 2 2 4 2" xfId="13179"/>
    <cellStyle name="常规 2 2 2 6 3 2 2 4 2 2" xfId="13183"/>
    <cellStyle name="常规 2 2 2 6 3 2 2 4 3" xfId="13187"/>
    <cellStyle name="常规 2 2 2 6 3 2 2 4 4" xfId="19428"/>
    <cellStyle name="常规 2 2 2 6 3 2 2 5" xfId="13190"/>
    <cellStyle name="常规 2 2 2 6 3 2 2 5 2" xfId="13194"/>
    <cellStyle name="常规 2 2 2 6 3 2 2 6" xfId="13200"/>
    <cellStyle name="常规 2 2 2 6 3 2 2 7" xfId="13208"/>
    <cellStyle name="常规 2 2 2 6 3 2 2 8" xfId="13212"/>
    <cellStyle name="常规 2 2 2 6 3 2 3" xfId="13215"/>
    <cellStyle name="常规 2 2 2 6 3 2 3 2" xfId="71"/>
    <cellStyle name="常规 2 2 2 6 3 2 3 2 2" xfId="13217"/>
    <cellStyle name="常规 2 2 2 6 3 2 3 2 2 2" xfId="13220"/>
    <cellStyle name="常规 2 2 2 6 3 2 3 2 3" xfId="13238"/>
    <cellStyle name="常规 2 2 2 6 3 2 3 2 4" xfId="13245"/>
    <cellStyle name="常规 2 2 2 6 3 2 3 3" xfId="13267"/>
    <cellStyle name="常规 2 2 2 6 3 2 3 3 2" xfId="13270"/>
    <cellStyle name="常规 2 2 2 6 3 2 3 4" xfId="13292"/>
    <cellStyle name="常规 2 2 2 6 3 2 3 5" xfId="13316"/>
    <cellStyle name="常规 2 2 2 6 3 2 3 6" xfId="13327"/>
    <cellStyle name="常规 2 2 2 6 3 2 4" xfId="13351"/>
    <cellStyle name="常规 2 2 2 6 3 2 4 2" xfId="13353"/>
    <cellStyle name="常规 2 2 2 6 3 2 4 2 2" xfId="13355"/>
    <cellStyle name="常规 2 2 2 6 3 2 4 3" xfId="13366"/>
    <cellStyle name="常规 2 2 2 6 3 2 4 4" xfId="13373"/>
    <cellStyle name="常规 2 2 2 6 3 2 5" xfId="13397"/>
    <cellStyle name="常规 2 2 2 6 3 2 5 2" xfId="13399"/>
    <cellStyle name="常规 2 2 2 6 3 2 5 2 2" xfId="13401"/>
    <cellStyle name="常规 2 2 2 6 3 2 5 3" xfId="11921"/>
    <cellStyle name="常规 2 2 2 6 3 2 5 4" xfId="13408"/>
    <cellStyle name="常规 2 2 2 6 3 2 6" xfId="13416"/>
    <cellStyle name="常规 2 2 2 6 3 2 6 2" xfId="13418"/>
    <cellStyle name="常规 2 2 2 6 3 2 7" xfId="13423"/>
    <cellStyle name="常规 2 2 2 6 3 2 7 2" xfId="13425"/>
    <cellStyle name="常规 2 2 2 6 3 2 8" xfId="13431"/>
    <cellStyle name="常规 2 2 2 6 3 2 9" xfId="13435"/>
    <cellStyle name="常规 2 2 2 6 3 3" xfId="13440"/>
    <cellStyle name="常规 2 2 2 6 3 3 2" xfId="13446"/>
    <cellStyle name="常规 2 2 2 6 3 3 2 2" xfId="13449"/>
    <cellStyle name="常规 2 2 2 6 3 3 2 2 2" xfId="13451"/>
    <cellStyle name="常规 2 2 2 6 3 3 2 2 2 2" xfId="13453"/>
    <cellStyle name="常规 2 2 2 6 3 3 2 2 3" xfId="13463"/>
    <cellStyle name="常规 2 2 2 6 3 3 2 2 4" xfId="13471"/>
    <cellStyle name="常规 2 2 2 6 3 3 2 3" xfId="13485"/>
    <cellStyle name="常规 2 2 2 6 3 3 2 3 2" xfId="13488"/>
    <cellStyle name="常规 2 2 2 6 3 3 2 4" xfId="13499"/>
    <cellStyle name="常规 2 2 2 6 3 3 2 5" xfId="13511"/>
    <cellStyle name="常规 2 2 2 6 3 3 3" xfId="13521"/>
    <cellStyle name="常规 2 2 2 6 3 3 3 2" xfId="13523"/>
    <cellStyle name="常规 2 2 2 6 3 3 3 2 2" xfId="13525"/>
    <cellStyle name="常规 2 2 2 6 3 3 3 3" xfId="13536"/>
    <cellStyle name="常规 2 2 2 6 3 3 3 4" xfId="13542"/>
    <cellStyle name="常规 2 2 2 6 3 3 4" xfId="13557"/>
    <cellStyle name="常规 2 2 2 6 3 3 4 2" xfId="13559"/>
    <cellStyle name="常规 2 2 2 6 3 3 4 2 2" xfId="8858"/>
    <cellStyle name="常规 2 2 2 6 3 3 4 3" xfId="13562"/>
    <cellStyle name="常规 2 2 2 6 3 3 4 4" xfId="13567"/>
    <cellStyle name="常规 2 2 2 6 3 3 5" xfId="13573"/>
    <cellStyle name="常规 2 2 2 6 3 3 5 2" xfId="13575"/>
    <cellStyle name="常规 2 2 2 6 3 3 6" xfId="13582"/>
    <cellStyle name="常规 2 2 2 6 3 3 7" xfId="13588"/>
    <cellStyle name="常规 2 2 2 6 3 3 8" xfId="13591"/>
    <cellStyle name="常规 2 2 2 6 3 4" xfId="13596"/>
    <cellStyle name="常规 2 2 2 6 3 4 2" xfId="13599"/>
    <cellStyle name="常规 2 2 2 6 3 4 2 2" xfId="13602"/>
    <cellStyle name="常规 2 2 2 6 3 4 2 2 2" xfId="13604"/>
    <cellStyle name="常规 2 2 2 6 3 4 2 3" xfId="13609"/>
    <cellStyle name="常规 2 2 2 6 3 4 2 4" xfId="13615"/>
    <cellStyle name="常规 2 2 2 6 3 4 3" xfId="12098"/>
    <cellStyle name="常规 2 2 2 6 3 4 3 2" xfId="13619"/>
    <cellStyle name="常规 2 2 2 6 3 4 4" xfId="13627"/>
    <cellStyle name="常规 2 2 2 6 3 4 5" xfId="11224"/>
    <cellStyle name="常规 2 2 2 6 3 4 6" xfId="13640"/>
    <cellStyle name="常规 2 2 2 6 3 5" xfId="10391"/>
    <cellStyle name="常规 2 2 2 6 3 5 2" xfId="10394"/>
    <cellStyle name="常规 2 2 2 6 3 5 2 2" xfId="10397"/>
    <cellStyle name="常规 2 2 2 6 3 5 3" xfId="10409"/>
    <cellStyle name="常规 2 2 2 6 3 5 4" xfId="10414"/>
    <cellStyle name="常规 2 2 2 6 3 6" xfId="10422"/>
    <cellStyle name="常规 2 2 2 6 3 6 2" xfId="10425"/>
    <cellStyle name="常规 2 2 2 6 3 6 2 2" xfId="10428"/>
    <cellStyle name="常规 2 2 2 6 3 6 3" xfId="10433"/>
    <cellStyle name="常规 2 2 2 6 3 6 4" xfId="10437"/>
    <cellStyle name="常规 2 2 2 6 3 7" xfId="10441"/>
    <cellStyle name="常规 2 2 2 6 3 7 2" xfId="10444"/>
    <cellStyle name="常规 2 2 2 6 3 8" xfId="10448"/>
    <cellStyle name="常规 2 2 2 6 3 8 2" xfId="10451"/>
    <cellStyle name="常规 2 2 2 6 3 9" xfId="10456"/>
    <cellStyle name="常规 2 2 2 6 4" xfId="13652"/>
    <cellStyle name="常规 2 2 2 6 4 2" xfId="6536"/>
    <cellStyle name="常规 2 2 2 6 4 2 2" xfId="13665"/>
    <cellStyle name="常规 2 2 2 6 4 2 2 2" xfId="13668"/>
    <cellStyle name="常规 2 2 2 6 4 2 2 2 2" xfId="13671"/>
    <cellStyle name="常规 2 2 2 6 4 2 2 3" xfId="11602"/>
    <cellStyle name="常规 2 2 2 6 4 2 2 4" xfId="13691"/>
    <cellStyle name="常规 2 2 2 6 4 2 3" xfId="13718"/>
    <cellStyle name="常规 2 2 2 6 4 2 3 2" xfId="13721"/>
    <cellStyle name="常规 2 2 2 6 4 2 4" xfId="13739"/>
    <cellStyle name="常规 2 2 2 6 4 2 5" xfId="1969"/>
    <cellStyle name="常规 2 2 2 6 4 3" xfId="13772"/>
    <cellStyle name="常规 2 2 2 6 4 3 2" xfId="13781"/>
    <cellStyle name="常规 2 2 2 6 4 3 2 2" xfId="13785"/>
    <cellStyle name="常规 2 2 2 6 4 3 3" xfId="13858"/>
    <cellStyle name="常规 2 2 2 6 4 3 4" xfId="13887"/>
    <cellStyle name="常规 2 2 2 6 4 4" xfId="13923"/>
    <cellStyle name="常规 2 2 2 6 4 4 2" xfId="13927"/>
    <cellStyle name="常规 2 2 2 6 4 4 2 2" xfId="3795"/>
    <cellStyle name="常规 2 2 2 6 4 4 3" xfId="13944"/>
    <cellStyle name="常规 2 2 2 6 4 4 4" xfId="13954"/>
    <cellStyle name="常规 2 2 2 6 4 5" xfId="10464"/>
    <cellStyle name="常规 2 2 2 6 4 5 2" xfId="10469"/>
    <cellStyle name="常规 2 2 2 6 4 6" xfId="10474"/>
    <cellStyle name="常规 2 2 2 6 4 7" xfId="10481"/>
    <cellStyle name="常规 2 2 2 6 4 8" xfId="10485"/>
    <cellStyle name="常规 2 2 2 6 5" xfId="14000"/>
    <cellStyle name="常规 2 2 2 6 5 2" xfId="5089"/>
    <cellStyle name="常规 2 2 2 6 5 2 2" xfId="14007"/>
    <cellStyle name="常规 2 2 2 6 5 2 2 2" xfId="14010"/>
    <cellStyle name="常规 2 2 2 6 5 2 3" xfId="14080"/>
    <cellStyle name="常规 2 2 2 6 5 2 4" xfId="14106"/>
    <cellStyle name="常规 2 2 2 6 5 3" xfId="14139"/>
    <cellStyle name="常规 2 2 2 6 5 3 2" xfId="14142"/>
    <cellStyle name="常规 2 2 2 6 5 4" xfId="14204"/>
    <cellStyle name="常规 2 2 2 6 5 5" xfId="10490"/>
    <cellStyle name="常规 2 2 2 6 5 6" xfId="14243"/>
    <cellStyle name="常规 2 2 2 6 6" xfId="14257"/>
    <cellStyle name="常规 2 2 2 6 6 2" xfId="14261"/>
    <cellStyle name="常规 2 2 2 6 6 2 2" xfId="14265"/>
    <cellStyle name="常规 2 2 2 6 6 3" xfId="14329"/>
    <cellStyle name="常规 2 2 2 6 6 4" xfId="14371"/>
    <cellStyle name="常规 2 2 2 6 7" xfId="14399"/>
    <cellStyle name="常规 2 2 2 6 7 2" xfId="14402"/>
    <cellStyle name="常规 2 2 2 6 7 2 2" xfId="14405"/>
    <cellStyle name="常规 2 2 2 6 7 3" xfId="14422"/>
    <cellStyle name="常规 2 2 2 6 7 4" xfId="14432"/>
    <cellStyle name="常规 2 2 2 6 8" xfId="7962"/>
    <cellStyle name="常规 2 2 2 6 8 2" xfId="14441"/>
    <cellStyle name="常规 2 2 2 6 9" xfId="14484"/>
    <cellStyle name="常规 2 2 2 6 9 2" xfId="14488"/>
    <cellStyle name="常规 2 2 2 7" xfId="19430"/>
    <cellStyle name="常规 2 2 2 7 10" xfId="19431"/>
    <cellStyle name="常规 2 2 2 7 11" xfId="19432"/>
    <cellStyle name="常规 2 2 2 7 12" xfId="19433"/>
    <cellStyle name="常规 2 2 2 7 2" xfId="19434"/>
    <cellStyle name="常规 2 2 2 7 2 10" xfId="2873"/>
    <cellStyle name="常规 2 2 2 7 2 11" xfId="19435"/>
    <cellStyle name="常规 2 2 2 7 2 12" xfId="19436"/>
    <cellStyle name="常规 2 2 2 7 2 2" xfId="5775"/>
    <cellStyle name="常规 2 2 2 7 2 2 10" xfId="19438"/>
    <cellStyle name="常规 2 2 2 7 2 2 2" xfId="19440"/>
    <cellStyle name="常规 2 2 2 7 2 2 2 2" xfId="6324"/>
    <cellStyle name="常规 2 2 2 7 2 2 2 2 2" xfId="6326"/>
    <cellStyle name="常规 2 2 2 7 2 2 2 2 2 2" xfId="6328"/>
    <cellStyle name="常规 2 2 2 7 2 2 2 2 2 2 2" xfId="19441"/>
    <cellStyle name="常规 2 2 2 7 2 2 2 2 2 3" xfId="7028"/>
    <cellStyle name="常规 2 2 2 7 2 2 2 2 2 4" xfId="7075"/>
    <cellStyle name="常规 2 2 2 7 2 2 2 2 3" xfId="6330"/>
    <cellStyle name="常规 2 2 2 7 2 2 2 2 3 2" xfId="19442"/>
    <cellStyle name="常规 2 2 2 7 2 2 2 2 4" xfId="19444"/>
    <cellStyle name="常规 2 2 2 7 2 2 2 2 5" xfId="19234"/>
    <cellStyle name="常规 2 2 2 7 2 2 2 3" xfId="6332"/>
    <cellStyle name="常规 2 2 2 7 2 2 2 3 2" xfId="5598"/>
    <cellStyle name="常规 2 2 2 7 2 2 2 3 2 2" xfId="19446"/>
    <cellStyle name="常规 2 2 2 7 2 2 2 3 3" xfId="19448"/>
    <cellStyle name="常规 2 2 2 7 2 2 2 3 4" xfId="19450"/>
    <cellStyle name="常规 2 2 2 7 2 2 2 4" xfId="6334"/>
    <cellStyle name="常规 2 2 2 7 2 2 2 4 2" xfId="5700"/>
    <cellStyle name="常规 2 2 2 7 2 2 2 4 2 2" xfId="19453"/>
    <cellStyle name="常规 2 2 2 7 2 2 2 4 3" xfId="19455"/>
    <cellStyle name="常规 2 2 2 7 2 2 2 4 4" xfId="19457"/>
    <cellStyle name="常规 2 2 2 7 2 2 2 5" xfId="6337"/>
    <cellStyle name="常规 2 2 2 7 2 2 2 5 2" xfId="19461"/>
    <cellStyle name="常规 2 2 2 7 2 2 2 6" xfId="6339"/>
    <cellStyle name="常规 2 2 2 7 2 2 2 7" xfId="19462"/>
    <cellStyle name="常规 2 2 2 7 2 2 2 8" xfId="19464"/>
    <cellStyle name="常规 2 2 2 7 2 2 3" xfId="19467"/>
    <cellStyle name="常规 2 2 2 7 2 2 3 2" xfId="6354"/>
    <cellStyle name="常规 2 2 2 7 2 2 3 2 2" xfId="6042"/>
    <cellStyle name="常规 2 2 2 7 2 2 3 2 2 2" xfId="6052"/>
    <cellStyle name="常规 2 2 2 7 2 2 3 2 3" xfId="6270"/>
    <cellStyle name="常规 2 2 2 7 2 2 3 2 4" xfId="7286"/>
    <cellStyle name="常规 2 2 2 7 2 2 3 3" xfId="19468"/>
    <cellStyle name="常规 2 2 2 7 2 2 3 3 2" xfId="19470"/>
    <cellStyle name="常规 2 2 2 7 2 2 3 4" xfId="19471"/>
    <cellStyle name="常规 2 2 2 7 2 2 3 5" xfId="19472"/>
    <cellStyle name="常规 2 2 2 7 2 2 3 6" xfId="19473"/>
    <cellStyle name="常规 2 2 2 7 2 2 4" xfId="5821"/>
    <cellStyle name="常规 2 2 2 7 2 2 4 2" xfId="5081"/>
    <cellStyle name="常规 2 2 2 7 2 2 4 2 2" xfId="5086"/>
    <cellStyle name="常规 2 2 2 7 2 2 4 3" xfId="3970"/>
    <cellStyle name="常规 2 2 2 7 2 2 4 4" xfId="12915"/>
    <cellStyle name="常规 2 2 2 7 2 2 5" xfId="5823"/>
    <cellStyle name="常规 2 2 2 7 2 2 5 2" xfId="5170"/>
    <cellStyle name="常规 2 2 2 7 2 2 5 2 2" xfId="19475"/>
    <cellStyle name="常规 2 2 2 7 2 2 5 3" xfId="12411"/>
    <cellStyle name="常规 2 2 2 7 2 2 5 4" xfId="12419"/>
    <cellStyle name="常规 2 2 2 7 2 2 6" xfId="5827"/>
    <cellStyle name="常规 2 2 2 7 2 2 6 2" xfId="19476"/>
    <cellStyle name="常规 2 2 2 7 2 2 7" xfId="6279"/>
    <cellStyle name="常规 2 2 2 7 2 2 7 2" xfId="684"/>
    <cellStyle name="常规 2 2 2 7 2 2 8" xfId="6283"/>
    <cellStyle name="常规 2 2 2 7 2 2 9" xfId="19477"/>
    <cellStyle name="常规 2 2 2 7 2 3" xfId="19479"/>
    <cellStyle name="常规 2 2 2 7 2 3 10" xfId="19480"/>
    <cellStyle name="常规 2 2 2 7 2 3 11" xfId="19481"/>
    <cellStyle name="常规 2 2 2 7 2 3 2" xfId="19482"/>
    <cellStyle name="常规 2 2 2 7 2 3 2 10" xfId="9526"/>
    <cellStyle name="常规 2 2 2 7 2 3 2 2" xfId="19483"/>
    <cellStyle name="常规 2 2 2 7 2 3 2 2 2" xfId="19484"/>
    <cellStyle name="常规 2 2 2 7 2 3 2 2 2 2" xfId="19485"/>
    <cellStyle name="常规 2 2 2 7 2 3 2 2 2 2 2" xfId="19486"/>
    <cellStyle name="常规 2 2 2 7 2 3 2 2 2 2 2 2" xfId="19488"/>
    <cellStyle name="常规 2 2 2 7 2 3 2 2 2 2 3" xfId="19489"/>
    <cellStyle name="常规 2 2 2 7 2 3 2 2 2 2 4" xfId="19491"/>
    <cellStyle name="常规 2 2 2 7 2 3 2 2 2 3" xfId="19493"/>
    <cellStyle name="常规 2 2 2 7 2 3 2 2 2 3 2" xfId="15725"/>
    <cellStyle name="常规 2 2 2 7 2 3 2 2 2 4" xfId="13247"/>
    <cellStyle name="常规 2 2 2 7 2 3 2 2 2 5" xfId="2273"/>
    <cellStyle name="常规 2 2 2 7 2 3 2 2 3" xfId="19494"/>
    <cellStyle name="常规 2 2 2 7 2 3 2 2 3 2" xfId="19495"/>
    <cellStyle name="常规 2 2 2 7 2 3 2 2 3 2 2" xfId="19497"/>
    <cellStyle name="常规 2 2 2 7 2 3 2 2 3 3" xfId="19499"/>
    <cellStyle name="常规 2 2 2 7 2 3 2 2 3 4" xfId="13252"/>
    <cellStyle name="常规 2 2 2 7 2 3 2 2 4" xfId="9329"/>
    <cellStyle name="常规 2 2 2 7 2 3 2 2 4 2" xfId="19501"/>
    <cellStyle name="常规 2 2 2 7 2 3 2 2 4 2 2" xfId="19504"/>
    <cellStyle name="常规 2 2 2 7 2 3 2 2 4 3" xfId="19508"/>
    <cellStyle name="常规 2 2 2 7 2 3 2 2 4 4" xfId="13258"/>
    <cellStyle name="常规 2 2 2 7 2 3 2 2 5" xfId="19317"/>
    <cellStyle name="常规 2 2 2 7 2 3 2 2 5 2" xfId="19511"/>
    <cellStyle name="常规 2 2 2 7 2 3 2 2 6" xfId="19514"/>
    <cellStyle name="常规 2 2 2 7 2 3 2 2 7" xfId="19516"/>
    <cellStyle name="常规 2 2 2 7 2 3 2 2 8" xfId="19518"/>
    <cellStyle name="常规 2 2 2 7 2 3 2 3" xfId="19520"/>
    <cellStyle name="常规 2 2 2 7 2 3 2 3 2" xfId="19522"/>
    <cellStyle name="常规 2 2 2 7 2 3 2 3 2 2" xfId="19523"/>
    <cellStyle name="常规 2 2 2 7 2 3 2 3 2 2 2" xfId="19524"/>
    <cellStyle name="常规 2 2 2 7 2 3 2 3 2 3" xfId="19527"/>
    <cellStyle name="常规 2 2 2 7 2 3 2 3 2 4" xfId="13285"/>
    <cellStyle name="常规 2 2 2 7 2 3 2 3 3" xfId="19528"/>
    <cellStyle name="常规 2 2 2 7 2 3 2 3 3 2" xfId="19529"/>
    <cellStyle name="常规 2 2 2 7 2 3 2 3 4" xfId="19531"/>
    <cellStyle name="常规 2 2 2 7 2 3 2 3 5" xfId="10336"/>
    <cellStyle name="常规 2 2 2 7 2 3 2 3 6" xfId="19533"/>
    <cellStyle name="常规 2 2 2 7 2 3 2 4" xfId="19535"/>
    <cellStyle name="常规 2 2 2 7 2 3 2 4 2" xfId="19537"/>
    <cellStyle name="常规 2 2 2 7 2 3 2 4 2 2" xfId="19538"/>
    <cellStyle name="常规 2 2 2 7 2 3 2 4 3" xfId="19539"/>
    <cellStyle name="常规 2 2 2 7 2 3 2 4 4" xfId="19540"/>
    <cellStyle name="常规 2 2 2 7 2 3 2 5" xfId="19542"/>
    <cellStyle name="常规 2 2 2 7 2 3 2 5 2" xfId="19544"/>
    <cellStyle name="常规 2 2 2 7 2 3 2 5 2 2" xfId="19545"/>
    <cellStyle name="常规 2 2 2 7 2 3 2 5 3" xfId="19546"/>
    <cellStyle name="常规 2 2 2 7 2 3 2 5 4" xfId="4328"/>
    <cellStyle name="常规 2 2 2 7 2 3 2 6" xfId="19547"/>
    <cellStyle name="常规 2 2 2 7 2 3 2 6 2" xfId="19549"/>
    <cellStyle name="常规 2 2 2 7 2 3 2 7" xfId="19552"/>
    <cellStyle name="常规 2 2 2 7 2 3 2 7 2" xfId="19555"/>
    <cellStyle name="常规 2 2 2 7 2 3 2 8" xfId="19558"/>
    <cellStyle name="常规 2 2 2 7 2 3 2 9" xfId="19561"/>
    <cellStyle name="常规 2 2 2 7 2 3 3" xfId="19563"/>
    <cellStyle name="常规 2 2 2 7 2 3 3 2" xfId="19564"/>
    <cellStyle name="常规 2 2 2 7 2 3 3 2 2" xfId="19565"/>
    <cellStyle name="常规 2 2 2 7 2 3 3 2 2 2" xfId="19566"/>
    <cellStyle name="常规 2 2 2 7 2 3 3 2 2 2 2" xfId="9988"/>
    <cellStyle name="常规 2 2 2 7 2 3 3 2 2 3" xfId="19568"/>
    <cellStyle name="常规 2 2 2 7 2 3 3 2 2 4" xfId="19569"/>
    <cellStyle name="常规 2 2 2 7 2 3 3 2 3" xfId="19570"/>
    <cellStyle name="常规 2 2 2 7 2 3 3 2 3 2" xfId="19572"/>
    <cellStyle name="常规 2 2 2 7 2 3 3 2 4" xfId="19574"/>
    <cellStyle name="常规 2 2 2 7 2 3 3 2 5" xfId="19575"/>
    <cellStyle name="常规 2 2 2 7 2 3 3 3" xfId="19576"/>
    <cellStyle name="常规 2 2 2 7 2 3 3 3 2" xfId="19578"/>
    <cellStyle name="常规 2 2 2 7 2 3 3 3 2 2" xfId="19580"/>
    <cellStyle name="常规 2 2 2 7 2 3 3 3 3" xfId="19581"/>
    <cellStyle name="常规 2 2 2 7 2 3 3 3 4" xfId="19582"/>
    <cellStyle name="常规 2 2 2 7 2 3 3 4" xfId="19584"/>
    <cellStyle name="常规 2 2 2 7 2 3 3 4 2" xfId="19586"/>
    <cellStyle name="常规 2 2 2 7 2 3 3 4 2 2" xfId="19587"/>
    <cellStyle name="常规 2 2 2 7 2 3 3 4 3" xfId="19589"/>
    <cellStyle name="常规 2 2 2 7 2 3 3 4 4" xfId="19590"/>
    <cellStyle name="常规 2 2 2 7 2 3 3 5" xfId="19591"/>
    <cellStyle name="常规 2 2 2 7 2 3 3 5 2" xfId="19592"/>
    <cellStyle name="常规 2 2 2 7 2 3 3 6" xfId="19593"/>
    <cellStyle name="常规 2 2 2 7 2 3 3 7" xfId="19596"/>
    <cellStyle name="常规 2 2 2 7 2 3 3 8" xfId="19598"/>
    <cellStyle name="常规 2 2 2 7 2 3 4" xfId="5831"/>
    <cellStyle name="常规 2 2 2 7 2 3 4 2" xfId="5240"/>
    <cellStyle name="常规 2 2 2 7 2 3 4 2 2" xfId="19600"/>
    <cellStyle name="常规 2 2 2 7 2 3 4 2 2 2" xfId="19601"/>
    <cellStyle name="常规 2 2 2 7 2 3 4 2 3" xfId="19602"/>
    <cellStyle name="常规 2 2 2 7 2 3 4 2 4" xfId="19603"/>
    <cellStyle name="常规 2 2 2 7 2 3 4 3" xfId="19604"/>
    <cellStyle name="常规 2 2 2 7 2 3 4 3 2" xfId="19605"/>
    <cellStyle name="常规 2 2 2 7 2 3 4 4" xfId="12924"/>
    <cellStyle name="常规 2 2 2 7 2 3 4 5" xfId="18235"/>
    <cellStyle name="常规 2 2 2 7 2 3 4 6" xfId="18238"/>
    <cellStyle name="常规 2 2 2 7 2 3 5" xfId="5833"/>
    <cellStyle name="常规 2 2 2 7 2 3 5 2" xfId="18428"/>
    <cellStyle name="常规 2 2 2 7 2 3 5 2 2" xfId="19607"/>
    <cellStyle name="常规 2 2 2 7 2 3 5 3" xfId="12439"/>
    <cellStyle name="常规 2 2 2 7 2 3 5 4" xfId="12442"/>
    <cellStyle name="常规 2 2 2 7 2 3 6" xfId="19608"/>
    <cellStyle name="常规 2 2 2 7 2 3 6 2" xfId="19610"/>
    <cellStyle name="常规 2 2 2 7 2 3 6 2 2" xfId="19613"/>
    <cellStyle name="常规 2 2 2 7 2 3 6 3" xfId="12445"/>
    <cellStyle name="常规 2 2 2 7 2 3 6 4" xfId="19615"/>
    <cellStyle name="常规 2 2 2 7 2 3 7" xfId="6288"/>
    <cellStyle name="常规 2 2 2 7 2 3 7 2" xfId="1242"/>
    <cellStyle name="常规 2 2 2 7 2 3 8" xfId="19616"/>
    <cellStyle name="常规 2 2 2 7 2 3 8 2" xfId="914"/>
    <cellStyle name="常规 2 2 2 7 2 3 9" xfId="18803"/>
    <cellStyle name="常规 2 2 2 7 2 4" xfId="19619"/>
    <cellStyle name="常规 2 2 2 7 2 4 2" xfId="19620"/>
    <cellStyle name="常规 2 2 2 7 2 4 2 2" xfId="19621"/>
    <cellStyle name="常规 2 2 2 7 2 4 2 2 2" xfId="19623"/>
    <cellStyle name="常规 2 2 2 7 2 4 2 2 2 2" xfId="19624"/>
    <cellStyle name="常规 2 2 2 7 2 4 2 2 3" xfId="19626"/>
    <cellStyle name="常规 2 2 2 7 2 4 2 2 4" xfId="19628"/>
    <cellStyle name="常规 2 2 2 7 2 4 2 3" xfId="19629"/>
    <cellStyle name="常规 2 2 2 7 2 4 2 3 2" xfId="19631"/>
    <cellStyle name="常规 2 2 2 7 2 4 2 4" xfId="19633"/>
    <cellStyle name="常规 2 2 2 7 2 4 2 5" xfId="19634"/>
    <cellStyle name="常规 2 2 2 7 2 4 3" xfId="19635"/>
    <cellStyle name="常规 2 2 2 7 2 4 3 2" xfId="19637"/>
    <cellStyle name="常规 2 2 2 7 2 4 3 2 2" xfId="19638"/>
    <cellStyle name="常规 2 2 2 7 2 4 3 3" xfId="19639"/>
    <cellStyle name="常规 2 2 2 7 2 4 3 4" xfId="19640"/>
    <cellStyle name="常规 2 2 2 7 2 4 4" xfId="2683"/>
    <cellStyle name="常规 2 2 2 7 2 4 4 2" xfId="4470"/>
    <cellStyle name="常规 2 2 2 7 2 4 4 2 2" xfId="19641"/>
    <cellStyle name="常规 2 2 2 7 2 4 4 3" xfId="19643"/>
    <cellStyle name="常规 2 2 2 7 2 4 4 4" xfId="16310"/>
    <cellStyle name="常规 2 2 2 7 2 4 5" xfId="4478"/>
    <cellStyle name="常规 2 2 2 7 2 4 5 2" xfId="19644"/>
    <cellStyle name="常规 2 2 2 7 2 4 6" xfId="19645"/>
    <cellStyle name="常规 2 2 2 7 2 4 7" xfId="1453"/>
    <cellStyle name="常规 2 2 2 7 2 4 8" xfId="19647"/>
    <cellStyle name="常规 2 2 2 7 2 5" xfId="10501"/>
    <cellStyle name="常规 2 2 2 7 2 5 2" xfId="10503"/>
    <cellStyle name="常规 2 2 2 7 2 5 2 2" xfId="10505"/>
    <cellStyle name="常规 2 2 2 7 2 5 2 2 2" xfId="18814"/>
    <cellStyle name="常规 2 2 2 7 2 5 2 3" xfId="19649"/>
    <cellStyle name="常规 2 2 2 7 2 5 2 4" xfId="19650"/>
    <cellStyle name="常规 2 2 2 7 2 5 3" xfId="10507"/>
    <cellStyle name="常规 2 2 2 7 2 5 3 2" xfId="10509"/>
    <cellStyle name="常规 2 2 2 7 2 5 4" xfId="4513"/>
    <cellStyle name="常规 2 2 2 7 2 5 5" xfId="10511"/>
    <cellStyle name="常规 2 2 2 7 2 5 6" xfId="19651"/>
    <cellStyle name="常规 2 2 2 7 2 6" xfId="10514"/>
    <cellStyle name="常规 2 2 2 7 2 6 2" xfId="10516"/>
    <cellStyle name="常规 2 2 2 7 2 6 2 2" xfId="19652"/>
    <cellStyle name="常规 2 2 2 7 2 6 3" xfId="4544"/>
    <cellStyle name="常规 2 2 2 7 2 6 4" xfId="5840"/>
    <cellStyle name="常规 2 2 2 7 2 7" xfId="10518"/>
    <cellStyle name="常规 2 2 2 7 2 7 2" xfId="10521"/>
    <cellStyle name="常规 2 2 2 7 2 7 2 2" xfId="3942"/>
    <cellStyle name="常规 2 2 2 7 2 7 3" xfId="19653"/>
    <cellStyle name="常规 2 2 2 7 2 7 4" xfId="19655"/>
    <cellStyle name="常规 2 2 2 7 2 8" xfId="10525"/>
    <cellStyle name="常规 2 2 2 7 2 8 2" xfId="19657"/>
    <cellStyle name="常规 2 2 2 7 2 9" xfId="10528"/>
    <cellStyle name="常规 2 2 2 7 2 9 2" xfId="19659"/>
    <cellStyle name="常规 2 2 2 7 3" xfId="19662"/>
    <cellStyle name="常规 2 2 2 7 3 10" xfId="19663"/>
    <cellStyle name="常规 2 2 2 7 3 11" xfId="19666"/>
    <cellStyle name="常规 2 2 2 7 3 2" xfId="5911"/>
    <cellStyle name="常规 2 2 2 7 3 2 10" xfId="19669"/>
    <cellStyle name="常规 2 2 2 7 3 2 2" xfId="19671"/>
    <cellStyle name="常规 2 2 2 7 3 2 2 2" xfId="19672"/>
    <cellStyle name="常规 2 2 2 7 3 2 2 2 2" xfId="19673"/>
    <cellStyle name="常规 2 2 2 7 3 2 2 2 2 2" xfId="19676"/>
    <cellStyle name="常规 2 2 2 7 3 2 2 2 2 2 2" xfId="19678"/>
    <cellStyle name="常规 2 2 2 7 3 2 2 2 2 3" xfId="19683"/>
    <cellStyle name="常规 2 2 2 7 3 2 2 2 2 4" xfId="19685"/>
    <cellStyle name="常规 2 2 2 7 3 2 2 2 3" xfId="19688"/>
    <cellStyle name="常规 2 2 2 7 3 2 2 2 3 2" xfId="16712"/>
    <cellStyle name="常规 2 2 2 7 3 2 2 2 4" xfId="19689"/>
    <cellStyle name="常规 2 2 2 7 3 2 2 2 5" xfId="19690"/>
    <cellStyle name="常规 2 2 2 7 3 2 2 3" xfId="19691"/>
    <cellStyle name="常规 2 2 2 7 3 2 2 3 2" xfId="19693"/>
    <cellStyle name="常规 2 2 2 7 3 2 2 3 2 2" xfId="19696"/>
    <cellStyle name="常规 2 2 2 7 3 2 2 3 3" xfId="19699"/>
    <cellStyle name="常规 2 2 2 7 3 2 2 3 4" xfId="19701"/>
    <cellStyle name="常规 2 2 2 7 3 2 2 4" xfId="19703"/>
    <cellStyle name="常规 2 2 2 7 3 2 2 4 2" xfId="19705"/>
    <cellStyle name="常规 2 2 2 7 3 2 2 4 2 2" xfId="19708"/>
    <cellStyle name="常规 2 2 2 7 3 2 2 4 3" xfId="19712"/>
    <cellStyle name="常规 2 2 2 7 3 2 2 4 4" xfId="19715"/>
    <cellStyle name="常规 2 2 2 7 3 2 2 5" xfId="19719"/>
    <cellStyle name="常规 2 2 2 7 3 2 2 5 2" xfId="19721"/>
    <cellStyle name="常规 2 2 2 7 3 2 2 6" xfId="19724"/>
    <cellStyle name="常规 2 2 2 7 3 2 2 7" xfId="19726"/>
    <cellStyle name="常规 2 2 2 7 3 2 2 8" xfId="9610"/>
    <cellStyle name="常规 2 2 2 7 3 2 3" xfId="19728"/>
    <cellStyle name="常规 2 2 2 7 3 2 3 2" xfId="19729"/>
    <cellStyle name="常规 2 2 2 7 3 2 3 2 2" xfId="7663"/>
    <cellStyle name="常规 2 2 2 7 3 2 3 2 2 2" xfId="7665"/>
    <cellStyle name="常规 2 2 2 7 3 2 3 2 3" xfId="7668"/>
    <cellStyle name="常规 2 2 2 7 3 2 3 2 4" xfId="7672"/>
    <cellStyle name="常规 2 2 2 7 3 2 3 3" xfId="19730"/>
    <cellStyle name="常规 2 2 2 7 3 2 3 3 2" xfId="19732"/>
    <cellStyle name="常规 2 2 2 7 3 2 3 4" xfId="19733"/>
    <cellStyle name="常规 2 2 2 7 3 2 3 5" xfId="19734"/>
    <cellStyle name="常规 2 2 2 7 3 2 3 6" xfId="19735"/>
    <cellStyle name="常规 2 2 2 7 3 2 4" xfId="5925"/>
    <cellStyle name="常规 2 2 2 7 3 2 4 2" xfId="4476"/>
    <cellStyle name="常规 2 2 2 7 3 2 4 2 2" xfId="4481"/>
    <cellStyle name="常规 2 2 2 7 3 2 4 3" xfId="4052"/>
    <cellStyle name="常规 2 2 2 7 3 2 4 4" xfId="1450"/>
    <cellStyle name="常规 2 2 2 7 3 2 5" xfId="5933"/>
    <cellStyle name="常规 2 2 2 7 3 2 5 2" xfId="4522"/>
    <cellStyle name="常规 2 2 2 7 3 2 5 2 2" xfId="4525"/>
    <cellStyle name="常规 2 2 2 7 3 2 5 3" xfId="4531"/>
    <cellStyle name="常规 2 2 2 7 3 2 5 4" xfId="1502"/>
    <cellStyle name="常规 2 2 2 7 3 2 6" xfId="5937"/>
    <cellStyle name="常规 2 2 2 7 3 2 6 2" xfId="5939"/>
    <cellStyle name="常规 2 2 2 7 3 2 7" xfId="5943"/>
    <cellStyle name="常规 2 2 2 7 3 2 7 2" xfId="5945"/>
    <cellStyle name="常规 2 2 2 7 3 2 8" xfId="5947"/>
    <cellStyle name="常规 2 2 2 7 3 2 9" xfId="1394"/>
    <cellStyle name="常规 2 2 2 7 3 3" xfId="19738"/>
    <cellStyle name="常规 2 2 2 7 3 3 2" xfId="19739"/>
    <cellStyle name="常规 2 2 2 7 3 3 2 2" xfId="19740"/>
    <cellStyle name="常规 2 2 2 7 3 3 2 2 2" xfId="4519"/>
    <cellStyle name="常规 2 2 2 7 3 3 2 2 2 2" xfId="19741"/>
    <cellStyle name="常规 2 2 2 7 3 3 2 2 3" xfId="19743"/>
    <cellStyle name="常规 2 2 2 7 3 3 2 2 4" xfId="19744"/>
    <cellStyle name="常规 2 2 2 7 3 3 2 3" xfId="19745"/>
    <cellStyle name="常规 2 2 2 7 3 3 2 3 2" xfId="19748"/>
    <cellStyle name="常规 2 2 2 7 3 3 2 4" xfId="19750"/>
    <cellStyle name="常规 2 2 2 7 3 3 2 5" xfId="19752"/>
    <cellStyle name="常规 2 2 2 7 3 3 3" xfId="19754"/>
    <cellStyle name="常规 2 2 2 7 3 3 3 2" xfId="19755"/>
    <cellStyle name="常规 2 2 2 7 3 3 3 2 2" xfId="19756"/>
    <cellStyle name="常规 2 2 2 7 3 3 3 3" xfId="19757"/>
    <cellStyle name="常规 2 2 2 7 3 3 3 4" xfId="19759"/>
    <cellStyle name="常规 2 2 2 7 3 3 4" xfId="5956"/>
    <cellStyle name="常规 2 2 2 7 3 3 4 2" xfId="5960"/>
    <cellStyle name="常规 2 2 2 7 3 3 4 2 2" xfId="5962"/>
    <cellStyle name="常规 2 2 2 7 3 3 4 3" xfId="5964"/>
    <cellStyle name="常规 2 2 2 7 3 3 4 4" xfId="19761"/>
    <cellStyle name="常规 2 2 2 7 3 3 5" xfId="5966"/>
    <cellStyle name="常规 2 2 2 7 3 3 5 2" xfId="5969"/>
    <cellStyle name="常规 2 2 2 7 3 3 6" xfId="5972"/>
    <cellStyle name="常规 2 2 2 7 3 3 7" xfId="19762"/>
    <cellStyle name="常规 2 2 2 7 3 3 8" xfId="19763"/>
    <cellStyle name="常规 2 2 2 7 3 4" xfId="19765"/>
    <cellStyle name="常规 2 2 2 7 3 4 2" xfId="17526"/>
    <cellStyle name="常规 2 2 2 7 3 4 2 2" xfId="19766"/>
    <cellStyle name="常规 2 2 2 7 3 4 2 2 2" xfId="19767"/>
    <cellStyle name="常规 2 2 2 7 3 4 2 3" xfId="19768"/>
    <cellStyle name="常规 2 2 2 7 3 4 2 4" xfId="19770"/>
    <cellStyle name="常规 2 2 2 7 3 4 3" xfId="17528"/>
    <cellStyle name="常规 2 2 2 7 3 4 3 2" xfId="19772"/>
    <cellStyle name="常规 2 2 2 7 3 4 4" xfId="4597"/>
    <cellStyle name="常规 2 2 2 7 3 4 5" xfId="5958"/>
    <cellStyle name="常规 2 2 2 7 3 4 6" xfId="19774"/>
    <cellStyle name="常规 2 2 2 7 3 5" xfId="10533"/>
    <cellStyle name="常规 2 2 2 7 3 5 2" xfId="10535"/>
    <cellStyle name="常规 2 2 2 7 3 5 2 2" xfId="19775"/>
    <cellStyle name="常规 2 2 2 7 3 5 3" xfId="19776"/>
    <cellStyle name="常规 2 2 2 7 3 5 4" xfId="5979"/>
    <cellStyle name="常规 2 2 2 7 3 6" xfId="10537"/>
    <cellStyle name="常规 2 2 2 7 3 6 2" xfId="10539"/>
    <cellStyle name="常规 2 2 2 7 3 6 2 2" xfId="19777"/>
    <cellStyle name="常规 2 2 2 7 3 6 3" xfId="6993"/>
    <cellStyle name="常规 2 2 2 7 3 6 4" xfId="5984"/>
    <cellStyle name="常规 2 2 2 7 3 7" xfId="10541"/>
    <cellStyle name="常规 2 2 2 7 3 7 2" xfId="19778"/>
    <cellStyle name="常规 2 2 2 7 3 8" xfId="10544"/>
    <cellStyle name="常规 2 2 2 7 3 8 2" xfId="19782"/>
    <cellStyle name="常规 2 2 2 7 3 9" xfId="12217"/>
    <cellStyle name="常规 2 2 2 7 4" xfId="19784"/>
    <cellStyle name="常规 2 2 2 7 4 2" xfId="19786"/>
    <cellStyle name="常规 2 2 2 7 4 2 2" xfId="19788"/>
    <cellStyle name="常规 2 2 2 7 4 2 2 2" xfId="19792"/>
    <cellStyle name="常规 2 2 2 7 4 2 2 2 2" xfId="19796"/>
    <cellStyle name="常规 2 2 2 7 4 2 2 3" xfId="19799"/>
    <cellStyle name="常规 2 2 2 7 4 2 2 4" xfId="19801"/>
    <cellStyle name="常规 2 2 2 7 4 2 3" xfId="19804"/>
    <cellStyle name="常规 2 2 2 7 4 2 3 2" xfId="19806"/>
    <cellStyle name="常规 2 2 2 7 4 2 4" xfId="6001"/>
    <cellStyle name="常规 2 2 2 7 4 2 5" xfId="4590"/>
    <cellStyle name="常规 2 2 2 7 4 3" xfId="19808"/>
    <cellStyle name="常规 2 2 2 7 4 3 2" xfId="19810"/>
    <cellStyle name="常规 2 2 2 7 4 3 2 2" xfId="19812"/>
    <cellStyle name="常规 2 2 2 7 4 3 3" xfId="19814"/>
    <cellStyle name="常规 2 2 2 7 4 3 4" xfId="6005"/>
    <cellStyle name="常规 2 2 2 7 4 4" xfId="19817"/>
    <cellStyle name="常规 2 2 2 7 4 4 2" xfId="19819"/>
    <cellStyle name="常规 2 2 2 7 4 4 2 2" xfId="289"/>
    <cellStyle name="常规 2 2 2 7 4 4 3" xfId="19821"/>
    <cellStyle name="常规 2 2 2 7 4 4 4" xfId="4748"/>
    <cellStyle name="常规 2 2 2 7 4 5" xfId="10548"/>
    <cellStyle name="常规 2 2 2 7 4 5 2" xfId="19823"/>
    <cellStyle name="常规 2 2 2 7 4 6" xfId="19825"/>
    <cellStyle name="常规 2 2 2 7 4 7" xfId="11478"/>
    <cellStyle name="常规 2 2 2 7 4 8" xfId="11486"/>
    <cellStyle name="常规 2 2 2 7 5" xfId="19827"/>
    <cellStyle name="常规 2 2 2 7 5 2" xfId="19829"/>
    <cellStyle name="常规 2 2 2 7 5 2 2" xfId="19831"/>
    <cellStyle name="常规 2 2 2 7 5 2 2 2" xfId="19833"/>
    <cellStyle name="常规 2 2 2 7 5 2 3" xfId="19835"/>
    <cellStyle name="常规 2 2 2 7 5 2 4" xfId="6015"/>
    <cellStyle name="常规 2 2 2 7 5 3" xfId="19837"/>
    <cellStyle name="常规 2 2 2 7 5 3 2" xfId="19839"/>
    <cellStyle name="常规 2 2 2 7 5 4" xfId="19841"/>
    <cellStyle name="常规 2 2 2 7 5 5" xfId="10552"/>
    <cellStyle name="常规 2 2 2 7 5 6" xfId="19843"/>
    <cellStyle name="常规 2 2 2 7 6" xfId="19846"/>
    <cellStyle name="常规 2 2 2 7 6 2" xfId="19847"/>
    <cellStyle name="常规 2 2 2 7 6 2 2" xfId="19849"/>
    <cellStyle name="常规 2 2 2 7 6 3" xfId="19851"/>
    <cellStyle name="常规 2 2 2 7 6 4" xfId="19853"/>
    <cellStyle name="常规 2 2 2 7 7" xfId="19856"/>
    <cellStyle name="常规 2 2 2 7 7 2" xfId="15052"/>
    <cellStyle name="常规 2 2 2 7 7 2 2" xfId="15055"/>
    <cellStyle name="常规 2 2 2 7 7 3" xfId="15059"/>
    <cellStyle name="常规 2 2 2 7 7 4" xfId="15062"/>
    <cellStyle name="常规 2 2 2 7 8" xfId="7970"/>
    <cellStyle name="常规 2 2 2 7 8 2" xfId="15106"/>
    <cellStyle name="常规 2 2 2 7 9" xfId="19857"/>
    <cellStyle name="常规 2 2 2 7 9 2" xfId="17908"/>
    <cellStyle name="常规 2 2 2 8" xfId="19859"/>
    <cellStyle name="常规 2 2 2 8 10" xfId="12413"/>
    <cellStyle name="常规 2 2 2 8 11" xfId="12417"/>
    <cellStyle name="常规 2 2 2 8 12" xfId="19860"/>
    <cellStyle name="常规 2 2 2 8 2" xfId="19746"/>
    <cellStyle name="常规 2 2 2 8 2 10" xfId="19862"/>
    <cellStyle name="常规 2 2 2 8 2 11" xfId="10152"/>
    <cellStyle name="常规 2 2 2 8 2 12" xfId="19863"/>
    <cellStyle name="常规 2 2 2 8 2 2" xfId="19749"/>
    <cellStyle name="常规 2 2 2 8 2 2 10" xfId="19864"/>
    <cellStyle name="常规 2 2 2 8 2 2 2" xfId="19866"/>
    <cellStyle name="常规 2 2 2 8 2 2 2 2" xfId="6694"/>
    <cellStyle name="常规 2 2 2 8 2 2 2 2 2" xfId="6697"/>
    <cellStyle name="常规 2 2 2 8 2 2 2 2 2 2" xfId="6705"/>
    <cellStyle name="常规 2 2 2 8 2 2 2 2 2 2 2" xfId="17973"/>
    <cellStyle name="常规 2 2 2 8 2 2 2 2 2 3" xfId="17982"/>
    <cellStyle name="常规 2 2 2 8 2 2 2 2 2 4" xfId="17993"/>
    <cellStyle name="常规 2 2 2 8 2 2 2 2 3" xfId="2020"/>
    <cellStyle name="常规 2 2 2 8 2 2 2 2 3 2" xfId="18006"/>
    <cellStyle name="常规 2 2 2 8 2 2 2 2 4" xfId="19868"/>
    <cellStyle name="常规 2 2 2 8 2 2 2 2 5" xfId="13465"/>
    <cellStyle name="常规 2 2 2 8 2 2 2 3" xfId="6706"/>
    <cellStyle name="常规 2 2 2 8 2 2 2 3 2" xfId="6711"/>
    <cellStyle name="常规 2 2 2 8 2 2 2 3 2 2" xfId="18128"/>
    <cellStyle name="常规 2 2 2 8 2 2 2 3 3" xfId="19869"/>
    <cellStyle name="常规 2 2 2 8 2 2 2 3 4" xfId="19870"/>
    <cellStyle name="常规 2 2 2 8 2 2 2 4" xfId="6712"/>
    <cellStyle name="常规 2 2 2 8 2 2 2 4 2" xfId="6716"/>
    <cellStyle name="常规 2 2 2 8 2 2 2 4 2 2" xfId="18183"/>
    <cellStyle name="常规 2 2 2 8 2 2 2 4 3" xfId="19871"/>
    <cellStyle name="常规 2 2 2 8 2 2 2 4 4" xfId="19873"/>
    <cellStyle name="常规 2 2 2 8 2 2 2 5" xfId="6719"/>
    <cellStyle name="常规 2 2 2 8 2 2 2 5 2" xfId="19875"/>
    <cellStyle name="常规 2 2 2 8 2 2 2 6" xfId="5739"/>
    <cellStyle name="常规 2 2 2 8 2 2 2 7" xfId="19879"/>
    <cellStyle name="常规 2 2 2 8 2 2 2 8" xfId="19882"/>
    <cellStyle name="常规 2 2 2 8 2 2 3" xfId="19884"/>
    <cellStyle name="常规 2 2 2 8 2 2 3 2" xfId="6725"/>
    <cellStyle name="常规 2 2 2 8 2 2 3 2 2" xfId="19886"/>
    <cellStyle name="常规 2 2 2 8 2 2 3 2 2 2" xfId="18492"/>
    <cellStyle name="常规 2 2 2 8 2 2 3 2 3" xfId="19887"/>
    <cellStyle name="常规 2 2 2 8 2 2 3 2 4" xfId="19888"/>
    <cellStyle name="常规 2 2 2 8 2 2 3 3" xfId="19072"/>
    <cellStyle name="常规 2 2 2 8 2 2 3 3 2" xfId="19889"/>
    <cellStyle name="常规 2 2 2 8 2 2 3 4" xfId="19890"/>
    <cellStyle name="常规 2 2 2 8 2 2 3 5" xfId="19891"/>
    <cellStyle name="常规 2 2 2 8 2 2 3 6" xfId="19894"/>
    <cellStyle name="常规 2 2 2 8 2 2 4" xfId="19896"/>
    <cellStyle name="常规 2 2 2 8 2 2 4 2" xfId="19898"/>
    <cellStyle name="常规 2 2 2 8 2 2 4 2 2" xfId="19900"/>
    <cellStyle name="常规 2 2 2 8 2 2 4 3" xfId="12035"/>
    <cellStyle name="常规 2 2 2 8 2 2 4 4" xfId="12053"/>
    <cellStyle name="常规 2 2 2 8 2 2 5" xfId="19901"/>
    <cellStyle name="常规 2 2 2 8 2 2 5 2" xfId="10989"/>
    <cellStyle name="常规 2 2 2 8 2 2 5 2 2" xfId="19903"/>
    <cellStyle name="常规 2 2 2 8 2 2 5 3" xfId="12093"/>
    <cellStyle name="常规 2 2 2 8 2 2 5 4" xfId="12102"/>
    <cellStyle name="常规 2 2 2 8 2 2 6" xfId="19904"/>
    <cellStyle name="常规 2 2 2 8 2 2 6 2" xfId="14694"/>
    <cellStyle name="常规 2 2 2 8 2 2 7" xfId="6318"/>
    <cellStyle name="常规 2 2 2 8 2 2 7 2" xfId="19906"/>
    <cellStyle name="常规 2 2 2 8 2 2 8" xfId="19907"/>
    <cellStyle name="常规 2 2 2 8 2 2 9" xfId="19908"/>
    <cellStyle name="常规 2 2 2 8 2 3" xfId="19909"/>
    <cellStyle name="常规 2 2 2 8 2 3 10" xfId="19910"/>
    <cellStyle name="常规 2 2 2 8 2 3 11" xfId="19913"/>
    <cellStyle name="常规 2 2 2 8 2 3 2" xfId="7196"/>
    <cellStyle name="常规 2 2 2 8 2 3 2 10" xfId="19916"/>
    <cellStyle name="常规 2 2 2 8 2 3 2 2" xfId="19917"/>
    <cellStyle name="常规 2 2 2 8 2 3 2 2 2" xfId="19919"/>
    <cellStyle name="常规 2 2 2 8 2 3 2 2 2 2" xfId="19921"/>
    <cellStyle name="常规 2 2 2 8 2 3 2 2 2 2 2" xfId="11656"/>
    <cellStyle name="常规 2 2 2 8 2 3 2 2 2 2 2 2" xfId="19923"/>
    <cellStyle name="常规 2 2 2 8 2 3 2 2 2 2 3" xfId="9446"/>
    <cellStyle name="常规 2 2 2 8 2 3 2 2 2 2 4" xfId="9459"/>
    <cellStyle name="常规 2 2 2 8 2 3 2 2 2 3" xfId="19924"/>
    <cellStyle name="常规 2 2 2 8 2 3 2 2 2 3 2" xfId="19926"/>
    <cellStyle name="常规 2 2 2 8 2 3 2 2 2 4" xfId="19927"/>
    <cellStyle name="常规 2 2 2 8 2 3 2 2 2 5" xfId="1605"/>
    <cellStyle name="常规 2 2 2 8 2 3 2 2 3" xfId="19929"/>
    <cellStyle name="常规 2 2 2 8 2 3 2 2 3 2" xfId="19930"/>
    <cellStyle name="常规 2 2 2 8 2 3 2 2 3 2 2" xfId="19932"/>
    <cellStyle name="常规 2 2 2 8 2 3 2 2 3 3" xfId="19933"/>
    <cellStyle name="常规 2 2 2 8 2 3 2 2 3 4" xfId="19935"/>
    <cellStyle name="常规 2 2 2 8 2 3 2 2 4" xfId="9528"/>
    <cellStyle name="常规 2 2 2 8 2 3 2 2 4 2" xfId="19936"/>
    <cellStyle name="常规 2 2 2 8 2 3 2 2 4 2 2" xfId="19937"/>
    <cellStyle name="常规 2 2 2 8 2 3 2 2 4 3" xfId="19938"/>
    <cellStyle name="常规 2 2 2 8 2 3 2 2 4 4" xfId="19939"/>
    <cellStyle name="常规 2 2 2 8 2 3 2 2 5" xfId="13532"/>
    <cellStyle name="常规 2 2 2 8 2 3 2 2 5 2" xfId="19940"/>
    <cellStyle name="常规 2 2 2 8 2 3 2 2 6" xfId="2476"/>
    <cellStyle name="常规 2 2 2 8 2 3 2 2 7" xfId="19941"/>
    <cellStyle name="常规 2 2 2 8 2 3 2 2 8" xfId="19944"/>
    <cellStyle name="常规 2 2 2 8 2 3 2 3" xfId="19946"/>
    <cellStyle name="常规 2 2 2 8 2 3 2 3 2" xfId="19947"/>
    <cellStyle name="常规 2 2 2 8 2 3 2 3 2 2" xfId="19949"/>
    <cellStyle name="常规 2 2 2 8 2 3 2 3 2 2 2" xfId="19951"/>
    <cellStyle name="常规 2 2 2 8 2 3 2 3 2 3" xfId="19954"/>
    <cellStyle name="常规 2 2 2 8 2 3 2 3 2 4" xfId="19956"/>
    <cellStyle name="常规 2 2 2 8 2 3 2 3 3" xfId="19625"/>
    <cellStyle name="常规 2 2 2 8 2 3 2 3 3 2" xfId="19958"/>
    <cellStyle name="常规 2 2 2 8 2 3 2 3 4" xfId="19959"/>
    <cellStyle name="常规 2 2 2 8 2 3 2 3 5" xfId="19960"/>
    <cellStyle name="常规 2 2 2 8 2 3 2 3 6" xfId="19961"/>
    <cellStyle name="常规 2 2 2 8 2 3 2 4" xfId="19962"/>
    <cellStyle name="常规 2 2 2 8 2 3 2 4 2" xfId="19964"/>
    <cellStyle name="常规 2 2 2 8 2 3 2 4 2 2" xfId="19966"/>
    <cellStyle name="常规 2 2 2 8 2 3 2 4 3" xfId="19968"/>
    <cellStyle name="常规 2 2 2 8 2 3 2 4 4" xfId="19970"/>
    <cellStyle name="常规 2 2 2 8 2 3 2 5" xfId="14448"/>
    <cellStyle name="常规 2 2 2 8 2 3 2 5 2" xfId="19972"/>
    <cellStyle name="常规 2 2 2 8 2 3 2 5 2 2" xfId="19975"/>
    <cellStyle name="常规 2 2 2 8 2 3 2 5 3" xfId="19979"/>
    <cellStyle name="常规 2 2 2 8 2 3 2 5 4" xfId="19982"/>
    <cellStyle name="常规 2 2 2 8 2 3 2 6" xfId="19987"/>
    <cellStyle name="常规 2 2 2 8 2 3 2 6 2" xfId="19991"/>
    <cellStyle name="常规 2 2 2 8 2 3 2 7" xfId="19998"/>
    <cellStyle name="常规 2 2 2 8 2 3 2 7 2" xfId="20002"/>
    <cellStyle name="常规 2 2 2 8 2 3 2 8" xfId="20008"/>
    <cellStyle name="常规 2 2 2 8 2 3 2 9" xfId="20012"/>
    <cellStyle name="常规 2 2 2 8 2 3 3" xfId="20014"/>
    <cellStyle name="常规 2 2 2 8 2 3 3 2" xfId="20016"/>
    <cellStyle name="常规 2 2 2 8 2 3 3 2 2" xfId="10026"/>
    <cellStyle name="常规 2 2 2 8 2 3 3 2 2 2" xfId="20017"/>
    <cellStyle name="常规 2 2 2 8 2 3 3 2 2 2 2" xfId="20018"/>
    <cellStyle name="常规 2 2 2 8 2 3 3 2 2 3" xfId="20020"/>
    <cellStyle name="常规 2 2 2 8 2 3 3 2 2 4" xfId="11291"/>
    <cellStyle name="常规 2 2 2 8 2 3 3 2 3" xfId="10027"/>
    <cellStyle name="常规 2 2 2 8 2 3 3 2 3 2" xfId="9831"/>
    <cellStyle name="常规 2 2 2 8 2 3 3 2 4" xfId="20021"/>
    <cellStyle name="常规 2 2 2 8 2 3 3 2 5" xfId="20022"/>
    <cellStyle name="常规 2 2 2 8 2 3 3 3" xfId="20023"/>
    <cellStyle name="常规 2 2 2 8 2 3 3 3 2" xfId="20024"/>
    <cellStyle name="常规 2 2 2 8 2 3 3 3 2 2" xfId="20025"/>
    <cellStyle name="常规 2 2 2 8 2 3 3 3 3" xfId="20027"/>
    <cellStyle name="常规 2 2 2 8 2 3 3 3 4" xfId="20028"/>
    <cellStyle name="常规 2 2 2 8 2 3 3 4" xfId="7176"/>
    <cellStyle name="常规 2 2 2 8 2 3 3 4 2" xfId="20029"/>
    <cellStyle name="常规 2 2 2 8 2 3 3 4 2 2" xfId="20031"/>
    <cellStyle name="常规 2 2 2 8 2 3 3 4 3" xfId="20034"/>
    <cellStyle name="常规 2 2 2 8 2 3 3 4 4" xfId="20036"/>
    <cellStyle name="常规 2 2 2 8 2 3 3 5" xfId="20038"/>
    <cellStyle name="常规 2 2 2 8 2 3 3 5 2" xfId="20041"/>
    <cellStyle name="常规 2 2 2 8 2 3 3 6" xfId="20047"/>
    <cellStyle name="常规 2 2 2 8 2 3 3 7" xfId="20051"/>
    <cellStyle name="常规 2 2 2 8 2 3 3 8" xfId="20055"/>
    <cellStyle name="常规 2 2 2 8 2 3 4" xfId="20057"/>
    <cellStyle name="常规 2 2 2 8 2 3 4 2" xfId="20059"/>
    <cellStyle name="常规 2 2 2 8 2 3 4 2 2" xfId="20060"/>
    <cellStyle name="常规 2 2 2 8 2 3 4 2 2 2" xfId="20061"/>
    <cellStyle name="常规 2 2 2 8 2 3 4 2 3" xfId="20062"/>
    <cellStyle name="常规 2 2 2 8 2 3 4 2 4" xfId="20063"/>
    <cellStyle name="常规 2 2 2 8 2 3 4 3" xfId="12124"/>
    <cellStyle name="常规 2 2 2 8 2 3 4 3 2" xfId="12126"/>
    <cellStyle name="常规 2 2 2 8 2 3 4 4" xfId="12131"/>
    <cellStyle name="常规 2 2 2 8 2 3 4 5" xfId="12134"/>
    <cellStyle name="常规 2 2 2 8 2 3 4 6" xfId="20065"/>
    <cellStyle name="常规 2 2 2 8 2 3 5" xfId="20067"/>
    <cellStyle name="常规 2 2 2 8 2 3 5 2" xfId="20069"/>
    <cellStyle name="常规 2 2 2 8 2 3 5 2 2" xfId="20070"/>
    <cellStyle name="常规 2 2 2 8 2 3 5 3" xfId="12142"/>
    <cellStyle name="常规 2 2 2 8 2 3 5 4" xfId="12146"/>
    <cellStyle name="常规 2 2 2 8 2 3 6" xfId="20072"/>
    <cellStyle name="常规 2 2 2 8 2 3 6 2" xfId="20074"/>
    <cellStyle name="常规 2 2 2 8 2 3 6 2 2" xfId="20075"/>
    <cellStyle name="常规 2 2 2 8 2 3 6 3" xfId="12150"/>
    <cellStyle name="常规 2 2 2 8 2 3 6 4" xfId="12153"/>
    <cellStyle name="常规 2 2 2 8 2 3 7" xfId="20076"/>
    <cellStyle name="常规 2 2 2 8 2 3 7 2" xfId="20077"/>
    <cellStyle name="常规 2 2 2 8 2 3 8" xfId="20078"/>
    <cellStyle name="常规 2 2 2 8 2 3 8 2" xfId="17869"/>
    <cellStyle name="常规 2 2 2 8 2 3 9" xfId="20079"/>
    <cellStyle name="常规 2 2 2 8 2 4" xfId="20080"/>
    <cellStyle name="常规 2 2 2 8 2 4 2" xfId="20082"/>
    <cellStyle name="常规 2 2 2 8 2 4 2 2" xfId="20085"/>
    <cellStyle name="常规 2 2 2 8 2 4 2 2 2" xfId="20086"/>
    <cellStyle name="常规 2 2 2 8 2 4 2 2 2 2" xfId="20087"/>
    <cellStyle name="常规 2 2 2 8 2 4 2 2 3" xfId="20089"/>
    <cellStyle name="常规 2 2 2 8 2 4 2 2 4" xfId="20090"/>
    <cellStyle name="常规 2 2 2 8 2 4 2 3" xfId="8766"/>
    <cellStyle name="常规 2 2 2 8 2 4 2 3 2" xfId="20091"/>
    <cellStyle name="常规 2 2 2 8 2 4 2 4" xfId="3639"/>
    <cellStyle name="常规 2 2 2 8 2 4 2 5" xfId="14462"/>
    <cellStyle name="常规 2 2 2 8 2 4 3" xfId="20093"/>
    <cellStyle name="常规 2 2 2 8 2 4 3 2" xfId="20095"/>
    <cellStyle name="常规 2 2 2 8 2 4 3 2 2" xfId="10178"/>
    <cellStyle name="常规 2 2 2 8 2 4 3 3" xfId="8769"/>
    <cellStyle name="常规 2 2 2 8 2 4 3 4" xfId="20097"/>
    <cellStyle name="常规 2 2 2 8 2 4 4" xfId="20098"/>
    <cellStyle name="常规 2 2 2 8 2 4 4 2" xfId="20099"/>
    <cellStyle name="常规 2 2 2 8 2 4 4 2 2" xfId="20100"/>
    <cellStyle name="常规 2 2 2 8 2 4 4 3" xfId="12161"/>
    <cellStyle name="常规 2 2 2 8 2 4 4 4" xfId="12165"/>
    <cellStyle name="常规 2 2 2 8 2 4 5" xfId="20102"/>
    <cellStyle name="常规 2 2 2 8 2 4 5 2" xfId="20103"/>
    <cellStyle name="常规 2 2 2 8 2 4 6" xfId="20104"/>
    <cellStyle name="常规 2 2 2 8 2 4 7" xfId="20105"/>
    <cellStyle name="常规 2 2 2 8 2 4 8" xfId="20106"/>
    <cellStyle name="常规 2 2 2 8 2 5" xfId="10560"/>
    <cellStyle name="常规 2 2 2 8 2 5 2" xfId="20107"/>
    <cellStyle name="常规 2 2 2 8 2 5 2 2" xfId="20108"/>
    <cellStyle name="常规 2 2 2 8 2 5 2 2 2" xfId="19256"/>
    <cellStyle name="常规 2 2 2 8 2 5 2 3" xfId="20109"/>
    <cellStyle name="常规 2 2 2 8 2 5 2 4" xfId="20110"/>
    <cellStyle name="常规 2 2 2 8 2 5 3" xfId="7465"/>
    <cellStyle name="常规 2 2 2 8 2 5 3 2" xfId="7467"/>
    <cellStyle name="常规 2 2 2 8 2 5 4" xfId="7473"/>
    <cellStyle name="常规 2 2 2 8 2 5 5" xfId="7476"/>
    <cellStyle name="常规 2 2 2 8 2 5 6" xfId="7479"/>
    <cellStyle name="常规 2 2 2 8 2 6" xfId="20112"/>
    <cellStyle name="常规 2 2 2 8 2 6 2" xfId="20114"/>
    <cellStyle name="常规 2 2 2 8 2 6 2 2" xfId="20115"/>
    <cellStyle name="常规 2 2 2 8 2 6 3" xfId="7481"/>
    <cellStyle name="常规 2 2 2 8 2 6 4" xfId="7484"/>
    <cellStyle name="常规 2 2 2 8 2 7" xfId="20116"/>
    <cellStyle name="常规 2 2 2 8 2 7 2" xfId="20118"/>
    <cellStyle name="常规 2 2 2 8 2 7 2 2" xfId="20120"/>
    <cellStyle name="常规 2 2 2 8 2 7 3" xfId="7487"/>
    <cellStyle name="常规 2 2 2 8 2 7 4" xfId="7492"/>
    <cellStyle name="常规 2 2 2 8 2 8" xfId="20122"/>
    <cellStyle name="常规 2 2 2 8 2 8 2" xfId="20123"/>
    <cellStyle name="常规 2 2 2 8 2 9" xfId="20125"/>
    <cellStyle name="常规 2 2 2 8 2 9 2" xfId="20127"/>
    <cellStyle name="常规 2 2 2 8 3" xfId="19751"/>
    <cellStyle name="常规 2 2 2 8 3 10" xfId="20130"/>
    <cellStyle name="常规 2 2 2 8 3 11" xfId="20131"/>
    <cellStyle name="常规 2 2 2 8 3 2" xfId="20132"/>
    <cellStyle name="常规 2 2 2 8 3 2 10" xfId="20134"/>
    <cellStyle name="常规 2 2 2 8 3 2 2" xfId="20135"/>
    <cellStyle name="常规 2 2 2 8 3 2 2 2" xfId="20138"/>
    <cellStyle name="常规 2 2 2 8 3 2 2 2 2" xfId="20140"/>
    <cellStyle name="常规 2 2 2 8 3 2 2 2 2 2" xfId="20143"/>
    <cellStyle name="常规 2 2 2 8 3 2 2 2 2 2 2" xfId="16291"/>
    <cellStyle name="常规 2 2 2 8 3 2 2 2 2 3" xfId="20147"/>
    <cellStyle name="常规 2 2 2 8 3 2 2 2 2 4" xfId="20151"/>
    <cellStyle name="常规 2 2 2 8 3 2 2 2 3" xfId="8921"/>
    <cellStyle name="常规 2 2 2 8 3 2 2 2 3 2" xfId="20153"/>
    <cellStyle name="常规 2 2 2 8 3 2 2 2 4" xfId="20156"/>
    <cellStyle name="常规 2 2 2 8 3 2 2 2 5" xfId="20157"/>
    <cellStyle name="常规 2 2 2 8 3 2 2 3" xfId="10445"/>
    <cellStyle name="常规 2 2 2 8 3 2 2 3 2" xfId="13644"/>
    <cellStyle name="常规 2 2 2 8 3 2 2 3 2 2" xfId="20158"/>
    <cellStyle name="常规 2 2 2 8 3 2 2 3 3" xfId="20161"/>
    <cellStyle name="常规 2 2 2 8 3 2 2 3 4" xfId="20162"/>
    <cellStyle name="常规 2 2 2 8 3 2 2 4" xfId="13646"/>
    <cellStyle name="常规 2 2 2 8 3 2 2 4 2" xfId="20163"/>
    <cellStyle name="常规 2 2 2 8 3 2 2 4 2 2" xfId="16020"/>
    <cellStyle name="常规 2 2 2 8 3 2 2 4 3" xfId="20165"/>
    <cellStyle name="常规 2 2 2 8 3 2 2 4 4" xfId="20168"/>
    <cellStyle name="常规 2 2 2 8 3 2 2 5" xfId="13648"/>
    <cellStyle name="常规 2 2 2 8 3 2 2 5 2" xfId="20173"/>
    <cellStyle name="常规 2 2 2 8 3 2 2 6" xfId="20178"/>
    <cellStyle name="常规 2 2 2 8 3 2 2 7" xfId="20181"/>
    <cellStyle name="常规 2 2 2 8 3 2 2 8" xfId="9681"/>
    <cellStyle name="常规 2 2 2 8 3 2 3" xfId="20183"/>
    <cellStyle name="常规 2 2 2 8 3 2 3 2" xfId="20185"/>
    <cellStyle name="常规 2 2 2 8 3 2 3 2 2" xfId="20186"/>
    <cellStyle name="常规 2 2 2 8 3 2 3 2 2 2" xfId="14042"/>
    <cellStyle name="常规 2 2 2 8 3 2 3 2 3" xfId="20187"/>
    <cellStyle name="常规 2 2 2 8 3 2 3 2 4" xfId="20188"/>
    <cellStyle name="常规 2 2 2 8 3 2 3 3" xfId="10452"/>
    <cellStyle name="常规 2 2 2 8 3 2 3 3 2" xfId="20189"/>
    <cellStyle name="常规 2 2 2 8 3 2 3 4" xfId="20190"/>
    <cellStyle name="常规 2 2 2 8 3 2 3 5" xfId="20191"/>
    <cellStyle name="常规 2 2 2 8 3 2 3 6" xfId="20194"/>
    <cellStyle name="常规 2 2 2 8 3 2 4" xfId="20196"/>
    <cellStyle name="常规 2 2 2 8 3 2 4 2" xfId="20198"/>
    <cellStyle name="常规 2 2 2 8 3 2 4 2 2" xfId="20199"/>
    <cellStyle name="常规 2 2 2 8 3 2 4 3" xfId="12189"/>
    <cellStyle name="常规 2 2 2 8 3 2 4 4" xfId="12192"/>
    <cellStyle name="常规 2 2 2 8 3 2 5" xfId="20200"/>
    <cellStyle name="常规 2 2 2 8 3 2 5 2" xfId="20202"/>
    <cellStyle name="常规 2 2 2 8 3 2 5 2 2" xfId="20203"/>
    <cellStyle name="常规 2 2 2 8 3 2 5 3" xfId="12194"/>
    <cellStyle name="常规 2 2 2 8 3 2 5 4" xfId="20204"/>
    <cellStyle name="常规 2 2 2 8 3 2 6" xfId="20205"/>
    <cellStyle name="常规 2 2 2 8 3 2 6 2" xfId="20207"/>
    <cellStyle name="常规 2 2 2 8 3 2 7" xfId="20208"/>
    <cellStyle name="常规 2 2 2 8 3 2 7 2" xfId="20210"/>
    <cellStyle name="常规 2 2 2 8 3 2 8" xfId="20211"/>
    <cellStyle name="常规 2 2 2 8 3 2 9" xfId="20212"/>
    <cellStyle name="常规 2 2 2 8 3 3" xfId="20213"/>
    <cellStyle name="常规 2 2 2 8 3 3 2" xfId="20215"/>
    <cellStyle name="常规 2 2 2 8 3 3 2 2" xfId="20217"/>
    <cellStyle name="常规 2 2 2 8 3 3 2 2 2" xfId="20218"/>
    <cellStyle name="常规 2 2 2 8 3 3 2 2 2 2" xfId="5196"/>
    <cellStyle name="常规 2 2 2 8 3 3 2 2 3" xfId="18812"/>
    <cellStyle name="常规 2 2 2 8 3 3 2 2 4" xfId="20219"/>
    <cellStyle name="常规 2 2 2 8 3 3 2 3" xfId="13987"/>
    <cellStyle name="常规 2 2 2 8 3 3 2 3 2" xfId="13990"/>
    <cellStyle name="常规 2 2 2 8 3 3 2 4" xfId="13992"/>
    <cellStyle name="常规 2 2 2 8 3 3 2 5" xfId="13994"/>
    <cellStyle name="常规 2 2 2 8 3 3 3" xfId="20220"/>
    <cellStyle name="常规 2 2 2 8 3 3 3 2" xfId="20221"/>
    <cellStyle name="常规 2 2 2 8 3 3 3 2 2" xfId="20222"/>
    <cellStyle name="常规 2 2 2 8 3 3 3 3" xfId="13997"/>
    <cellStyle name="常规 2 2 2 8 3 3 3 4" xfId="20223"/>
    <cellStyle name="常规 2 2 2 8 3 3 4" xfId="20224"/>
    <cellStyle name="常规 2 2 2 8 3 3 4 2" xfId="20225"/>
    <cellStyle name="常规 2 2 2 8 3 3 4 2 2" xfId="20226"/>
    <cellStyle name="常规 2 2 2 8 3 3 4 3" xfId="12201"/>
    <cellStyle name="常规 2 2 2 8 3 3 4 4" xfId="20227"/>
    <cellStyle name="常规 2 2 2 8 3 3 5" xfId="20228"/>
    <cellStyle name="常规 2 2 2 8 3 3 5 2" xfId="20229"/>
    <cellStyle name="常规 2 2 2 8 3 3 6" xfId="20231"/>
    <cellStyle name="常规 2 2 2 8 3 3 7" xfId="19223"/>
    <cellStyle name="常规 2 2 2 8 3 3 8" xfId="19226"/>
    <cellStyle name="常规 2 2 2 8 3 4" xfId="20233"/>
    <cellStyle name="常规 2 2 2 8 3 4 2" xfId="20237"/>
    <cellStyle name="常规 2 2 2 8 3 4 2 2" xfId="20239"/>
    <cellStyle name="常规 2 2 2 8 3 4 2 2 2" xfId="13155"/>
    <cellStyle name="常规 2 2 2 8 3 4 2 3" xfId="1515"/>
    <cellStyle name="常规 2 2 2 8 3 4 2 4" xfId="808"/>
    <cellStyle name="常规 2 2 2 8 3 4 3" xfId="20241"/>
    <cellStyle name="常规 2 2 2 8 3 4 3 2" xfId="20242"/>
    <cellStyle name="常规 2 2 2 8 3 4 4" xfId="20243"/>
    <cellStyle name="常规 2 2 2 8 3 4 5" xfId="20244"/>
    <cellStyle name="常规 2 2 2 8 3 4 6" xfId="20245"/>
    <cellStyle name="常规 2 2 2 8 3 5" xfId="10564"/>
    <cellStyle name="常规 2 2 2 8 3 5 2" xfId="10099"/>
    <cellStyle name="常规 2 2 2 8 3 5 2 2" xfId="20246"/>
    <cellStyle name="常规 2 2 2 8 3 5 3" xfId="7502"/>
    <cellStyle name="常规 2 2 2 8 3 5 4" xfId="7505"/>
    <cellStyle name="常规 2 2 2 8 3 6" xfId="20247"/>
    <cellStyle name="常规 2 2 2 8 3 6 2" xfId="20250"/>
    <cellStyle name="常规 2 2 2 8 3 6 2 2" xfId="20251"/>
    <cellStyle name="常规 2 2 2 8 3 6 3" xfId="7507"/>
    <cellStyle name="常规 2 2 2 8 3 6 4" xfId="20252"/>
    <cellStyle name="常规 2 2 2 8 3 7" xfId="20253"/>
    <cellStyle name="常规 2 2 2 8 3 7 2" xfId="20256"/>
    <cellStyle name="常规 2 2 2 8 3 8" xfId="20258"/>
    <cellStyle name="常规 2 2 2 8 3 8 2" xfId="20259"/>
    <cellStyle name="常规 2 2 2 8 3 9" xfId="12243"/>
    <cellStyle name="常规 2 2 2 8 4" xfId="19753"/>
    <cellStyle name="常规 2 2 2 8 4 2" xfId="20262"/>
    <cellStyle name="常规 2 2 2 8 4 2 2" xfId="20265"/>
    <cellStyle name="常规 2 2 2 8 4 2 2 2" xfId="20267"/>
    <cellStyle name="常规 2 2 2 8 4 2 2 2 2" xfId="4628"/>
    <cellStyle name="常规 2 2 2 8 4 2 2 3" xfId="19779"/>
    <cellStyle name="常规 2 2 2 8 4 2 2 4" xfId="20270"/>
    <cellStyle name="常规 2 2 2 8 4 2 3" xfId="20272"/>
    <cellStyle name="常规 2 2 2 8 4 2 3 2" xfId="20274"/>
    <cellStyle name="常规 2 2 2 8 4 2 4" xfId="20276"/>
    <cellStyle name="常规 2 2 2 8 4 2 5" xfId="20278"/>
    <cellStyle name="常规 2 2 2 8 4 3" xfId="20281"/>
    <cellStyle name="常规 2 2 2 8 4 3 2" xfId="20284"/>
    <cellStyle name="常规 2 2 2 8 4 3 2 2" xfId="20286"/>
    <cellStyle name="常规 2 2 2 8 4 3 3" xfId="20288"/>
    <cellStyle name="常规 2 2 2 8 4 3 4" xfId="20290"/>
    <cellStyle name="常规 2 2 2 8 4 4" xfId="3475"/>
    <cellStyle name="常规 2 2 2 8 4 4 2" xfId="3480"/>
    <cellStyle name="常规 2 2 2 8 4 4 2 2" xfId="2646"/>
    <cellStyle name="常规 2 2 2 8 4 4 3" xfId="20292"/>
    <cellStyle name="常规 2 2 2 8 4 4 4" xfId="20294"/>
    <cellStyle name="常规 2 2 2 8 4 5" xfId="3487"/>
    <cellStyle name="常规 2 2 2 8 4 5 2" xfId="20296"/>
    <cellStyle name="常规 2 2 2 8 4 6" xfId="20298"/>
    <cellStyle name="常规 2 2 2 8 4 7" xfId="11495"/>
    <cellStyle name="常规 2 2 2 8 4 8" xfId="20300"/>
    <cellStyle name="常规 2 2 2 8 5" xfId="1389"/>
    <cellStyle name="常规 2 2 2 8 5 2" xfId="20305"/>
    <cellStyle name="常规 2 2 2 8 5 2 2" xfId="20307"/>
    <cellStyle name="常规 2 2 2 8 5 2 2 2" xfId="20311"/>
    <cellStyle name="常规 2 2 2 8 5 2 3" xfId="20313"/>
    <cellStyle name="常规 2 2 2 8 5 2 4" xfId="20317"/>
    <cellStyle name="常规 2 2 2 8 5 3" xfId="20319"/>
    <cellStyle name="常规 2 2 2 8 5 3 2" xfId="20322"/>
    <cellStyle name="常规 2 2 2 8 5 4" xfId="3492"/>
    <cellStyle name="常规 2 2 2 8 5 5" xfId="20325"/>
    <cellStyle name="常规 2 2 2 8 5 6" xfId="20329"/>
    <cellStyle name="常规 2 2 2 8 6" xfId="20332"/>
    <cellStyle name="常规 2 2 2 8 6 2" xfId="20336"/>
    <cellStyle name="常规 2 2 2 8 6 2 2" xfId="20340"/>
    <cellStyle name="常规 2 2 2 8 6 3" xfId="20343"/>
    <cellStyle name="常规 2 2 2 8 6 4" xfId="3504"/>
    <cellStyle name="常规 2 2 2 8 7" xfId="20347"/>
    <cellStyle name="常规 2 2 2 8 7 2" xfId="10922"/>
    <cellStyle name="常规 2 2 2 8 7 2 2" xfId="10926"/>
    <cellStyle name="常规 2 2 2 8 7 3" xfId="10931"/>
    <cellStyle name="常规 2 2 2 8 7 4" xfId="10938"/>
    <cellStyle name="常规 2 2 2 8 8" xfId="20350"/>
    <cellStyle name="常规 2 2 2 8 8 2" xfId="10964"/>
    <cellStyle name="常规 2 2 2 8 9" xfId="20352"/>
    <cellStyle name="常规 2 2 2 8 9 2" xfId="9359"/>
    <cellStyle name="常规 2 2 2 9" xfId="18084"/>
    <cellStyle name="常规 2 2 2 9 10" xfId="20353"/>
    <cellStyle name="常规 2 2 2 9 11" xfId="11379"/>
    <cellStyle name="常规 2 2 2 9 12" xfId="20355"/>
    <cellStyle name="常规 2 2 2 9 2" xfId="19758"/>
    <cellStyle name="常规 2 2 2 9 2 10" xfId="20357"/>
    <cellStyle name="常规 2 2 2 9 2 11" xfId="2210"/>
    <cellStyle name="常规 2 2 2 9 2 12" xfId="20359"/>
    <cellStyle name="常规 2 2 2 9 2 2" xfId="20361"/>
    <cellStyle name="常规 2 2 2 9 2 2 10" xfId="20362"/>
    <cellStyle name="常规 2 2 2 9 2 2 2" xfId="20364"/>
    <cellStyle name="常规 2 2 2 9 2 2 2 2" xfId="7083"/>
    <cellStyle name="常规 2 2 2 9 2 2 2 2 2" xfId="1354"/>
    <cellStyle name="常规 2 2 2 9 2 2 2 2 2 2" xfId="1360"/>
    <cellStyle name="常规 2 2 2 9 2 2 2 2 2 2 2" xfId="3353"/>
    <cellStyle name="常规 2 2 2 9 2 2 2 2 2 3" xfId="5922"/>
    <cellStyle name="常规 2 2 2 9 2 2 2 2 2 4" xfId="5953"/>
    <cellStyle name="常规 2 2 2 9 2 2 2 2 3" xfId="1369"/>
    <cellStyle name="常规 2 2 2 9 2 2 2 2 3 2" xfId="5992"/>
    <cellStyle name="常规 2 2 2 9 2 2 2 2 4" xfId="1374"/>
    <cellStyle name="常规 2 2 2 9 2 2 2 2 5" xfId="6021"/>
    <cellStyle name="常规 2 2 2 9 2 2 2 3" xfId="7085"/>
    <cellStyle name="常规 2 2 2 9 2 2 2 3 2" xfId="1439"/>
    <cellStyle name="常规 2 2 2 9 2 2 2 3 2 2" xfId="20367"/>
    <cellStyle name="常规 2 2 2 9 2 2 2 3 3" xfId="20369"/>
    <cellStyle name="常规 2 2 2 9 2 2 2 3 4" xfId="14555"/>
    <cellStyle name="常规 2 2 2 9 2 2 2 4" xfId="7087"/>
    <cellStyle name="常规 2 2 2 9 2 2 2 4 2" xfId="1577"/>
    <cellStyle name="常规 2 2 2 9 2 2 2 4 2 2" xfId="20370"/>
    <cellStyle name="常规 2 2 2 9 2 2 2 4 3" xfId="20371"/>
    <cellStyle name="常规 2 2 2 9 2 2 2 4 4" xfId="20372"/>
    <cellStyle name="常规 2 2 2 9 2 2 2 5" xfId="7090"/>
    <cellStyle name="常规 2 2 2 9 2 2 2 5 2" xfId="20373"/>
    <cellStyle name="常规 2 2 2 9 2 2 2 6" xfId="7094"/>
    <cellStyle name="常规 2 2 2 9 2 2 2 7" xfId="20376"/>
    <cellStyle name="常规 2 2 2 9 2 2 2 8" xfId="20380"/>
    <cellStyle name="常规 2 2 2 9 2 2 3" xfId="20382"/>
    <cellStyle name="常规 2 2 2 9 2 2 3 2" xfId="7101"/>
    <cellStyle name="常规 2 2 2 9 2 2 3 2 2" xfId="20383"/>
    <cellStyle name="常规 2 2 2 9 2 2 3 2 2 2" xfId="13846"/>
    <cellStyle name="常规 2 2 2 9 2 2 3 2 3" xfId="20384"/>
    <cellStyle name="常规 2 2 2 9 2 2 3 2 4" xfId="20385"/>
    <cellStyle name="常规 2 2 2 9 2 2 3 3" xfId="5640"/>
    <cellStyle name="常规 2 2 2 9 2 2 3 3 2" xfId="5642"/>
    <cellStyle name="常规 2 2 2 9 2 2 3 4" xfId="5645"/>
    <cellStyle name="常规 2 2 2 9 2 2 3 5" xfId="5648"/>
    <cellStyle name="常规 2 2 2 9 2 2 3 6" xfId="5652"/>
    <cellStyle name="常规 2 2 2 9 2 2 4" xfId="20386"/>
    <cellStyle name="常规 2 2 2 9 2 2 4 2" xfId="20387"/>
    <cellStyle name="常规 2 2 2 9 2 2 4 2 2" xfId="20388"/>
    <cellStyle name="常规 2 2 2 9 2 2 4 3" xfId="5656"/>
    <cellStyle name="常规 2 2 2 9 2 2 4 4" xfId="5659"/>
    <cellStyle name="常规 2 2 2 9 2 2 5" xfId="20389"/>
    <cellStyle name="常规 2 2 2 9 2 2 5 2" xfId="7578"/>
    <cellStyle name="常规 2 2 2 9 2 2 5 2 2" xfId="7580"/>
    <cellStyle name="常规 2 2 2 9 2 2 5 3" xfId="1216"/>
    <cellStyle name="常规 2 2 2 9 2 2 5 4" xfId="5667"/>
    <cellStyle name="常规 2 2 2 9 2 2 6" xfId="20390"/>
    <cellStyle name="常规 2 2 2 9 2 2 6 2" xfId="7614"/>
    <cellStyle name="常规 2 2 2 9 2 2 7" xfId="7190"/>
    <cellStyle name="常规 2 2 2 9 2 2 7 2" xfId="20391"/>
    <cellStyle name="常规 2 2 2 9 2 2 8" xfId="20392"/>
    <cellStyle name="常规 2 2 2 9 2 2 9" xfId="20393"/>
    <cellStyle name="常规 2 2 2 9 2 3" xfId="20395"/>
    <cellStyle name="常规 2 2 2 9 2 3 10" xfId="20396"/>
    <cellStyle name="常规 2 2 2 9 2 3 11" xfId="20398"/>
    <cellStyle name="常规 2 2 2 9 2 3 2" xfId="20400"/>
    <cellStyle name="常规 2 2 2 9 2 3 2 10" xfId="20401"/>
    <cellStyle name="常规 2 2 2 9 2 3 2 2" xfId="20402"/>
    <cellStyle name="常规 2 2 2 9 2 3 2 2 2" xfId="2046"/>
    <cellStyle name="常规 2 2 2 9 2 3 2 2 2 2" xfId="2050"/>
    <cellStyle name="常规 2 2 2 9 2 3 2 2 2 2 2" xfId="20403"/>
    <cellStyle name="常规 2 2 2 9 2 3 2 2 2 2 2 2" xfId="20404"/>
    <cellStyle name="常规 2 2 2 9 2 3 2 2 2 2 3" xfId="20405"/>
    <cellStyle name="常规 2 2 2 9 2 3 2 2 2 2 4" xfId="20407"/>
    <cellStyle name="常规 2 2 2 9 2 3 2 2 2 3" xfId="14064"/>
    <cellStyle name="常规 2 2 2 9 2 3 2 2 2 3 2" xfId="20409"/>
    <cellStyle name="常规 2 2 2 9 2 3 2 2 2 4" xfId="20410"/>
    <cellStyle name="常规 2 2 2 9 2 3 2 2 2 5" xfId="3993"/>
    <cellStyle name="常规 2 2 2 9 2 3 2 2 3" xfId="2053"/>
    <cellStyle name="常规 2 2 2 9 2 3 2 2 3 2" xfId="20411"/>
    <cellStyle name="常规 2 2 2 9 2 3 2 2 3 2 2" xfId="20413"/>
    <cellStyle name="常规 2 2 2 9 2 3 2 2 3 3" xfId="20414"/>
    <cellStyle name="常规 2 2 2 9 2 3 2 2 3 4" xfId="20416"/>
    <cellStyle name="常规 2 2 2 9 2 3 2 2 4" xfId="9659"/>
    <cellStyle name="常规 2 2 2 9 2 3 2 2 4 2" xfId="20417"/>
    <cellStyle name="常规 2 2 2 9 2 3 2 2 4 2 2" xfId="20418"/>
    <cellStyle name="常规 2 2 2 9 2 3 2 2 4 3" xfId="20419"/>
    <cellStyle name="常规 2 2 2 9 2 3 2 2 4 4" xfId="20420"/>
    <cellStyle name="常规 2 2 2 9 2 3 2 2 5" xfId="13868"/>
    <cellStyle name="常规 2 2 2 9 2 3 2 2 5 2" xfId="20421"/>
    <cellStyle name="常规 2 2 2 9 2 3 2 2 6" xfId="20422"/>
    <cellStyle name="常规 2 2 2 9 2 3 2 2 7" xfId="20423"/>
    <cellStyle name="常规 2 2 2 9 2 3 2 2 8" xfId="20425"/>
    <cellStyle name="常规 2 2 2 9 2 3 2 3" xfId="20427"/>
    <cellStyle name="常规 2 2 2 9 2 3 2 3 2" xfId="2077"/>
    <cellStyle name="常规 2 2 2 9 2 3 2 3 2 2" xfId="14911"/>
    <cellStyle name="常规 2 2 2 9 2 3 2 3 2 2 2" xfId="20428"/>
    <cellStyle name="常规 2 2 2 9 2 3 2 3 2 3" xfId="20430"/>
    <cellStyle name="常规 2 2 2 9 2 3 2 3 2 4" xfId="20433"/>
    <cellStyle name="常规 2 2 2 9 2 3 2 3 3" xfId="20435"/>
    <cellStyle name="常规 2 2 2 9 2 3 2 3 3 2" xfId="20437"/>
    <cellStyle name="常规 2 2 2 9 2 3 2 3 4" xfId="20440"/>
    <cellStyle name="常规 2 2 2 9 2 3 2 3 5" xfId="20442"/>
    <cellStyle name="常规 2 2 2 9 2 3 2 3 6" xfId="20444"/>
    <cellStyle name="常规 2 2 2 9 2 3 2 4" xfId="20447"/>
    <cellStyle name="常规 2 2 2 9 2 3 2 4 2" xfId="2096"/>
    <cellStyle name="常规 2 2 2 9 2 3 2 4 2 2" xfId="17499"/>
    <cellStyle name="常规 2 2 2 9 2 3 2 4 3" xfId="20448"/>
    <cellStyle name="常规 2 2 2 9 2 3 2 4 4" xfId="20450"/>
    <cellStyle name="常规 2 2 2 9 2 3 2 5" xfId="20452"/>
    <cellStyle name="常规 2 2 2 9 2 3 2 5 2" xfId="20454"/>
    <cellStyle name="常规 2 2 2 9 2 3 2 5 2 2" xfId="20457"/>
    <cellStyle name="常规 2 2 2 9 2 3 2 5 3" xfId="20460"/>
    <cellStyle name="常规 2 2 2 9 2 3 2 5 4" xfId="20462"/>
    <cellStyle name="常规 2 2 2 9 2 3 2 6" xfId="20466"/>
    <cellStyle name="常规 2 2 2 9 2 3 2 6 2" xfId="20472"/>
    <cellStyle name="常规 2 2 2 9 2 3 2 7" xfId="20478"/>
    <cellStyle name="常规 2 2 2 9 2 3 2 7 2" xfId="20483"/>
    <cellStyle name="常规 2 2 2 9 2 3 2 8" xfId="20490"/>
    <cellStyle name="常规 2 2 2 9 2 3 2 9" xfId="20496"/>
    <cellStyle name="常规 2 2 2 9 2 3 3" xfId="20498"/>
    <cellStyle name="常规 2 2 2 9 2 3 3 2" xfId="20499"/>
    <cellStyle name="常规 2 2 2 9 2 3 3 2 2" xfId="2221"/>
    <cellStyle name="常规 2 2 2 9 2 3 3 2 2 2" xfId="20500"/>
    <cellStyle name="常规 2 2 2 9 2 3 3 2 2 2 2" xfId="20501"/>
    <cellStyle name="常规 2 2 2 9 2 3 3 2 2 3" xfId="20503"/>
    <cellStyle name="常规 2 2 2 9 2 3 3 2 2 4" xfId="20504"/>
    <cellStyle name="常规 2 2 2 9 2 3 3 2 3" xfId="20505"/>
    <cellStyle name="常规 2 2 2 9 2 3 3 2 3 2" xfId="20507"/>
    <cellStyle name="常规 2 2 2 9 2 3 3 2 4" xfId="20508"/>
    <cellStyle name="常规 2 2 2 9 2 3 3 2 5" xfId="20509"/>
    <cellStyle name="常规 2 2 2 9 2 3 3 3" xfId="5676"/>
    <cellStyle name="常规 2 2 2 9 2 3 3 3 2" xfId="5678"/>
    <cellStyle name="常规 2 2 2 9 2 3 3 3 2 2" xfId="15006"/>
    <cellStyle name="常规 2 2 2 9 2 3 3 3 3" xfId="20510"/>
    <cellStyle name="常规 2 2 2 9 2 3 3 3 4" xfId="20512"/>
    <cellStyle name="常规 2 2 2 9 2 3 3 4" xfId="5682"/>
    <cellStyle name="常规 2 2 2 9 2 3 3 4 2" xfId="7229"/>
    <cellStyle name="常规 2 2 2 9 2 3 3 4 2 2" xfId="15078"/>
    <cellStyle name="常规 2 2 2 9 2 3 3 4 3" xfId="20514"/>
    <cellStyle name="常规 2 2 2 9 2 3 3 4 4" xfId="20516"/>
    <cellStyle name="常规 2 2 2 9 2 3 3 5" xfId="7232"/>
    <cellStyle name="常规 2 2 2 9 2 3 3 5 2" xfId="20518"/>
    <cellStyle name="常规 2 2 2 9 2 3 3 6" xfId="20524"/>
    <cellStyle name="常规 2 2 2 9 2 3 3 7" xfId="20529"/>
    <cellStyle name="常规 2 2 2 9 2 3 3 8" xfId="20533"/>
    <cellStyle name="常规 2 2 2 9 2 3 4" xfId="20535"/>
    <cellStyle name="常规 2 2 2 9 2 3 4 2" xfId="20537"/>
    <cellStyle name="常规 2 2 2 9 2 3 4 2 2" xfId="2446"/>
    <cellStyle name="常规 2 2 2 9 2 3 4 2 2 2" xfId="20538"/>
    <cellStyle name="常规 2 2 2 9 2 3 4 2 3" xfId="20539"/>
    <cellStyle name="常规 2 2 2 9 2 3 4 2 4" xfId="20540"/>
    <cellStyle name="常规 2 2 2 9 2 3 4 3" xfId="5686"/>
    <cellStyle name="常规 2 2 2 9 2 3 4 3 2" xfId="2458"/>
    <cellStyle name="常规 2 2 2 9 2 3 4 4" xfId="7236"/>
    <cellStyle name="常规 2 2 2 9 2 3 4 5" xfId="20541"/>
    <cellStyle name="常规 2 2 2 9 2 3 4 6" xfId="20545"/>
    <cellStyle name="常规 2 2 2 9 2 3 5" xfId="20547"/>
    <cellStyle name="常规 2 2 2 9 2 3 5 2" xfId="7653"/>
    <cellStyle name="常规 2 2 2 9 2 3 5 2 2" xfId="20548"/>
    <cellStyle name="常规 2 2 2 9 2 3 5 3" xfId="20549"/>
    <cellStyle name="常规 2 2 2 9 2 3 5 4" xfId="7238"/>
    <cellStyle name="常规 2 2 2 9 2 3 6" xfId="20550"/>
    <cellStyle name="常规 2 2 2 9 2 3 6 2" xfId="20551"/>
    <cellStyle name="常规 2 2 2 9 2 3 6 2 2" xfId="20553"/>
    <cellStyle name="常规 2 2 2 9 2 3 6 3" xfId="17697"/>
    <cellStyle name="常规 2 2 2 9 2 3 6 4" xfId="20554"/>
    <cellStyle name="常规 2 2 2 9 2 3 7" xfId="20555"/>
    <cellStyle name="常规 2 2 2 9 2 3 7 2" xfId="20556"/>
    <cellStyle name="常规 2 2 2 9 2 3 8" xfId="20557"/>
    <cellStyle name="常规 2 2 2 9 2 3 8 2" xfId="20558"/>
    <cellStyle name="常规 2 2 2 9 2 3 9" xfId="20560"/>
    <cellStyle name="常规 2 2 2 9 2 4" xfId="20562"/>
    <cellStyle name="常规 2 2 2 9 2 4 2" xfId="20564"/>
    <cellStyle name="常规 2 2 2 9 2 4 2 2" xfId="20566"/>
    <cellStyle name="常规 2 2 2 9 2 4 2 2 2" xfId="19239"/>
    <cellStyle name="常规 2 2 2 9 2 4 2 2 2 2" xfId="20567"/>
    <cellStyle name="常规 2 2 2 9 2 4 2 2 3" xfId="19241"/>
    <cellStyle name="常规 2 2 2 9 2 4 2 2 4" xfId="20569"/>
    <cellStyle name="常规 2 2 2 9 2 4 2 3" xfId="20571"/>
    <cellStyle name="常规 2 2 2 9 2 4 2 3 2" xfId="19248"/>
    <cellStyle name="常规 2 2 2 9 2 4 2 4" xfId="20574"/>
    <cellStyle name="常规 2 2 2 9 2 4 2 5" xfId="20576"/>
    <cellStyle name="常规 2 2 2 9 2 4 3" xfId="20578"/>
    <cellStyle name="常规 2 2 2 9 2 4 3 2" xfId="11081"/>
    <cellStyle name="常规 2 2 2 9 2 4 3 2 2" xfId="20580"/>
    <cellStyle name="常规 2 2 2 9 2 4 3 3" xfId="1640"/>
    <cellStyle name="常规 2 2 2 9 2 4 3 4" xfId="7244"/>
    <cellStyle name="常规 2 2 2 9 2 4 4" xfId="20581"/>
    <cellStyle name="常规 2 2 2 9 2 4 4 2" xfId="20583"/>
    <cellStyle name="常规 2 2 2 9 2 4 4 2 2" xfId="20584"/>
    <cellStyle name="常规 2 2 2 9 2 4 4 3" xfId="20587"/>
    <cellStyle name="常规 2 2 2 9 2 4 4 4" xfId="20588"/>
    <cellStyle name="常规 2 2 2 9 2 4 5" xfId="20589"/>
    <cellStyle name="常规 2 2 2 9 2 4 5 2" xfId="20590"/>
    <cellStyle name="常规 2 2 2 9 2 4 6" xfId="20591"/>
    <cellStyle name="常规 2 2 2 9 2 4 7" xfId="20592"/>
    <cellStyle name="常规 2 2 2 9 2 4 8" xfId="20593"/>
    <cellStyle name="常规 2 2 2 9 2 5" xfId="20594"/>
    <cellStyle name="常规 2 2 2 9 2 5 2" xfId="20595"/>
    <cellStyle name="常规 2 2 2 9 2 5 2 2" xfId="20597"/>
    <cellStyle name="常规 2 2 2 9 2 5 2 2 2" xfId="19515"/>
    <cellStyle name="常规 2 2 2 9 2 5 2 3" xfId="20599"/>
    <cellStyle name="常规 2 2 2 9 2 5 2 4" xfId="15295"/>
    <cellStyle name="常规 2 2 2 9 2 5 3" xfId="7528"/>
    <cellStyle name="常规 2 2 2 9 2 5 3 2" xfId="7531"/>
    <cellStyle name="常规 2 2 2 9 2 5 4" xfId="7541"/>
    <cellStyle name="常规 2 2 2 9 2 5 5" xfId="7547"/>
    <cellStyle name="常规 2 2 2 9 2 5 6" xfId="7553"/>
    <cellStyle name="常规 2 2 2 9 2 6" xfId="20600"/>
    <cellStyle name="常规 2 2 2 9 2 6 2" xfId="20601"/>
    <cellStyle name="常规 2 2 2 9 2 6 2 2" xfId="20602"/>
    <cellStyle name="常规 2 2 2 9 2 6 3" xfId="7111"/>
    <cellStyle name="常规 2 2 2 9 2 6 4" xfId="7568"/>
    <cellStyle name="常规 2 2 2 9 2 7" xfId="20603"/>
    <cellStyle name="常规 2 2 2 9 2 7 2" xfId="20604"/>
    <cellStyle name="常规 2 2 2 9 2 7 2 2" xfId="20606"/>
    <cellStyle name="常规 2 2 2 9 2 7 3" xfId="7572"/>
    <cellStyle name="常规 2 2 2 9 2 7 4" xfId="7576"/>
    <cellStyle name="常规 2 2 2 9 2 8" xfId="6511"/>
    <cellStyle name="常规 2 2 2 9 2 8 2" xfId="20607"/>
    <cellStyle name="常规 2 2 2 9 2 9" xfId="20608"/>
    <cellStyle name="常规 2 2 2 9 2 9 2" xfId="20609"/>
    <cellStyle name="常规 2 2 2 9 3" xfId="19760"/>
    <cellStyle name="常规 2 2 2 9 3 10" xfId="6011"/>
    <cellStyle name="常规 2 2 2 9 3 11" xfId="4603"/>
    <cellStyle name="常规 2 2 2 9 3 2" xfId="20610"/>
    <cellStyle name="常规 2 2 2 9 3 2 10" xfId="20612"/>
    <cellStyle name="常规 2 2 2 9 3 2 2" xfId="20613"/>
    <cellStyle name="常规 2 2 2 9 3 2 2 2" xfId="20616"/>
    <cellStyle name="常规 2 2 2 9 3 2 2 2 2" xfId="20617"/>
    <cellStyle name="常规 2 2 2 9 3 2 2 2 2 2" xfId="20618"/>
    <cellStyle name="常规 2 2 2 9 3 2 2 2 2 2 2" xfId="20621"/>
    <cellStyle name="常规 2 2 2 9 3 2 2 2 2 3" xfId="20623"/>
    <cellStyle name="常规 2 2 2 9 3 2 2 2 2 4" xfId="20627"/>
    <cellStyle name="常规 2 2 2 9 3 2 2 2 3" xfId="20630"/>
    <cellStyle name="常规 2 2 2 9 3 2 2 2 3 2" xfId="20631"/>
    <cellStyle name="常规 2 2 2 9 3 2 2 2 4" xfId="20635"/>
    <cellStyle name="常规 2 2 2 9 3 2 2 2 5" xfId="20637"/>
    <cellStyle name="常规 2 2 2 9 3 2 2 3" xfId="18360"/>
    <cellStyle name="常规 2 2 2 9 3 2 2 3 2" xfId="18362"/>
    <cellStyle name="常规 2 2 2 9 3 2 2 3 2 2" xfId="20638"/>
    <cellStyle name="常规 2 2 2 9 3 2 2 3 3" xfId="20641"/>
    <cellStyle name="常规 2 2 2 9 3 2 2 3 4" xfId="20642"/>
    <cellStyle name="常规 2 2 2 9 3 2 2 4" xfId="18365"/>
    <cellStyle name="常规 2 2 2 9 3 2 2 4 2" xfId="20643"/>
    <cellStyle name="常规 2 2 2 9 3 2 2 4 2 2" xfId="20645"/>
    <cellStyle name="常规 2 2 2 9 3 2 2 4 3" xfId="20647"/>
    <cellStyle name="常规 2 2 2 9 3 2 2 4 4" xfId="20650"/>
    <cellStyle name="常规 2 2 2 9 3 2 2 5" xfId="18367"/>
    <cellStyle name="常规 2 2 2 9 3 2 2 5 2" xfId="20654"/>
    <cellStyle name="常规 2 2 2 9 3 2 2 6" xfId="20656"/>
    <cellStyle name="常规 2 2 2 9 3 2 2 7" xfId="20658"/>
    <cellStyle name="常规 2 2 2 9 3 2 2 8" xfId="20660"/>
    <cellStyle name="常规 2 2 2 9 3 2 3" xfId="20662"/>
    <cellStyle name="常规 2 2 2 9 3 2 3 2" xfId="20663"/>
    <cellStyle name="常规 2 2 2 9 3 2 3 2 2" xfId="20664"/>
    <cellStyle name="常规 2 2 2 9 3 2 3 2 2 2" xfId="20665"/>
    <cellStyle name="常规 2 2 2 9 3 2 3 2 3" xfId="20666"/>
    <cellStyle name="常规 2 2 2 9 3 2 3 2 4" xfId="20667"/>
    <cellStyle name="常规 2 2 2 9 3 2 3 3" xfId="5718"/>
    <cellStyle name="常规 2 2 2 9 3 2 3 3 2" xfId="20668"/>
    <cellStyle name="常规 2 2 2 9 3 2 3 4" xfId="20669"/>
    <cellStyle name="常规 2 2 2 9 3 2 3 5" xfId="20670"/>
    <cellStyle name="常规 2 2 2 9 3 2 3 6" xfId="20671"/>
    <cellStyle name="常规 2 2 2 9 3 2 4" xfId="20673"/>
    <cellStyle name="常规 2 2 2 9 3 2 4 2" xfId="20674"/>
    <cellStyle name="常规 2 2 2 9 3 2 4 2 2" xfId="20675"/>
    <cellStyle name="常规 2 2 2 9 3 2 4 3" xfId="20676"/>
    <cellStyle name="常规 2 2 2 9 3 2 4 4" xfId="20677"/>
    <cellStyle name="常规 2 2 2 9 3 2 5" xfId="20678"/>
    <cellStyle name="常规 2 2 2 9 3 2 5 2" xfId="20679"/>
    <cellStyle name="常规 2 2 2 9 3 2 5 2 2" xfId="20680"/>
    <cellStyle name="常规 2 2 2 9 3 2 5 3" xfId="20681"/>
    <cellStyle name="常规 2 2 2 9 3 2 5 4" xfId="20682"/>
    <cellStyle name="常规 2 2 2 9 3 2 6" xfId="20683"/>
    <cellStyle name="常规 2 2 2 9 3 2 6 2" xfId="20684"/>
    <cellStyle name="常规 2 2 2 9 3 2 7" xfId="7264"/>
    <cellStyle name="常规 2 2 2 9 3 2 7 2" xfId="20685"/>
    <cellStyle name="常规 2 2 2 9 3 2 8" xfId="20686"/>
    <cellStyle name="常规 2 2 2 9 3 2 9" xfId="20687"/>
    <cellStyle name="常规 2 2 2 9 3 3" xfId="20688"/>
    <cellStyle name="常规 2 2 2 9 3 3 2" xfId="20690"/>
    <cellStyle name="常规 2 2 2 9 3 3 2 2" xfId="20692"/>
    <cellStyle name="常规 2 2 2 9 3 3 2 2 2" xfId="3022"/>
    <cellStyle name="常规 2 2 2 9 3 3 2 2 2 2" xfId="3027"/>
    <cellStyle name="常规 2 2 2 9 3 3 2 2 3" xfId="3031"/>
    <cellStyle name="常规 2 2 2 9 3 3 2 2 4" xfId="20694"/>
    <cellStyle name="常规 2 2 2 9 3 3 2 3" xfId="18374"/>
    <cellStyle name="常规 2 2 2 9 3 3 2 3 2" xfId="3050"/>
    <cellStyle name="常规 2 2 2 9 3 3 2 4" xfId="20695"/>
    <cellStyle name="常规 2 2 2 9 3 3 2 5" xfId="20696"/>
    <cellStyle name="常规 2 2 2 9 3 3 3" xfId="20698"/>
    <cellStyle name="常规 2 2 2 9 3 3 3 2" xfId="20699"/>
    <cellStyle name="常规 2 2 2 9 3 3 3 2 2" xfId="206"/>
    <cellStyle name="常规 2 2 2 9 3 3 3 3" xfId="5730"/>
    <cellStyle name="常规 2 2 2 9 3 3 3 4" xfId="1505"/>
    <cellStyle name="常规 2 2 2 9 3 3 4" xfId="20700"/>
    <cellStyle name="常规 2 2 2 9 3 3 4 2" xfId="20703"/>
    <cellStyle name="常规 2 2 2 9 3 3 4 2 2" xfId="3286"/>
    <cellStyle name="常规 2 2 2 9 3 3 4 3" xfId="20704"/>
    <cellStyle name="常规 2 2 2 9 3 3 4 4" xfId="20705"/>
    <cellStyle name="常规 2 2 2 9 3 3 5" xfId="20706"/>
    <cellStyle name="常规 2 2 2 9 3 3 5 2" xfId="20707"/>
    <cellStyle name="常规 2 2 2 9 3 3 6" xfId="20708"/>
    <cellStyle name="常规 2 2 2 9 3 3 7" xfId="7269"/>
    <cellStyle name="常规 2 2 2 9 3 3 8" xfId="20709"/>
    <cellStyle name="常规 2 2 2 9 3 4" xfId="20710"/>
    <cellStyle name="常规 2 2 2 9 3 4 2" xfId="20712"/>
    <cellStyle name="常规 2 2 2 9 3 4 2 2" xfId="20713"/>
    <cellStyle name="常规 2 2 2 9 3 4 2 2 2" xfId="20715"/>
    <cellStyle name="常规 2 2 2 9 3 4 2 3" xfId="18380"/>
    <cellStyle name="常规 2 2 2 9 3 4 2 4" xfId="1332"/>
    <cellStyle name="常规 2 2 2 9 3 4 3" xfId="20716"/>
    <cellStyle name="常规 2 2 2 9 3 4 3 2" xfId="20717"/>
    <cellStyle name="常规 2 2 2 9 3 4 4" xfId="20718"/>
    <cellStyle name="常规 2 2 2 9 3 4 5" xfId="20719"/>
    <cellStyle name="常规 2 2 2 9 3 4 6" xfId="20720"/>
    <cellStyle name="常规 2 2 2 9 3 5" xfId="20721"/>
    <cellStyle name="常规 2 2 2 9 3 5 2" xfId="20722"/>
    <cellStyle name="常规 2 2 2 9 3 5 2 2" xfId="20724"/>
    <cellStyle name="常规 2 2 2 9 3 5 3" xfId="7589"/>
    <cellStyle name="常规 2 2 2 9 3 5 4" xfId="7594"/>
    <cellStyle name="常规 2 2 2 9 3 6" xfId="20725"/>
    <cellStyle name="常规 2 2 2 9 3 6 2" xfId="20726"/>
    <cellStyle name="常规 2 2 2 9 3 6 2 2" xfId="20727"/>
    <cellStyle name="常规 2 2 2 9 3 6 3" xfId="7604"/>
    <cellStyle name="常规 2 2 2 9 3 6 4" xfId="7607"/>
    <cellStyle name="常规 2 2 2 9 3 7" xfId="20728"/>
    <cellStyle name="常规 2 2 2 9 3 7 2" xfId="20729"/>
    <cellStyle name="常规 2 2 2 9 3 8" xfId="5543"/>
    <cellStyle name="常规 2 2 2 9 3 8 2" xfId="20730"/>
    <cellStyle name="常规 2 2 2 9 3 9" xfId="12255"/>
    <cellStyle name="常规 2 2 2 9 4" xfId="20731"/>
    <cellStyle name="常规 2 2 2 9 4 2" xfId="20732"/>
    <cellStyle name="常规 2 2 2 9 4 2 2" xfId="20735"/>
    <cellStyle name="常规 2 2 2 9 4 2 2 2" xfId="20738"/>
    <cellStyle name="常规 2 2 2 9 4 2 2 2 2" xfId="20740"/>
    <cellStyle name="常规 2 2 2 9 4 2 2 3" xfId="18399"/>
    <cellStyle name="常规 2 2 2 9 4 2 2 4" xfId="20743"/>
    <cellStyle name="常规 2 2 2 9 4 2 3" xfId="20745"/>
    <cellStyle name="常规 2 2 2 9 4 2 3 2" xfId="20748"/>
    <cellStyle name="常规 2 2 2 9 4 2 4" xfId="20750"/>
    <cellStyle name="常规 2 2 2 9 4 2 5" xfId="20753"/>
    <cellStyle name="常规 2 2 2 9 4 3" xfId="20755"/>
    <cellStyle name="常规 2 2 2 9 4 3 2" xfId="20757"/>
    <cellStyle name="常规 2 2 2 9 4 3 2 2" xfId="20760"/>
    <cellStyle name="常规 2 2 2 9 4 3 3" xfId="20762"/>
    <cellStyle name="常规 2 2 2 9 4 3 4" xfId="20764"/>
    <cellStyle name="常规 2 2 2 9 4 4" xfId="4660"/>
    <cellStyle name="常规 2 2 2 9 4 4 2" xfId="20766"/>
    <cellStyle name="常规 2 2 2 9 4 4 2 2" xfId="5754"/>
    <cellStyle name="常规 2 2 2 9 4 4 3" xfId="20769"/>
    <cellStyle name="常规 2 2 2 9 4 4 4" xfId="20771"/>
    <cellStyle name="常规 2 2 2 9 4 5" xfId="20773"/>
    <cellStyle name="常规 2 2 2 9 4 5 2" xfId="20775"/>
    <cellStyle name="常规 2 2 2 9 4 6" xfId="20777"/>
    <cellStyle name="常规 2 2 2 9 4 7" xfId="11503"/>
    <cellStyle name="常规 2 2 2 9 4 8" xfId="20779"/>
    <cellStyle name="常规 2 2 2 9 5" xfId="20781"/>
    <cellStyle name="常规 2 2 2 9 5 2" xfId="20783"/>
    <cellStyle name="常规 2 2 2 9 5 2 2" xfId="20786"/>
    <cellStyle name="常规 2 2 2 9 5 2 2 2" xfId="20790"/>
    <cellStyle name="常规 2 2 2 9 5 2 3" xfId="20792"/>
    <cellStyle name="常规 2 2 2 9 5 2 4" xfId="20794"/>
    <cellStyle name="常规 2 2 2 9 5 3" xfId="20796"/>
    <cellStyle name="常规 2 2 2 9 5 3 2" xfId="20798"/>
    <cellStyle name="常规 2 2 2 9 5 4" xfId="20800"/>
    <cellStyle name="常规 2 2 2 9 5 5" xfId="20802"/>
    <cellStyle name="常规 2 2 2 9 5 6" xfId="20804"/>
    <cellStyle name="常规 2 2 2 9 6" xfId="20807"/>
    <cellStyle name="常规 2 2 2 9 6 2" xfId="20808"/>
    <cellStyle name="常规 2 2 2 9 6 2 2" xfId="20810"/>
    <cellStyle name="常规 2 2 2 9 6 3" xfId="20812"/>
    <cellStyle name="常规 2 2 2 9 6 4" xfId="20814"/>
    <cellStyle name="常规 2 2 2 9 7" xfId="20816"/>
    <cellStyle name="常规 2 2 2 9 7 2" xfId="11197"/>
    <cellStyle name="常规 2 2 2 9 7 2 2" xfId="11200"/>
    <cellStyle name="常规 2 2 2 9 7 3" xfId="11242"/>
    <cellStyle name="常规 2 2 2 9 7 4" xfId="11257"/>
    <cellStyle name="常规 2 2 2 9 8" xfId="20817"/>
    <cellStyle name="常规 2 2 2 9 8 2" xfId="11327"/>
    <cellStyle name="常规 2 2 2 9 9" xfId="20819"/>
    <cellStyle name="常规 2 2 2 9 9 2" xfId="11407"/>
    <cellStyle name="常规 2 2 2_4.利通区2016年度第二批小农水项目扁担沟镇高效节水灌溉工程概算" xfId="6053"/>
    <cellStyle name="常规 2 2 20" xfId="16576"/>
    <cellStyle name="常规 2 2 21" xfId="16599"/>
    <cellStyle name="常规 2 2 22" xfId="16601"/>
    <cellStyle name="常规 2 2 3" xfId="6462"/>
    <cellStyle name="常规 2 2 3 10" xfId="20820"/>
    <cellStyle name="常规 2 2 3 10 2" xfId="5646"/>
    <cellStyle name="常规 2 2 3 11" xfId="20821"/>
    <cellStyle name="常规 2 2 3 12" xfId="20822"/>
    <cellStyle name="常规 2 2 3 13" xfId="20823"/>
    <cellStyle name="常规 2 2 3 2" xfId="6466"/>
    <cellStyle name="常规 2 2 3 2 10" xfId="30"/>
    <cellStyle name="常规 2 2 3 2 11" xfId="217"/>
    <cellStyle name="常规 2 2 3 2 12" xfId="229"/>
    <cellStyle name="常规 2 2 3 2 2" xfId="2196"/>
    <cellStyle name="常规 2 2 3 2 2 10" xfId="20824"/>
    <cellStyle name="常规 2 2 3 2 2 2" xfId="7316"/>
    <cellStyle name="常规 2 2 3 2 2 2 2" xfId="8121"/>
    <cellStyle name="常规 2 2 3 2 2 2 2 2" xfId="20825"/>
    <cellStyle name="常规 2 2 3 2 2 2 2 2 2" xfId="20828"/>
    <cellStyle name="常规 2 2 3 2 2 2 2 2 2 2" xfId="20830"/>
    <cellStyle name="常规 2 2 3 2 2 2 2 2 3" xfId="20832"/>
    <cellStyle name="常规 2 2 3 2 2 2 2 2 4" xfId="20834"/>
    <cellStyle name="常规 2 2 3 2 2 2 2 3" xfId="20836"/>
    <cellStyle name="常规 2 2 3 2 2 2 2 3 2" xfId="20839"/>
    <cellStyle name="常规 2 2 3 2 2 2 2 4" xfId="20841"/>
    <cellStyle name="常规 2 2 3 2 2 2 2 5" xfId="20843"/>
    <cellStyle name="常规 2 2 3 2 2 2 3" xfId="3258"/>
    <cellStyle name="常规 2 2 3 2 2 2 3 2" xfId="20845"/>
    <cellStyle name="常规 2 2 3 2 2 2 3 2 2" xfId="20849"/>
    <cellStyle name="常规 2 2 3 2 2 2 3 3" xfId="20852"/>
    <cellStyle name="常规 2 2 3 2 2 2 3 4" xfId="20856"/>
    <cellStyle name="常规 2 2 3 2 2 2 4" xfId="20859"/>
    <cellStyle name="常规 2 2 3 2 2 2 4 2" xfId="20861"/>
    <cellStyle name="常规 2 2 3 2 2 2 4 2 2" xfId="6226"/>
    <cellStyle name="常规 2 2 3 2 2 2 4 3" xfId="15172"/>
    <cellStyle name="常规 2 2 3 2 2 2 4 4" xfId="15178"/>
    <cellStyle name="常规 2 2 3 2 2 2 5" xfId="19675"/>
    <cellStyle name="常规 2 2 3 2 2 2 5 2" xfId="19679"/>
    <cellStyle name="常规 2 2 3 2 2 2 6" xfId="19681"/>
    <cellStyle name="常规 2 2 3 2 2 2 7" xfId="19686"/>
    <cellStyle name="常规 2 2 3 2 2 2 8" xfId="20864"/>
    <cellStyle name="常规 2 2 3 2 2 3" xfId="20438"/>
    <cellStyle name="常规 2 2 3 2 2 3 2" xfId="16666"/>
    <cellStyle name="常规 2 2 3 2 2 3 2 2" xfId="16668"/>
    <cellStyle name="常规 2 2 3 2 2 3 2 2 2" xfId="16671"/>
    <cellStyle name="常规 2 2 3 2 2 3 2 3" xfId="16679"/>
    <cellStyle name="常规 2 2 3 2 2 3 2 4" xfId="16685"/>
    <cellStyle name="常规 2 2 3 2 2 3 3" xfId="16693"/>
    <cellStyle name="常规 2 2 3 2 2 3 3 2" xfId="16696"/>
    <cellStyle name="常规 2 2 3 2 2 3 4" xfId="16705"/>
    <cellStyle name="常规 2 2 3 2 2 3 5" xfId="16711"/>
    <cellStyle name="常规 2 2 3 2 2 3 6" xfId="16716"/>
    <cellStyle name="常规 2 2 3 2 2 4" xfId="20866"/>
    <cellStyle name="常规 2 2 3 2 2 4 2" xfId="16815"/>
    <cellStyle name="常规 2 2 3 2 2 4 2 2" xfId="16817"/>
    <cellStyle name="常规 2 2 3 2 2 4 3" xfId="16875"/>
    <cellStyle name="常规 2 2 3 2 2 4 4" xfId="16885"/>
    <cellStyle name="常规 2 2 3 2 2 5" xfId="20867"/>
    <cellStyle name="常规 2 2 3 2 2 5 2" xfId="16918"/>
    <cellStyle name="常规 2 2 3 2 2 5 2 2" xfId="16920"/>
    <cellStyle name="常规 2 2 3 2 2 5 3" xfId="16927"/>
    <cellStyle name="常规 2 2 3 2 2 5 4" xfId="16933"/>
    <cellStyle name="常规 2 2 3 2 2 6" xfId="20868"/>
    <cellStyle name="常规 2 2 3 2 2 6 2" xfId="16947"/>
    <cellStyle name="常规 2 2 3 2 2 7" xfId="20872"/>
    <cellStyle name="常规 2 2 3 2 2 7 2" xfId="16960"/>
    <cellStyle name="常规 2 2 3 2 2 8" xfId="20875"/>
    <cellStyle name="常规 2 2 3 2 2 9" xfId="20878"/>
    <cellStyle name="常规 2 2 3 2 3" xfId="3216"/>
    <cellStyle name="常规 2 2 3 2 3 10" xfId="20881"/>
    <cellStyle name="常规 2 2 3 2 3 11" xfId="20884"/>
    <cellStyle name="常规 2 2 3 2 3 2" xfId="14926"/>
    <cellStyle name="常规 2 2 3 2 3 2 10" xfId="20886"/>
    <cellStyle name="常规 2 2 3 2 3 2 2" xfId="20887"/>
    <cellStyle name="常规 2 2 3 2 3 2 2 2" xfId="15149"/>
    <cellStyle name="常规 2 2 3 2 3 2 2 2 2" xfId="15154"/>
    <cellStyle name="常规 2 2 3 2 3 2 2 2 2 2" xfId="15158"/>
    <cellStyle name="常规 2 2 3 2 3 2 2 2 2 2 2" xfId="20888"/>
    <cellStyle name="常规 2 2 3 2 3 2 2 2 2 3" xfId="20889"/>
    <cellStyle name="常规 2 2 3 2 3 2 2 2 2 4" xfId="20890"/>
    <cellStyle name="常规 2 2 3 2 3 2 2 2 3" xfId="15161"/>
    <cellStyle name="常规 2 2 3 2 3 2 2 2 3 2" xfId="20891"/>
    <cellStyle name="常规 2 2 3 2 3 2 2 2 4" xfId="15164"/>
    <cellStyle name="常规 2 2 3 2 3 2 2 2 5" xfId="17916"/>
    <cellStyle name="常规 2 2 3 2 3 2 2 3" xfId="10625"/>
    <cellStyle name="常规 2 2 3 2 3 2 2 3 2" xfId="10632"/>
    <cellStyle name="常规 2 2 3 2 3 2 2 3 2 2" xfId="10636"/>
    <cellStyle name="常规 2 2 3 2 3 2 2 3 3" xfId="10644"/>
    <cellStyle name="常规 2 2 3 2 3 2 2 3 4" xfId="10649"/>
    <cellStyle name="常规 2 2 3 2 3 2 2 4" xfId="10662"/>
    <cellStyle name="常规 2 2 3 2 3 2 2 4 2" xfId="10667"/>
    <cellStyle name="常规 2 2 3 2 3 2 2 4 2 2" xfId="10670"/>
    <cellStyle name="常规 2 2 3 2 3 2 2 4 3" xfId="10672"/>
    <cellStyle name="常规 2 2 3 2 3 2 2 4 4" xfId="10677"/>
    <cellStyle name="常规 2 2 3 2 3 2 2 5" xfId="10681"/>
    <cellStyle name="常规 2 2 3 2 3 2 2 5 2" xfId="10685"/>
    <cellStyle name="常规 2 2 3 2 3 2 2 6" xfId="10688"/>
    <cellStyle name="常规 2 2 3 2 3 2 2 7" xfId="10693"/>
    <cellStyle name="常规 2 2 3 2 3 2 2 8" xfId="10696"/>
    <cellStyle name="常规 2 2 3 2 3 2 3" xfId="20892"/>
    <cellStyle name="常规 2 2 3 2 3 2 3 2" xfId="15205"/>
    <cellStyle name="常规 2 2 3 2 3 2 3 2 2" xfId="9389"/>
    <cellStyle name="常规 2 2 3 2 3 2 3 2 2 2" xfId="9392"/>
    <cellStyle name="常规 2 2 3 2 3 2 3 2 3" xfId="9406"/>
    <cellStyle name="常规 2 2 3 2 3 2 3 2 4" xfId="9410"/>
    <cellStyle name="常规 2 2 3 2 3 2 3 3" xfId="10702"/>
    <cellStyle name="常规 2 2 3 2 3 2 3 3 2" xfId="9426"/>
    <cellStyle name="常规 2 2 3 2 3 2 3 4" xfId="10707"/>
    <cellStyle name="常规 2 2 3 2 3 2 3 5" xfId="10711"/>
    <cellStyle name="常规 2 2 3 2 3 2 3 6" xfId="10714"/>
    <cellStyle name="常规 2 2 3 2 3 2 4" xfId="20894"/>
    <cellStyle name="常规 2 2 3 2 3 2 4 2" xfId="15247"/>
    <cellStyle name="常规 2 2 3 2 3 2 4 2 2" xfId="15252"/>
    <cellStyle name="常规 2 2 3 2 3 2 4 3" xfId="10721"/>
    <cellStyle name="常规 2 2 3 2 3 2 4 4" xfId="15217"/>
    <cellStyle name="常规 2 2 3 2 3 2 5" xfId="19694"/>
    <cellStyle name="常规 2 2 3 2 3 2 5 2" xfId="15273"/>
    <cellStyle name="常规 2 2 3 2 3 2 5 2 2" xfId="20896"/>
    <cellStyle name="常规 2 2 3 2 3 2 5 3" xfId="10730"/>
    <cellStyle name="常规 2 2 3 2 3 2 5 4" xfId="15221"/>
    <cellStyle name="常规 2 2 3 2 3 2 6" xfId="20897"/>
    <cellStyle name="常规 2 2 3 2 3 2 6 2" xfId="15288"/>
    <cellStyle name="常规 2 2 3 2 3 2 7" xfId="20898"/>
    <cellStyle name="常规 2 2 3 2 3 2 7 2" xfId="15308"/>
    <cellStyle name="常规 2 2 3 2 3 2 8" xfId="20900"/>
    <cellStyle name="常规 2 2 3 2 3 2 9" xfId="20902"/>
    <cellStyle name="常规 2 2 3 2 3 3" xfId="20904"/>
    <cellStyle name="常规 2 2 3 2 3 3 2" xfId="16989"/>
    <cellStyle name="常规 2 2 3 2 3 3 2 2" xfId="15837"/>
    <cellStyle name="常规 2 2 3 2 3 3 2 2 2" xfId="15842"/>
    <cellStyle name="常规 2 2 3 2 3 3 2 2 2 2" xfId="15846"/>
    <cellStyle name="常规 2 2 3 2 3 3 2 2 3" xfId="15850"/>
    <cellStyle name="常规 2 2 3 2 3 3 2 2 4" xfId="15855"/>
    <cellStyle name="常规 2 2 3 2 3 3 2 3" xfId="10780"/>
    <cellStyle name="常规 2 2 3 2 3 3 2 3 2" xfId="10786"/>
    <cellStyle name="常规 2 2 3 2 3 3 2 4" xfId="8016"/>
    <cellStyle name="常规 2 2 3 2 3 3 2 5" xfId="10794"/>
    <cellStyle name="常规 2 2 3 2 3 3 3" xfId="16990"/>
    <cellStyle name="常规 2 2 3 2 3 3 3 2" xfId="15891"/>
    <cellStyle name="常规 2 2 3 2 3 3 3 2 2" xfId="9568"/>
    <cellStyle name="常规 2 2 3 2 3 3 3 3" xfId="10804"/>
    <cellStyle name="常规 2 2 3 2 3 3 3 4" xfId="15896"/>
    <cellStyle name="常规 2 2 3 2 3 3 4" xfId="16995"/>
    <cellStyle name="常规 2 2 3 2 3 3 4 2" xfId="15918"/>
    <cellStyle name="常规 2 2 3 2 3 3 4 2 2" xfId="16997"/>
    <cellStyle name="常规 2 2 3 2 3 3 4 3" xfId="10813"/>
    <cellStyle name="常规 2 2 3 2 3 3 4 4" xfId="15233"/>
    <cellStyle name="常规 2 2 3 2 3 3 5" xfId="17000"/>
    <cellStyle name="常规 2 2 3 2 3 3 5 2" xfId="17002"/>
    <cellStyle name="常规 2 2 3 2 3 3 6" xfId="17004"/>
    <cellStyle name="常规 2 2 3 2 3 3 7" xfId="17007"/>
    <cellStyle name="常规 2 2 3 2 3 3 8" xfId="17010"/>
    <cellStyle name="常规 2 2 3 2 3 4" xfId="20905"/>
    <cellStyle name="常规 2 2 3 2 3 4 2" xfId="17015"/>
    <cellStyle name="常规 2 2 3 2 3 4 2 2" xfId="16229"/>
    <cellStyle name="常规 2 2 3 2 3 4 2 2 2" xfId="16233"/>
    <cellStyle name="常规 2 2 3 2 3 4 2 3" xfId="10832"/>
    <cellStyle name="常规 2 2 3 2 3 4 2 4" xfId="16238"/>
    <cellStyle name="常规 2 2 3 2 3 4 3" xfId="17018"/>
    <cellStyle name="常规 2 2 3 2 3 4 3 2" xfId="16263"/>
    <cellStyle name="常规 2 2 3 2 3 4 4" xfId="17023"/>
    <cellStyle name="常规 2 2 3 2 3 4 5" xfId="17027"/>
    <cellStyle name="常规 2 2 3 2 3 4 6" xfId="17030"/>
    <cellStyle name="常规 2 2 3 2 3 5" xfId="20906"/>
    <cellStyle name="常规 2 2 3 2 3 5 2" xfId="17038"/>
    <cellStyle name="常规 2 2 3 2 3 5 2 2" xfId="16462"/>
    <cellStyle name="常规 2 2 3 2 3 5 3" xfId="17040"/>
    <cellStyle name="常规 2 2 3 2 3 5 4" xfId="17042"/>
    <cellStyle name="常规 2 2 3 2 3 6" xfId="20907"/>
    <cellStyle name="常规 2 2 3 2 3 6 2" xfId="17049"/>
    <cellStyle name="常规 2 2 3 2 3 6 2 2" xfId="20910"/>
    <cellStyle name="常规 2 2 3 2 3 6 3" xfId="17052"/>
    <cellStyle name="常规 2 2 3 2 3 6 4" xfId="20911"/>
    <cellStyle name="常规 2 2 3 2 3 7" xfId="20912"/>
    <cellStyle name="常规 2 2 3 2 3 7 2" xfId="17057"/>
    <cellStyle name="常规 2 2 3 2 3 8" xfId="20915"/>
    <cellStyle name="常规 2 2 3 2 3 8 2" xfId="20917"/>
    <cellStyle name="常规 2 2 3 2 3 9" xfId="20918"/>
    <cellStyle name="常规 2 2 3 2 4" xfId="20920"/>
    <cellStyle name="常规 2 2 3 2 4 2" xfId="20922"/>
    <cellStyle name="常规 2 2 3 2 4 2 2" xfId="20923"/>
    <cellStyle name="常规 2 2 3 2 4 2 2 2" xfId="20924"/>
    <cellStyle name="常规 2 2 3 2 4 2 2 2 2" xfId="18246"/>
    <cellStyle name="常规 2 2 3 2 4 2 2 3" xfId="10851"/>
    <cellStyle name="常规 2 2 3 2 4 2 2 4" xfId="12637"/>
    <cellStyle name="常规 2 2 3 2 4 2 3" xfId="20930"/>
    <cellStyle name="常规 2 2 3 2 4 2 3 2" xfId="20932"/>
    <cellStyle name="常规 2 2 3 2 4 2 4" xfId="20935"/>
    <cellStyle name="常规 2 2 3 2 4 2 5" xfId="19709"/>
    <cellStyle name="常规 2 2 3 2 4 3" xfId="20936"/>
    <cellStyle name="常规 2 2 3 2 4 3 2" xfId="12583"/>
    <cellStyle name="常规 2 2 3 2 4 3 2 2" xfId="12587"/>
    <cellStyle name="常规 2 2 3 2 4 3 3" xfId="12599"/>
    <cellStyle name="常规 2 2 3 2 4 3 4" xfId="12605"/>
    <cellStyle name="常规 2 2 3 2 4 4" xfId="12492"/>
    <cellStyle name="常规 2 2 3 2 4 4 2" xfId="12496"/>
    <cellStyle name="常规 2 2 3 2 4 4 2 2" xfId="6203"/>
    <cellStyle name="常规 2 2 3 2 4 4 3" xfId="17075"/>
    <cellStyle name="常规 2 2 3 2 4 4 4" xfId="20937"/>
    <cellStyle name="常规 2 2 3 2 4 5" xfId="12498"/>
    <cellStyle name="常规 2 2 3 2 4 5 2" xfId="17079"/>
    <cellStyle name="常规 2 2 3 2 4 6" xfId="20938"/>
    <cellStyle name="常规 2 2 3 2 4 7" xfId="20941"/>
    <cellStyle name="常规 2 2 3 2 4 8" xfId="20942"/>
    <cellStyle name="常规 2 2 3 2 5" xfId="13804"/>
    <cellStyle name="常规 2 2 3 2 5 2" xfId="20943"/>
    <cellStyle name="常规 2 2 3 2 5 2 2" xfId="11968"/>
    <cellStyle name="常规 2 2 3 2 5 2 2 2" xfId="20945"/>
    <cellStyle name="常规 2 2 3 2 5 2 3" xfId="20949"/>
    <cellStyle name="常规 2 2 3 2 5 2 4" xfId="20952"/>
    <cellStyle name="常规 2 2 3 2 5 3" xfId="20954"/>
    <cellStyle name="常规 2 2 3 2 5 3 2" xfId="12643"/>
    <cellStyle name="常规 2 2 3 2 5 4" xfId="12501"/>
    <cellStyle name="常规 2 2 3 2 5 5" xfId="20956"/>
    <cellStyle name="常规 2 2 3 2 5 6" xfId="20958"/>
    <cellStyle name="常规 2 2 3 2 6" xfId="20961"/>
    <cellStyle name="常规 2 2 3 2 6 2" xfId="14415"/>
    <cellStyle name="常规 2 2 3 2 6 2 2" xfId="20962"/>
    <cellStyle name="常规 2 2 3 2 6 3" xfId="14418"/>
    <cellStyle name="常规 2 2 3 2 6 4" xfId="20964"/>
    <cellStyle name="常规 2 2 3 2 7" xfId="20966"/>
    <cellStyle name="常规 2 2 3 2 7 2" xfId="14429"/>
    <cellStyle name="常规 2 2 3 2 7 2 2" xfId="20967"/>
    <cellStyle name="常规 2 2 3 2 7 3" xfId="20969"/>
    <cellStyle name="常规 2 2 3 2 7 4" xfId="20971"/>
    <cellStyle name="常规 2 2 3 2 8" xfId="20973"/>
    <cellStyle name="常规 2 2 3 2 8 2" xfId="20975"/>
    <cellStyle name="常规 2 2 3 2 9" xfId="20977"/>
    <cellStyle name="常规 2 2 3 2 9 2" xfId="20978"/>
    <cellStyle name="常规 2 2 3 3" xfId="6050"/>
    <cellStyle name="常规 2 2 3 3 10" xfId="20980"/>
    <cellStyle name="常规 2 2 3 3 11" xfId="6259"/>
    <cellStyle name="常规 2 2 3 3 2" xfId="7320"/>
    <cellStyle name="常规 2 2 3 3 2 10" xfId="20981"/>
    <cellStyle name="常规 2 2 3 3 2 2" xfId="17501"/>
    <cellStyle name="常规 2 2 3 3 2 2 2" xfId="20982"/>
    <cellStyle name="常规 2 2 3 3 2 2 2 2" xfId="20983"/>
    <cellStyle name="常规 2 2 3 3 2 2 2 2 2" xfId="20985"/>
    <cellStyle name="常规 2 2 3 3 2 2 2 2 2 2" xfId="20987"/>
    <cellStyle name="常规 2 2 3 3 2 2 2 2 3" xfId="20989"/>
    <cellStyle name="常规 2 2 3 3 2 2 2 2 4" xfId="20991"/>
    <cellStyle name="常规 2 2 3 3 2 2 2 3" xfId="20993"/>
    <cellStyle name="常规 2 2 3 3 2 2 2 3 2" xfId="20995"/>
    <cellStyle name="常规 2 2 3 3 2 2 2 4" xfId="20997"/>
    <cellStyle name="常规 2 2 3 3 2 2 2 5" xfId="20999"/>
    <cellStyle name="常规 2 2 3 3 2 2 3" xfId="21001"/>
    <cellStyle name="常规 2 2 3 3 2 2 3 2" xfId="21003"/>
    <cellStyle name="常规 2 2 3 3 2 2 3 2 2" xfId="21005"/>
    <cellStyle name="常规 2 2 3 3 2 2 3 3" xfId="21007"/>
    <cellStyle name="常规 2 2 3 3 2 2 3 4" xfId="19525"/>
    <cellStyle name="常规 2 2 3 3 2 2 4" xfId="21009"/>
    <cellStyle name="常规 2 2 3 3 2 2 4 2" xfId="21010"/>
    <cellStyle name="常规 2 2 3 3 2 2 4 2 2" xfId="6115"/>
    <cellStyle name="常规 2 2 3 3 2 2 4 3" xfId="15866"/>
    <cellStyle name="常规 2 2 3 3 2 2 4 4" xfId="15871"/>
    <cellStyle name="常规 2 2 3 3 2 2 5" xfId="7666"/>
    <cellStyle name="常规 2 2 3 3 2 2 5 2" xfId="21012"/>
    <cellStyle name="常规 2 2 3 3 2 2 6" xfId="21014"/>
    <cellStyle name="常规 2 2 3 3 2 2 7" xfId="21015"/>
    <cellStyle name="常规 2 2 3 3 2 2 8" xfId="20559"/>
    <cellStyle name="常规 2 2 3 3 2 3" xfId="21016"/>
    <cellStyle name="常规 2 2 3 3 2 3 2" xfId="21017"/>
    <cellStyle name="常规 2 2 3 3 2 3 2 2" xfId="21018"/>
    <cellStyle name="常规 2 2 3 3 2 3 2 2 2" xfId="21020"/>
    <cellStyle name="常规 2 2 3 3 2 3 2 3" xfId="21021"/>
    <cellStyle name="常规 2 2 3 3 2 3 2 4" xfId="21023"/>
    <cellStyle name="常规 2 2 3 3 2 3 3" xfId="21025"/>
    <cellStyle name="常规 2 2 3 3 2 3 3 2" xfId="21026"/>
    <cellStyle name="常规 2 2 3 3 2 3 4" xfId="21028"/>
    <cellStyle name="常规 2 2 3 3 2 3 5" xfId="7670"/>
    <cellStyle name="常规 2 2 3 3 2 3 6" xfId="2136"/>
    <cellStyle name="常规 2 2 3 3 2 4" xfId="21029"/>
    <cellStyle name="常规 2 2 3 3 2 4 2" xfId="21030"/>
    <cellStyle name="常规 2 2 3 3 2 4 2 2" xfId="11647"/>
    <cellStyle name="常规 2 2 3 3 2 4 3" xfId="19922"/>
    <cellStyle name="常规 2 2 3 3 2 4 4" xfId="19925"/>
    <cellStyle name="常规 2 2 3 3 2 5" xfId="21031"/>
    <cellStyle name="常规 2 2 3 3 2 5 2" xfId="21033"/>
    <cellStyle name="常规 2 2 3 3 2 5 2 2" xfId="11688"/>
    <cellStyle name="常规 2 2 3 3 2 5 3" xfId="19931"/>
    <cellStyle name="常规 2 2 3 3 2 5 4" xfId="19934"/>
    <cellStyle name="常规 2 2 3 3 2 6" xfId="21034"/>
    <cellStyle name="常规 2 2 3 3 2 6 2" xfId="21038"/>
    <cellStyle name="常规 2 2 3 3 2 7" xfId="21039"/>
    <cellStyle name="常规 2 2 3 3 2 7 2" xfId="21040"/>
    <cellStyle name="常规 2 2 3 3 2 8" xfId="13676"/>
    <cellStyle name="常规 2 2 3 3 2 9" xfId="21041"/>
    <cellStyle name="常规 2 2 3 3 3" xfId="17503"/>
    <cellStyle name="常规 2 2 3 3 3 2" xfId="21044"/>
    <cellStyle name="常规 2 2 3 3 3 2 2" xfId="21045"/>
    <cellStyle name="常规 2 2 3 3 3 2 2 2" xfId="21046"/>
    <cellStyle name="常规 2 2 3 3 3 2 2 2 2" xfId="21049"/>
    <cellStyle name="常规 2 2 3 3 3 2 2 3" xfId="21052"/>
    <cellStyle name="常规 2 2 3 3 3 2 2 4" xfId="21055"/>
    <cellStyle name="常规 2 2 3 3 3 2 3" xfId="11102"/>
    <cellStyle name="常规 2 2 3 3 3 2 3 2" xfId="21058"/>
    <cellStyle name="常规 2 2 3 3 3 2 4" xfId="21061"/>
    <cellStyle name="常规 2 2 3 3 3 2 5" xfId="21062"/>
    <cellStyle name="常规 2 2 3 3 3 3" xfId="21063"/>
    <cellStyle name="常规 2 2 3 3 3 3 2" xfId="21064"/>
    <cellStyle name="常规 2 2 3 3 3 3 2 2" xfId="21065"/>
    <cellStyle name="常规 2 2 3 3 3 3 3" xfId="21068"/>
    <cellStyle name="常规 2 2 3 3 3 3 4" xfId="21069"/>
    <cellStyle name="常规 2 2 3 3 3 4" xfId="21070"/>
    <cellStyle name="常规 2 2 3 3 3 4 2" xfId="21071"/>
    <cellStyle name="常规 2 2 3 3 3 4 2 2" xfId="14030"/>
    <cellStyle name="常规 2 2 3 3 3 4 3" xfId="19950"/>
    <cellStyle name="常规 2 2 3 3 3 4 4" xfId="19955"/>
    <cellStyle name="常规 2 2 3 3 3 5" xfId="6821"/>
    <cellStyle name="常规 2 2 3 3 3 5 2" xfId="21072"/>
    <cellStyle name="常规 2 2 3 3 3 6" xfId="21074"/>
    <cellStyle name="常规 2 2 3 3 3 7" xfId="21075"/>
    <cellStyle name="常规 2 2 3 3 3 8" xfId="21076"/>
    <cellStyle name="常规 2 2 3 3 4" xfId="17506"/>
    <cellStyle name="常规 2 2 3 3 4 2" xfId="21079"/>
    <cellStyle name="常规 2 2 3 3 4 2 2" xfId="21080"/>
    <cellStyle name="常规 2 2 3 3 4 2 2 2" xfId="21081"/>
    <cellStyle name="常规 2 2 3 3 4 2 3" xfId="21083"/>
    <cellStyle name="常规 2 2 3 3 4 2 4" xfId="21085"/>
    <cellStyle name="常规 2 2 3 3 4 3" xfId="21087"/>
    <cellStyle name="常规 2 2 3 3 4 3 2" xfId="21088"/>
    <cellStyle name="常规 2 2 3 3 4 4" xfId="12507"/>
    <cellStyle name="常规 2 2 3 3 4 5" xfId="21089"/>
    <cellStyle name="常规 2 2 3 3 4 6" xfId="21090"/>
    <cellStyle name="常规 2 2 3 3 5" xfId="18627"/>
    <cellStyle name="常规 2 2 3 3 5 2" xfId="21091"/>
    <cellStyle name="常规 2 2 3 3 5 2 2" xfId="12063"/>
    <cellStyle name="常规 2 2 3 3 5 3" xfId="21093"/>
    <cellStyle name="常规 2 2 3 3 5 4" xfId="21095"/>
    <cellStyle name="常规 2 2 3 3 6" xfId="21097"/>
    <cellStyle name="常规 2 2 3 3 6 2" xfId="14453"/>
    <cellStyle name="常规 2 2 3 3 6 2 2" xfId="12135"/>
    <cellStyle name="常规 2 2 3 3 6 3" xfId="21098"/>
    <cellStyle name="常规 2 2 3 3 6 4" xfId="21101"/>
    <cellStyle name="常规 2 2 3 3 7" xfId="21103"/>
    <cellStyle name="常规 2 2 3 3 7 2" xfId="14468"/>
    <cellStyle name="常规 2 2 3 3 8" xfId="21104"/>
    <cellStyle name="常规 2 2 3 3 8 2" xfId="21105"/>
    <cellStyle name="常规 2 2 3 3 9" xfId="21109"/>
    <cellStyle name="常规 2 2 3 4" xfId="7307"/>
    <cellStyle name="常规 2 2 3 4 2" xfId="7311"/>
    <cellStyle name="常规 2 2 3 4 2 2" xfId="21110"/>
    <cellStyle name="常规 2 2 3 4 2 2 2" xfId="21112"/>
    <cellStyle name="常规 2 2 3 4 2 2 2 2" xfId="21113"/>
    <cellStyle name="常规 2 2 3 4 2 2 2 2 2" xfId="21115"/>
    <cellStyle name="常规 2 2 3 4 2 2 2 3" xfId="21117"/>
    <cellStyle name="常规 2 2 3 4 2 2 2 4" xfId="21119"/>
    <cellStyle name="常规 2 2 3 4 2 2 3" xfId="6058"/>
    <cellStyle name="常规 2 2 3 4 2 2 3 2" xfId="21121"/>
    <cellStyle name="常规 2 2 3 4 2 2 4" xfId="21123"/>
    <cellStyle name="常规 2 2 3 4 2 2 5" xfId="5930"/>
    <cellStyle name="常规 2 2 3 4 2 3" xfId="21124"/>
    <cellStyle name="常规 2 2 3 4 2 3 2" xfId="21125"/>
    <cellStyle name="常规 2 2 3 4 2 3 2 2" xfId="21127"/>
    <cellStyle name="常规 2 2 3 4 2 3 3" xfId="10024"/>
    <cellStyle name="常规 2 2 3 4 2 3 4" xfId="21129"/>
    <cellStyle name="常规 2 2 3 4 2 4" xfId="21130"/>
    <cellStyle name="常规 2 2 3 4 2 4 2" xfId="21131"/>
    <cellStyle name="常规 2 2 3 4 2 5" xfId="9824"/>
    <cellStyle name="常规 2 2 3 4 2 6" xfId="9834"/>
    <cellStyle name="常规 2 2 3 4 2 7" xfId="9844"/>
    <cellStyle name="常规 2 2 3 4 3" xfId="17510"/>
    <cellStyle name="常规 2 2 3 4 3 2" xfId="21132"/>
    <cellStyle name="常规 2 2 3 4 3 2 2" xfId="21134"/>
    <cellStyle name="常规 2 2 3 4 3 3" xfId="21135"/>
    <cellStyle name="常规 2 2 3 4 3 4" xfId="21136"/>
    <cellStyle name="常规 2 2 3 4 4" xfId="21137"/>
    <cellStyle name="常规 2 2 3 4 4 2" xfId="21138"/>
    <cellStyle name="常规 2 2 3 4 4 2 2" xfId="21139"/>
    <cellStyle name="常规 2 2 3 4 4 3" xfId="21140"/>
    <cellStyle name="常规 2 2 3 4 4 4" xfId="12513"/>
    <cellStyle name="常规 2 2 3 4 5" xfId="21141"/>
    <cellStyle name="常规 2 2 3 4 6" xfId="21142"/>
    <cellStyle name="常规 2 2 3 4 7" xfId="21143"/>
    <cellStyle name="常规 2 2 3 5" xfId="5928"/>
    <cellStyle name="常规 2 2 3 5 2" xfId="17519"/>
    <cellStyle name="常规 2 2 3 5 2 2" xfId="21144"/>
    <cellStyle name="常规 2 2 3 5 2 2 2" xfId="21145"/>
    <cellStyle name="常规 2 2 3 5 2 2 2 2" xfId="21147"/>
    <cellStyle name="常规 2 2 3 5 2 2 3" xfId="5093"/>
    <cellStyle name="常规 2 2 3 5 2 2 4" xfId="21149"/>
    <cellStyle name="常规 2 2 3 5 2 3" xfId="21150"/>
    <cellStyle name="常规 2 2 3 5 2 3 2" xfId="21151"/>
    <cellStyle name="常规 2 2 3 5 2 4" xfId="21152"/>
    <cellStyle name="常规 2 2 3 5 2 5" xfId="21153"/>
    <cellStyle name="常规 2 2 3 5 3" xfId="17521"/>
    <cellStyle name="常规 2 2 3 5 3 2" xfId="21156"/>
    <cellStyle name="常规 2 2 3 5 3 2 2" xfId="21157"/>
    <cellStyle name="常规 2 2 3 5 3 3" xfId="21158"/>
    <cellStyle name="常规 2 2 3 5 3 4" xfId="21159"/>
    <cellStyle name="常规 2 2 3 5 4" xfId="21160"/>
    <cellStyle name="常规 2 2 3 5 4 2" xfId="15313"/>
    <cellStyle name="常规 2 2 3 5 4 2 2" xfId="21161"/>
    <cellStyle name="常规 2 2 3 5 4 3" xfId="21162"/>
    <cellStyle name="常规 2 2 3 5 4 4" xfId="21163"/>
    <cellStyle name="常规 2 2 3 5 5" xfId="21164"/>
    <cellStyle name="常规 2 2 3 5 5 2" xfId="18974"/>
    <cellStyle name="常规 2 2 3 5 6" xfId="21166"/>
    <cellStyle name="常规 2 2 3 5 7" xfId="21169"/>
    <cellStyle name="常规 2 2 3 5 8" xfId="7979"/>
    <cellStyle name="常规 2 2 3 6" xfId="21170"/>
    <cellStyle name="常规 2 2 3 6 2" xfId="21171"/>
    <cellStyle name="常规 2 2 3 6 2 2" xfId="21172"/>
    <cellStyle name="常规 2 2 3 6 2 2 2" xfId="5620"/>
    <cellStyle name="常规 2 2 3 6 2 3" xfId="21173"/>
    <cellStyle name="常规 2 2 3 6 2 4" xfId="21174"/>
    <cellStyle name="常规 2 2 3 6 3" xfId="21175"/>
    <cellStyle name="常规 2 2 3 6 3 2" xfId="21176"/>
    <cellStyle name="常规 2 2 3 6 4" xfId="21177"/>
    <cellStyle name="常规 2 2 3 6 5" xfId="21178"/>
    <cellStyle name="常规 2 2 3 6 6" xfId="21180"/>
    <cellStyle name="常规 2 2 3 7" xfId="21181"/>
    <cellStyle name="常规 2 2 3 7 2" xfId="21183"/>
    <cellStyle name="常规 2 2 3 7 2 2" xfId="21185"/>
    <cellStyle name="常规 2 2 3 7 3" xfId="21187"/>
    <cellStyle name="常规 2 2 3 7 4" xfId="21188"/>
    <cellStyle name="常规 2 2 3 8" xfId="21189"/>
    <cellStyle name="常规 2 2 3 8 2" xfId="19769"/>
    <cellStyle name="常规 2 2 3 8 2 2" xfId="21191"/>
    <cellStyle name="常规 2 2 3 8 3" xfId="19771"/>
    <cellStyle name="常规 2 2 3 8 4" xfId="21193"/>
    <cellStyle name="常规 2 2 3 9" xfId="21194"/>
    <cellStyle name="常规 2 2 3 9 2" xfId="21195"/>
    <cellStyle name="常规 2 2 4" xfId="6471"/>
    <cellStyle name="常规 2 2 4 10" xfId="2035"/>
    <cellStyle name="常规 2 2 4 11" xfId="21197"/>
    <cellStyle name="常规 2 2 4 12" xfId="21198"/>
    <cellStyle name="常规 2 2 4 2" xfId="7323"/>
    <cellStyle name="常规 2 2 4 2 10" xfId="21199"/>
    <cellStyle name="常规 2 2 4 2 11" xfId="21200"/>
    <cellStyle name="常规 2 2 4 2 12" xfId="21201"/>
    <cellStyle name="常规 2 2 4 2 2" xfId="7327"/>
    <cellStyle name="常规 2 2 4 2 2 10" xfId="761"/>
    <cellStyle name="常规 2 2 4 2 2 2" xfId="15027"/>
    <cellStyle name="常规 2 2 4 2 2 2 2" xfId="12954"/>
    <cellStyle name="常规 2 2 4 2 2 2 2 2" xfId="12958"/>
    <cellStyle name="常规 2 2 4 2 2 2 2 2 2" xfId="21202"/>
    <cellStyle name="常规 2 2 4 2 2 2 2 2 2 2" xfId="18194"/>
    <cellStyle name="常规 2 2 4 2 2 2 2 2 3" xfId="21203"/>
    <cellStyle name="常规 2 2 4 2 2 2 2 2 4" xfId="21204"/>
    <cellStyle name="常规 2 2 4 2 2 2 2 3" xfId="18625"/>
    <cellStyle name="常规 2 2 4 2 2 2 2 3 2" xfId="13808"/>
    <cellStyle name="常规 2 2 4 2 2 2 2 4" xfId="18630"/>
    <cellStyle name="常规 2 2 4 2 2 2 2 5" xfId="18632"/>
    <cellStyle name="常规 2 2 4 2 2 2 3" xfId="12960"/>
    <cellStyle name="常规 2 2 4 2 2 2 3 2" xfId="21205"/>
    <cellStyle name="常规 2 2 4 2 2 2 3 2 2" xfId="21206"/>
    <cellStyle name="常规 2 2 4 2 2 2 3 3" xfId="18637"/>
    <cellStyle name="常规 2 2 4 2 2 2 3 4" xfId="18639"/>
    <cellStyle name="常规 2 2 4 2 2 2 4" xfId="21207"/>
    <cellStyle name="常规 2 2 4 2 2 2 4 2" xfId="21208"/>
    <cellStyle name="常规 2 2 4 2 2 2 4 2 2" xfId="21209"/>
    <cellStyle name="常规 2 2 4 2 2 2 4 3" xfId="18644"/>
    <cellStyle name="常规 2 2 4 2 2 2 4 4" xfId="18647"/>
    <cellStyle name="常规 2 2 4 2 2 2 5" xfId="19742"/>
    <cellStyle name="常规 2 2 4 2 2 2 5 2" xfId="21210"/>
    <cellStyle name="常规 2 2 4 2 2 2 6" xfId="21211"/>
    <cellStyle name="常规 2 2 4 2 2 2 7" xfId="21212"/>
    <cellStyle name="常规 2 2 4 2 2 2 8" xfId="21213"/>
    <cellStyle name="常规 2 2 4 2 2 3" xfId="15029"/>
    <cellStyle name="常规 2 2 4 2 2 3 2" xfId="21214"/>
    <cellStyle name="常规 2 2 4 2 2 3 2 2" xfId="21217"/>
    <cellStyle name="常规 2 2 4 2 2 3 2 2 2" xfId="1964"/>
    <cellStyle name="常规 2 2 4 2 2 3 2 3" xfId="18669"/>
    <cellStyle name="常规 2 2 4 2 2 3 2 4" xfId="18672"/>
    <cellStyle name="常规 2 2 4 2 2 3 3" xfId="21218"/>
    <cellStyle name="常规 2 2 4 2 2 3 3 2" xfId="21219"/>
    <cellStyle name="常规 2 2 4 2 2 3 4" xfId="21220"/>
    <cellStyle name="常规 2 2 4 2 2 3 5" xfId="21221"/>
    <cellStyle name="常规 2 2 4 2 2 3 6" xfId="21222"/>
    <cellStyle name="常规 2 2 4 2 2 4" xfId="15032"/>
    <cellStyle name="常规 2 2 4 2 2 4 2" xfId="21223"/>
    <cellStyle name="常规 2 2 4 2 2 4 2 2" xfId="21224"/>
    <cellStyle name="常规 2 2 4 2 2 4 3" xfId="21225"/>
    <cellStyle name="常规 2 2 4 2 2 4 4" xfId="21226"/>
    <cellStyle name="常规 2 2 4 2 2 5" xfId="21227"/>
    <cellStyle name="常规 2 2 4 2 2 5 2" xfId="21229"/>
    <cellStyle name="常规 2 2 4 2 2 5 2 2" xfId="21230"/>
    <cellStyle name="常规 2 2 4 2 2 5 3" xfId="20363"/>
    <cellStyle name="常规 2 2 4 2 2 5 4" xfId="21231"/>
    <cellStyle name="常规 2 2 4 2 2 6" xfId="21232"/>
    <cellStyle name="常规 2 2 4 2 2 6 2" xfId="21235"/>
    <cellStyle name="常规 2 2 4 2 2 7" xfId="21237"/>
    <cellStyle name="常规 2 2 4 2 2 7 2" xfId="21239"/>
    <cellStyle name="常规 2 2 4 2 2 8" xfId="21242"/>
    <cellStyle name="常规 2 2 4 2 2 9" xfId="21245"/>
    <cellStyle name="常规 2 2 4 2 3" xfId="21247"/>
    <cellStyle name="常规 2 2 4 2 3 10" xfId="21248"/>
    <cellStyle name="常规 2 2 4 2 3 11" xfId="21249"/>
    <cellStyle name="常规 2 2 4 2 3 2" xfId="15039"/>
    <cellStyle name="常规 2 2 4 2 3 2 10" xfId="21250"/>
    <cellStyle name="常规 2 2 4 2 3 2 2" xfId="13002"/>
    <cellStyle name="常规 2 2 4 2 3 2 2 2" xfId="13007"/>
    <cellStyle name="常规 2 2 4 2 3 2 2 2 2" xfId="13009"/>
    <cellStyle name="常规 2 2 4 2 3 2 2 2 2 2" xfId="21251"/>
    <cellStyle name="常规 2 2 4 2 3 2 2 2 2 2 2" xfId="21252"/>
    <cellStyle name="常规 2 2 4 2 3 2 2 2 2 3" xfId="21253"/>
    <cellStyle name="常规 2 2 4 2 3 2 2 2 2 4" xfId="21254"/>
    <cellStyle name="常规 2 2 4 2 3 2 2 2 3" xfId="21255"/>
    <cellStyle name="常规 2 2 4 2 3 2 2 2 3 2" xfId="21257"/>
    <cellStyle name="常规 2 2 4 2 3 2 2 2 4" xfId="21259"/>
    <cellStyle name="常规 2 2 4 2 3 2 2 2 5" xfId="21260"/>
    <cellStyle name="常规 2 2 4 2 3 2 2 3" xfId="13012"/>
    <cellStyle name="常规 2 2 4 2 3 2 2 3 2" xfId="19054"/>
    <cellStyle name="常规 2 2 4 2 3 2 2 3 2 2" xfId="12206"/>
    <cellStyle name="常规 2 2 4 2 3 2 2 3 3" xfId="19056"/>
    <cellStyle name="常规 2 2 4 2 3 2 2 3 4" xfId="19059"/>
    <cellStyle name="常规 2 2 4 2 3 2 2 4" xfId="12039"/>
    <cellStyle name="常规 2 2 4 2 3 2 2 4 2" xfId="12042"/>
    <cellStyle name="常规 2 2 4 2 3 2 2 4 2 2" xfId="21261"/>
    <cellStyle name="常规 2 2 4 2 3 2 2 4 3" xfId="21262"/>
    <cellStyle name="常规 2 2 4 2 3 2 2 4 4" xfId="21265"/>
    <cellStyle name="常规 2 2 4 2 3 2 2 5" xfId="12046"/>
    <cellStyle name="常规 2 2 4 2 3 2 2 5 2" xfId="21266"/>
    <cellStyle name="常规 2 2 4 2 3 2 2 6" xfId="11157"/>
    <cellStyle name="常规 2 2 4 2 3 2 2 7" xfId="11162"/>
    <cellStyle name="常规 2 2 4 2 3 2 2 8" xfId="21267"/>
    <cellStyle name="常规 2 2 4 2 3 2 3" xfId="13014"/>
    <cellStyle name="常规 2 2 4 2 3 2 3 2" xfId="21268"/>
    <cellStyle name="常规 2 2 4 2 3 2 3 2 2" xfId="21269"/>
    <cellStyle name="常规 2 2 4 2 3 2 3 2 2 2" xfId="21270"/>
    <cellStyle name="常规 2 2 4 2 3 2 3 2 3" xfId="21271"/>
    <cellStyle name="常规 2 2 4 2 3 2 3 2 4" xfId="21272"/>
    <cellStyle name="常规 2 2 4 2 3 2 3 3" xfId="19063"/>
    <cellStyle name="常规 2 2 4 2 3 2 3 3 2" xfId="19065"/>
    <cellStyle name="常规 2 2 4 2 3 2 3 4" xfId="12050"/>
    <cellStyle name="常规 2 2 4 2 3 2 3 5" xfId="19067"/>
    <cellStyle name="常规 2 2 4 2 3 2 3 6" xfId="11166"/>
    <cellStyle name="常规 2 2 4 2 3 2 4" xfId="13018"/>
    <cellStyle name="常规 2 2 4 2 3 2 4 2" xfId="6661"/>
    <cellStyle name="常规 2 2 4 2 3 2 4 2 2" xfId="6663"/>
    <cellStyle name="常规 2 2 4 2 3 2 4 3" xfId="6671"/>
    <cellStyle name="常规 2 2 4 2 3 2 4 4" xfId="6680"/>
    <cellStyle name="常规 2 2 4 2 3 2 5" xfId="19867"/>
    <cellStyle name="常规 2 2 4 2 3 2 5 2" xfId="6696"/>
    <cellStyle name="常规 2 2 4 2 3 2 5 2 2" xfId="6699"/>
    <cellStyle name="常规 2 2 4 2 3 2 5 3" xfId="6709"/>
    <cellStyle name="常规 2 2 4 2 3 2 5 4" xfId="6714"/>
    <cellStyle name="常规 2 2 4 2 3 2 6" xfId="19885"/>
    <cellStyle name="常规 2 2 4 2 3 2 6 2" xfId="6727"/>
    <cellStyle name="常规 2 2 4 2 3 2 7" xfId="19897"/>
    <cellStyle name="常规 2 2 4 2 3 2 7 2" xfId="19899"/>
    <cellStyle name="常规 2 2 4 2 3 2 8" xfId="19902"/>
    <cellStyle name="常规 2 2 4 2 3 2 9" xfId="19905"/>
    <cellStyle name="常规 2 2 4 2 3 3" xfId="21273"/>
    <cellStyle name="常规 2 2 4 2 3 3 2" xfId="13050"/>
    <cellStyle name="常规 2 2 4 2 3 3 2 2" xfId="13055"/>
    <cellStyle name="常规 2 2 4 2 3 3 2 2 2" xfId="2946"/>
    <cellStyle name="常规 2 2 4 2 3 3 2 2 2 2" xfId="2948"/>
    <cellStyle name="常规 2 2 4 2 3 3 2 2 3" xfId="21275"/>
    <cellStyle name="常规 2 2 4 2 3 3 2 2 4" xfId="21276"/>
    <cellStyle name="常规 2 2 4 2 3 3 2 3" xfId="19089"/>
    <cellStyle name="常规 2 2 4 2 3 3 2 3 2" xfId="3005"/>
    <cellStyle name="常规 2 2 4 2 3 3 2 4" xfId="12058"/>
    <cellStyle name="常规 2 2 4 2 3 3 2 5" xfId="15365"/>
    <cellStyle name="常规 2 2 4 2 3 3 3" xfId="13058"/>
    <cellStyle name="常规 2 2 4 2 3 3 3 2" xfId="21278"/>
    <cellStyle name="常规 2 2 4 2 3 3 3 2 2" xfId="21279"/>
    <cellStyle name="常规 2 2 4 2 3 3 3 3" xfId="19092"/>
    <cellStyle name="常规 2 2 4 2 3 3 3 4" xfId="21281"/>
    <cellStyle name="常规 2 2 4 2 3 3 4" xfId="7194"/>
    <cellStyle name="常规 2 2 4 2 3 3 4 2" xfId="6754"/>
    <cellStyle name="常规 2 2 4 2 3 3 4 2 2" xfId="3266"/>
    <cellStyle name="常规 2 2 4 2 3 3 4 3" xfId="21283"/>
    <cellStyle name="常规 2 2 4 2 3 3 4 4" xfId="21284"/>
    <cellStyle name="常规 2 2 4 2 3 3 5" xfId="7197"/>
    <cellStyle name="常规 2 2 4 2 3 3 5 2" xfId="19918"/>
    <cellStyle name="常规 2 2 4 2 3 3 6" xfId="20015"/>
    <cellStyle name="常规 2 2 4 2 3 3 7" xfId="20058"/>
    <cellStyle name="常规 2 2 4 2 3 3 8" xfId="20068"/>
    <cellStyle name="常规 2 2 4 2 3 4" xfId="21286"/>
    <cellStyle name="常规 2 2 4 2 3 4 2" xfId="21287"/>
    <cellStyle name="常规 2 2 4 2 3 4 2 2" xfId="21289"/>
    <cellStyle name="常规 2 2 4 2 3 4 2 2 2" xfId="13662"/>
    <cellStyle name="常规 2 2 4 2 3 4 2 3" xfId="21292"/>
    <cellStyle name="常规 2 2 4 2 3 4 2 4" xfId="12069"/>
    <cellStyle name="常规 2 2 4 2 3 4 3" xfId="21294"/>
    <cellStyle name="常规 2 2 4 2 3 4 3 2" xfId="21295"/>
    <cellStyle name="常规 2 2 4 2 3 4 4" xfId="3655"/>
    <cellStyle name="常规 2 2 4 2 3 4 5" xfId="20083"/>
    <cellStyle name="常规 2 2 4 2 3 4 6" xfId="20094"/>
    <cellStyle name="常规 2 2 4 2 3 5" xfId="21297"/>
    <cellStyle name="常规 2 2 4 2 3 5 2" xfId="10050"/>
    <cellStyle name="常规 2 2 4 2 3 5 2 2" xfId="10052"/>
    <cellStyle name="常规 2 2 4 2 3 5 3" xfId="10055"/>
    <cellStyle name="常规 2 2 4 2 3 5 4" xfId="3701"/>
    <cellStyle name="常规 2 2 4 2 3 6" xfId="21298"/>
    <cellStyle name="常规 2 2 4 2 3 6 2" xfId="21300"/>
    <cellStyle name="常规 2 2 4 2 3 6 2 2" xfId="21301"/>
    <cellStyle name="常规 2 2 4 2 3 6 3" xfId="21302"/>
    <cellStyle name="常规 2 2 4 2 3 6 4" xfId="21303"/>
    <cellStyle name="常规 2 2 4 2 3 7" xfId="21305"/>
    <cellStyle name="常规 2 2 4 2 3 7 2" xfId="17785"/>
    <cellStyle name="常规 2 2 4 2 3 8" xfId="21306"/>
    <cellStyle name="常规 2 2 4 2 3 8 2" xfId="21307"/>
    <cellStyle name="常规 2 2 4 2 3 9" xfId="21308"/>
    <cellStyle name="常规 2 2 4 2 4" xfId="21309"/>
    <cellStyle name="常规 2 2 4 2 4 2" xfId="15046"/>
    <cellStyle name="常规 2 2 4 2 4 2 2" xfId="21310"/>
    <cellStyle name="常规 2 2 4 2 4 2 2 2" xfId="17250"/>
    <cellStyle name="常规 2 2 4 2 4 2 2 2 2" xfId="21313"/>
    <cellStyle name="常规 2 2 4 2 4 2 2 3" xfId="13600"/>
    <cellStyle name="常规 2 2 4 2 4 2 2 4" xfId="12099"/>
    <cellStyle name="常规 2 2 4 2 4 2 3" xfId="4271"/>
    <cellStyle name="常规 2 2 4 2 4 2 3 2" xfId="17261"/>
    <cellStyle name="常规 2 2 4 2 4 2 4" xfId="13091"/>
    <cellStyle name="常规 2 2 4 2 4 2 5" xfId="20136"/>
    <cellStyle name="常规 2 2 4 2 4 3" xfId="21314"/>
    <cellStyle name="常规 2 2 4 2 4 3 2" xfId="21316"/>
    <cellStyle name="常规 2 2 4 2 4 3 2 2" xfId="17337"/>
    <cellStyle name="常规 2 2 4 2 4 3 3" xfId="4288"/>
    <cellStyle name="常规 2 2 4 2 4 3 4" xfId="7202"/>
    <cellStyle name="常规 2 2 4 2 4 4" xfId="12526"/>
    <cellStyle name="常规 2 2 4 2 4 4 2" xfId="17636"/>
    <cellStyle name="常规 2 2 4 2 4 4 2 2" xfId="21319"/>
    <cellStyle name="常规 2 2 4 2 4 4 3" xfId="17638"/>
    <cellStyle name="常规 2 2 4 2 4 4 4" xfId="21321"/>
    <cellStyle name="常规 2 2 4 2 4 5" xfId="21322"/>
    <cellStyle name="常规 2 2 4 2 4 5 2" xfId="10089"/>
    <cellStyle name="常规 2 2 4 2 4 6" xfId="21323"/>
    <cellStyle name="常规 2 2 4 2 4 7" xfId="21324"/>
    <cellStyle name="常规 2 2 4 2 4 8" xfId="21326"/>
    <cellStyle name="常规 2 2 4 2 5" xfId="4251"/>
    <cellStyle name="常规 2 2 4 2 5 2" xfId="4567"/>
    <cellStyle name="常规 2 2 4 2 5 2 2" xfId="21328"/>
    <cellStyle name="常规 2 2 4 2 5 2 2 2" xfId="17524"/>
    <cellStyle name="常规 2 2 4 2 5 2 3" xfId="21330"/>
    <cellStyle name="常规 2 2 4 2 5 2 4" xfId="13093"/>
    <cellStyle name="常规 2 2 4 2 5 3" xfId="21331"/>
    <cellStyle name="常规 2 2 4 2 5 3 2" xfId="21333"/>
    <cellStyle name="常规 2 2 4 2 5 4" xfId="21334"/>
    <cellStyle name="常规 2 2 4 2 5 5" xfId="21336"/>
    <cellStyle name="常规 2 2 4 2 5 6" xfId="21338"/>
    <cellStyle name="常规 2 2 4 2 6" xfId="6026"/>
    <cellStyle name="常规 2 2 4 2 6 2" xfId="15432"/>
    <cellStyle name="常规 2 2 4 2 6 2 2" xfId="4720"/>
    <cellStyle name="常规 2 2 4 2 6 3" xfId="15436"/>
    <cellStyle name="常规 2 2 4 2 6 4" xfId="21340"/>
    <cellStyle name="常规 2 2 4 2 7" xfId="21342"/>
    <cellStyle name="常规 2 2 4 2 7 2" xfId="21343"/>
    <cellStyle name="常规 2 2 4 2 7 2 2" xfId="21345"/>
    <cellStyle name="常规 2 2 4 2 7 3" xfId="21346"/>
    <cellStyle name="常规 2 2 4 2 7 4" xfId="21347"/>
    <cellStyle name="常规 2 2 4 2 8" xfId="15553"/>
    <cellStyle name="常规 2 2 4 2 8 2" xfId="15555"/>
    <cellStyle name="常规 2 2 4 2 9" xfId="15565"/>
    <cellStyle name="常规 2 2 4 2 9 2" xfId="15567"/>
    <cellStyle name="常规 2 2 4 3" xfId="7280"/>
    <cellStyle name="常规 2 2 4 3 10" xfId="843"/>
    <cellStyle name="常规 2 2 4 3 11" xfId="876"/>
    <cellStyle name="常规 2 2 4 3 2" xfId="17530"/>
    <cellStyle name="常规 2 2 4 3 2 10" xfId="21349"/>
    <cellStyle name="常规 2 2 4 3 2 2" xfId="15085"/>
    <cellStyle name="常规 2 2 4 3 2 2 2" xfId="21352"/>
    <cellStyle name="常规 2 2 4 3 2 2 2 2" xfId="21353"/>
    <cellStyle name="常规 2 2 4 3 2 2 2 2 2" xfId="21354"/>
    <cellStyle name="常规 2 2 4 3 2 2 2 2 2 2" xfId="21358"/>
    <cellStyle name="常规 2 2 4 3 2 2 2 2 3" xfId="21362"/>
    <cellStyle name="常规 2 2 4 3 2 2 2 2 4" xfId="21365"/>
    <cellStyle name="常规 2 2 4 3 2 2 2 3" xfId="21368"/>
    <cellStyle name="常规 2 2 4 3 2 2 2 3 2" xfId="21369"/>
    <cellStyle name="常规 2 2 4 3 2 2 2 4" xfId="20026"/>
    <cellStyle name="常规 2 2 4 3 2 2 2 5" xfId="21373"/>
    <cellStyle name="常规 2 2 4 3 2 2 3" xfId="21374"/>
    <cellStyle name="常规 2 2 4 3 2 2 3 2" xfId="21375"/>
    <cellStyle name="常规 2 2 4 3 2 2 3 2 2" xfId="21376"/>
    <cellStyle name="常规 2 2 4 3 2 2 3 3" xfId="9852"/>
    <cellStyle name="常规 2 2 4 3 2 2 3 4" xfId="21379"/>
    <cellStyle name="常规 2 2 4 3 2 2 4" xfId="21380"/>
    <cellStyle name="常规 2 2 4 3 2 2 4 2" xfId="21381"/>
    <cellStyle name="常规 2 2 4 3 2 2 4 2 2" xfId="21382"/>
    <cellStyle name="常规 2 2 4 3 2 2 4 3" xfId="21384"/>
    <cellStyle name="常规 2 2 4 3 2 2 4 4" xfId="21385"/>
    <cellStyle name="常规 2 2 4 3 2 2 5" xfId="21386"/>
    <cellStyle name="常规 2 2 4 3 2 2 5 2" xfId="21387"/>
    <cellStyle name="常规 2 2 4 3 2 2 6" xfId="21388"/>
    <cellStyle name="常规 2 2 4 3 2 2 7" xfId="21389"/>
    <cellStyle name="常规 2 2 4 3 2 2 8" xfId="21390"/>
    <cellStyle name="常规 2 2 4 3 2 3" xfId="21391"/>
    <cellStyle name="常规 2 2 4 3 2 3 2" xfId="21393"/>
    <cellStyle name="常规 2 2 4 3 2 3 2 2" xfId="21394"/>
    <cellStyle name="常规 2 2 4 3 2 3 2 2 2" xfId="21395"/>
    <cellStyle name="常规 2 2 4 3 2 3 2 3" xfId="21397"/>
    <cellStyle name="常规 2 2 4 3 2 3 2 4" xfId="20032"/>
    <cellStyle name="常规 2 2 4 3 2 3 3" xfId="21398"/>
    <cellStyle name="常规 2 2 4 3 2 3 3 2" xfId="21399"/>
    <cellStyle name="常规 2 2 4 3 2 3 4" xfId="21400"/>
    <cellStyle name="常规 2 2 4 3 2 3 5" xfId="21401"/>
    <cellStyle name="常规 2 2 4 3 2 3 6" xfId="2284"/>
    <cellStyle name="常规 2 2 4 3 2 4" xfId="21402"/>
    <cellStyle name="常规 2 2 4 3 2 4 2" xfId="21403"/>
    <cellStyle name="常规 2 2 4 3 2 4 2 2" xfId="21404"/>
    <cellStyle name="常规 2 2 4 3 2 4 3" xfId="20088"/>
    <cellStyle name="常规 2 2 4 3 2 4 4" xfId="21405"/>
    <cellStyle name="常规 2 2 4 3 2 5" xfId="21406"/>
    <cellStyle name="常规 2 2 4 3 2 5 2" xfId="21408"/>
    <cellStyle name="常规 2 2 4 3 2 5 2 2" xfId="21409"/>
    <cellStyle name="常规 2 2 4 3 2 5 3" xfId="21410"/>
    <cellStyle name="常规 2 2 4 3 2 5 4" xfId="21411"/>
    <cellStyle name="常规 2 2 4 3 2 6" xfId="3906"/>
    <cellStyle name="常规 2 2 4 3 2 6 2" xfId="3909"/>
    <cellStyle name="常规 2 2 4 3 2 7" xfId="960"/>
    <cellStyle name="常规 2 2 4 3 2 7 2" xfId="3916"/>
    <cellStyle name="常规 2 2 4 3 2 8" xfId="3922"/>
    <cellStyle name="常规 2 2 4 3 2 9" xfId="21412"/>
    <cellStyle name="常规 2 2 4 3 3" xfId="17533"/>
    <cellStyle name="常规 2 2 4 3 3 2" xfId="15094"/>
    <cellStyle name="常规 2 2 4 3 3 2 2" xfId="21415"/>
    <cellStyle name="常规 2 2 4 3 3 2 2 2" xfId="21416"/>
    <cellStyle name="常规 2 2 4 3 3 2 2 2 2" xfId="3961"/>
    <cellStyle name="常规 2 2 4 3 3 2 2 3" xfId="21417"/>
    <cellStyle name="常规 2 2 4 3 3 2 2 4" xfId="12128"/>
    <cellStyle name="常规 2 2 4 3 3 2 3" xfId="21418"/>
    <cellStyle name="常规 2 2 4 3 3 2 3 2" xfId="21420"/>
    <cellStyle name="常规 2 2 4 3 3 2 4" xfId="21421"/>
    <cellStyle name="常规 2 2 4 3 3 2 5" xfId="20365"/>
    <cellStyle name="常规 2 2 4 3 3 3" xfId="17882"/>
    <cellStyle name="常规 2 2 4 3 3 3 2" xfId="21422"/>
    <cellStyle name="常规 2 2 4 3 3 3 2 2" xfId="21423"/>
    <cellStyle name="常规 2 2 4 3 3 3 3" xfId="21424"/>
    <cellStyle name="常规 2 2 4 3 3 3 4" xfId="7213"/>
    <cellStyle name="常规 2 2 4 3 3 4" xfId="21426"/>
    <cellStyle name="常规 2 2 4 3 3 4 2" xfId="21427"/>
    <cellStyle name="常规 2 2 4 3 3 4 2 2" xfId="21428"/>
    <cellStyle name="常规 2 2 4 3 3 4 3" xfId="21431"/>
    <cellStyle name="常规 2 2 4 3 3 4 4" xfId="21432"/>
    <cellStyle name="常规 2 2 4 3 3 5" xfId="21433"/>
    <cellStyle name="常规 2 2 4 3 3 5 2" xfId="10143"/>
    <cellStyle name="常规 2 2 4 3 3 6" xfId="2499"/>
    <cellStyle name="常规 2 2 4 3 3 7" xfId="976"/>
    <cellStyle name="常规 2 2 4 3 3 8" xfId="21434"/>
    <cellStyle name="常规 2 2 4 3 4" xfId="21436"/>
    <cellStyle name="常规 2 2 4 3 4 2" xfId="17886"/>
    <cellStyle name="常规 2 2 4 3 4 2 2" xfId="4935"/>
    <cellStyle name="常规 2 2 4 3 4 2 2 2" xfId="17835"/>
    <cellStyle name="常规 2 2 4 3 4 2 3" xfId="21437"/>
    <cellStyle name="常规 2 2 4 3 4 2 4" xfId="21439"/>
    <cellStyle name="常规 2 2 4 3 4 3" xfId="21441"/>
    <cellStyle name="常规 2 2 4 3 4 3 2" xfId="7498"/>
    <cellStyle name="常规 2 2 4 3 4 4" xfId="21442"/>
    <cellStyle name="常规 2 2 4 3 4 5" xfId="21443"/>
    <cellStyle name="常规 2 2 4 3 4 6" xfId="6183"/>
    <cellStyle name="常规 2 2 4 3 5" xfId="6028"/>
    <cellStyle name="常规 2 2 4 3 5 2" xfId="17892"/>
    <cellStyle name="常规 2 2 4 3 5 2 2" xfId="21444"/>
    <cellStyle name="常规 2 2 4 3 5 3" xfId="21446"/>
    <cellStyle name="常规 2 2 4 3 5 4" xfId="21448"/>
    <cellStyle name="常规 2 2 4 3 6" xfId="21450"/>
    <cellStyle name="常规 2 2 4 3 6 2" xfId="21451"/>
    <cellStyle name="常规 2 2 4 3 6 2 2" xfId="20542"/>
    <cellStyle name="常规 2 2 4 3 6 3" xfId="21453"/>
    <cellStyle name="常规 2 2 4 3 6 4" xfId="21455"/>
    <cellStyle name="常规 2 2 4 3 7" xfId="21459"/>
    <cellStyle name="常规 2 2 4 3 7 2" xfId="21460"/>
    <cellStyle name="常规 2 2 4 3 8" xfId="15593"/>
    <cellStyle name="常规 2 2 4 3 8 2" xfId="15594"/>
    <cellStyle name="常规 2 2 4 3 9" xfId="15603"/>
    <cellStyle name="常规 2 2 4 4" xfId="21462"/>
    <cellStyle name="常规 2 2 4 4 2" xfId="21465"/>
    <cellStyle name="常规 2 2 4 4 2 2" xfId="21466"/>
    <cellStyle name="常规 2 2 4 4 2 2 2" xfId="21467"/>
    <cellStyle name="常规 2 2 4 4 2 2 2 2" xfId="21468"/>
    <cellStyle name="常规 2 2 4 4 2 2 3" xfId="7925"/>
    <cellStyle name="常规 2 2 4 4 2 2 4" xfId="21469"/>
    <cellStyle name="常规 2 2 4 4 2 3" xfId="21470"/>
    <cellStyle name="常规 2 2 4 4 2 3 2" xfId="21471"/>
    <cellStyle name="常规 2 2 4 4 2 4" xfId="21473"/>
    <cellStyle name="常规 2 2 4 4 2 5" xfId="21474"/>
    <cellStyle name="常规 2 2 4 4 3" xfId="21475"/>
    <cellStyle name="常规 2 2 4 4 3 2" xfId="17905"/>
    <cellStyle name="常规 2 2 4 4 3 2 2" xfId="21477"/>
    <cellStyle name="常规 2 2 4 4 3 3" xfId="21478"/>
    <cellStyle name="常规 2 2 4 4 3 4" xfId="21479"/>
    <cellStyle name="常规 2 2 4 4 4" xfId="21480"/>
    <cellStyle name="常规 2 2 4 4 4 2" xfId="21481"/>
    <cellStyle name="常规 2 2 4 4 4 2 2" xfId="21482"/>
    <cellStyle name="常规 2 2 4 4 4 3" xfId="21483"/>
    <cellStyle name="常规 2 2 4 4 4 4" xfId="21484"/>
    <cellStyle name="常规 2 2 4 4 5" xfId="21485"/>
    <cellStyle name="常规 2 2 4 4 5 2" xfId="21486"/>
    <cellStyle name="常规 2 2 4 4 6" xfId="21488"/>
    <cellStyle name="常规 2 2 4 4 7" xfId="21489"/>
    <cellStyle name="常规 2 2 4 4 8" xfId="15615"/>
    <cellStyle name="常规 2 2 4 5" xfId="21490"/>
    <cellStyle name="常规 2 2 4 5 2" xfId="21492"/>
    <cellStyle name="常规 2 2 4 5 2 2" xfId="21493"/>
    <cellStyle name="常规 2 2 4 5 2 2 2" xfId="21494"/>
    <cellStyle name="常规 2 2 4 5 2 3" xfId="21495"/>
    <cellStyle name="常规 2 2 4 5 2 4" xfId="21496"/>
    <cellStyle name="常规 2 2 4 5 3" xfId="21497"/>
    <cellStyle name="常规 2 2 4 5 3 2" xfId="21498"/>
    <cellStyle name="常规 2 2 4 5 4" xfId="21499"/>
    <cellStyle name="常规 2 2 4 5 5" xfId="21500"/>
    <cellStyle name="常规 2 2 4 5 6" xfId="21502"/>
    <cellStyle name="常规 2 2 4 6" xfId="21503"/>
    <cellStyle name="常规 2 2 4 6 2" xfId="21504"/>
    <cellStyle name="常规 2 2 4 6 2 2" xfId="21505"/>
    <cellStyle name="常规 2 2 4 6 3" xfId="21506"/>
    <cellStyle name="常规 2 2 4 6 4" xfId="21507"/>
    <cellStyle name="常规 2 2 4 7" xfId="21508"/>
    <cellStyle name="常规 2 2 4 7 2" xfId="21509"/>
    <cellStyle name="常规 2 2 4 7 2 2" xfId="21510"/>
    <cellStyle name="常规 2 2 4 7 3" xfId="21511"/>
    <cellStyle name="常规 2 2 4 7 4" xfId="21512"/>
    <cellStyle name="常规 2 2 4 8" xfId="8097"/>
    <cellStyle name="常规 2 2 4 8 2" xfId="21513"/>
    <cellStyle name="常规 2 2 4 9" xfId="21514"/>
    <cellStyle name="常规 2 2 4 9 2" xfId="21515"/>
    <cellStyle name="常规 2 2 5" xfId="6474"/>
    <cellStyle name="常规 2 2 5 10" xfId="12673"/>
    <cellStyle name="常规 2 2 5 11" xfId="12676"/>
    <cellStyle name="常规 2 2 5 12" xfId="21516"/>
    <cellStyle name="常规 2 2 5 2" xfId="7330"/>
    <cellStyle name="常规 2 2 5 2 10" xfId="21517"/>
    <cellStyle name="常规 2 2 5 2 11" xfId="823"/>
    <cellStyle name="常规 2 2 5 2 12" xfId="832"/>
    <cellStyle name="常规 2 2 5 2 2" xfId="7333"/>
    <cellStyle name="常规 2 2 5 2 2 10" xfId="16721"/>
    <cellStyle name="常规 2 2 5 2 2 2" xfId="15188"/>
    <cellStyle name="常规 2 2 5 2 2 2 2" xfId="21519"/>
    <cellStyle name="常规 2 2 5 2 2 2 2 2" xfId="14089"/>
    <cellStyle name="常规 2 2 5 2 2 2 2 2 2" xfId="21520"/>
    <cellStyle name="常规 2 2 5 2 2 2 2 2 2 2" xfId="21522"/>
    <cellStyle name="常规 2 2 5 2 2 2 2 2 3" xfId="21524"/>
    <cellStyle name="常规 2 2 5 2 2 2 2 2 4" xfId="21525"/>
    <cellStyle name="常规 2 2 5 2 2 2 2 3" xfId="14093"/>
    <cellStyle name="常规 2 2 5 2 2 2 2 3 2" xfId="21526"/>
    <cellStyle name="常规 2 2 5 2 2 2 2 4" xfId="21528"/>
    <cellStyle name="常规 2 2 5 2 2 2 2 5" xfId="21530"/>
    <cellStyle name="常规 2 2 5 2 2 2 3" xfId="2061"/>
    <cellStyle name="常规 2 2 5 2 2 2 3 2" xfId="2069"/>
    <cellStyle name="常规 2 2 5 2 2 2 3 2 2" xfId="21531"/>
    <cellStyle name="常规 2 2 5 2 2 2 3 3" xfId="21532"/>
    <cellStyle name="常规 2 2 5 2 2 2 3 4" xfId="21534"/>
    <cellStyle name="常规 2 2 5 2 2 2 4" xfId="2076"/>
    <cellStyle name="常规 2 2 5 2 2 2 4 2" xfId="14912"/>
    <cellStyle name="常规 2 2 5 2 2 2 4 2 2" xfId="20429"/>
    <cellStyle name="常规 2 2 5 2 2 2 4 3" xfId="20431"/>
    <cellStyle name="常规 2 2 5 2 2 2 4 4" xfId="20434"/>
    <cellStyle name="常规 2 2 5 2 2 2 5" xfId="20436"/>
    <cellStyle name="常规 2 2 5 2 2 2 5 2" xfId="20439"/>
    <cellStyle name="常规 2 2 5 2 2 2 6" xfId="20441"/>
    <cellStyle name="常规 2 2 5 2 2 2 7" xfId="20443"/>
    <cellStyle name="常规 2 2 5 2 2 2 8" xfId="20445"/>
    <cellStyle name="常规 2 2 5 2 2 3" xfId="21535"/>
    <cellStyle name="常规 2 2 5 2 2 3 2" xfId="21536"/>
    <cellStyle name="常规 2 2 5 2 2 3 2 2" xfId="21537"/>
    <cellStyle name="常规 2 2 5 2 2 3 2 2 2" xfId="21539"/>
    <cellStyle name="常规 2 2 5 2 2 3 2 3" xfId="16384"/>
    <cellStyle name="常规 2 2 5 2 2 3 2 4" xfId="16389"/>
    <cellStyle name="常规 2 2 5 2 2 3 3" xfId="2088"/>
    <cellStyle name="常规 2 2 5 2 2 3 3 2" xfId="2093"/>
    <cellStyle name="常规 2 2 5 2 2 3 4" xfId="2095"/>
    <cellStyle name="常规 2 2 5 2 2 3 5" xfId="20449"/>
    <cellStyle name="常规 2 2 5 2 2 3 6" xfId="20451"/>
    <cellStyle name="常规 2 2 5 2 2 4" xfId="21540"/>
    <cellStyle name="常规 2 2 5 2 2 4 2" xfId="21541"/>
    <cellStyle name="常规 2 2 5 2 2 4 2 2" xfId="21542"/>
    <cellStyle name="常规 2 2 5 2 2 4 3" xfId="1330"/>
    <cellStyle name="常规 2 2 5 2 2 4 4" xfId="20455"/>
    <cellStyle name="常规 2 2 5 2 2 5" xfId="21543"/>
    <cellStyle name="常规 2 2 5 2 2 5 2" xfId="21544"/>
    <cellStyle name="常规 2 2 5 2 2 5 2 2" xfId="14549"/>
    <cellStyle name="常规 2 2 5 2 2 5 3" xfId="2101"/>
    <cellStyle name="常规 2 2 5 2 2 5 4" xfId="20468"/>
    <cellStyle name="常规 2 2 5 2 2 6" xfId="21546"/>
    <cellStyle name="常规 2 2 5 2 2 6 2" xfId="21549"/>
    <cellStyle name="常规 2 2 5 2 2 7" xfId="21551"/>
    <cellStyle name="常规 2 2 5 2 2 7 2" xfId="21552"/>
    <cellStyle name="常规 2 2 5 2 2 8" xfId="21554"/>
    <cellStyle name="常规 2 2 5 2 2 9" xfId="21557"/>
    <cellStyle name="常规 2 2 5 2 3" xfId="21558"/>
    <cellStyle name="常规 2 2 5 2 3 10" xfId="21559"/>
    <cellStyle name="常规 2 2 5 2 3 11" xfId="21561"/>
    <cellStyle name="常规 2 2 5 2 3 2" xfId="21562"/>
    <cellStyle name="常规 2 2 5 2 3 2 10" xfId="21563"/>
    <cellStyle name="常规 2 2 5 2 3 2 2" xfId="21564"/>
    <cellStyle name="常规 2 2 5 2 3 2 2 2" xfId="21565"/>
    <cellStyle name="常规 2 2 5 2 3 2 2 2 2" xfId="12652"/>
    <cellStyle name="常规 2 2 5 2 3 2 2 2 2 2" xfId="12003"/>
    <cellStyle name="常规 2 2 5 2 3 2 2 2 2 2 2" xfId="12006"/>
    <cellStyle name="常规 2 2 5 2 3 2 2 2 2 3" xfId="12009"/>
    <cellStyle name="常规 2 2 5 2 3 2 2 2 2 4" xfId="12656"/>
    <cellStyle name="常规 2 2 5 2 3 2 2 2 3" xfId="12658"/>
    <cellStyle name="常规 2 2 5 2 3 2 2 2 3 2" xfId="12015"/>
    <cellStyle name="常规 2 2 5 2 3 2 2 2 4" xfId="12663"/>
    <cellStyle name="常规 2 2 5 2 3 2 2 2 5" xfId="12669"/>
    <cellStyle name="常规 2 2 5 2 3 2 2 3" xfId="21567"/>
    <cellStyle name="常规 2 2 5 2 3 2 2 3 2" xfId="12691"/>
    <cellStyle name="常规 2 2 5 2 3 2 2 3 2 2" xfId="12139"/>
    <cellStyle name="常规 2 2 5 2 3 2 2 3 3" xfId="12693"/>
    <cellStyle name="常规 2 2 5 2 3 2 2 3 4" xfId="12697"/>
    <cellStyle name="常规 2 2 5 2 3 2 2 4" xfId="21569"/>
    <cellStyle name="常规 2 2 5 2 3 2 2 4 2" xfId="12708"/>
    <cellStyle name="常规 2 2 5 2 3 2 2 4 2 2" xfId="12203"/>
    <cellStyle name="常规 2 2 5 2 3 2 2 4 3" xfId="21570"/>
    <cellStyle name="常规 2 2 5 2 3 2 2 4 4" xfId="13119"/>
    <cellStyle name="常规 2 2 5 2 3 2 2 5" xfId="1912"/>
    <cellStyle name="常规 2 2 5 2 3 2 2 5 2" xfId="21571"/>
    <cellStyle name="常规 2 2 5 2 3 2 2 6" xfId="11431"/>
    <cellStyle name="常规 2 2 5 2 3 2 2 7" xfId="21572"/>
    <cellStyle name="常规 2 2 5 2 3 2 2 8" xfId="21573"/>
    <cellStyle name="常规 2 2 5 2 3 2 3" xfId="2229"/>
    <cellStyle name="常规 2 2 5 2 3 2 3 2" xfId="21574"/>
    <cellStyle name="常规 2 2 5 2 3 2 3 2 2" xfId="12812"/>
    <cellStyle name="常规 2 2 5 2 3 2 3 2 2 2" xfId="12291"/>
    <cellStyle name="常规 2 2 5 2 3 2 3 2 3" xfId="12821"/>
    <cellStyle name="常规 2 2 5 2 3 2 3 2 4" xfId="12823"/>
    <cellStyle name="常规 2 2 5 2 3 2 3 3" xfId="21575"/>
    <cellStyle name="常规 2 2 5 2 3 2 3 3 2" xfId="12831"/>
    <cellStyle name="常规 2 2 5 2 3 2 3 4" xfId="21576"/>
    <cellStyle name="常规 2 2 5 2 3 2 3 5" xfId="1916"/>
    <cellStyle name="常规 2 2 5 2 3 2 3 6" xfId="21578"/>
    <cellStyle name="常规 2 2 5 2 3 2 4" xfId="5679"/>
    <cellStyle name="常规 2 2 5 2 3 2 4 2" xfId="15007"/>
    <cellStyle name="常规 2 2 5 2 3 2 4 2 2" xfId="12906"/>
    <cellStyle name="常规 2 2 5 2 3 2 4 3" xfId="15010"/>
    <cellStyle name="常规 2 2 5 2 3 2 4 4" xfId="15013"/>
    <cellStyle name="常规 2 2 5 2 3 2 5" xfId="20511"/>
    <cellStyle name="常规 2 2 5 2 3 2 5 2" xfId="15030"/>
    <cellStyle name="常规 2 2 5 2 3 2 5 2 2" xfId="21215"/>
    <cellStyle name="常规 2 2 5 2 3 2 5 3" xfId="15033"/>
    <cellStyle name="常规 2 2 5 2 3 2 5 4" xfId="21228"/>
    <cellStyle name="常规 2 2 5 2 3 2 6" xfId="20513"/>
    <cellStyle name="常规 2 2 5 2 3 2 6 2" xfId="21274"/>
    <cellStyle name="常规 2 2 5 2 3 2 7" xfId="21579"/>
    <cellStyle name="常规 2 2 5 2 3 2 7 2" xfId="21315"/>
    <cellStyle name="常规 2 2 5 2 3 2 8" xfId="21580"/>
    <cellStyle name="常规 2 2 5 2 3 2 9" xfId="21581"/>
    <cellStyle name="常规 2 2 5 2 3 3" xfId="21582"/>
    <cellStyle name="常规 2 2 5 2 3 3 2" xfId="21583"/>
    <cellStyle name="常规 2 2 5 2 3 3 2 2" xfId="21584"/>
    <cellStyle name="常规 2 2 5 2 3 3 2 2 2" xfId="21585"/>
    <cellStyle name="常规 2 2 5 2 3 3 2 2 2 2" xfId="12509"/>
    <cellStyle name="常规 2 2 5 2 3 3 2 2 3" xfId="21586"/>
    <cellStyle name="常规 2 2 5 2 3 3 2 2 4" xfId="21589"/>
    <cellStyle name="常规 2 2 5 2 3 3 2 3" xfId="21591"/>
    <cellStyle name="常规 2 2 5 2 3 3 2 3 2" xfId="21592"/>
    <cellStyle name="常规 2 2 5 2 3 3 2 4" xfId="21593"/>
    <cellStyle name="常规 2 2 5 2 3 3 2 5" xfId="6065"/>
    <cellStyle name="常规 2 2 5 2 3 3 3" xfId="2236"/>
    <cellStyle name="常规 2 2 5 2 3 3 3 2" xfId="21595"/>
    <cellStyle name="常规 2 2 5 2 3 3 3 2 2" xfId="17073"/>
    <cellStyle name="常规 2 2 5 2 3 3 3 3" xfId="21596"/>
    <cellStyle name="常规 2 2 5 2 3 3 3 4" xfId="21597"/>
    <cellStyle name="常规 2 2 5 2 3 3 4" xfId="7230"/>
    <cellStyle name="常规 2 2 5 2 3 3 4 2" xfId="15079"/>
    <cellStyle name="常规 2 2 5 2 3 3 4 2 2" xfId="21599"/>
    <cellStyle name="常规 2 2 5 2 3 3 4 3" xfId="21600"/>
    <cellStyle name="常规 2 2 5 2 3 3 4 4" xfId="21601"/>
    <cellStyle name="常规 2 2 5 2 3 3 5" xfId="20515"/>
    <cellStyle name="常规 2 2 5 2 3 3 5 2" xfId="21392"/>
    <cellStyle name="常规 2 2 5 2 3 3 6" xfId="20517"/>
    <cellStyle name="常规 2 2 5 2 3 3 7" xfId="21603"/>
    <cellStyle name="常规 2 2 5 2 3 3 8" xfId="21604"/>
    <cellStyle name="常规 2 2 5 2 3 4" xfId="21605"/>
    <cellStyle name="常规 2 2 5 2 3 4 2" xfId="21606"/>
    <cellStyle name="常规 2 2 5 2 3 4 2 2" xfId="21607"/>
    <cellStyle name="常规 2 2 5 2 3 4 2 2 2" xfId="21610"/>
    <cellStyle name="常规 2 2 5 2 3 4 2 3" xfId="21612"/>
    <cellStyle name="常规 2 2 5 2 3 4 2 4" xfId="21614"/>
    <cellStyle name="常规 2 2 5 2 3 4 3" xfId="21617"/>
    <cellStyle name="常规 2 2 5 2 3 4 3 2" xfId="21618"/>
    <cellStyle name="常规 2 2 5 2 3 4 4" xfId="20519"/>
    <cellStyle name="常规 2 2 5 2 3 4 5" xfId="21620"/>
    <cellStyle name="常规 2 2 5 2 3 4 6" xfId="21621"/>
    <cellStyle name="常规 2 2 5 2 3 5" xfId="21622"/>
    <cellStyle name="常规 2 2 5 2 3 5 2" xfId="21623"/>
    <cellStyle name="常规 2 2 5 2 3 5 2 2" xfId="21625"/>
    <cellStyle name="常规 2 2 5 2 3 5 3" xfId="21627"/>
    <cellStyle name="常规 2 2 5 2 3 5 4" xfId="21629"/>
    <cellStyle name="常规 2 2 5 2 3 6" xfId="21632"/>
    <cellStyle name="常规 2 2 5 2 3 6 2" xfId="21633"/>
    <cellStyle name="常规 2 2 5 2 3 6 2 2" xfId="21635"/>
    <cellStyle name="常规 2 2 5 2 3 6 3" xfId="21636"/>
    <cellStyle name="常规 2 2 5 2 3 6 4" xfId="21638"/>
    <cellStyle name="常规 2 2 5 2 3 7" xfId="21639"/>
    <cellStyle name="常规 2 2 5 2 3 7 2" xfId="21640"/>
    <cellStyle name="常规 2 2 5 2 3 8" xfId="21641"/>
    <cellStyle name="常规 2 2 5 2 3 8 2" xfId="21642"/>
    <cellStyle name="常规 2 2 5 2 3 9" xfId="21643"/>
    <cellStyle name="常规 2 2 5 2 4" xfId="21644"/>
    <cellStyle name="常规 2 2 5 2 4 2" xfId="10909"/>
    <cellStyle name="常规 2 2 5 2 4 2 2" xfId="21645"/>
    <cellStyle name="常规 2 2 5 2 4 2 2 2" xfId="21646"/>
    <cellStyle name="常规 2 2 5 2 4 2 2 2 2" xfId="21648"/>
    <cellStyle name="常规 2 2 5 2 4 2 2 3" xfId="21649"/>
    <cellStyle name="常规 2 2 5 2 4 2 2 4" xfId="21651"/>
    <cellStyle name="常规 2 2 5 2 4 2 3" xfId="2451"/>
    <cellStyle name="常规 2 2 5 2 4 2 3 2" xfId="2455"/>
    <cellStyle name="常规 2 2 5 2 4 2 4" xfId="2457"/>
    <cellStyle name="常规 2 2 5 2 4 2 5" xfId="21652"/>
    <cellStyle name="常规 2 2 5 2 4 3" xfId="21653"/>
    <cellStyle name="常规 2 2 5 2 4 3 2" xfId="21654"/>
    <cellStyle name="常规 2 2 5 2 4 3 2 2" xfId="16690"/>
    <cellStyle name="常规 2 2 5 2 4 3 3" xfId="2463"/>
    <cellStyle name="常规 2 2 5 2 4 3 4" xfId="21655"/>
    <cellStyle name="常规 2 2 5 2 4 4" xfId="21656"/>
    <cellStyle name="常规 2 2 5 2 4 4 2" xfId="18161"/>
    <cellStyle name="常规 2 2 5 2 4 4 2 2" xfId="16864"/>
    <cellStyle name="常规 2 2 5 2 4 4 3" xfId="2465"/>
    <cellStyle name="常规 2 2 5 2 4 4 4" xfId="21657"/>
    <cellStyle name="常规 2 2 5 2 4 5" xfId="21658"/>
    <cellStyle name="常规 2 2 5 2 4 5 2" xfId="18169"/>
    <cellStyle name="常规 2 2 5 2 4 6" xfId="21659"/>
    <cellStyle name="常规 2 2 5 2 4 7" xfId="21660"/>
    <cellStyle name="常规 2 2 5 2 4 8" xfId="21662"/>
    <cellStyle name="常规 2 2 5 2 5" xfId="21663"/>
    <cellStyle name="常规 2 2 5 2 5 2" xfId="21664"/>
    <cellStyle name="常规 2 2 5 2 5 2 2" xfId="12359"/>
    <cellStyle name="常规 2 2 5 2 5 2 2 2" xfId="10689"/>
    <cellStyle name="常规 2 2 5 2 5 2 3" xfId="21666"/>
    <cellStyle name="常规 2 2 5 2 5 2 4" xfId="21667"/>
    <cellStyle name="常规 2 2 5 2 5 3" xfId="21668"/>
    <cellStyle name="常规 2 2 5 2 5 3 2" xfId="21669"/>
    <cellStyle name="常规 2 2 5 2 5 4" xfId="21670"/>
    <cellStyle name="常规 2 2 5 2 5 5" xfId="21671"/>
    <cellStyle name="常规 2 2 5 2 5 6" xfId="21672"/>
    <cellStyle name="常规 2 2 5 2 6" xfId="21673"/>
    <cellStyle name="常规 2 2 5 2 6 2" xfId="21674"/>
    <cellStyle name="常规 2 2 5 2 6 2 2" xfId="21675"/>
    <cellStyle name="常规 2 2 5 2 6 3" xfId="21676"/>
    <cellStyle name="常规 2 2 5 2 6 4" xfId="21677"/>
    <cellStyle name="常规 2 2 5 2 7" xfId="21679"/>
    <cellStyle name="常规 2 2 5 2 7 2" xfId="21680"/>
    <cellStyle name="常规 2 2 5 2 7 2 2" xfId="21681"/>
    <cellStyle name="常规 2 2 5 2 7 3" xfId="21682"/>
    <cellStyle name="常规 2 2 5 2 7 4" xfId="21683"/>
    <cellStyle name="常规 2 2 5 2 8" xfId="15683"/>
    <cellStyle name="常规 2 2 5 2 8 2" xfId="15686"/>
    <cellStyle name="常规 2 2 5 2 9" xfId="585"/>
    <cellStyle name="常规 2 2 5 2 9 2" xfId="596"/>
    <cellStyle name="常规 2 2 5 3" xfId="7335"/>
    <cellStyle name="常规 2 2 5 3 10" xfId="21685"/>
    <cellStyle name="常规 2 2 5 3 11" xfId="5350"/>
    <cellStyle name="常规 2 2 5 3 2" xfId="21688"/>
    <cellStyle name="常规 2 2 5 3 2 10" xfId="21689"/>
    <cellStyle name="常规 2 2 5 3 2 2" xfId="21690"/>
    <cellStyle name="常规 2 2 5 3 2 2 2" xfId="19451"/>
    <cellStyle name="常规 2 2 5 3 2 2 2 2" xfId="21691"/>
    <cellStyle name="常规 2 2 5 3 2 2 2 2 2" xfId="17978"/>
    <cellStyle name="常规 2 2 5 3 2 2 2 2 2 2" xfId="9581"/>
    <cellStyle name="常规 2 2 5 3 2 2 2 2 3" xfId="21694"/>
    <cellStyle name="常规 2 2 5 3 2 2 2 2 4" xfId="21696"/>
    <cellStyle name="常规 2 2 5 3 2 2 2 3" xfId="21698"/>
    <cellStyle name="常规 2 2 5 3 2 2 2 3 2" xfId="17990"/>
    <cellStyle name="常规 2 2 5 3 2 2 2 4" xfId="21701"/>
    <cellStyle name="常规 2 2 5 3 2 2 2 5" xfId="21703"/>
    <cellStyle name="常规 2 2 5 3 2 2 3" xfId="19243"/>
    <cellStyle name="常规 2 2 5 3 2 2 3 2" xfId="19245"/>
    <cellStyle name="常规 2 2 5 3 2 2 3 2 2" xfId="21704"/>
    <cellStyle name="常规 2 2 5 3 2 2 3 3" xfId="21705"/>
    <cellStyle name="常规 2 2 5 3 2 2 3 4" xfId="21707"/>
    <cellStyle name="常规 2 2 5 3 2 2 4" xfId="19249"/>
    <cellStyle name="常规 2 2 5 3 2 2 4 2" xfId="15641"/>
    <cellStyle name="常规 2 2 5 3 2 2 4 2 2" xfId="21708"/>
    <cellStyle name="常规 2 2 5 3 2 2 4 3" xfId="21709"/>
    <cellStyle name="常规 2 2 5 3 2 2 4 4" xfId="21711"/>
    <cellStyle name="常规 2 2 5 3 2 2 5" xfId="19251"/>
    <cellStyle name="常规 2 2 5 3 2 2 5 2" xfId="6356"/>
    <cellStyle name="常规 2 2 5 3 2 2 6" xfId="21712"/>
    <cellStyle name="常规 2 2 5 3 2 2 7" xfId="21713"/>
    <cellStyle name="常规 2 2 5 3 2 2 8" xfId="21714"/>
    <cellStyle name="常规 2 2 5 3 2 3" xfId="21716"/>
    <cellStyle name="常规 2 2 5 3 2 3 2" xfId="19458"/>
    <cellStyle name="常规 2 2 5 3 2 3 2 2" xfId="16043"/>
    <cellStyle name="常规 2 2 5 3 2 3 2 2 2" xfId="5595"/>
    <cellStyle name="常规 2 2 5 3 2 3 2 3" xfId="21717"/>
    <cellStyle name="常规 2 2 5 3 2 3 2 4" xfId="21720"/>
    <cellStyle name="常规 2 2 5 3 2 3 3" xfId="19254"/>
    <cellStyle name="常规 2 2 5 3 2 3 3 2" xfId="21722"/>
    <cellStyle name="常规 2 2 5 3 2 3 4" xfId="21723"/>
    <cellStyle name="常规 2 2 5 3 2 3 5" xfId="21724"/>
    <cellStyle name="常规 2 2 5 3 2 3 6" xfId="21725"/>
    <cellStyle name="常规 2 2 5 3 2 4" xfId="21726"/>
    <cellStyle name="常规 2 2 5 3 2 4 2" xfId="21727"/>
    <cellStyle name="常规 2 2 5 3 2 4 2 2" xfId="21728"/>
    <cellStyle name="常规 2 2 5 3 2 4 3" xfId="21729"/>
    <cellStyle name="常规 2 2 5 3 2 4 4" xfId="21730"/>
    <cellStyle name="常规 2 2 5 3 2 5" xfId="21731"/>
    <cellStyle name="常规 2 2 5 3 2 5 2" xfId="21733"/>
    <cellStyle name="常规 2 2 5 3 2 5 2 2" xfId="21735"/>
    <cellStyle name="常规 2 2 5 3 2 5 3" xfId="21738"/>
    <cellStyle name="常规 2 2 5 3 2 5 4" xfId="21741"/>
    <cellStyle name="常规 2 2 5 3 2 6" xfId="21745"/>
    <cellStyle name="常规 2 2 5 3 2 6 2" xfId="21748"/>
    <cellStyle name="常规 2 2 5 3 2 7" xfId="21750"/>
    <cellStyle name="常规 2 2 5 3 2 7 2" xfId="21753"/>
    <cellStyle name="常规 2 2 5 3 2 8" xfId="21756"/>
    <cellStyle name="常规 2 2 5 3 2 9" xfId="21759"/>
    <cellStyle name="常规 2 2 5 3 3" xfId="21760"/>
    <cellStyle name="常规 2 2 5 3 3 2" xfId="17933"/>
    <cellStyle name="常规 2 2 5 3 3 2 2" xfId="21761"/>
    <cellStyle name="常规 2 2 5 3 3 2 2 2" xfId="21762"/>
    <cellStyle name="常规 2 2 5 3 3 2 2 2 2" xfId="18498"/>
    <cellStyle name="常规 2 2 5 3 3 2 2 3" xfId="21764"/>
    <cellStyle name="常规 2 2 5 3 3 2 2 4" xfId="21766"/>
    <cellStyle name="常规 2 2 5 3 3 2 3" xfId="21767"/>
    <cellStyle name="常规 2 2 5 3 3 2 3 2" xfId="19492"/>
    <cellStyle name="常规 2 2 5 3 3 2 4" xfId="21768"/>
    <cellStyle name="常规 2 2 5 3 3 2 5" xfId="21769"/>
    <cellStyle name="常规 2 2 5 3 3 3" xfId="21770"/>
    <cellStyle name="常规 2 2 5 3 3 3 2" xfId="21771"/>
    <cellStyle name="常规 2 2 5 3 3 3 2 2" xfId="21772"/>
    <cellStyle name="常规 2 2 5 3 3 3 3" xfId="21773"/>
    <cellStyle name="常规 2 2 5 3 3 3 4" xfId="21775"/>
    <cellStyle name="常规 2 2 5 3 3 4" xfId="21776"/>
    <cellStyle name="常规 2 2 5 3 3 4 2" xfId="21777"/>
    <cellStyle name="常规 2 2 5 3 3 4 2 2" xfId="11238"/>
    <cellStyle name="常规 2 2 5 3 3 4 3" xfId="21778"/>
    <cellStyle name="常规 2 2 5 3 3 4 4" xfId="21780"/>
    <cellStyle name="常规 2 2 5 3 3 5" xfId="21781"/>
    <cellStyle name="常规 2 2 5 3 3 5 2" xfId="21783"/>
    <cellStyle name="常规 2 2 5 3 3 6" xfId="21785"/>
    <cellStyle name="常规 2 2 5 3 3 7" xfId="21787"/>
    <cellStyle name="常规 2 2 5 3 3 8" xfId="21789"/>
    <cellStyle name="常规 2 2 5 3 4" xfId="21790"/>
    <cellStyle name="常规 2 2 5 3 4 2" xfId="21791"/>
    <cellStyle name="常规 2 2 5 3 4 2 2" xfId="17778"/>
    <cellStyle name="常规 2 2 5 3 4 2 2 2" xfId="21792"/>
    <cellStyle name="常规 2 2 5 3 4 2 3" xfId="17780"/>
    <cellStyle name="常规 2 2 5 3 4 2 4" xfId="21794"/>
    <cellStyle name="常规 2 2 5 3 4 3" xfId="21796"/>
    <cellStyle name="常规 2 2 5 3 4 3 2" xfId="21797"/>
    <cellStyle name="常规 2 2 5 3 4 4" xfId="21798"/>
    <cellStyle name="常规 2 2 5 3 4 5" xfId="21799"/>
    <cellStyle name="常规 2 2 5 3 4 6" xfId="21801"/>
    <cellStyle name="常规 2 2 5 3 5" xfId="21805"/>
    <cellStyle name="常规 2 2 5 3 5 2" xfId="21806"/>
    <cellStyle name="常规 2 2 5 3 5 2 2" xfId="19861"/>
    <cellStyle name="常规 2 2 5 3 5 3" xfId="21807"/>
    <cellStyle name="常规 2 2 5 3 5 4" xfId="21808"/>
    <cellStyle name="常规 2 2 5 3 6" xfId="21809"/>
    <cellStyle name="常规 2 2 5 3 6 2" xfId="21810"/>
    <cellStyle name="常规 2 2 5 3 6 2 2" xfId="21812"/>
    <cellStyle name="常规 2 2 5 3 6 3" xfId="21813"/>
    <cellStyle name="常规 2 2 5 3 6 4" xfId="21817"/>
    <cellStyle name="常规 2 2 5 3 7" xfId="21819"/>
    <cellStyle name="常规 2 2 5 3 7 2" xfId="456"/>
    <cellStyle name="常规 2 2 5 3 8" xfId="15694"/>
    <cellStyle name="常规 2 2 5 3 8 2" xfId="15698"/>
    <cellStyle name="常规 2 2 5 3 9" xfId="7133"/>
    <cellStyle name="常规 2 2 5 4" xfId="21820"/>
    <cellStyle name="常规 2 2 5 4 2" xfId="21822"/>
    <cellStyle name="常规 2 2 5 4 2 2" xfId="9334"/>
    <cellStyle name="常规 2 2 5 4 2 2 2" xfId="19532"/>
    <cellStyle name="常规 2 2 5 4 2 2 2 2" xfId="21823"/>
    <cellStyle name="常规 2 2 5 4 2 2 3" xfId="10337"/>
    <cellStyle name="常规 2 2 5 4 2 2 4" xfId="19534"/>
    <cellStyle name="常规 2 2 5 4 2 3" xfId="9338"/>
    <cellStyle name="常规 2 2 5 4 2 3 2" xfId="19541"/>
    <cellStyle name="常规 2 2 5 4 2 4" xfId="4326"/>
    <cellStyle name="常规 2 2 5 4 2 5" xfId="4345"/>
    <cellStyle name="常规 2 2 5 4 3" xfId="21825"/>
    <cellStyle name="常规 2 2 5 4 3 2" xfId="21826"/>
    <cellStyle name="常规 2 2 5 4 3 2 2" xfId="19583"/>
    <cellStyle name="常规 2 2 5 4 3 3" xfId="21827"/>
    <cellStyle name="常规 2 2 5 4 3 4" xfId="4398"/>
    <cellStyle name="常规 2 2 5 4 4" xfId="21828"/>
    <cellStyle name="常规 2 2 5 4 4 2" xfId="21829"/>
    <cellStyle name="常规 2 2 5 4 4 2 2" xfId="21830"/>
    <cellStyle name="常规 2 2 5 4 4 3" xfId="21831"/>
    <cellStyle name="常规 2 2 5 4 4 4" xfId="4409"/>
    <cellStyle name="常规 2 2 5 4 5" xfId="21832"/>
    <cellStyle name="常规 2 2 5 4 5 2" xfId="21833"/>
    <cellStyle name="常规 2 2 5 4 6" xfId="21834"/>
    <cellStyle name="常规 2 2 5 4 7" xfId="21835"/>
    <cellStyle name="常规 2 2 5 4 8" xfId="10746"/>
    <cellStyle name="常规 2 2 5 5" xfId="21836"/>
    <cellStyle name="常规 2 2 5 5 2" xfId="21837"/>
    <cellStyle name="常规 2 2 5 5 2 2" xfId="21838"/>
    <cellStyle name="常规 2 2 5 5 2 2 2" xfId="21839"/>
    <cellStyle name="常规 2 2 5 5 2 3" xfId="21840"/>
    <cellStyle name="常规 2 2 5 5 2 4" xfId="1957"/>
    <cellStyle name="常规 2 2 5 5 3" xfId="21841"/>
    <cellStyle name="常规 2 2 5 5 3 2" xfId="21842"/>
    <cellStyle name="常规 2 2 5 5 4" xfId="21844"/>
    <cellStyle name="常规 2 2 5 5 5" xfId="21845"/>
    <cellStyle name="常规 2 2 5 5 6" xfId="21846"/>
    <cellStyle name="常规 2 2 5 6" xfId="9011"/>
    <cellStyle name="常规 2 2 5 6 2" xfId="21847"/>
    <cellStyle name="常规 2 2 5 6 2 2" xfId="21849"/>
    <cellStyle name="常规 2 2 5 6 3" xfId="21850"/>
    <cellStyle name="常规 2 2 5 6 4" xfId="21851"/>
    <cellStyle name="常规 2 2 5 7" xfId="21852"/>
    <cellStyle name="常规 2 2 5 7 2" xfId="21854"/>
    <cellStyle name="常规 2 2 5 7 2 2" xfId="21855"/>
    <cellStyle name="常规 2 2 5 7 3" xfId="21857"/>
    <cellStyle name="常规 2 2 5 7 4" xfId="21858"/>
    <cellStyle name="常规 2 2 5 8" xfId="21859"/>
    <cellStyle name="常规 2 2 5 8 2" xfId="21861"/>
    <cellStyle name="常规 2 2 5 9" xfId="21862"/>
    <cellStyle name="常规 2 2 5 9 2" xfId="21863"/>
    <cellStyle name="常规 2 2 6" xfId="7338"/>
    <cellStyle name="常规 2 2 6 10" xfId="7009"/>
    <cellStyle name="常规 2 2 6 11" xfId="7011"/>
    <cellStyle name="常规 2 2 6 12" xfId="21864"/>
    <cellStyle name="常规 2 2 6 2" xfId="7342"/>
    <cellStyle name="常规 2 2 6 2 10" xfId="21865"/>
    <cellStyle name="常规 2 2 6 2 11" xfId="21866"/>
    <cellStyle name="常规 2 2 6 2 12" xfId="5444"/>
    <cellStyle name="常规 2 2 6 2 2" xfId="21867"/>
    <cellStyle name="常规 2 2 6 2 2 10" xfId="21868"/>
    <cellStyle name="常规 2 2 6 2 2 2" xfId="15223"/>
    <cellStyle name="常规 2 2 6 2 2 2 2" xfId="21869"/>
    <cellStyle name="常规 2 2 6 2 2 2 2 2" xfId="17599"/>
    <cellStyle name="常规 2 2 6 2 2 2 2 2 2" xfId="461"/>
    <cellStyle name="常规 2 2 6 2 2 2 2 2 2 2" xfId="469"/>
    <cellStyle name="常规 2 2 6 2 2 2 2 2 3" xfId="479"/>
    <cellStyle name="常规 2 2 6 2 2 2 2 2 4" xfId="5255"/>
    <cellStyle name="常规 2 2 6 2 2 2 2 3" xfId="17601"/>
    <cellStyle name="常规 2 2 6 2 2 2 2 3 2" xfId="5266"/>
    <cellStyle name="常规 2 2 6 2 2 2 2 4" xfId="21870"/>
    <cellStyle name="常规 2 2 6 2 2 2 2 5" xfId="21872"/>
    <cellStyle name="常规 2 2 6 2 2 2 3" xfId="3040"/>
    <cellStyle name="常规 2 2 6 2 2 2 3 2" xfId="3044"/>
    <cellStyle name="常规 2 2 6 2 2 2 3 2 2" xfId="21873"/>
    <cellStyle name="常规 2 2 6 2 2 2 3 3" xfId="21874"/>
    <cellStyle name="常规 2 2 6 2 2 2 3 4" xfId="21876"/>
    <cellStyle name="常规 2 2 6 2 2 2 4" xfId="3049"/>
    <cellStyle name="常规 2 2 6 2 2 2 4 2" xfId="21878"/>
    <cellStyle name="常规 2 2 6 2 2 2 4 2 2" xfId="5469"/>
    <cellStyle name="常规 2 2 6 2 2 2 4 3" xfId="9905"/>
    <cellStyle name="常规 2 2 6 2 2 2 4 4" xfId="21879"/>
    <cellStyle name="常规 2 2 6 2 2 2 5" xfId="11702"/>
    <cellStyle name="常规 2 2 6 2 2 2 5 2" xfId="21881"/>
    <cellStyle name="常规 2 2 6 2 2 2 6" xfId="21883"/>
    <cellStyle name="常规 2 2 6 2 2 2 7" xfId="21884"/>
    <cellStyle name="常规 2 2 6 2 2 2 8" xfId="11939"/>
    <cellStyle name="常规 2 2 6 2 2 3" xfId="21885"/>
    <cellStyle name="常规 2 2 6 2 2 3 2" xfId="21888"/>
    <cellStyle name="常规 2 2 6 2 2 3 2 2" xfId="13104"/>
    <cellStyle name="常规 2 2 6 2 2 3 2 2 2" xfId="21890"/>
    <cellStyle name="常规 2 2 6 2 2 3 2 3" xfId="13107"/>
    <cellStyle name="常规 2 2 6 2 2 3 2 4" xfId="21893"/>
    <cellStyle name="常规 2 2 6 2 2 3 3" xfId="3055"/>
    <cellStyle name="常规 2 2 6 2 2 3 3 2" xfId="3058"/>
    <cellStyle name="常规 2 2 6 2 2 3 4" xfId="1481"/>
    <cellStyle name="常规 2 2 6 2 2 3 5" xfId="21896"/>
    <cellStyle name="常规 2 2 6 2 2 3 6" xfId="21899"/>
    <cellStyle name="常规 2 2 6 2 2 4" xfId="21902"/>
    <cellStyle name="常规 2 2 6 2 2 4 2" xfId="21905"/>
    <cellStyle name="常规 2 2 6 2 2 4 2 2" xfId="21907"/>
    <cellStyle name="常规 2 2 6 2 2 4 3" xfId="2159"/>
    <cellStyle name="常规 2 2 6 2 2 4 4" xfId="21909"/>
    <cellStyle name="常规 2 2 6 2 2 5" xfId="21911"/>
    <cellStyle name="常规 2 2 6 2 2 5 2" xfId="21913"/>
    <cellStyle name="常规 2 2 6 2 2 5 2 2" xfId="21916"/>
    <cellStyle name="常规 2 2 6 2 2 5 3" xfId="3063"/>
    <cellStyle name="常规 2 2 6 2 2 5 4" xfId="21919"/>
    <cellStyle name="常规 2 2 6 2 2 6" xfId="21924"/>
    <cellStyle name="常规 2 2 6 2 2 6 2" xfId="21926"/>
    <cellStyle name="常规 2 2 6 2 2 7" xfId="21929"/>
    <cellStyle name="常规 2 2 6 2 2 7 2" xfId="21931"/>
    <cellStyle name="常规 2 2 6 2 2 8" xfId="21934"/>
    <cellStyle name="常规 2 2 6 2 2 9" xfId="21936"/>
    <cellStyle name="常规 2 2 6 2 3" xfId="21939"/>
    <cellStyle name="常规 2 2 6 2 3 10" xfId="4760"/>
    <cellStyle name="常规 2 2 6 2 3 11" xfId="4768"/>
    <cellStyle name="常规 2 2 6 2 3 2" xfId="21940"/>
    <cellStyle name="常规 2 2 6 2 3 2 10" xfId="21941"/>
    <cellStyle name="常规 2 2 6 2 3 2 2" xfId="21942"/>
    <cellStyle name="常规 2 2 6 2 3 2 2 2" xfId="18131"/>
    <cellStyle name="常规 2 2 6 2 3 2 2 2 2" xfId="5723"/>
    <cellStyle name="常规 2 2 6 2 3 2 2 2 2 2" xfId="5726"/>
    <cellStyle name="常规 2 2 6 2 3 2 2 2 2 2 2" xfId="5729"/>
    <cellStyle name="常规 2 2 6 2 3 2 2 2 2 3" xfId="5734"/>
    <cellStyle name="常规 2 2 6 2 3 2 2 2 2 4" xfId="21943"/>
    <cellStyle name="常规 2 2 6 2 3 2 2 2 3" xfId="5736"/>
    <cellStyle name="常规 2 2 6 2 3 2 2 2 3 2" xfId="5743"/>
    <cellStyle name="常规 2 2 6 2 3 2 2 2 4" xfId="5746"/>
    <cellStyle name="常规 2 2 6 2 3 2 2 2 5" xfId="5751"/>
    <cellStyle name="常规 2 2 6 2 3 2 2 3" xfId="18133"/>
    <cellStyle name="常规 2 2 6 2 3 2 2 3 2" xfId="4390"/>
    <cellStyle name="常规 2 2 6 2 3 2 2 3 2 2" xfId="11525"/>
    <cellStyle name="常规 2 2 6 2 3 2 2 3 3" xfId="21944"/>
    <cellStyle name="常规 2 2 6 2 3 2 2 3 4" xfId="21945"/>
    <cellStyle name="常规 2 2 6 2 3 2 2 4" xfId="21946"/>
    <cellStyle name="常规 2 2 6 2 3 2 2 4 2" xfId="21947"/>
    <cellStyle name="常规 2 2 6 2 3 2 2 4 2 2" xfId="21948"/>
    <cellStyle name="常规 2 2 6 2 3 2 2 4 3" xfId="21950"/>
    <cellStyle name="常规 2 2 6 2 3 2 2 4 4" xfId="21951"/>
    <cellStyle name="常规 2 2 6 2 3 2 2 5" xfId="21952"/>
    <cellStyle name="常规 2 2 6 2 3 2 2 5 2" xfId="21953"/>
    <cellStyle name="常规 2 2 6 2 3 2 2 6" xfId="21955"/>
    <cellStyle name="常规 2 2 6 2 3 2 2 7" xfId="6141"/>
    <cellStyle name="常规 2 2 6 2 3 2 2 8" xfId="21958"/>
    <cellStyle name="常规 2 2 6 2 3 2 3" xfId="845"/>
    <cellStyle name="常规 2 2 6 2 3 2 3 2" xfId="21959"/>
    <cellStyle name="常规 2 2 6 2 3 2 3 2 2" xfId="19609"/>
    <cellStyle name="常规 2 2 6 2 3 2 3 2 2 2" xfId="19611"/>
    <cellStyle name="常规 2 2 6 2 3 2 3 2 3" xfId="6289"/>
    <cellStyle name="常规 2 2 6 2 3 2 3 2 4" xfId="19617"/>
    <cellStyle name="常规 2 2 6 2 3 2 3 3" xfId="21960"/>
    <cellStyle name="常规 2 2 6 2 3 2 3 3 2" xfId="19646"/>
    <cellStyle name="常规 2 2 6 2 3 2 3 4" xfId="21962"/>
    <cellStyle name="常规 2 2 6 2 3 2 3 5" xfId="21963"/>
    <cellStyle name="常规 2 2 6 2 3 2 3 6" xfId="21965"/>
    <cellStyle name="常规 2 2 6 2 3 2 4" xfId="21967"/>
    <cellStyle name="常规 2 2 6 2 3 2 4 2" xfId="21968"/>
    <cellStyle name="常规 2 2 6 2 3 2 4 2 2" xfId="5973"/>
    <cellStyle name="常规 2 2 6 2 3 2 4 3" xfId="21969"/>
    <cellStyle name="常规 2 2 6 2 3 2 4 4" xfId="21970"/>
    <cellStyle name="常规 2 2 6 2 3 2 5" xfId="21971"/>
    <cellStyle name="常规 2 2 6 2 3 2 5 2" xfId="21972"/>
    <cellStyle name="常规 2 2 6 2 3 2 5 2 2" xfId="21974"/>
    <cellStyle name="常规 2 2 6 2 3 2 5 3" xfId="21977"/>
    <cellStyle name="常规 2 2 6 2 3 2 5 4" xfId="21979"/>
    <cellStyle name="常规 2 2 6 2 3 2 6" xfId="6805"/>
    <cellStyle name="常规 2 2 6 2 3 2 6 2" xfId="6810"/>
    <cellStyle name="常规 2 2 6 2 3 2 7" xfId="6813"/>
    <cellStyle name="常规 2 2 6 2 3 2 7 2" xfId="21981"/>
    <cellStyle name="常规 2 2 6 2 3 2 8" xfId="21984"/>
    <cellStyle name="常规 2 2 6 2 3 2 9" xfId="21985"/>
    <cellStyle name="常规 2 2 6 2 3 3" xfId="21986"/>
    <cellStyle name="常规 2 2 6 2 3 3 2" xfId="21988"/>
    <cellStyle name="常规 2 2 6 2 3 3 2 2" xfId="21990"/>
    <cellStyle name="常规 2 2 6 2 3 3 2 2 2" xfId="21992"/>
    <cellStyle name="常规 2 2 6 2 3 3 2 2 2 2" xfId="21994"/>
    <cellStyle name="常规 2 2 6 2 3 3 2 2 3" xfId="21995"/>
    <cellStyle name="常规 2 2 6 2 3 3 2 2 4" xfId="21996"/>
    <cellStyle name="常规 2 2 6 2 3 3 2 3" xfId="21998"/>
    <cellStyle name="常规 2 2 6 2 3 3 2 3 2" xfId="22000"/>
    <cellStyle name="常规 2 2 6 2 3 3 2 4" xfId="22001"/>
    <cellStyle name="常规 2 2 6 2 3 3 2 5" xfId="15747"/>
    <cellStyle name="常规 2 2 6 2 3 3 3" xfId="3127"/>
    <cellStyle name="常规 2 2 6 2 3 3 3 2" xfId="22003"/>
    <cellStyle name="常规 2 2 6 2 3 3 3 2 2" xfId="20073"/>
    <cellStyle name="常规 2 2 6 2 3 3 3 3" xfId="22005"/>
    <cellStyle name="常规 2 2 6 2 3 3 3 4" xfId="22007"/>
    <cellStyle name="常规 2 2 6 2 3 3 4" xfId="22008"/>
    <cellStyle name="常规 2 2 6 2 3 3 4 2" xfId="22010"/>
    <cellStyle name="常规 2 2 6 2 3 3 4 2 2" xfId="20232"/>
    <cellStyle name="常规 2 2 6 2 3 3 4 3" xfId="16112"/>
    <cellStyle name="常规 2 2 6 2 3 3 4 4" xfId="22012"/>
    <cellStyle name="常规 2 2 6 2 3 3 5" xfId="22013"/>
    <cellStyle name="常规 2 2 6 2 3 3 5 2" xfId="14281"/>
    <cellStyle name="常规 2 2 6 2 3 3 6" xfId="6818"/>
    <cellStyle name="常规 2 2 6 2 3 3 7" xfId="6829"/>
    <cellStyle name="常规 2 2 6 2 3 3 8" xfId="22015"/>
    <cellStyle name="常规 2 2 6 2 3 4" xfId="22016"/>
    <cellStyle name="常规 2 2 6 2 3 4 2" xfId="22018"/>
    <cellStyle name="常规 2 2 6 2 3 4 2 2" xfId="22020"/>
    <cellStyle name="常规 2 2 6 2 3 4 2 2 2" xfId="22024"/>
    <cellStyle name="常规 2 2 6 2 3 4 2 3" xfId="22026"/>
    <cellStyle name="常规 2 2 6 2 3 4 2 4" xfId="22028"/>
    <cellStyle name="常规 2 2 6 2 3 4 3" xfId="22030"/>
    <cellStyle name="常规 2 2 6 2 3 4 3 2" xfId="22032"/>
    <cellStyle name="常规 2 2 6 2 3 4 4" xfId="22034"/>
    <cellStyle name="常规 2 2 6 2 3 4 5" xfId="22036"/>
    <cellStyle name="常规 2 2 6 2 3 4 6" xfId="6838"/>
    <cellStyle name="常规 2 2 6 2 3 5" xfId="22037"/>
    <cellStyle name="常规 2 2 6 2 3 5 2" xfId="22039"/>
    <cellStyle name="常规 2 2 6 2 3 5 2 2" xfId="22043"/>
    <cellStyle name="常规 2 2 6 2 3 5 3" xfId="22047"/>
    <cellStyle name="常规 2 2 6 2 3 5 4" xfId="22050"/>
    <cellStyle name="常规 2 2 6 2 3 6" xfId="22053"/>
    <cellStyle name="常规 2 2 6 2 3 6 2" xfId="22055"/>
    <cellStyle name="常规 2 2 6 2 3 6 2 2" xfId="22057"/>
    <cellStyle name="常规 2 2 6 2 3 6 3" xfId="5"/>
    <cellStyle name="常规 2 2 6 2 3 6 4" xfId="22059"/>
    <cellStyle name="常规 2 2 6 2 3 7" xfId="22060"/>
    <cellStyle name="常规 2 2 6 2 3 7 2" xfId="22062"/>
    <cellStyle name="常规 2 2 6 2 3 8" xfId="22064"/>
    <cellStyle name="常规 2 2 6 2 3 8 2" xfId="18888"/>
    <cellStyle name="常规 2 2 6 2 3 9" xfId="22066"/>
    <cellStyle name="常规 2 2 6 2 4" xfId="18602"/>
    <cellStyle name="常规 2 2 6 2 4 2" xfId="11013"/>
    <cellStyle name="常规 2 2 6 2 4 2 2" xfId="11015"/>
    <cellStyle name="常规 2 2 6 2 4 2 2 2" xfId="11018"/>
    <cellStyle name="常规 2 2 6 2 4 2 2 2 2" xfId="22068"/>
    <cellStyle name="常规 2 2 6 2 4 2 2 3" xfId="18634"/>
    <cellStyle name="常规 2 2 6 2 4 2 2 4" xfId="22069"/>
    <cellStyle name="常规 2 2 6 2 4 2 3" xfId="3291"/>
    <cellStyle name="常规 2 2 6 2 4 2 3 2" xfId="3294"/>
    <cellStyle name="常规 2 2 6 2 4 2 4" xfId="3296"/>
    <cellStyle name="常规 2 2 6 2 4 2 5" xfId="22070"/>
    <cellStyle name="常规 2 2 6 2 4 3" xfId="11020"/>
    <cellStyle name="常规 2 2 6 2 4 3 2" xfId="11023"/>
    <cellStyle name="常规 2 2 6 2 4 3 2 2" xfId="11027"/>
    <cellStyle name="常规 2 2 6 2 4 3 3" xfId="2622"/>
    <cellStyle name="常规 2 2 6 2 4 3 4" xfId="22071"/>
    <cellStyle name="常规 2 2 6 2 4 4" xfId="11031"/>
    <cellStyle name="常规 2 2 6 2 4 4 2" xfId="11035"/>
    <cellStyle name="常规 2 2 6 2 4 4 2 2" xfId="22073"/>
    <cellStyle name="常规 2 2 6 2 4 4 3" xfId="3300"/>
    <cellStyle name="常规 2 2 6 2 4 4 4" xfId="22076"/>
    <cellStyle name="常规 2 2 6 2 4 5" xfId="11038"/>
    <cellStyle name="常规 2 2 6 2 4 5 2" xfId="11041"/>
    <cellStyle name="常规 2 2 6 2 4 6" xfId="11044"/>
    <cellStyle name="常规 2 2 6 2 4 7" xfId="22077"/>
    <cellStyle name="常规 2 2 6 2 4 8" xfId="22079"/>
    <cellStyle name="常规 2 2 6 2 5" xfId="22080"/>
    <cellStyle name="常规 2 2 6 2 5 2" xfId="11151"/>
    <cellStyle name="常规 2 2 6 2 5 2 2" xfId="11154"/>
    <cellStyle name="常规 2 2 6 2 5 2 2 2" xfId="11158"/>
    <cellStyle name="常规 2 2 6 2 5 2 3" xfId="11164"/>
    <cellStyle name="常规 2 2 6 2 5 2 4" xfId="11168"/>
    <cellStyle name="常规 2 2 6 2 5 3" xfId="11170"/>
    <cellStyle name="常规 2 2 6 2 5 3 2" xfId="11173"/>
    <cellStyle name="常规 2 2 6 2 5 4" xfId="11179"/>
    <cellStyle name="常规 2 2 6 2 5 5" xfId="11187"/>
    <cellStyle name="常规 2 2 6 2 5 6" xfId="11192"/>
    <cellStyle name="常规 2 2 6 2 6" xfId="22081"/>
    <cellStyle name="常规 2 2 6 2 6 2" xfId="11219"/>
    <cellStyle name="常规 2 2 6 2 6 2 2" xfId="11221"/>
    <cellStyle name="常规 2 2 6 2 6 3" xfId="11227"/>
    <cellStyle name="常规 2 2 6 2 6 4" xfId="11234"/>
    <cellStyle name="常规 2 2 6 2 7" xfId="22082"/>
    <cellStyle name="常规 2 2 6 2 7 2" xfId="11255"/>
    <cellStyle name="常规 2 2 6 2 7 2 2" xfId="22083"/>
    <cellStyle name="常规 2 2 6 2 7 3" xfId="19505"/>
    <cellStyle name="常规 2 2 6 2 7 4" xfId="22084"/>
    <cellStyle name="常规 2 2 6 2 8" xfId="15815"/>
    <cellStyle name="常规 2 2 6 2 8 2" xfId="15819"/>
    <cellStyle name="常规 2 2 6 2 9" xfId="15827"/>
    <cellStyle name="常规 2 2 6 2 9 2" xfId="15829"/>
    <cellStyle name="常规 2 2 6 3" xfId="22086"/>
    <cellStyle name="常规 2 2 6 3 10" xfId="22088"/>
    <cellStyle name="常规 2 2 6 3 11" xfId="22089"/>
    <cellStyle name="常规 2 2 6 3 2" xfId="22090"/>
    <cellStyle name="常规 2 2 6 3 2 10" xfId="17104"/>
    <cellStyle name="常规 2 2 6 3 2 2" xfId="22091"/>
    <cellStyle name="常规 2 2 6 3 2 2 2" xfId="19702"/>
    <cellStyle name="常规 2 2 6 3 2 2 2 2" xfId="17028"/>
    <cellStyle name="常规 2 2 6 3 2 2 2 2 2" xfId="22092"/>
    <cellStyle name="常规 2 2 6 3 2 2 2 2 2 2" xfId="22093"/>
    <cellStyle name="常规 2 2 6 3 2 2 2 2 3" xfId="22095"/>
    <cellStyle name="常规 2 2 6 3 2 2 2 2 4" xfId="22096"/>
    <cellStyle name="常规 2 2 6 3 2 2 2 3" xfId="17031"/>
    <cellStyle name="常规 2 2 6 3 2 2 2 3 2" xfId="22097"/>
    <cellStyle name="常规 2 2 6 3 2 2 2 4" xfId="17033"/>
    <cellStyle name="常规 2 2 6 3 2 2 2 5" xfId="22098"/>
    <cellStyle name="常规 2 2 6 3 2 2 3" xfId="22099"/>
    <cellStyle name="常规 2 2 6 3 2 2 3 2" xfId="17044"/>
    <cellStyle name="常规 2 2 6 3 2 2 3 2 2" xfId="22100"/>
    <cellStyle name="常规 2 2 6 3 2 2 3 3" xfId="22101"/>
    <cellStyle name="常规 2 2 6 3 2 2 3 4" xfId="22103"/>
    <cellStyle name="常规 2 2 6 3 2 2 4" xfId="22105"/>
    <cellStyle name="常规 2 2 6 3 2 2 4 2" xfId="22106"/>
    <cellStyle name="常规 2 2 6 3 2 2 4 2 2" xfId="22107"/>
    <cellStyle name="常规 2 2 6 3 2 2 4 3" xfId="22108"/>
    <cellStyle name="常规 2 2 6 3 2 2 4 4" xfId="22110"/>
    <cellStyle name="常规 2 2 6 3 2 2 5" xfId="22112"/>
    <cellStyle name="常规 2 2 6 3 2 2 5 2" xfId="22113"/>
    <cellStyle name="常规 2 2 6 3 2 2 6" xfId="22115"/>
    <cellStyle name="常规 2 2 6 3 2 2 7" xfId="22116"/>
    <cellStyle name="常规 2 2 6 3 2 2 8" xfId="157"/>
    <cellStyle name="常规 2 2 6 3 2 3" xfId="22117"/>
    <cellStyle name="常规 2 2 6 3 2 3 2" xfId="19716"/>
    <cellStyle name="常规 2 2 6 3 2 3 2 2" xfId="22119"/>
    <cellStyle name="常规 2 2 6 3 2 3 2 2 2" xfId="22121"/>
    <cellStyle name="常规 2 2 6 3 2 3 2 3" xfId="22123"/>
    <cellStyle name="常规 2 2 6 3 2 3 2 4" xfId="22124"/>
    <cellStyle name="常规 2 2 6 3 2 3 3" xfId="22125"/>
    <cellStyle name="常规 2 2 6 3 2 3 3 2" xfId="22127"/>
    <cellStyle name="常规 2 2 6 3 2 3 4" xfId="22128"/>
    <cellStyle name="常规 2 2 6 3 2 3 5" xfId="22130"/>
    <cellStyle name="常规 2 2 6 3 2 3 6" xfId="22131"/>
    <cellStyle name="常规 2 2 6 3 2 4" xfId="22132"/>
    <cellStyle name="常规 2 2 6 3 2 4 2" xfId="22134"/>
    <cellStyle name="常规 2 2 6 3 2 4 2 2" xfId="17130"/>
    <cellStyle name="常规 2 2 6 3 2 4 3" xfId="22138"/>
    <cellStyle name="常规 2 2 6 3 2 4 4" xfId="22141"/>
    <cellStyle name="常规 2 2 6 3 2 5" xfId="22144"/>
    <cellStyle name="常规 2 2 6 3 2 5 2" xfId="22146"/>
    <cellStyle name="常规 2 2 6 3 2 5 2 2" xfId="22150"/>
    <cellStyle name="常规 2 2 6 3 2 5 3" xfId="22152"/>
    <cellStyle name="常规 2 2 6 3 2 5 4" xfId="22155"/>
    <cellStyle name="常规 2 2 6 3 2 6" xfId="22158"/>
    <cellStyle name="常规 2 2 6 3 2 6 2" xfId="22161"/>
    <cellStyle name="常规 2 2 6 3 2 7" xfId="22164"/>
    <cellStyle name="常规 2 2 6 3 2 7 2" xfId="22168"/>
    <cellStyle name="常规 2 2 6 3 2 8" xfId="22171"/>
    <cellStyle name="常规 2 2 6 3 2 9" xfId="22173"/>
    <cellStyle name="常规 2 2 6 3 3" xfId="22175"/>
    <cellStyle name="常规 2 2 6 3 3 2" xfId="22176"/>
    <cellStyle name="常规 2 2 6 3 3 2 2" xfId="22177"/>
    <cellStyle name="常规 2 2 6 3 3 2 2 2" xfId="19957"/>
    <cellStyle name="常规 2 2 6 3 3 2 2 2 2" xfId="22178"/>
    <cellStyle name="常规 2 2 6 3 3 2 2 3" xfId="260"/>
    <cellStyle name="常规 2 2 6 3 3 2 2 4" xfId="22179"/>
    <cellStyle name="常规 2 2 6 3 3 2 3" xfId="22180"/>
    <cellStyle name="常规 2 2 6 3 3 2 3 2" xfId="22181"/>
    <cellStyle name="常规 2 2 6 3 3 2 4" xfId="22182"/>
    <cellStyle name="常规 2 2 6 3 3 2 5" xfId="22183"/>
    <cellStyle name="常规 2 2 6 3 3 3" xfId="22184"/>
    <cellStyle name="常规 2 2 6 3 3 3 2" xfId="22186"/>
    <cellStyle name="常规 2 2 6 3 3 3 2 2" xfId="22188"/>
    <cellStyle name="常规 2 2 6 3 3 3 3" xfId="22189"/>
    <cellStyle name="常规 2 2 6 3 3 3 4" xfId="22190"/>
    <cellStyle name="常规 2 2 6 3 3 4" xfId="22191"/>
    <cellStyle name="常规 2 2 6 3 3 4 2" xfId="22193"/>
    <cellStyle name="常规 2 2 6 3 3 4 2 2" xfId="22197"/>
    <cellStyle name="常规 2 2 6 3 3 4 3" xfId="22200"/>
    <cellStyle name="常规 2 2 6 3 3 4 4" xfId="22203"/>
    <cellStyle name="常规 2 2 6 3 3 5" xfId="22206"/>
    <cellStyle name="常规 2 2 6 3 3 5 2" xfId="22208"/>
    <cellStyle name="常规 2 2 6 3 3 6" xfId="22210"/>
    <cellStyle name="常规 2 2 6 3 3 7" xfId="22212"/>
    <cellStyle name="常规 2 2 6 3 3 8" xfId="22213"/>
    <cellStyle name="常规 2 2 6 3 4" xfId="22214"/>
    <cellStyle name="常规 2 2 6 3 4 2" xfId="11295"/>
    <cellStyle name="常规 2 2 6 3 4 2 2" xfId="11297"/>
    <cellStyle name="常规 2 2 6 3 4 2 2 2" xfId="11299"/>
    <cellStyle name="常规 2 2 6 3 4 2 3" xfId="11301"/>
    <cellStyle name="常规 2 2 6 3 4 2 4" xfId="22215"/>
    <cellStyle name="常规 2 2 6 3 4 3" xfId="11304"/>
    <cellStyle name="常规 2 2 6 3 4 3 2" xfId="11307"/>
    <cellStyle name="常规 2 2 6 3 4 4" xfId="11310"/>
    <cellStyle name="常规 2 2 6 3 4 5" xfId="11313"/>
    <cellStyle name="常规 2 2 6 3 4 6" xfId="14586"/>
    <cellStyle name="常规 2 2 6 3 5" xfId="22217"/>
    <cellStyle name="常规 2 2 6 3 5 2" xfId="11325"/>
    <cellStyle name="常规 2 2 6 3 5 2 2" xfId="22218"/>
    <cellStyle name="常规 2 2 6 3 5 3" xfId="22219"/>
    <cellStyle name="常规 2 2 6 3 5 4" xfId="6072"/>
    <cellStyle name="常规 2 2 6 3 6" xfId="22221"/>
    <cellStyle name="常规 2 2 6 3 6 2" xfId="22222"/>
    <cellStyle name="常规 2 2 6 3 6 2 2" xfId="22223"/>
    <cellStyle name="常规 2 2 6 3 6 3" xfId="22224"/>
    <cellStyle name="常规 2 2 6 3 6 4" xfId="6081"/>
    <cellStyle name="常规 2 2 6 3 7" xfId="22227"/>
    <cellStyle name="常规 2 2 6 3 7 2" xfId="1810"/>
    <cellStyle name="常规 2 2 6 3 8" xfId="15843"/>
    <cellStyle name="常规 2 2 6 3 8 2" xfId="15847"/>
    <cellStyle name="常规 2 2 6 3 9" xfId="15851"/>
    <cellStyle name="常规 2 2 6 4" xfId="22228"/>
    <cellStyle name="常规 2 2 6 4 2" xfId="22229"/>
    <cellStyle name="常规 2 2 6 4 2 2" xfId="22230"/>
    <cellStyle name="常规 2 2 6 4 2 2 2" xfId="20081"/>
    <cellStyle name="常规 2 2 6 4 2 2 2 2" xfId="20084"/>
    <cellStyle name="常规 2 2 6 4 2 2 3" xfId="10561"/>
    <cellStyle name="常规 2 2 6 4 2 2 4" xfId="20113"/>
    <cellStyle name="常规 2 2 6 4 2 3" xfId="22231"/>
    <cellStyle name="常规 2 2 6 4 2 3 2" xfId="20234"/>
    <cellStyle name="常规 2 2 6 4 2 4" xfId="842"/>
    <cellStyle name="常规 2 2 6 4 2 5" xfId="875"/>
    <cellStyle name="常规 2 2 6 4 3" xfId="22233"/>
    <cellStyle name="常规 2 2 6 4 3 2" xfId="22234"/>
    <cellStyle name="常规 2 2 6 4 3 2 2" xfId="20563"/>
    <cellStyle name="常规 2 2 6 4 3 3" xfId="22235"/>
    <cellStyle name="常规 2 2 6 4 3 4" xfId="3530"/>
    <cellStyle name="常规 2 2 6 4 4" xfId="22237"/>
    <cellStyle name="常规 2 2 6 4 4 2" xfId="11357"/>
    <cellStyle name="常规 2 2 6 4 4 2 2" xfId="11359"/>
    <cellStyle name="常规 2 2 6 4 4 3" xfId="11362"/>
    <cellStyle name="常规 2 2 6 4 4 4" xfId="4674"/>
    <cellStyle name="常规 2 2 6 4 5" xfId="22238"/>
    <cellStyle name="常规 2 2 6 4 5 2" xfId="11398"/>
    <cellStyle name="常规 2 2 6 4 6" xfId="22239"/>
    <cellStyle name="常规 2 2 6 4 7" xfId="22240"/>
    <cellStyle name="常规 2 2 6 4 8" xfId="10787"/>
    <cellStyle name="常规 2 2 6 5" xfId="22241"/>
    <cellStyle name="常规 2 2 6 5 2" xfId="22242"/>
    <cellStyle name="常规 2 2 6 5 2 2" xfId="22243"/>
    <cellStyle name="常规 2 2 6 5 2 2 2" xfId="22244"/>
    <cellStyle name="常规 2 2 6 5 2 3" xfId="22245"/>
    <cellStyle name="常规 2 2 6 5 2 4" xfId="3653"/>
    <cellStyle name="常规 2 2 6 5 3" xfId="22247"/>
    <cellStyle name="常规 2 2 6 5 3 2" xfId="22248"/>
    <cellStyle name="常规 2 2 6 5 4" xfId="22249"/>
    <cellStyle name="常规 2 2 6 5 5" xfId="22250"/>
    <cellStyle name="常规 2 2 6 5 6" xfId="22252"/>
    <cellStyle name="常规 2 2 6 6" xfId="9017"/>
    <cellStyle name="常规 2 2 6 6 2" xfId="22253"/>
    <cellStyle name="常规 2 2 6 6 2 2" xfId="22254"/>
    <cellStyle name="常规 2 2 6 6 3" xfId="22255"/>
    <cellStyle name="常规 2 2 6 6 4" xfId="22256"/>
    <cellStyle name="常规 2 2 6 7" xfId="22257"/>
    <cellStyle name="常规 2 2 6 7 2" xfId="3809"/>
    <cellStyle name="常规 2 2 6 7 2 2" xfId="3817"/>
    <cellStyle name="常规 2 2 6 7 3" xfId="3834"/>
    <cellStyle name="常规 2 2 6 7 4" xfId="1662"/>
    <cellStyle name="常规 2 2 6 8" xfId="22258"/>
    <cellStyle name="常规 2 2 6 8 2" xfId="3853"/>
    <cellStyle name="常规 2 2 6 9" xfId="20741"/>
    <cellStyle name="常规 2 2 6 9 2" xfId="3877"/>
    <cellStyle name="常规 2 2 7" xfId="7347"/>
    <cellStyle name="常规 2 2 7 10" xfId="22259"/>
    <cellStyle name="常规 2 2 7 11" xfId="22260"/>
    <cellStyle name="常规 2 2 7 12" xfId="22261"/>
    <cellStyle name="常规 2 2 7 2" xfId="7352"/>
    <cellStyle name="常规 2 2 7 2 10" xfId="22262"/>
    <cellStyle name="常规 2 2 7 2 11" xfId="22263"/>
    <cellStyle name="常规 2 2 7 2 12" xfId="22265"/>
    <cellStyle name="常规 2 2 7 2 2" xfId="22267"/>
    <cellStyle name="常规 2 2 7 2 2 10" xfId="22269"/>
    <cellStyle name="常规 2 2 7 2 2 2" xfId="15261"/>
    <cellStyle name="常规 2 2 7 2 2 2 2" xfId="22270"/>
    <cellStyle name="常规 2 2 7 2 2 2 2 2" xfId="22274"/>
    <cellStyle name="常规 2 2 7 2 2 2 2 2 2" xfId="22276"/>
    <cellStyle name="常规 2 2 7 2 2 2 2 2 2 2" xfId="22278"/>
    <cellStyle name="常规 2 2 7 2 2 2 2 2 3" xfId="22280"/>
    <cellStyle name="常规 2 2 7 2 2 2 2 2 4" xfId="5472"/>
    <cellStyle name="常规 2 2 7 2 2 2 2 3" xfId="4735"/>
    <cellStyle name="常规 2 2 7 2 2 2 2 3 2" xfId="7135"/>
    <cellStyle name="常规 2 2 7 2 2 2 2 4" xfId="6591"/>
    <cellStyle name="常规 2 2 7 2 2 2 2 5" xfId="6120"/>
    <cellStyle name="常规 2 2 7 2 2 2 3" xfId="3850"/>
    <cellStyle name="常规 2 2 7 2 2 2 3 2" xfId="3856"/>
    <cellStyle name="常规 2 2 7 2 2 2 3 2 2" xfId="22281"/>
    <cellStyle name="常规 2 2 7 2 2 2 3 3" xfId="22283"/>
    <cellStyle name="常规 2 2 7 2 2 2 3 4" xfId="22282"/>
    <cellStyle name="常规 2 2 7 2 2 2 4" xfId="3867"/>
    <cellStyle name="常规 2 2 7 2 2 2 4 2" xfId="22284"/>
    <cellStyle name="常规 2 2 7 2 2 2 4 2 2" xfId="22286"/>
    <cellStyle name="常规 2 2 7 2 2 2 4 3" xfId="22287"/>
    <cellStyle name="常规 2 2 7 2 2 2 4 4" xfId="22288"/>
    <cellStyle name="常规 2 2 7 2 2 2 5" xfId="22289"/>
    <cellStyle name="常规 2 2 7 2 2 2 5 2" xfId="22290"/>
    <cellStyle name="常规 2 2 7 2 2 2 6" xfId="22293"/>
    <cellStyle name="常规 2 2 7 2 2 2 7" xfId="22294"/>
    <cellStyle name="常规 2 2 7 2 2 2 8" xfId="22295"/>
    <cellStyle name="常规 2 2 7 2 2 3" xfId="22297"/>
    <cellStyle name="常规 2 2 7 2 2 3 2" xfId="22300"/>
    <cellStyle name="常规 2 2 7 2 2 3 2 2" xfId="15608"/>
    <cellStyle name="常规 2 2 7 2 2 3 2 2 2" xfId="22305"/>
    <cellStyle name="常规 2 2 7 2 2 3 2 3" xfId="15611"/>
    <cellStyle name="常规 2 2 7 2 2 3 2 4" xfId="22307"/>
    <cellStyle name="常规 2 2 7 2 2 3 3" xfId="3874"/>
    <cellStyle name="常规 2 2 7 2 2 3 3 2" xfId="3881"/>
    <cellStyle name="常规 2 2 7 2 2 3 4" xfId="1876"/>
    <cellStyle name="常规 2 2 7 2 2 3 5" xfId="22309"/>
    <cellStyle name="常规 2 2 7 2 2 3 6" xfId="22310"/>
    <cellStyle name="常规 2 2 7 2 2 4" xfId="22312"/>
    <cellStyle name="常规 2 2 7 2 2 4 2" xfId="22315"/>
    <cellStyle name="常规 2 2 7 2 2 4 2 2" xfId="16981"/>
    <cellStyle name="常规 2 2 7 2 2 4 3" xfId="2355"/>
    <cellStyle name="常规 2 2 7 2 2 4 4" xfId="22317"/>
    <cellStyle name="常规 2 2 7 2 2 5" xfId="22320"/>
    <cellStyle name="常规 2 2 7 2 2 5 2" xfId="22322"/>
    <cellStyle name="常规 2 2 7 2 2 5 2 2" xfId="22323"/>
    <cellStyle name="常规 2 2 7 2 2 5 3" xfId="3887"/>
    <cellStyle name="常规 2 2 7 2 2 5 4" xfId="22325"/>
    <cellStyle name="常规 2 2 7 2 2 6" xfId="22326"/>
    <cellStyle name="常规 2 2 7 2 2 6 2" xfId="11763"/>
    <cellStyle name="常规 2 2 7 2 2 7" xfId="22327"/>
    <cellStyle name="常规 2 2 7 2 2 7 2" xfId="22328"/>
    <cellStyle name="常规 2 2 7 2 2 8" xfId="22329"/>
    <cellStyle name="常规 2 2 7 2 2 9" xfId="22330"/>
    <cellStyle name="常规 2 2 7 2 3" xfId="22331"/>
    <cellStyle name="常规 2 2 7 2 3 10" xfId="22333"/>
    <cellStyle name="常规 2 2 7 2 3 11" xfId="22335"/>
    <cellStyle name="常规 2 2 7 2 3 2" xfId="22337"/>
    <cellStyle name="常规 2 2 7 2 3 2 10" xfId="1834"/>
    <cellStyle name="常规 2 2 7 2 3 2 2" xfId="22339"/>
    <cellStyle name="常规 2 2 7 2 3 2 2 2" xfId="22341"/>
    <cellStyle name="常规 2 2 7 2 3 2 2 2 2" xfId="22343"/>
    <cellStyle name="常规 2 2 7 2 3 2 2 2 2 2" xfId="22345"/>
    <cellStyle name="常规 2 2 7 2 3 2 2 2 2 2 2" xfId="22348"/>
    <cellStyle name="常规 2 2 7 2 3 2 2 2 2 3" xfId="22351"/>
    <cellStyle name="常规 2 2 7 2 3 2 2 2 2 4" xfId="22354"/>
    <cellStyle name="常规 2 2 7 2 3 2 2 2 3" xfId="22357"/>
    <cellStyle name="常规 2 2 7 2 3 2 2 2 3 2" xfId="806"/>
    <cellStyle name="常规 2 2 7 2 3 2 2 2 4" xfId="22358"/>
    <cellStyle name="常规 2 2 7 2 3 2 2 2 5" xfId="2743"/>
    <cellStyle name="常规 2 2 7 2 3 2 2 3" xfId="22359"/>
    <cellStyle name="常规 2 2 7 2 3 2 2 3 2" xfId="22361"/>
    <cellStyle name="常规 2 2 7 2 3 2 2 3 2 2" xfId="22362"/>
    <cellStyle name="常规 2 2 7 2 3 2 2 3 3" xfId="22365"/>
    <cellStyle name="常规 2 2 7 2 3 2 2 3 4" xfId="22366"/>
    <cellStyle name="常规 2 2 7 2 3 2 2 4" xfId="22367"/>
    <cellStyle name="常规 2 2 7 2 3 2 2 4 2" xfId="22369"/>
    <cellStyle name="常规 2 2 7 2 3 2 2 4 2 2" xfId="4292"/>
    <cellStyle name="常规 2 2 7 2 3 2 2 4 3" xfId="22370"/>
    <cellStyle name="常规 2 2 7 2 3 2 2 4 4" xfId="22371"/>
    <cellStyle name="常规 2 2 7 2 3 2 2 5" xfId="22372"/>
    <cellStyle name="常规 2 2 7 2 3 2 2 5 2" xfId="22373"/>
    <cellStyle name="常规 2 2 7 2 3 2 2 6" xfId="22374"/>
    <cellStyle name="常规 2 2 7 2 3 2 2 7" xfId="22376"/>
    <cellStyle name="常规 2 2 7 2 3 2 2 8" xfId="22377"/>
    <cellStyle name="常规 2 2 7 2 3 2 3" xfId="3952"/>
    <cellStyle name="常规 2 2 7 2 3 2 3 2" xfId="22378"/>
    <cellStyle name="常规 2 2 7 2 3 2 3 2 2" xfId="22380"/>
    <cellStyle name="常规 2 2 7 2 3 2 3 2 2 2" xfId="22382"/>
    <cellStyle name="常规 2 2 7 2 3 2 3 2 3" xfId="3664"/>
    <cellStyle name="常规 2 2 7 2 3 2 3 2 4" xfId="22384"/>
    <cellStyle name="常规 2 2 7 2 3 2 3 3" xfId="22385"/>
    <cellStyle name="常规 2 2 7 2 3 2 3 3 2" xfId="22387"/>
    <cellStyle name="常规 2 2 7 2 3 2 3 4" xfId="22389"/>
    <cellStyle name="常规 2 2 7 2 3 2 3 5" xfId="16579"/>
    <cellStyle name="常规 2 2 7 2 3 2 3 6" xfId="16582"/>
    <cellStyle name="常规 2 2 7 2 3 2 4" xfId="22390"/>
    <cellStyle name="常规 2 2 7 2 3 2 4 2" xfId="22391"/>
    <cellStyle name="常规 2 2 7 2 3 2 4 2 2" xfId="22392"/>
    <cellStyle name="常规 2 2 7 2 3 2 4 3" xfId="22393"/>
    <cellStyle name="常规 2 2 7 2 3 2 4 4" xfId="22394"/>
    <cellStyle name="常规 2 2 7 2 3 2 5" xfId="22395"/>
    <cellStyle name="常规 2 2 7 2 3 2 5 2" xfId="17462"/>
    <cellStyle name="常规 2 2 7 2 3 2 5 2 2" xfId="17466"/>
    <cellStyle name="常规 2 2 7 2 3 2 5 3" xfId="17477"/>
    <cellStyle name="常规 2 2 7 2 3 2 5 4" xfId="17483"/>
    <cellStyle name="常规 2 2 7 2 3 2 6" xfId="6457"/>
    <cellStyle name="常规 2 2 7 2 3 2 6 2" xfId="17619"/>
    <cellStyle name="常规 2 2 7 2 3 2 7" xfId="22396"/>
    <cellStyle name="常规 2 2 7 2 3 2 7 2" xfId="17654"/>
    <cellStyle name="常规 2 2 7 2 3 2 8" xfId="172"/>
    <cellStyle name="常规 2 2 7 2 3 2 9" xfId="136"/>
    <cellStyle name="常规 2 2 7 2 3 3" xfId="22397"/>
    <cellStyle name="常规 2 2 7 2 3 3 2" xfId="22399"/>
    <cellStyle name="常规 2 2 7 2 3 3 2 2" xfId="22400"/>
    <cellStyle name="常规 2 2 7 2 3 3 2 2 2" xfId="22401"/>
    <cellStyle name="常规 2 2 7 2 3 3 2 2 2 2" xfId="22402"/>
    <cellStyle name="常规 2 2 7 2 3 3 2 2 3" xfId="22404"/>
    <cellStyle name="常规 2 2 7 2 3 3 2 2 4" xfId="22405"/>
    <cellStyle name="常规 2 2 7 2 3 3 2 3" xfId="22407"/>
    <cellStyle name="常规 2 2 7 2 3 3 2 3 2" xfId="22408"/>
    <cellStyle name="常规 2 2 7 2 3 3 2 4" xfId="22409"/>
    <cellStyle name="常规 2 2 7 2 3 3 2 5" xfId="1115"/>
    <cellStyle name="常规 2 2 7 2 3 3 3" xfId="3956"/>
    <cellStyle name="常规 2 2 7 2 3 3 3 2" xfId="22410"/>
    <cellStyle name="常规 2 2 7 2 3 3 3 2 2" xfId="22411"/>
    <cellStyle name="常规 2 2 7 2 3 3 3 3" xfId="22412"/>
    <cellStyle name="常规 2 2 7 2 3 3 3 4" xfId="22413"/>
    <cellStyle name="常规 2 2 7 2 3 3 4" xfId="22414"/>
    <cellStyle name="常规 2 2 7 2 3 3 4 2" xfId="14737"/>
    <cellStyle name="常规 2 2 7 2 3 3 4 2 2" xfId="22415"/>
    <cellStyle name="常规 2 2 7 2 3 3 4 3" xfId="22416"/>
    <cellStyle name="常规 2 2 7 2 3 3 4 4" xfId="22417"/>
    <cellStyle name="常规 2 2 7 2 3 3 5" xfId="22418"/>
    <cellStyle name="常规 2 2 7 2 3 3 5 2" xfId="18018"/>
    <cellStyle name="常规 2 2 7 2 3 3 6" xfId="6468"/>
    <cellStyle name="常规 2 2 7 2 3 3 7" xfId="22420"/>
    <cellStyle name="常规 2 2 7 2 3 3 8" xfId="22421"/>
    <cellStyle name="常规 2 2 7 2 3 4" xfId="22422"/>
    <cellStyle name="常规 2 2 7 2 3 4 2" xfId="22423"/>
    <cellStyle name="常规 2 2 7 2 3 4 2 2" xfId="22424"/>
    <cellStyle name="常规 2 2 7 2 3 4 2 2 2" xfId="22426"/>
    <cellStyle name="常规 2 2 7 2 3 4 2 3" xfId="22427"/>
    <cellStyle name="常规 2 2 7 2 3 4 2 4" xfId="22430"/>
    <cellStyle name="常规 2 2 7 2 3 4 3" xfId="22433"/>
    <cellStyle name="常规 2 2 7 2 3 4 3 2" xfId="22434"/>
    <cellStyle name="常规 2 2 7 2 3 4 4" xfId="22436"/>
    <cellStyle name="常规 2 2 7 2 3 4 5" xfId="22437"/>
    <cellStyle name="常规 2 2 7 2 3 4 6" xfId="22439"/>
    <cellStyle name="常规 2 2 7 2 3 5" xfId="22440"/>
    <cellStyle name="常规 2 2 7 2 3 5 2" xfId="22441"/>
    <cellStyle name="常规 2 2 7 2 3 5 2 2" xfId="22442"/>
    <cellStyle name="常规 2 2 7 2 3 5 3" xfId="22444"/>
    <cellStyle name="常规 2 2 7 2 3 5 4" xfId="22445"/>
    <cellStyle name="常规 2 2 7 2 3 6" xfId="22446"/>
    <cellStyle name="常规 2 2 7 2 3 6 2" xfId="11839"/>
    <cellStyle name="常规 2 2 7 2 3 6 2 2" xfId="9703"/>
    <cellStyle name="常规 2 2 7 2 3 6 3" xfId="11842"/>
    <cellStyle name="常规 2 2 7 2 3 6 4" xfId="11845"/>
    <cellStyle name="常规 2 2 7 2 3 7" xfId="22447"/>
    <cellStyle name="常规 2 2 7 2 3 7 2" xfId="11875"/>
    <cellStyle name="常规 2 2 7 2 3 8" xfId="22448"/>
    <cellStyle name="常规 2 2 7 2 3 8 2" xfId="22449"/>
    <cellStyle name="常规 2 2 7 2 3 9" xfId="22450"/>
    <cellStyle name="常规 2 2 7 2 4" xfId="22451"/>
    <cellStyle name="常规 2 2 7 2 4 2" xfId="11618"/>
    <cellStyle name="常规 2 2 7 2 4 2 2" xfId="11621"/>
    <cellStyle name="常规 2 2 7 2 4 2 2 2" xfId="11623"/>
    <cellStyle name="常规 2 2 7 2 4 2 2 2 2" xfId="22453"/>
    <cellStyle name="常规 2 2 7 2 4 2 2 3" xfId="22454"/>
    <cellStyle name="常规 2 2 7 2 4 2 2 4" xfId="7912"/>
    <cellStyle name="常规 2 2 7 2 4 2 3" xfId="4212"/>
    <cellStyle name="常规 2 2 7 2 4 2 3 2" xfId="4058"/>
    <cellStyle name="常规 2 2 7 2 4 2 4" xfId="4216"/>
    <cellStyle name="常规 2 2 7 2 4 2 5" xfId="22455"/>
    <cellStyle name="常规 2 2 7 2 4 3" xfId="11625"/>
    <cellStyle name="常规 2 2 7 2 4 3 2" xfId="11627"/>
    <cellStyle name="常规 2 2 7 2 4 3 2 2" xfId="22456"/>
    <cellStyle name="常规 2 2 7 2 4 3 3" xfId="1761"/>
    <cellStyle name="常规 2 2 7 2 4 3 4" xfId="22458"/>
    <cellStyle name="常规 2 2 7 2 4 4" xfId="11629"/>
    <cellStyle name="常规 2 2 7 2 4 4 2" xfId="19078"/>
    <cellStyle name="常规 2 2 7 2 4 4 2 2" xfId="22459"/>
    <cellStyle name="常规 2 2 7 2 4 4 3" xfId="1792"/>
    <cellStyle name="常规 2 2 7 2 4 4 4" xfId="22462"/>
    <cellStyle name="常规 2 2 7 2 4 5" xfId="11632"/>
    <cellStyle name="常规 2 2 7 2 4 5 2" xfId="22463"/>
    <cellStyle name="常规 2 2 7 2 4 6" xfId="22464"/>
    <cellStyle name="常规 2 2 7 2 4 7" xfId="22465"/>
    <cellStyle name="常规 2 2 7 2 4 8" xfId="22466"/>
    <cellStyle name="常规 2 2 7 2 5" xfId="22467"/>
    <cellStyle name="常规 2 2 7 2 5 2" xfId="11638"/>
    <cellStyle name="常规 2 2 7 2 5 2 2" xfId="11429"/>
    <cellStyle name="常规 2 2 7 2 5 2 2 2" xfId="11432"/>
    <cellStyle name="常规 2 2 7 2 5 2 3" xfId="11435"/>
    <cellStyle name="常规 2 2 7 2 5 2 4" xfId="22469"/>
    <cellStyle name="常规 2 2 7 2 5 3" xfId="22471"/>
    <cellStyle name="常规 2 2 7 2 5 3 2" xfId="22472"/>
    <cellStyle name="常规 2 2 7 2 5 4" xfId="22473"/>
    <cellStyle name="常规 2 2 7 2 5 5" xfId="22474"/>
    <cellStyle name="常规 2 2 7 2 5 6" xfId="22475"/>
    <cellStyle name="常规 2 2 7 2 6" xfId="22476"/>
    <cellStyle name="常规 2 2 7 2 6 2" xfId="22479"/>
    <cellStyle name="常规 2 2 7 2 6 2 2" xfId="22480"/>
    <cellStyle name="常规 2 2 7 2 6 3" xfId="22481"/>
    <cellStyle name="常规 2 2 7 2 6 4" xfId="22483"/>
    <cellStyle name="常规 2 2 7 2 7" xfId="9444"/>
    <cellStyle name="常规 2 2 7 2 7 2" xfId="9447"/>
    <cellStyle name="常规 2 2 7 2 7 2 2" xfId="9448"/>
    <cellStyle name="常规 2 2 7 2 7 3" xfId="9460"/>
    <cellStyle name="常规 2 2 7 2 7 4" xfId="9465"/>
    <cellStyle name="常规 2 2 7 2 8" xfId="9471"/>
    <cellStyle name="常规 2 2 7 2 8 2" xfId="9475"/>
    <cellStyle name="常规 2 2 7 2 9" xfId="9520"/>
    <cellStyle name="常规 2 2 7 2 9 2" xfId="9522"/>
    <cellStyle name="常规 2 2 7 3" xfId="22485"/>
    <cellStyle name="常规 2 2 7 3 10" xfId="19606"/>
    <cellStyle name="常规 2 2 7 3 11" xfId="22488"/>
    <cellStyle name="常规 2 2 7 3 2" xfId="22489"/>
    <cellStyle name="常规 2 2 7 3 2 10" xfId="22491"/>
    <cellStyle name="常规 2 2 7 3 2 2" xfId="22492"/>
    <cellStyle name="常规 2 2 7 3 2 2 2" xfId="22494"/>
    <cellStyle name="常规 2 2 7 3 2 2 2 2" xfId="22496"/>
    <cellStyle name="常规 2 2 7 3 2 2 2 2 2" xfId="22498"/>
    <cellStyle name="常规 2 2 7 3 2 2 2 2 2 2" xfId="22500"/>
    <cellStyle name="常规 2 2 7 3 2 2 2 2 3" xfId="22501"/>
    <cellStyle name="常规 2 2 7 3 2 2 2 2 4" xfId="4755"/>
    <cellStyle name="常规 2 2 7 3 2 2 2 3" xfId="22502"/>
    <cellStyle name="常规 2 2 7 3 2 2 2 3 2" xfId="22504"/>
    <cellStyle name="常规 2 2 7 3 2 2 2 4" xfId="22505"/>
    <cellStyle name="常规 2 2 7 3 2 2 2 5" xfId="6646"/>
    <cellStyle name="常规 2 2 7 3 2 2 3" xfId="22506"/>
    <cellStyle name="常规 2 2 7 3 2 2 3 2" xfId="22508"/>
    <cellStyle name="常规 2 2 7 3 2 2 3 2 2" xfId="22509"/>
    <cellStyle name="常规 2 2 7 3 2 2 3 3" xfId="22512"/>
    <cellStyle name="常规 2 2 7 3 2 2 3 4" xfId="22381"/>
    <cellStyle name="常规 2 2 7 3 2 2 4" xfId="22513"/>
    <cellStyle name="常规 2 2 7 3 2 2 4 2" xfId="22515"/>
    <cellStyle name="常规 2 2 7 3 2 2 4 2 2" xfId="22516"/>
    <cellStyle name="常规 2 2 7 3 2 2 4 3" xfId="22517"/>
    <cellStyle name="常规 2 2 7 3 2 2 4 4" xfId="22388"/>
    <cellStyle name="常规 2 2 7 3 2 2 5" xfId="22518"/>
    <cellStyle name="常规 2 2 7 3 2 2 5 2" xfId="22519"/>
    <cellStyle name="常规 2 2 7 3 2 2 6" xfId="22521"/>
    <cellStyle name="常规 2 2 7 3 2 2 7" xfId="22522"/>
    <cellStyle name="常规 2 2 7 3 2 2 8" xfId="22523"/>
    <cellStyle name="常规 2 2 7 3 2 3" xfId="22524"/>
    <cellStyle name="常规 2 2 7 3 2 3 2" xfId="20624"/>
    <cellStyle name="常规 2 2 7 3 2 3 2 2" xfId="22526"/>
    <cellStyle name="常规 2 2 7 3 2 3 2 2 2" xfId="22527"/>
    <cellStyle name="常规 2 2 7 3 2 3 2 3" xfId="22529"/>
    <cellStyle name="常规 2 2 7 3 2 3 2 4" xfId="22530"/>
    <cellStyle name="常规 2 2 7 3 2 3 3" xfId="20628"/>
    <cellStyle name="常规 2 2 7 3 2 3 3 2" xfId="22531"/>
    <cellStyle name="常规 2 2 7 3 2 3 4" xfId="22532"/>
    <cellStyle name="常规 2 2 7 3 2 3 5" xfId="22534"/>
    <cellStyle name="常规 2 2 7 3 2 3 6" xfId="22535"/>
    <cellStyle name="常规 2 2 7 3 2 4" xfId="22536"/>
    <cellStyle name="常规 2 2 7 3 2 4 2" xfId="22537"/>
    <cellStyle name="常规 2 2 7 3 2 4 2 2" xfId="22541"/>
    <cellStyle name="常规 2 2 7 3 2 4 3" xfId="22542"/>
    <cellStyle name="常规 2 2 7 3 2 4 4" xfId="22543"/>
    <cellStyle name="常规 2 2 7 3 2 5" xfId="16969"/>
    <cellStyle name="常规 2 2 7 3 2 5 2" xfId="22544"/>
    <cellStyle name="常规 2 2 7 3 2 5 2 2" xfId="22546"/>
    <cellStyle name="常规 2 2 7 3 2 5 3" xfId="22548"/>
    <cellStyle name="常规 2 2 7 3 2 5 4" xfId="22549"/>
    <cellStyle name="常规 2 2 7 3 2 6" xfId="22550"/>
    <cellStyle name="常规 2 2 7 3 2 6 2" xfId="12303"/>
    <cellStyle name="常规 2 2 7 3 2 7" xfId="22552"/>
    <cellStyle name="常规 2 2 7 3 2 7 2" xfId="22554"/>
    <cellStyle name="常规 2 2 7 3 2 8" xfId="22556"/>
    <cellStyle name="常规 2 2 7 3 2 9" xfId="22558"/>
    <cellStyle name="常规 2 2 7 3 3" xfId="22560"/>
    <cellStyle name="常规 2 2 7 3 3 2" xfId="22562"/>
    <cellStyle name="常规 2 2 7 3 3 2 2" xfId="22563"/>
    <cellStyle name="常规 2 2 7 3 3 2 2 2" xfId="22565"/>
    <cellStyle name="常规 2 2 7 3 3 2 2 2 2" xfId="22568"/>
    <cellStyle name="常规 2 2 7 3 3 2 2 3" xfId="22570"/>
    <cellStyle name="常规 2 2 7 3 3 2 2 4" xfId="22573"/>
    <cellStyle name="常规 2 2 7 3 3 2 3" xfId="22575"/>
    <cellStyle name="常规 2 2 7 3 3 2 3 2" xfId="22576"/>
    <cellStyle name="常规 2 2 7 3 3 2 4" xfId="22578"/>
    <cellStyle name="常规 2 2 7 3 3 2 5" xfId="22579"/>
    <cellStyle name="常规 2 2 7 3 3 3" xfId="9884"/>
    <cellStyle name="常规 2 2 7 3 3 3 2" xfId="22580"/>
    <cellStyle name="常规 2 2 7 3 3 3 2 2" xfId="22582"/>
    <cellStyle name="常规 2 2 7 3 3 3 3" xfId="10979"/>
    <cellStyle name="常规 2 2 7 3 3 3 4" xfId="10982"/>
    <cellStyle name="常规 2 2 7 3 3 4" xfId="22584"/>
    <cellStyle name="常规 2 2 7 3 3 4 2" xfId="22585"/>
    <cellStyle name="常规 2 2 7 3 3 4 2 2" xfId="22586"/>
    <cellStyle name="常规 2 2 7 3 3 4 3" xfId="22588"/>
    <cellStyle name="常规 2 2 7 3 3 4 4" xfId="22589"/>
    <cellStyle name="常规 2 2 7 3 3 5" xfId="16972"/>
    <cellStyle name="常规 2 2 7 3 3 5 2" xfId="22590"/>
    <cellStyle name="常规 2 2 7 3 3 6" xfId="22591"/>
    <cellStyle name="常规 2 2 7 3 3 7" xfId="18350"/>
    <cellStyle name="常规 2 2 7 3 3 8" xfId="18353"/>
    <cellStyle name="常规 2 2 7 3 4" xfId="22592"/>
    <cellStyle name="常规 2 2 7 3 4 2" xfId="11676"/>
    <cellStyle name="常规 2 2 7 3 4 2 2" xfId="22594"/>
    <cellStyle name="常规 2 2 7 3 4 2 2 2" xfId="22595"/>
    <cellStyle name="常规 2 2 7 3 4 2 3" xfId="22597"/>
    <cellStyle name="常规 2 2 7 3 4 2 4" xfId="22599"/>
    <cellStyle name="常规 2 2 7 3 4 3" xfId="9888"/>
    <cellStyle name="常规 2 2 7 3 4 3 2" xfId="22600"/>
    <cellStyle name="常规 2 2 7 3 4 4" xfId="22601"/>
    <cellStyle name="常规 2 2 7 3 4 5" xfId="22602"/>
    <cellStyle name="常规 2 2 7 3 4 6" xfId="17224"/>
    <cellStyle name="常规 2 2 7 3 5" xfId="22604"/>
    <cellStyle name="常规 2 2 7 3 5 2" xfId="22605"/>
    <cellStyle name="常规 2 2 7 3 5 2 2" xfId="22606"/>
    <cellStyle name="常规 2 2 7 3 5 3" xfId="22607"/>
    <cellStyle name="常规 2 2 7 3 5 4" xfId="829"/>
    <cellStyle name="常规 2 2 7 3 6" xfId="22608"/>
    <cellStyle name="常规 2 2 7 3 6 2" xfId="22609"/>
    <cellStyle name="常规 2 2 7 3 6 2 2" xfId="22610"/>
    <cellStyle name="常规 2 2 7 3 6 3" xfId="22611"/>
    <cellStyle name="常规 2 2 7 3 6 4" xfId="22613"/>
    <cellStyle name="常规 2 2 7 3 7" xfId="9542"/>
    <cellStyle name="常规 2 2 7 3 7 2" xfId="9544"/>
    <cellStyle name="常规 2 2 7 3 8" xfId="9569"/>
    <cellStyle name="常规 2 2 7 3 8 2" xfId="9571"/>
    <cellStyle name="常规 2 2 7 3 9" xfId="9578"/>
    <cellStyle name="常规 2 2 7 4" xfId="22614"/>
    <cellStyle name="常规 2 2 7 4 2" xfId="22617"/>
    <cellStyle name="常规 2 2 7 4 2 2" xfId="2666"/>
    <cellStyle name="常规 2 2 7 4 2 2 2" xfId="2672"/>
    <cellStyle name="常规 2 2 7 4 2 2 2 2" xfId="2680"/>
    <cellStyle name="常规 2 2 7 4 2 2 3" xfId="2686"/>
    <cellStyle name="常规 2 2 7 4 2 2 4" xfId="22619"/>
    <cellStyle name="常规 2 2 7 4 2 3" xfId="2693"/>
    <cellStyle name="常规 2 2 7 4 2 3 2" xfId="2697"/>
    <cellStyle name="常规 2 2 7 4 2 4" xfId="2707"/>
    <cellStyle name="常规 2 2 7 4 2 5" xfId="2721"/>
    <cellStyle name="常规 2 2 7 4 3" xfId="22620"/>
    <cellStyle name="常规 2 2 7 4 3 2" xfId="2735"/>
    <cellStyle name="常规 2 2 7 4 3 2 2" xfId="22622"/>
    <cellStyle name="常规 2 2 7 4 3 3" xfId="22623"/>
    <cellStyle name="常规 2 2 7 4 3 4" xfId="4814"/>
    <cellStyle name="常规 2 2 7 4 4" xfId="22624"/>
    <cellStyle name="常规 2 2 7 4 4 2" xfId="22626"/>
    <cellStyle name="常规 2 2 7 4 4 2 2" xfId="22627"/>
    <cellStyle name="常规 2 2 7 4 4 3" xfId="16049"/>
    <cellStyle name="常规 2 2 7 4 4 4" xfId="2917"/>
    <cellStyle name="常规 2 2 7 4 5" xfId="22628"/>
    <cellStyle name="常规 2 2 7 4 5 2" xfId="22629"/>
    <cellStyle name="常规 2 2 7 4 6" xfId="22630"/>
    <cellStyle name="常规 2 2 7 4 7" xfId="9587"/>
    <cellStyle name="常规 2 2 7 4 8" xfId="9590"/>
    <cellStyle name="常规 2 2 7 5" xfId="22631"/>
    <cellStyle name="常规 2 2 7 5 2" xfId="22633"/>
    <cellStyle name="常规 2 2 7 5 2 2" xfId="2848"/>
    <cellStyle name="常规 2 2 7 5 2 2 2" xfId="1312"/>
    <cellStyle name="常规 2 2 7 5 2 3" xfId="2851"/>
    <cellStyle name="常规 2 2 7 5 2 4" xfId="2854"/>
    <cellStyle name="常规 2 2 7 5 3" xfId="22635"/>
    <cellStyle name="常规 2 2 7 5 3 2" xfId="2887"/>
    <cellStyle name="常规 2 2 7 5 4" xfId="22636"/>
    <cellStyle name="常规 2 2 7 5 5" xfId="978"/>
    <cellStyle name="常规 2 2 7 5 6" xfId="6440"/>
    <cellStyle name="常规 2 2 7 6" xfId="22637"/>
    <cellStyle name="常规 2 2 7 6 2" xfId="22639"/>
    <cellStyle name="常规 2 2 7 6 2 2" xfId="2970"/>
    <cellStyle name="常规 2 2 7 6 3" xfId="22641"/>
    <cellStyle name="常规 2 2 7 6 4" xfId="22642"/>
    <cellStyle name="常规 2 2 7 7" xfId="22644"/>
    <cellStyle name="常规 2 2 7 7 2" xfId="22646"/>
    <cellStyle name="常规 2 2 7 7 2 2" xfId="22648"/>
    <cellStyle name="常规 2 2 7 7 3" xfId="22651"/>
    <cellStyle name="常规 2 2 7 7 4" xfId="22653"/>
    <cellStyle name="常规 2 2 7 8" xfId="22655"/>
    <cellStyle name="常规 2 2 7 8 2" xfId="22657"/>
    <cellStyle name="常规 2 2 7 9" xfId="22659"/>
    <cellStyle name="常规 2 2 7 9 2" xfId="22663"/>
    <cellStyle name="常规 2 2 8" xfId="7357"/>
    <cellStyle name="常规 2 2 8 10" xfId="22665"/>
    <cellStyle name="常规 2 2 8 11" xfId="22666"/>
    <cellStyle name="常规 2 2 8 12" xfId="22667"/>
    <cellStyle name="常规 2 2 8 2" xfId="22668"/>
    <cellStyle name="常规 2 2 8 2 10" xfId="393"/>
    <cellStyle name="常规 2 2 8 2 11" xfId="22671"/>
    <cellStyle name="常规 2 2 8 2 12" xfId="22672"/>
    <cellStyle name="常规 2 2 8 2 2" xfId="22673"/>
    <cellStyle name="常规 2 2 8 2 2 10" xfId="22675"/>
    <cellStyle name="常规 2 2 8 2 2 2" xfId="22676"/>
    <cellStyle name="常规 2 2 8 2 2 2 2" xfId="22679"/>
    <cellStyle name="常规 2 2 8 2 2 2 2 2" xfId="22682"/>
    <cellStyle name="常规 2 2 8 2 2 2 2 2 2" xfId="22684"/>
    <cellStyle name="常规 2 2 8 2 2 2 2 2 2 2" xfId="12930"/>
    <cellStyle name="常规 2 2 8 2 2 2 2 2 3" xfId="22685"/>
    <cellStyle name="常规 2 2 8 2 2 2 2 2 4" xfId="22686"/>
    <cellStyle name="常规 2 2 8 2 2 2 2 3" xfId="22687"/>
    <cellStyle name="常规 2 2 8 2 2 2 2 3 2" xfId="22688"/>
    <cellStyle name="常规 2 2 8 2 2 2 2 4" xfId="22689"/>
    <cellStyle name="常规 2 2 8 2 2 2 2 5" xfId="22690"/>
    <cellStyle name="常规 2 2 8 2 2 2 3" xfId="3816"/>
    <cellStyle name="常规 2 2 8 2 2 2 3 2" xfId="3822"/>
    <cellStyle name="常规 2 2 8 2 2 2 3 2 2" xfId="22438"/>
    <cellStyle name="常规 2 2 8 2 2 2 3 3" xfId="22691"/>
    <cellStyle name="常规 2 2 8 2 2 2 3 4" xfId="22510"/>
    <cellStyle name="常规 2 2 8 2 2 2 4" xfId="3827"/>
    <cellStyle name="常规 2 2 8 2 2 2 4 2" xfId="22692"/>
    <cellStyle name="常规 2 2 8 2 2 2 4 2 2" xfId="22693"/>
    <cellStyle name="常规 2 2 8 2 2 2 4 3" xfId="22694"/>
    <cellStyle name="常规 2 2 8 2 2 2 4 4" xfId="22695"/>
    <cellStyle name="常规 2 2 8 2 2 2 5" xfId="4732"/>
    <cellStyle name="常规 2 2 8 2 2 2 5 2" xfId="22696"/>
    <cellStyle name="常规 2 2 8 2 2 2 6" xfId="22698"/>
    <cellStyle name="常规 2 2 8 2 2 2 7" xfId="22528"/>
    <cellStyle name="常规 2 2 8 2 2 2 8" xfId="22699"/>
    <cellStyle name="常规 2 2 8 2 2 3" xfId="8369"/>
    <cellStyle name="常规 2 2 8 2 2 3 2" xfId="22700"/>
    <cellStyle name="常规 2 2 8 2 2 3 2 2" xfId="22704"/>
    <cellStyle name="常规 2 2 8 2 2 3 2 2 2" xfId="22706"/>
    <cellStyle name="常规 2 2 8 2 2 3 2 3" xfId="22707"/>
    <cellStyle name="常规 2 2 8 2 2 3 2 4" xfId="22708"/>
    <cellStyle name="常规 2 2 8 2 2 3 3" xfId="3842"/>
    <cellStyle name="常规 2 2 8 2 2 3 3 2" xfId="4647"/>
    <cellStyle name="常规 2 2 8 2 2 3 4" xfId="4650"/>
    <cellStyle name="常规 2 2 8 2 2 3 5" xfId="22709"/>
    <cellStyle name="常规 2 2 8 2 2 3 6" xfId="22711"/>
    <cellStyle name="常规 2 2 8 2 2 4" xfId="22712"/>
    <cellStyle name="常规 2 2 8 2 2 4 2" xfId="11576"/>
    <cellStyle name="常规 2 2 8 2 2 4 2 2" xfId="22715"/>
    <cellStyle name="常规 2 2 8 2 2 4 3" xfId="1666"/>
    <cellStyle name="常规 2 2 8 2 2 4 4" xfId="22716"/>
    <cellStyle name="常规 2 2 8 2 2 5" xfId="22717"/>
    <cellStyle name="常规 2 2 8 2 2 5 2" xfId="11585"/>
    <cellStyle name="常规 2 2 8 2 2 5 2 2" xfId="22720"/>
    <cellStyle name="常规 2 2 8 2 2 5 3" xfId="1673"/>
    <cellStyle name="常规 2 2 8 2 2 5 4" xfId="22721"/>
    <cellStyle name="常规 2 2 8 2 2 6" xfId="22722"/>
    <cellStyle name="常规 2 2 8 2 2 6 2" xfId="22725"/>
    <cellStyle name="常规 2 2 8 2 2 7" xfId="22726"/>
    <cellStyle name="常规 2 2 8 2 2 7 2" xfId="22728"/>
    <cellStyle name="常规 2 2 8 2 2 8" xfId="22729"/>
    <cellStyle name="常规 2 2 8 2 2 9" xfId="22730"/>
    <cellStyle name="常规 2 2 8 2 3" xfId="22732"/>
    <cellStyle name="常规 2 2 8 2 3 10" xfId="22734"/>
    <cellStyle name="常规 2 2 8 2 3 11" xfId="5615"/>
    <cellStyle name="常规 2 2 8 2 3 2" xfId="22736"/>
    <cellStyle name="常规 2 2 8 2 3 2 10" xfId="9955"/>
    <cellStyle name="常规 2 2 8 2 3 2 2" xfId="22738"/>
    <cellStyle name="常规 2 2 8 2 3 2 2 2" xfId="22740"/>
    <cellStyle name="常规 2 2 8 2 3 2 2 2 2" xfId="22743"/>
    <cellStyle name="常规 2 2 8 2 3 2 2 2 2 2" xfId="1167"/>
    <cellStyle name="常规 2 2 8 2 3 2 2 2 2 2 2" xfId="1004"/>
    <cellStyle name="常规 2 2 8 2 3 2 2 2 2 3" xfId="4952"/>
    <cellStyle name="常规 2 2 8 2 3 2 2 2 2 4" xfId="4960"/>
    <cellStyle name="常规 2 2 8 2 3 2 2 2 3" xfId="22745"/>
    <cellStyle name="常规 2 2 8 2 3 2 2 2 3 2" xfId="13555"/>
    <cellStyle name="常规 2 2 8 2 3 2 2 2 4" xfId="22747"/>
    <cellStyle name="常规 2 2 8 2 3 2 2 2 5" xfId="22749"/>
    <cellStyle name="常规 2 2 8 2 3 2 2 3" xfId="6118"/>
    <cellStyle name="常规 2 2 8 2 3 2 2 3 2" xfId="7033"/>
    <cellStyle name="常规 2 2 8 2 3 2 2 3 2 2" xfId="5664"/>
    <cellStyle name="常规 2 2 8 2 3 2 2 3 3" xfId="7036"/>
    <cellStyle name="常规 2 2 8 2 3 2 2 3 4" xfId="22751"/>
    <cellStyle name="常规 2 2 8 2 3 2 2 4" xfId="6312"/>
    <cellStyle name="常规 2 2 8 2 3 2 2 4 2" xfId="7040"/>
    <cellStyle name="常规 2 2 8 2 3 2 2 4 2 2" xfId="22752"/>
    <cellStyle name="常规 2 2 8 2 3 2 2 4 3" xfId="22754"/>
    <cellStyle name="常规 2 2 8 2 3 2 2 4 4" xfId="22755"/>
    <cellStyle name="常规 2 2 8 2 3 2 2 5" xfId="7042"/>
    <cellStyle name="常规 2 2 8 2 3 2 2 5 2" xfId="7044"/>
    <cellStyle name="常规 2 2 8 2 3 2 2 6" xfId="7046"/>
    <cellStyle name="常规 2 2 8 2 3 2 2 7" xfId="22756"/>
    <cellStyle name="常规 2 2 8 2 3 2 2 8" xfId="22757"/>
    <cellStyle name="常规 2 2 8 2 3 2 3" xfId="3859"/>
    <cellStyle name="常规 2 2 8 2 3 2 3 2" xfId="22759"/>
    <cellStyle name="常规 2 2 8 2 3 2 3 2 2" xfId="22761"/>
    <cellStyle name="常规 2 2 8 2 3 2 3 2 2 2" xfId="1270"/>
    <cellStyle name="常规 2 2 8 2 3 2 3 2 3" xfId="3572"/>
    <cellStyle name="常规 2 2 8 2 3 2 3 2 4" xfId="22766"/>
    <cellStyle name="常规 2 2 8 2 3 2 3 3" xfId="7049"/>
    <cellStyle name="常规 2 2 8 2 3 2 3 3 2" xfId="1726"/>
    <cellStyle name="常规 2 2 8 2 3 2 3 4" xfId="5481"/>
    <cellStyle name="常规 2 2 8 2 3 2 3 5" xfId="22769"/>
    <cellStyle name="常规 2 2 8 2 3 2 3 6" xfId="22771"/>
    <cellStyle name="常规 2 2 8 2 3 2 4" xfId="22773"/>
    <cellStyle name="常规 2 2 8 2 3 2 4 2" xfId="22774"/>
    <cellStyle name="常规 2 2 8 2 3 2 4 2 2" xfId="13712"/>
    <cellStyle name="常规 2 2 8 2 3 2 4 3" xfId="7053"/>
    <cellStyle name="常规 2 2 8 2 3 2 4 4" xfId="7056"/>
    <cellStyle name="常规 2 2 8 2 3 2 5" xfId="22760"/>
    <cellStyle name="常规 2 2 8 2 3 2 5 2" xfId="22762"/>
    <cellStyle name="常规 2 2 8 2 3 2 5 2 2" xfId="1267"/>
    <cellStyle name="常规 2 2 8 2 3 2 5 3" xfId="3571"/>
    <cellStyle name="常规 2 2 8 2 3 2 5 4" xfId="22767"/>
    <cellStyle name="常规 2 2 8 2 3 2 6" xfId="7050"/>
    <cellStyle name="常规 2 2 8 2 3 2 6 2" xfId="1725"/>
    <cellStyle name="常规 2 2 8 2 3 2 7" xfId="5482"/>
    <cellStyle name="常规 2 2 8 2 3 2 7 2" xfId="22776"/>
    <cellStyle name="常规 2 2 8 2 3 2 8" xfId="22770"/>
    <cellStyle name="常规 2 2 8 2 3 2 9" xfId="22772"/>
    <cellStyle name="常规 2 2 8 2 3 3" xfId="22778"/>
    <cellStyle name="常规 2 2 8 2 3 3 2" xfId="22781"/>
    <cellStyle name="常规 2 2 8 2 3 3 2 2" xfId="22783"/>
    <cellStyle name="常规 2 2 8 2 3 3 2 2 2" xfId="22785"/>
    <cellStyle name="常规 2 2 8 2 3 3 2 2 2 2" xfId="20333"/>
    <cellStyle name="常规 2 2 8 2 3 3 2 2 3" xfId="22788"/>
    <cellStyle name="常规 2 2 8 2 3 3 2 2 4" xfId="17452"/>
    <cellStyle name="常规 2 2 8 2 3 3 2 3" xfId="7061"/>
    <cellStyle name="常规 2 2 8 2 3 3 2 3 2" xfId="7064"/>
    <cellStyle name="常规 2 2 8 2 3 3 2 4" xfId="7066"/>
    <cellStyle name="常规 2 2 8 2 3 3 2 5" xfId="22789"/>
    <cellStyle name="常规 2 2 8 2 3 3 3" xfId="4742"/>
    <cellStyle name="常规 2 2 8 2 3 3 3 2" xfId="21684"/>
    <cellStyle name="常规 2 2 8 2 3 3 3 2 2" xfId="22790"/>
    <cellStyle name="常规 2 2 8 2 3 3 3 3" xfId="5351"/>
    <cellStyle name="常规 2 2 8 2 3 3 3 4" xfId="22792"/>
    <cellStyle name="常规 2 2 8 2 3 3 4" xfId="22793"/>
    <cellStyle name="常规 2 2 8 2 3 3 4 2" xfId="22794"/>
    <cellStyle name="常规 2 2 8 2 3 3 4 2 2" xfId="14076"/>
    <cellStyle name="常规 2 2 8 2 3 3 4 3" xfId="22795"/>
    <cellStyle name="常规 2 2 8 2 3 3 4 4" xfId="22796"/>
    <cellStyle name="常规 2 2 8 2 3 3 5" xfId="22775"/>
    <cellStyle name="常规 2 2 8 2 3 3 5 2" xfId="13713"/>
    <cellStyle name="常规 2 2 8 2 3 3 6" xfId="7054"/>
    <cellStyle name="常规 2 2 8 2 3 3 7" xfId="7057"/>
    <cellStyle name="常规 2 2 8 2 3 3 8" xfId="22797"/>
    <cellStyle name="常规 2 2 8 2 3 4" xfId="22798"/>
    <cellStyle name="常规 2 2 8 2 3 4 2" xfId="22801"/>
    <cellStyle name="常规 2 2 8 2 3 4 2 2" xfId="22806"/>
    <cellStyle name="常规 2 2 8 2 3 4 2 2 2" xfId="22809"/>
    <cellStyle name="常规 2 2 8 2 3 4 2 3" xfId="5345"/>
    <cellStyle name="常规 2 2 8 2 3 4 2 4" xfId="5424"/>
    <cellStyle name="常规 2 2 8 2 3 4 3" xfId="22811"/>
    <cellStyle name="常规 2 2 8 2 3 4 3 2" xfId="22815"/>
    <cellStyle name="常规 2 2 8 2 3 4 4" xfId="22817"/>
    <cellStyle name="常规 2 2 8 2 3 4 5" xfId="22763"/>
    <cellStyle name="常规 2 2 8 2 3 4 6" xfId="3570"/>
    <cellStyle name="常规 2 2 8 2 3 5" xfId="22821"/>
    <cellStyle name="常规 2 2 8 2 3 5 2" xfId="22824"/>
    <cellStyle name="常规 2 2 8 2 3 5 2 2" xfId="22827"/>
    <cellStyle name="常规 2 2 8 2 3 5 3" xfId="22829"/>
    <cellStyle name="常规 2 2 8 2 3 5 4" xfId="22831"/>
    <cellStyle name="常规 2 2 8 2 3 6" xfId="22834"/>
    <cellStyle name="常规 2 2 8 2 3 6 2" xfId="22835"/>
    <cellStyle name="常规 2 2 8 2 3 6 2 2" xfId="22837"/>
    <cellStyle name="常规 2 2 8 2 3 6 3" xfId="22839"/>
    <cellStyle name="常规 2 2 8 2 3 6 4" xfId="22841"/>
    <cellStyle name="常规 2 2 8 2 3 7" xfId="22843"/>
    <cellStyle name="常规 2 2 8 2 3 7 2" xfId="22844"/>
    <cellStyle name="常规 2 2 8 2 3 8" xfId="22846"/>
    <cellStyle name="常规 2 2 8 2 3 8 2" xfId="22847"/>
    <cellStyle name="常规 2 2 8 2 3 9" xfId="22849"/>
    <cellStyle name="常规 2 2 8 2 4" xfId="22850"/>
    <cellStyle name="常规 2 2 8 2 4 2" xfId="22852"/>
    <cellStyle name="常规 2 2 8 2 4 2 2" xfId="22854"/>
    <cellStyle name="常规 2 2 8 2 4 2 2 2" xfId="22855"/>
    <cellStyle name="常规 2 2 8 2 4 2 2 2 2" xfId="22856"/>
    <cellStyle name="常规 2 2 8 2 4 2 2 3" xfId="2830"/>
    <cellStyle name="常规 2 2 8 2 4 2 2 4" xfId="7079"/>
    <cellStyle name="常规 2 2 8 2 4 2 3" xfId="3885"/>
    <cellStyle name="常规 2 2 8 2 4 2 3 2" xfId="4886"/>
    <cellStyle name="常规 2 2 8 2 4 2 4" xfId="4890"/>
    <cellStyle name="常规 2 2 8 2 4 2 5" xfId="21686"/>
    <cellStyle name="常规 2 2 8 2 4 3" xfId="22857"/>
    <cellStyle name="常规 2 2 8 2 4 3 2" xfId="22860"/>
    <cellStyle name="常规 2 2 8 2 4 3 2 2" xfId="15714"/>
    <cellStyle name="常规 2 2 8 2 4 3 3" xfId="1885"/>
    <cellStyle name="常规 2 2 8 2 4 3 4" xfId="22862"/>
    <cellStyle name="常规 2 2 8 2 4 4" xfId="22863"/>
    <cellStyle name="常规 2 2 8 2 4 4 2" xfId="13692"/>
    <cellStyle name="常规 2 2 8 2 4 4 2 2" xfId="13697"/>
    <cellStyle name="常规 2 2 8 2 4 4 3" xfId="4896"/>
    <cellStyle name="常规 2 2 8 2 4 4 4" xfId="13708"/>
    <cellStyle name="常规 2 2 8 2 4 5" xfId="22865"/>
    <cellStyle name="常规 2 2 8 2 4 5 2" xfId="13732"/>
    <cellStyle name="常规 2 2 8 2 4 6" xfId="22867"/>
    <cellStyle name="常规 2 2 8 2 4 7" xfId="22868"/>
    <cellStyle name="常规 2 2 8 2 4 8" xfId="22869"/>
    <cellStyle name="常规 2 2 8 2 5" xfId="22870"/>
    <cellStyle name="常规 2 2 8 2 5 2" xfId="22871"/>
    <cellStyle name="常规 2 2 8 2 5 2 2" xfId="22873"/>
    <cellStyle name="常规 2 2 8 2 5 2 2 2" xfId="21956"/>
    <cellStyle name="常规 2 2 8 2 5 2 3" xfId="22874"/>
    <cellStyle name="常规 2 2 8 2 5 2 4" xfId="22879"/>
    <cellStyle name="常规 2 2 8 2 5 3" xfId="22882"/>
    <cellStyle name="常规 2 2 8 2 5 3 2" xfId="22884"/>
    <cellStyle name="常规 2 2 8 2 5 4" xfId="22885"/>
    <cellStyle name="常规 2 2 8 2 5 5" xfId="22886"/>
    <cellStyle name="常规 2 2 8 2 5 6" xfId="22887"/>
    <cellStyle name="常规 2 2 8 2 6" xfId="22888"/>
    <cellStyle name="常规 2 2 8 2 6 2" xfId="22889"/>
    <cellStyle name="常规 2 2 8 2 6 2 2" xfId="17335"/>
    <cellStyle name="常规 2 2 8 2 6 3" xfId="22892"/>
    <cellStyle name="常规 2 2 8 2 6 4" xfId="22895"/>
    <cellStyle name="常规 2 2 8 2 7" xfId="22896"/>
    <cellStyle name="常规 2 2 8 2 7 2" xfId="22897"/>
    <cellStyle name="常规 2 2 8 2 7 2 2" xfId="22899"/>
    <cellStyle name="常规 2 2 8 2 7 3" xfId="22900"/>
    <cellStyle name="常规 2 2 8 2 7 4" xfId="22901"/>
    <cellStyle name="常规 2 2 8 2 8" xfId="22902"/>
    <cellStyle name="常规 2 2 8 2 8 2" xfId="22903"/>
    <cellStyle name="常规 2 2 8 2 9" xfId="22904"/>
    <cellStyle name="常规 2 2 8 2 9 2" xfId="22905"/>
    <cellStyle name="常规 2 2 8 3" xfId="22906"/>
    <cellStyle name="常规 2 2 8 3 10" xfId="22908"/>
    <cellStyle name="常规 2 2 8 3 11" xfId="22909"/>
    <cellStyle name="常规 2 2 8 3 2" xfId="22910"/>
    <cellStyle name="常规 2 2 8 3 2 10" xfId="22912"/>
    <cellStyle name="常规 2 2 8 3 2 2" xfId="22913"/>
    <cellStyle name="常规 2 2 8 3 2 2 2" xfId="3019"/>
    <cellStyle name="常规 2 2 8 3 2 2 2 2" xfId="22915"/>
    <cellStyle name="常规 2 2 8 3 2 2 2 2 2" xfId="22916"/>
    <cellStyle name="常规 2 2 8 3 2 2 2 2 2 2" xfId="22917"/>
    <cellStyle name="常规 2 2 8 3 2 2 2 2 3" xfId="22918"/>
    <cellStyle name="常规 2 2 8 3 2 2 2 2 4" xfId="22919"/>
    <cellStyle name="常规 2 2 8 3 2 2 2 3" xfId="22920"/>
    <cellStyle name="常规 2 2 8 3 2 2 2 3 2" xfId="22921"/>
    <cellStyle name="常规 2 2 8 3 2 2 2 4" xfId="22922"/>
    <cellStyle name="常规 2 2 8 3 2 2 2 5" xfId="22923"/>
    <cellStyle name="常规 2 2 8 3 2 2 3" xfId="22649"/>
    <cellStyle name="常规 2 2 8 3 2 2 3 2" xfId="22924"/>
    <cellStyle name="常规 2 2 8 3 2 2 3 2 2" xfId="22925"/>
    <cellStyle name="常规 2 2 8 3 2 2 3 3" xfId="22927"/>
    <cellStyle name="常规 2 2 8 3 2 2 3 4" xfId="22928"/>
    <cellStyle name="常规 2 2 8 3 2 2 4" xfId="22929"/>
    <cellStyle name="常规 2 2 8 3 2 2 4 2" xfId="22930"/>
    <cellStyle name="常规 2 2 8 3 2 2 4 2 2" xfId="22931"/>
    <cellStyle name="常规 2 2 8 3 2 2 4 3" xfId="22932"/>
    <cellStyle name="常规 2 2 8 3 2 2 4 4" xfId="22933"/>
    <cellStyle name="常规 2 2 8 3 2 2 5" xfId="4335"/>
    <cellStyle name="常规 2 2 8 3 2 2 5 2" xfId="22934"/>
    <cellStyle name="常规 2 2 8 3 2 2 6" xfId="22936"/>
    <cellStyle name="常规 2 2 8 3 2 2 7" xfId="22937"/>
    <cellStyle name="常规 2 2 8 3 2 2 8" xfId="22938"/>
    <cellStyle name="常规 2 2 8 3 2 3" xfId="8379"/>
    <cellStyle name="常规 2 2 8 3 2 3 2" xfId="22939"/>
    <cellStyle name="常规 2 2 8 3 2 3 2 2" xfId="22943"/>
    <cellStyle name="常规 2 2 8 3 2 3 2 2 2" xfId="22944"/>
    <cellStyle name="常规 2 2 8 3 2 3 2 3" xfId="22946"/>
    <cellStyle name="常规 2 2 8 3 2 3 2 4" xfId="22947"/>
    <cellStyle name="常规 2 2 8 3 2 3 3" xfId="22948"/>
    <cellStyle name="常规 2 2 8 3 2 3 3 2" xfId="22949"/>
    <cellStyle name="常规 2 2 8 3 2 3 4" xfId="22950"/>
    <cellStyle name="常规 2 2 8 3 2 3 5" xfId="22951"/>
    <cellStyle name="常规 2 2 8 3 2 3 6" xfId="22952"/>
    <cellStyle name="常规 2 2 8 3 2 4" xfId="22953"/>
    <cellStyle name="常规 2 2 8 3 2 4 2" xfId="22955"/>
    <cellStyle name="常规 2 2 8 3 2 4 2 2" xfId="19113"/>
    <cellStyle name="常规 2 2 8 3 2 4 3" xfId="22956"/>
    <cellStyle name="常规 2 2 8 3 2 4 4" xfId="16097"/>
    <cellStyle name="常规 2 2 8 3 2 5" xfId="22957"/>
    <cellStyle name="常规 2 2 8 3 2 5 2" xfId="22959"/>
    <cellStyle name="常规 2 2 8 3 2 5 2 2" xfId="21167"/>
    <cellStyle name="常规 2 2 8 3 2 5 3" xfId="6455"/>
    <cellStyle name="常规 2 2 8 3 2 5 4" xfId="22960"/>
    <cellStyle name="常规 2 2 8 3 2 6" xfId="22961"/>
    <cellStyle name="常规 2 2 8 3 2 6 2" xfId="22962"/>
    <cellStyle name="常规 2 2 8 3 2 7" xfId="22963"/>
    <cellStyle name="常规 2 2 8 3 2 7 2" xfId="22966"/>
    <cellStyle name="常规 2 2 8 3 2 8" xfId="22967"/>
    <cellStyle name="常规 2 2 8 3 2 9" xfId="3366"/>
    <cellStyle name="常规 2 2 8 3 3" xfId="22968"/>
    <cellStyle name="常规 2 2 8 3 3 2" xfId="22969"/>
    <cellStyle name="常规 2 2 8 3 3 2 2" xfId="21875"/>
    <cellStyle name="常规 2 2 8 3 3 2 2 2" xfId="22970"/>
    <cellStyle name="常规 2 2 8 3 3 2 2 2 2" xfId="22971"/>
    <cellStyle name="常规 2 2 8 3 3 2 2 3" xfId="6644"/>
    <cellStyle name="常规 2 2 8 3 3 2 2 4" xfId="22972"/>
    <cellStyle name="常规 2 2 8 3 3 2 3" xfId="21877"/>
    <cellStyle name="常规 2 2 8 3 3 2 3 2" xfId="22973"/>
    <cellStyle name="常规 2 2 8 3 3 2 4" xfId="22975"/>
    <cellStyle name="常规 2 2 8 3 3 2 5" xfId="4887"/>
    <cellStyle name="常规 2 2 8 3 3 3" xfId="9903"/>
    <cellStyle name="常规 2 2 8 3 3 3 2" xfId="9907"/>
    <cellStyle name="常规 2 2 8 3 3 3 2 2" xfId="22976"/>
    <cellStyle name="常规 2 2 8 3 3 3 3" xfId="21880"/>
    <cellStyle name="常规 2 2 8 3 3 3 4" xfId="22977"/>
    <cellStyle name="常规 2 2 8 3 3 4" xfId="9909"/>
    <cellStyle name="常规 2 2 8 3 3 4 2" xfId="9911"/>
    <cellStyle name="常规 2 2 8 3 3 4 2 2" xfId="22981"/>
    <cellStyle name="常规 2 2 8 3 3 4 3" xfId="22983"/>
    <cellStyle name="常规 2 2 8 3 3 4 4" xfId="22985"/>
    <cellStyle name="常规 2 2 8 3 3 5" xfId="9914"/>
    <cellStyle name="常规 2 2 8 3 3 5 2" xfId="22988"/>
    <cellStyle name="常规 2 2 8 3 3 6" xfId="9917"/>
    <cellStyle name="常规 2 2 8 3 3 7" xfId="12734"/>
    <cellStyle name="常规 2 2 8 3 3 8" xfId="12738"/>
    <cellStyle name="常规 2 2 8 3 4" xfId="22990"/>
    <cellStyle name="常规 2 2 8 3 4 2" xfId="22991"/>
    <cellStyle name="常规 2 2 8 3 4 2 2" xfId="22992"/>
    <cellStyle name="常规 2 2 8 3 4 2 2 2" xfId="22994"/>
    <cellStyle name="常规 2 2 8 3 4 2 3" xfId="22996"/>
    <cellStyle name="常规 2 2 8 3 4 2 4" xfId="15719"/>
    <cellStyle name="常规 2 2 8 3 4 3" xfId="9921"/>
    <cellStyle name="常规 2 2 8 3 4 3 2" xfId="22999"/>
    <cellStyle name="常规 2 2 8 3 4 4" xfId="23001"/>
    <cellStyle name="常规 2 2 8 3 4 5" xfId="23002"/>
    <cellStyle name="常规 2 2 8 3 4 6" xfId="12745"/>
    <cellStyle name="常规 2 2 8 3 5" xfId="23003"/>
    <cellStyle name="常规 2 2 8 3 5 2" xfId="23004"/>
    <cellStyle name="常规 2 2 8 3 5 2 2" xfId="23005"/>
    <cellStyle name="常规 2 2 8 3 5 3" xfId="9925"/>
    <cellStyle name="常规 2 2 8 3 5 4" xfId="23006"/>
    <cellStyle name="常规 2 2 8 3 6" xfId="23007"/>
    <cellStyle name="常规 2 2 8 3 6 2" xfId="23008"/>
    <cellStyle name="常规 2 2 8 3 6 2 2" xfId="23009"/>
    <cellStyle name="常规 2 2 8 3 6 3" xfId="23012"/>
    <cellStyle name="常规 2 2 8 3 6 4" xfId="23013"/>
    <cellStyle name="常规 2 2 8 3 7" xfId="23014"/>
    <cellStyle name="常规 2 2 8 3 7 2" xfId="23015"/>
    <cellStyle name="常规 2 2 8 3 8" xfId="16998"/>
    <cellStyle name="常规 2 2 8 3 8 2" xfId="23016"/>
    <cellStyle name="常规 2 2 8 3 9" xfId="23017"/>
    <cellStyle name="常规 2 2 8 4" xfId="23018"/>
    <cellStyle name="常规 2 2 8 4 2" xfId="23020"/>
    <cellStyle name="常规 2 2 8 4 2 2" xfId="345"/>
    <cellStyle name="常规 2 2 8 4 2 2 2" xfId="1727"/>
    <cellStyle name="常规 2 2 8 4 2 2 2 2" xfId="19410"/>
    <cellStyle name="常规 2 2 8 4 2 2 3" xfId="23021"/>
    <cellStyle name="常规 2 2 8 4 2 2 4" xfId="23023"/>
    <cellStyle name="常规 2 2 8 4 2 3" xfId="1084"/>
    <cellStyle name="常规 2 2 8 4 2 3 2" xfId="23024"/>
    <cellStyle name="常规 2 2 8 4 2 4" xfId="1738"/>
    <cellStyle name="常规 2 2 8 4 2 5" xfId="4015"/>
    <cellStyle name="常规 2 2 8 4 3" xfId="23025"/>
    <cellStyle name="常规 2 2 8 4 3 2" xfId="23026"/>
    <cellStyle name="常规 2 2 8 4 3 2 2" xfId="21961"/>
    <cellStyle name="常规 2 2 8 4 3 3" xfId="9934"/>
    <cellStyle name="常规 2 2 8 4 3 4" xfId="4062"/>
    <cellStyle name="常规 2 2 8 4 4" xfId="23027"/>
    <cellStyle name="常规 2 2 8 4 4 2" xfId="23028"/>
    <cellStyle name="常规 2 2 8 4 4 2 2" xfId="22006"/>
    <cellStyle name="常规 2 2 8 4 4 3" xfId="9941"/>
    <cellStyle name="常规 2 2 8 4 4 4" xfId="16115"/>
    <cellStyle name="常规 2 2 8 4 5" xfId="23029"/>
    <cellStyle name="常规 2 2 8 4 5 2" xfId="23030"/>
    <cellStyle name="常规 2 2 8 4 6" xfId="23031"/>
    <cellStyle name="常规 2 2 8 4 7" xfId="23032"/>
    <cellStyle name="常规 2 2 8 4 8" xfId="15230"/>
    <cellStyle name="常规 2 2 8 5" xfId="23033"/>
    <cellStyle name="常规 2 2 8 5 2" xfId="4112"/>
    <cellStyle name="常规 2 2 8 5 2 2" xfId="23036"/>
    <cellStyle name="常规 2 2 8 5 2 2 2" xfId="18516"/>
    <cellStyle name="常规 2 2 8 5 2 3" xfId="23037"/>
    <cellStyle name="常规 2 2 8 5 2 4" xfId="4119"/>
    <cellStyle name="常规 2 2 8 5 3" xfId="23039"/>
    <cellStyle name="常规 2 2 8 5 3 2" xfId="23040"/>
    <cellStyle name="常规 2 2 8 5 4" xfId="23041"/>
    <cellStyle name="常规 2 2 8 5 5" xfId="4146"/>
    <cellStyle name="常规 2 2 8 5 6" xfId="4156"/>
    <cellStyle name="常规 2 2 8 6" xfId="23042"/>
    <cellStyle name="常规 2 2 8 6 2" xfId="23044"/>
    <cellStyle name="常规 2 2 8 6 2 2" xfId="23045"/>
    <cellStyle name="常规 2 2 8 6 3" xfId="23046"/>
    <cellStyle name="常规 2 2 8 6 4" xfId="23047"/>
    <cellStyle name="常规 2 2 8 7" xfId="23048"/>
    <cellStyle name="常规 2 2 8 7 2" xfId="23050"/>
    <cellStyle name="常规 2 2 8 7 2 2" xfId="23022"/>
    <cellStyle name="常规 2 2 8 7 3" xfId="23053"/>
    <cellStyle name="常规 2 2 8 7 4" xfId="23055"/>
    <cellStyle name="常规 2 2 8 8" xfId="23056"/>
    <cellStyle name="常规 2 2 8 8 2" xfId="23058"/>
    <cellStyle name="常规 2 2 8 9" xfId="23059"/>
    <cellStyle name="常规 2 2 8 9 2" xfId="23062"/>
    <cellStyle name="常规 2 2 9" xfId="5536"/>
    <cellStyle name="常规 2 2 9 10" xfId="8589"/>
    <cellStyle name="常规 2 2 9 11" xfId="23064"/>
    <cellStyle name="常规 2 2 9 12" xfId="23066"/>
    <cellStyle name="常规 2 2 9 2" xfId="23067"/>
    <cellStyle name="常规 2 2 9 2 10" xfId="23069"/>
    <cellStyle name="常规 2 2 9 2 11" xfId="17013"/>
    <cellStyle name="常规 2 2 9 2 12" xfId="17016"/>
    <cellStyle name="常规 2 2 9 2 2" xfId="20882"/>
    <cellStyle name="常规 2 2 9 2 2 10" xfId="23070"/>
    <cellStyle name="常规 2 2 9 2 2 2" xfId="79"/>
    <cellStyle name="常规 2 2 9 2 2 2 2" xfId="10353"/>
    <cellStyle name="常规 2 2 9 2 2 2 2 2" xfId="10355"/>
    <cellStyle name="常规 2 2 9 2 2 2 2 2 2" xfId="10357"/>
    <cellStyle name="常规 2 2 9 2 2 2 2 2 2 2" xfId="10360"/>
    <cellStyle name="常规 2 2 9 2 2 2 2 2 3" xfId="10388"/>
    <cellStyle name="常规 2 2 9 2 2 2 2 2 4" xfId="10461"/>
    <cellStyle name="常规 2 2 9 2 2 2 2 3" xfId="9230"/>
    <cellStyle name="常规 2 2 9 2 2 2 2 3 2" xfId="10498"/>
    <cellStyle name="常规 2 2 9 2 2 2 2 4" xfId="10557"/>
    <cellStyle name="常规 2 2 9 2 2 2 2 5" xfId="10570"/>
    <cellStyle name="常规 2 2 9 2 2 2 3" xfId="510"/>
    <cellStyle name="常规 2 2 9 2 2 2 3 2" xfId="5268"/>
    <cellStyle name="常规 2 2 9 2 2 2 3 2 2" xfId="23071"/>
    <cellStyle name="常规 2 2 9 2 2 2 3 3" xfId="23074"/>
    <cellStyle name="常规 2 2 9 2 2 2 3 4" xfId="23075"/>
    <cellStyle name="常规 2 2 9 2 2 2 4" xfId="5270"/>
    <cellStyle name="常规 2 2 9 2 2 2 4 2" xfId="23077"/>
    <cellStyle name="常规 2 2 9 2 2 2 4 2 2" xfId="23078"/>
    <cellStyle name="常规 2 2 9 2 2 2 4 3" xfId="23080"/>
    <cellStyle name="常规 2 2 9 2 2 2 4 4" xfId="23081"/>
    <cellStyle name="常规 2 2 9 2 2 2 5" xfId="23082"/>
    <cellStyle name="常规 2 2 9 2 2 2 5 2" xfId="23084"/>
    <cellStyle name="常规 2 2 9 2 2 2 6" xfId="23085"/>
    <cellStyle name="常规 2 2 9 2 2 2 7" xfId="23086"/>
    <cellStyle name="常规 2 2 9 2 2 2 8" xfId="23087"/>
    <cellStyle name="常规 2 2 9 2 2 3" xfId="10576"/>
    <cellStyle name="常规 2 2 9 2 2 3 2" xfId="10579"/>
    <cellStyle name="常规 2 2 9 2 2 3 2 2" xfId="23088"/>
    <cellStyle name="常规 2 2 9 2 2 3 2 2 2" xfId="23089"/>
    <cellStyle name="常规 2 2 9 2 2 3 2 3" xfId="23090"/>
    <cellStyle name="常规 2 2 9 2 2 3 2 4" xfId="23092"/>
    <cellStyle name="常规 2 2 9 2 2 3 3" xfId="522"/>
    <cellStyle name="常规 2 2 9 2 2 3 3 2" xfId="213"/>
    <cellStyle name="常规 2 2 9 2 2 3 4" xfId="5272"/>
    <cellStyle name="常规 2 2 9 2 2 3 5" xfId="23093"/>
    <cellStyle name="常规 2 2 9 2 2 3 6" xfId="23094"/>
    <cellStyle name="常规 2 2 9 2 2 4" xfId="10581"/>
    <cellStyle name="常规 2 2 9 2 2 4 2" xfId="23095"/>
    <cellStyle name="常规 2 2 9 2 2 4 2 2" xfId="23034"/>
    <cellStyle name="常规 2 2 9 2 2 4 3" xfId="5277"/>
    <cellStyle name="常规 2 2 9 2 2 4 4" xfId="23096"/>
    <cellStyle name="常规 2 2 9 2 2 5" xfId="23097"/>
    <cellStyle name="常规 2 2 9 2 2 5 2" xfId="23098"/>
    <cellStyle name="常规 2 2 9 2 2 5 2 2" xfId="23099"/>
    <cellStyle name="常规 2 2 9 2 2 5 3" xfId="5281"/>
    <cellStyle name="常规 2 2 9 2 2 5 4" xfId="23101"/>
    <cellStyle name="常规 2 2 9 2 2 6" xfId="9815"/>
    <cellStyle name="常规 2 2 9 2 2 6 2" xfId="12981"/>
    <cellStyle name="常规 2 2 9 2 2 7" xfId="12994"/>
    <cellStyle name="常规 2 2 9 2 2 7 2" xfId="12998"/>
    <cellStyle name="常规 2 2 9 2 2 8" xfId="13003"/>
    <cellStyle name="常规 2 2 9 2 2 9" xfId="13015"/>
    <cellStyle name="常规 2 2 9 2 3" xfId="20885"/>
    <cellStyle name="常规 2 2 9 2 3 10" xfId="23102"/>
    <cellStyle name="常规 2 2 9 2 3 11" xfId="23103"/>
    <cellStyle name="常规 2 2 9 2 3 2" xfId="23104"/>
    <cellStyle name="常规 2 2 9 2 3 2 10" xfId="23105"/>
    <cellStyle name="常规 2 2 9 2 3 2 2" xfId="23107"/>
    <cellStyle name="常规 2 2 9 2 3 2 2 2" xfId="23108"/>
    <cellStyle name="常规 2 2 9 2 3 2 2 2 2" xfId="23109"/>
    <cellStyle name="常规 2 2 9 2 3 2 2 2 2 2" xfId="23111"/>
    <cellStyle name="常规 2 2 9 2 3 2 2 2 2 2 2" xfId="23113"/>
    <cellStyle name="常规 2 2 9 2 3 2 2 2 2 3" xfId="820"/>
    <cellStyle name="常规 2 2 9 2 3 2 2 2 2 4" xfId="23115"/>
    <cellStyle name="常规 2 2 9 2 3 2 2 2 3" xfId="23116"/>
    <cellStyle name="常规 2 2 9 2 3 2 2 2 3 2" xfId="23119"/>
    <cellStyle name="常规 2 2 9 2 3 2 2 2 4" xfId="23120"/>
    <cellStyle name="常规 2 2 9 2 3 2 2 2 5" xfId="23121"/>
    <cellStyle name="常规 2 2 9 2 3 2 2 3" xfId="23122"/>
    <cellStyle name="常规 2 2 9 2 3 2 2 3 2" xfId="23123"/>
    <cellStyle name="常规 2 2 9 2 3 2 2 3 2 2" xfId="23126"/>
    <cellStyle name="常规 2 2 9 2 3 2 2 3 3" xfId="23127"/>
    <cellStyle name="常规 2 2 9 2 3 2 2 3 4" xfId="23129"/>
    <cellStyle name="常规 2 2 9 2 3 2 2 4" xfId="23130"/>
    <cellStyle name="常规 2 2 9 2 3 2 2 4 2" xfId="23131"/>
    <cellStyle name="常规 2 2 9 2 3 2 2 4 2 2" xfId="23132"/>
    <cellStyle name="常规 2 2 9 2 3 2 2 4 3" xfId="23133"/>
    <cellStyle name="常规 2 2 9 2 3 2 2 4 4" xfId="23134"/>
    <cellStyle name="常规 2 2 9 2 3 2 2 5" xfId="23135"/>
    <cellStyle name="常规 2 2 9 2 3 2 2 5 2" xfId="23136"/>
    <cellStyle name="常规 2 2 9 2 3 2 2 6" xfId="23137"/>
    <cellStyle name="常规 2 2 9 2 3 2 2 7" xfId="23138"/>
    <cellStyle name="常规 2 2 9 2 3 2 2 8" xfId="23139"/>
    <cellStyle name="常规 2 2 9 2 3 2 3" xfId="556"/>
    <cellStyle name="常规 2 2 9 2 3 2 3 2" xfId="23141"/>
    <cellStyle name="常规 2 2 9 2 3 2 3 2 2" xfId="23142"/>
    <cellStyle name="常规 2 2 9 2 3 2 3 2 2 2" xfId="23145"/>
    <cellStyle name="常规 2 2 9 2 3 2 3 2 3" xfId="7343"/>
    <cellStyle name="常规 2 2 9 2 3 2 3 2 4" xfId="22087"/>
    <cellStyle name="常规 2 2 9 2 3 2 3 3" xfId="23146"/>
    <cellStyle name="常规 2 2 9 2 3 2 3 3 2" xfId="23147"/>
    <cellStyle name="常规 2 2 9 2 3 2 3 4" xfId="23149"/>
    <cellStyle name="常规 2 2 9 2 3 2 3 5" xfId="23150"/>
    <cellStyle name="常规 2 2 9 2 3 2 3 6" xfId="23151"/>
    <cellStyle name="常规 2 2 9 2 3 2 4" xfId="23152"/>
    <cellStyle name="常规 2 2 9 2 3 2 4 2" xfId="23154"/>
    <cellStyle name="常规 2 2 9 2 3 2 4 2 2" xfId="17798"/>
    <cellStyle name="常规 2 2 9 2 3 2 4 3" xfId="23156"/>
    <cellStyle name="常规 2 2 9 2 3 2 4 4" xfId="23157"/>
    <cellStyle name="常规 2 2 9 2 3 2 5" xfId="22974"/>
    <cellStyle name="常规 2 2 9 2 3 2 5 2" xfId="23159"/>
    <cellStyle name="常规 2 2 9 2 3 2 5 2 2" xfId="17843"/>
    <cellStyle name="常规 2 2 9 2 3 2 5 3" xfId="23162"/>
    <cellStyle name="常规 2 2 9 2 3 2 5 4" xfId="23164"/>
    <cellStyle name="常规 2 2 9 2 3 2 6" xfId="23166"/>
    <cellStyle name="常规 2 2 9 2 3 2 6 2" xfId="23168"/>
    <cellStyle name="常规 2 2 9 2 3 2 7" xfId="23169"/>
    <cellStyle name="常规 2 2 9 2 3 2 7 2" xfId="23170"/>
    <cellStyle name="常规 2 2 9 2 3 2 8" xfId="23171"/>
    <cellStyle name="常规 2 2 9 2 3 2 9" xfId="23172"/>
    <cellStyle name="常规 2 2 9 2 3 3" xfId="23173"/>
    <cellStyle name="常规 2 2 9 2 3 3 2" xfId="23174"/>
    <cellStyle name="常规 2 2 9 2 3 3 2 2" xfId="23175"/>
    <cellStyle name="常规 2 2 9 2 3 3 2 2 2" xfId="14794"/>
    <cellStyle name="常规 2 2 9 2 3 3 2 2 2 2" xfId="14796"/>
    <cellStyle name="常规 2 2 9 2 3 3 2 2 3" xfId="14802"/>
    <cellStyle name="常规 2 2 9 2 3 3 2 2 4" xfId="7950"/>
    <cellStyle name="常规 2 2 9 2 3 3 2 3" xfId="23176"/>
    <cellStyle name="常规 2 2 9 2 3 3 2 3 2" xfId="14853"/>
    <cellStyle name="常规 2 2 9 2 3 3 2 4" xfId="23177"/>
    <cellStyle name="常规 2 2 9 2 3 3 2 5" xfId="23178"/>
    <cellStyle name="常规 2 2 9 2 3 3 3" xfId="5339"/>
    <cellStyle name="常规 2 2 9 2 3 3 3 2" xfId="23179"/>
    <cellStyle name="常规 2 2 9 2 3 3 3 2 2" xfId="14943"/>
    <cellStyle name="常规 2 2 9 2 3 3 3 3" xfId="23180"/>
    <cellStyle name="常规 2 2 9 2 3 3 3 4" xfId="23181"/>
    <cellStyle name="常规 2 2 9 2 3 3 4" xfId="23182"/>
    <cellStyle name="常规 2 2 9 2 3 3 4 2" xfId="23184"/>
    <cellStyle name="常规 2 2 9 2 3 3 4 2 2" xfId="15097"/>
    <cellStyle name="常规 2 2 9 2 3 3 4 3" xfId="23186"/>
    <cellStyle name="常规 2 2 9 2 3 3 4 4" xfId="23187"/>
    <cellStyle name="常规 2 2 9 2 3 3 5" xfId="23188"/>
    <cellStyle name="常规 2 2 9 2 3 3 5 2" xfId="10946"/>
    <cellStyle name="常规 2 2 9 2 3 3 6" xfId="23189"/>
    <cellStyle name="常规 2 2 9 2 3 3 7" xfId="23190"/>
    <cellStyle name="常规 2 2 9 2 3 3 8" xfId="23191"/>
    <cellStyle name="常规 2 2 9 2 3 4" xfId="23192"/>
    <cellStyle name="常规 2 2 9 2 3 4 2" xfId="23193"/>
    <cellStyle name="常规 2 2 9 2 3 4 2 2" xfId="14514"/>
    <cellStyle name="常规 2 2 9 2 3 4 2 2 2" xfId="15524"/>
    <cellStyle name="常规 2 2 9 2 3 4 2 3" xfId="23196"/>
    <cellStyle name="常规 2 2 9 2 3 4 2 4" xfId="22301"/>
    <cellStyle name="常规 2 2 9 2 3 4 3" xfId="23199"/>
    <cellStyle name="常规 2 2 9 2 3 4 3 2" xfId="23201"/>
    <cellStyle name="常规 2 2 9 2 3 4 4" xfId="23205"/>
    <cellStyle name="常规 2 2 9 2 3 4 5" xfId="23208"/>
    <cellStyle name="常规 2 2 9 2 3 4 6" xfId="23211"/>
    <cellStyle name="常规 2 2 9 2 3 5" xfId="23214"/>
    <cellStyle name="常规 2 2 9 2 3 5 2" xfId="23215"/>
    <cellStyle name="常规 2 2 9 2 3 5 2 2" xfId="23217"/>
    <cellStyle name="常规 2 2 9 2 3 5 3" xfId="23219"/>
    <cellStyle name="常规 2 2 9 2 3 5 4" xfId="23221"/>
    <cellStyle name="常规 2 2 9 2 3 6" xfId="13019"/>
    <cellStyle name="常规 2 2 9 2 3 6 2" xfId="13023"/>
    <cellStyle name="常规 2 2 9 2 3 6 2 2" xfId="13028"/>
    <cellStyle name="常规 2 2 9 2 3 6 3" xfId="13035"/>
    <cellStyle name="常规 2 2 9 2 3 6 4" xfId="13040"/>
    <cellStyle name="常规 2 2 9 2 3 7" xfId="13041"/>
    <cellStyle name="常规 2 2 9 2 3 7 2" xfId="13045"/>
    <cellStyle name="常规 2 2 9 2 3 8" xfId="13051"/>
    <cellStyle name="常规 2 2 9 2 3 8 2" xfId="13056"/>
    <cellStyle name="常规 2 2 9 2 3 9" xfId="13059"/>
    <cellStyle name="常规 2 2 9 2 4" xfId="23224"/>
    <cellStyle name="常规 2 2 9 2 4 2" xfId="23225"/>
    <cellStyle name="常规 2 2 9 2 4 2 2" xfId="23226"/>
    <cellStyle name="常规 2 2 9 2 4 2 2 2" xfId="23227"/>
    <cellStyle name="常规 2 2 9 2 4 2 2 2 2" xfId="23228"/>
    <cellStyle name="常规 2 2 9 2 4 2 2 3" xfId="23229"/>
    <cellStyle name="常规 2 2 9 2 4 2 2 4" xfId="23230"/>
    <cellStyle name="常规 2 2 9 2 4 2 3" xfId="5477"/>
    <cellStyle name="常规 2 2 9 2 4 2 3 2" xfId="5484"/>
    <cellStyle name="常规 2 2 9 2 4 2 4" xfId="5486"/>
    <cellStyle name="常规 2 2 9 2 4 2 5" xfId="23231"/>
    <cellStyle name="常规 2 2 9 2 4 3" xfId="23232"/>
    <cellStyle name="常规 2 2 9 2 4 3 2" xfId="23233"/>
    <cellStyle name="常规 2 2 9 2 4 3 2 2" xfId="23234"/>
    <cellStyle name="常规 2 2 9 2 4 3 3" xfId="4973"/>
    <cellStyle name="常规 2 2 9 2 4 3 4" xfId="4978"/>
    <cellStyle name="常规 2 2 9 2 4 4" xfId="23235"/>
    <cellStyle name="常规 2 2 9 2 4 4 2" xfId="19802"/>
    <cellStyle name="常规 2 2 9 2 4 4 2 2" xfId="23236"/>
    <cellStyle name="常规 2 2 9 2 4 4 3" xfId="5495"/>
    <cellStyle name="常规 2 2 9 2 4 4 4" xfId="23240"/>
    <cellStyle name="常规 2 2 9 2 4 5" xfId="23243"/>
    <cellStyle name="常规 2 2 9 2 4 5 2" xfId="23244"/>
    <cellStyle name="常规 2 2 9 2 4 6" xfId="13064"/>
    <cellStyle name="常规 2 2 9 2 4 7" xfId="13069"/>
    <cellStyle name="常规 2 2 9 2 4 8" xfId="21288"/>
    <cellStyle name="常规 2 2 9 2 5" xfId="23246"/>
    <cellStyle name="常规 2 2 9 2 5 2" xfId="23247"/>
    <cellStyle name="常规 2 2 9 2 5 2 2" xfId="23249"/>
    <cellStyle name="常规 2 2 9 2 5 2 2 2" xfId="22375"/>
    <cellStyle name="常规 2 2 9 2 5 2 3" xfId="23251"/>
    <cellStyle name="常规 2 2 9 2 5 2 4" xfId="23254"/>
    <cellStyle name="常规 2 2 9 2 5 3" xfId="23256"/>
    <cellStyle name="常规 2 2 9 2 5 3 2" xfId="23257"/>
    <cellStyle name="常规 2 2 9 2 5 4" xfId="23259"/>
    <cellStyle name="常规 2 2 9 2 5 5" xfId="23260"/>
    <cellStyle name="常规 2 2 9 2 5 6" xfId="13074"/>
    <cellStyle name="常规 2 2 9 2 6" xfId="23261"/>
    <cellStyle name="常规 2 2 9 2 6 2" xfId="23262"/>
    <cellStyle name="常规 2 2 9 2 6 2 2" xfId="23263"/>
    <cellStyle name="常规 2 2 9 2 6 3" xfId="17159"/>
    <cellStyle name="常规 2 2 9 2 6 4" xfId="23265"/>
    <cellStyle name="常规 2 2 9 2 7" xfId="23266"/>
    <cellStyle name="常规 2 2 9 2 7 2" xfId="23267"/>
    <cellStyle name="常规 2 2 9 2 7 2 2" xfId="23268"/>
    <cellStyle name="常规 2 2 9 2 7 3" xfId="4333"/>
    <cellStyle name="常规 2 2 9 2 7 4" xfId="23269"/>
    <cellStyle name="常规 2 2 9 2 8" xfId="23270"/>
    <cellStyle name="常规 2 2 9 2 8 2" xfId="23271"/>
    <cellStyle name="常规 2 2 9 2 9" xfId="23272"/>
    <cellStyle name="常规 2 2 9 2 9 2" xfId="23273"/>
    <cellStyle name="常规 2 2 9 3" xfId="3779"/>
    <cellStyle name="常规 2 2 9 3 10" xfId="2706"/>
    <cellStyle name="常规 2 2 9 3 11" xfId="2720"/>
    <cellStyle name="常规 2 2 9 3 2" xfId="23274"/>
    <cellStyle name="常规 2 2 9 3 2 10" xfId="23275"/>
    <cellStyle name="常规 2 2 9 3 2 2" xfId="23276"/>
    <cellStyle name="常规 2 2 9 3 2 2 2" xfId="16937"/>
    <cellStyle name="常规 2 2 9 3 2 2 2 2" xfId="23277"/>
    <cellStyle name="常规 2 2 9 3 2 2 2 2 2" xfId="23278"/>
    <cellStyle name="常规 2 2 9 3 2 2 2 2 2 2" xfId="23279"/>
    <cellStyle name="常规 2 2 9 3 2 2 2 2 3" xfId="23280"/>
    <cellStyle name="常规 2 2 9 3 2 2 2 2 4" xfId="23281"/>
    <cellStyle name="常规 2 2 9 3 2 2 2 3" xfId="9413"/>
    <cellStyle name="常规 2 2 9 3 2 2 2 3 2" xfId="23282"/>
    <cellStyle name="常规 2 2 9 3 2 2 2 4" xfId="23283"/>
    <cellStyle name="常规 2 2 9 3 2 2 2 5" xfId="21843"/>
    <cellStyle name="常规 2 2 9 3 2 2 3" xfId="16939"/>
    <cellStyle name="常规 2 2 9 3 2 2 3 2" xfId="23284"/>
    <cellStyle name="常规 2 2 9 3 2 2 3 2 2" xfId="23285"/>
    <cellStyle name="常规 2 2 9 3 2 2 3 3" xfId="10971"/>
    <cellStyle name="常规 2 2 9 3 2 2 3 4" xfId="23286"/>
    <cellStyle name="常规 2 2 9 3 2 2 4" xfId="23287"/>
    <cellStyle name="常规 2 2 9 3 2 2 4 2" xfId="23288"/>
    <cellStyle name="常规 2 2 9 3 2 2 4 2 2" xfId="23289"/>
    <cellStyle name="常规 2 2 9 3 2 2 4 3" xfId="23290"/>
    <cellStyle name="常规 2 2 9 3 2 2 4 4" xfId="23291"/>
    <cellStyle name="常规 2 2 9 3 2 2 5" xfId="23292"/>
    <cellStyle name="常规 2 2 9 3 2 2 5 2" xfId="23294"/>
    <cellStyle name="常规 2 2 9 3 2 2 6" xfId="1319"/>
    <cellStyle name="常规 2 2 9 3 2 2 7" xfId="1203"/>
    <cellStyle name="常规 2 2 9 3 2 2 8" xfId="23295"/>
    <cellStyle name="常规 2 2 9 3 2 3" xfId="23296"/>
    <cellStyle name="常规 2 2 9 3 2 3 2" xfId="23298"/>
    <cellStyle name="常规 2 2 9 3 2 3 2 2" xfId="23299"/>
    <cellStyle name="常规 2 2 9 3 2 3 2 2 2" xfId="23300"/>
    <cellStyle name="常规 2 2 9 3 2 3 2 3" xfId="23301"/>
    <cellStyle name="常规 2 2 9 3 2 3 2 4" xfId="23302"/>
    <cellStyle name="常规 2 2 9 3 2 3 3" xfId="23303"/>
    <cellStyle name="常规 2 2 9 3 2 3 3 2" xfId="23304"/>
    <cellStyle name="常规 2 2 9 3 2 3 4" xfId="23305"/>
    <cellStyle name="常规 2 2 9 3 2 3 5" xfId="15712"/>
    <cellStyle name="常规 2 2 9 3 2 3 6" xfId="395"/>
    <cellStyle name="常规 2 2 9 3 2 4" xfId="23306"/>
    <cellStyle name="常规 2 2 9 3 2 4 2" xfId="23307"/>
    <cellStyle name="常规 2 2 9 3 2 4 2 2" xfId="23308"/>
    <cellStyle name="常规 2 2 9 3 2 4 3" xfId="23311"/>
    <cellStyle name="常规 2 2 9 3 2 4 4" xfId="23312"/>
    <cellStyle name="常规 2 2 9 3 2 5" xfId="23313"/>
    <cellStyle name="常规 2 2 9 3 2 5 2" xfId="23314"/>
    <cellStyle name="常规 2 2 9 3 2 5 2 2" xfId="23315"/>
    <cellStyle name="常规 2 2 9 3 2 5 3" xfId="2531"/>
    <cellStyle name="常规 2 2 9 3 2 5 4" xfId="21560"/>
    <cellStyle name="常规 2 2 9 3 2 6" xfId="5549"/>
    <cellStyle name="常规 2 2 9 3 2 6 2" xfId="2564"/>
    <cellStyle name="常规 2 2 9 3 2 7" xfId="5553"/>
    <cellStyle name="常规 2 2 9 3 2 7 2" xfId="13084"/>
    <cellStyle name="常规 2 2 9 3 2 8" xfId="21311"/>
    <cellStyle name="常规 2 2 9 3 2 9" xfId="4272"/>
    <cellStyle name="常规 2 2 9 3 3" xfId="23316"/>
    <cellStyle name="常规 2 2 9 3 3 2" xfId="23317"/>
    <cellStyle name="常规 2 2 9 3 3 2 2" xfId="22102"/>
    <cellStyle name="常规 2 2 9 3 3 2 2 2" xfId="23318"/>
    <cellStyle name="常规 2 2 9 3 3 2 2 2 2" xfId="23319"/>
    <cellStyle name="常规 2 2 9 3 3 2 2 3" xfId="23321"/>
    <cellStyle name="常规 2 2 9 3 3 2 2 4" xfId="23322"/>
    <cellStyle name="常规 2 2 9 3 3 2 3" xfId="22104"/>
    <cellStyle name="常规 2 2 9 3 3 2 3 2" xfId="23323"/>
    <cellStyle name="常规 2 2 9 3 3 2 4" xfId="23324"/>
    <cellStyle name="常规 2 2 9 3 3 2 5" xfId="23325"/>
    <cellStyle name="常规 2 2 9 3 3 3" xfId="23326"/>
    <cellStyle name="常规 2 2 9 3 3 3 2" xfId="22109"/>
    <cellStyle name="常规 2 2 9 3 3 3 2 2" xfId="23327"/>
    <cellStyle name="常规 2 2 9 3 3 3 3" xfId="22111"/>
    <cellStyle name="常规 2 2 9 3 3 3 4" xfId="23328"/>
    <cellStyle name="常规 2 2 9 3 3 4" xfId="23329"/>
    <cellStyle name="常规 2 2 9 3 3 4 2" xfId="23330"/>
    <cellStyle name="常规 2 2 9 3 3 4 2 2" xfId="23332"/>
    <cellStyle name="常规 2 2 9 3 3 4 3" xfId="23335"/>
    <cellStyle name="常规 2 2 9 3 3 4 4" xfId="23337"/>
    <cellStyle name="常规 2 2 9 3 3 5" xfId="23340"/>
    <cellStyle name="常规 2 2 9 3 3 5 2" xfId="23341"/>
    <cellStyle name="常规 2 2 9 3 3 6" xfId="5563"/>
    <cellStyle name="常规 2 2 9 3 3 7" xfId="5568"/>
    <cellStyle name="常规 2 2 9 3 3 8" xfId="21317"/>
    <cellStyle name="常规 2 2 9 3 4" xfId="23343"/>
    <cellStyle name="常规 2 2 9 3 4 2" xfId="23344"/>
    <cellStyle name="常规 2 2 9 3 4 2 2" xfId="23345"/>
    <cellStyle name="常规 2 2 9 3 4 2 2 2" xfId="6650"/>
    <cellStyle name="常规 2 2 9 3 4 2 3" xfId="23346"/>
    <cellStyle name="常规 2 2 9 3 4 2 4" xfId="23347"/>
    <cellStyle name="常规 2 2 9 3 4 3" xfId="23348"/>
    <cellStyle name="常规 2 2 9 3 4 3 2" xfId="23349"/>
    <cellStyle name="常规 2 2 9 3 4 4" xfId="113"/>
    <cellStyle name="常规 2 2 9 3 4 5" xfId="23350"/>
    <cellStyle name="常规 2 2 9 3 4 6" xfId="780"/>
    <cellStyle name="常规 2 2 9 3 5" xfId="23352"/>
    <cellStyle name="常规 2 2 9 3 5 2" xfId="23353"/>
    <cellStyle name="常规 2 2 9 3 5 2 2" xfId="23354"/>
    <cellStyle name="常规 2 2 9 3 5 3" xfId="23356"/>
    <cellStyle name="常规 2 2 9 3 5 4" xfId="23357"/>
    <cellStyle name="常规 2 2 9 3 6" xfId="23358"/>
    <cellStyle name="常规 2 2 9 3 6 2" xfId="23359"/>
    <cellStyle name="常规 2 2 9 3 6 2 2" xfId="23360"/>
    <cellStyle name="常规 2 2 9 3 6 3" xfId="23362"/>
    <cellStyle name="常规 2 2 9 3 6 4" xfId="23363"/>
    <cellStyle name="常规 2 2 9 3 7" xfId="23364"/>
    <cellStyle name="常规 2 2 9 3 7 2" xfId="23365"/>
    <cellStyle name="常规 2 2 9 3 8" xfId="23366"/>
    <cellStyle name="常规 2 2 9 3 8 2" xfId="23368"/>
    <cellStyle name="常规 2 2 9 3 9" xfId="23369"/>
    <cellStyle name="常规 2 2 9 4" xfId="23371"/>
    <cellStyle name="常规 2 2 9 4 2" xfId="23373"/>
    <cellStyle name="常规 2 2 9 4 2 2" xfId="3157"/>
    <cellStyle name="常规 2 2 9 4 2 2 2" xfId="2951"/>
    <cellStyle name="常规 2 2 9 4 2 2 2 2" xfId="1179"/>
    <cellStyle name="常规 2 2 9 4 2 2 3" xfId="3009"/>
    <cellStyle name="常规 2 2 9 4 2 2 4" xfId="23374"/>
    <cellStyle name="常规 2 2 9 4 2 3" xfId="3161"/>
    <cellStyle name="常规 2 2 9 4 2 3 2" xfId="3119"/>
    <cellStyle name="常规 2 2 9 4 2 4" xfId="3164"/>
    <cellStyle name="常规 2 2 9 4 2 5" xfId="3169"/>
    <cellStyle name="常规 2 2 9 4 3" xfId="23375"/>
    <cellStyle name="常规 2 2 9 4 3 2" xfId="3181"/>
    <cellStyle name="常规 2 2 9 4 3 2 2" xfId="23376"/>
    <cellStyle name="常规 2 2 9 4 3 3" xfId="23377"/>
    <cellStyle name="常规 2 2 9 4 3 4" xfId="23378"/>
    <cellStyle name="常规 2 2 9 4 4" xfId="23379"/>
    <cellStyle name="常规 2 2 9 4 4 2" xfId="23380"/>
    <cellStyle name="常规 2 2 9 4 4 2 2" xfId="23381"/>
    <cellStyle name="常规 2 2 9 4 4 3" xfId="16143"/>
    <cellStyle name="常规 2 2 9 4 4 4" xfId="23382"/>
    <cellStyle name="常规 2 2 9 4 5" xfId="23383"/>
    <cellStyle name="常规 2 2 9 4 5 2" xfId="23384"/>
    <cellStyle name="常规 2 2 9 4 6" xfId="23385"/>
    <cellStyle name="常规 2 2 9 4 7" xfId="23386"/>
    <cellStyle name="常规 2 2 9 4 8" xfId="23387"/>
    <cellStyle name="常规 2 2 9 5" xfId="23388"/>
    <cellStyle name="常规 2 2 9 5 2" xfId="23389"/>
    <cellStyle name="常规 2 2 9 5 2 2" xfId="3227"/>
    <cellStyle name="常规 2 2 9 5 2 2 2" xfId="3232"/>
    <cellStyle name="常规 2 2 9 5 2 3" xfId="3235"/>
    <cellStyle name="常规 2 2 9 5 2 4" xfId="17302"/>
    <cellStyle name="常规 2 2 9 5 3" xfId="23390"/>
    <cellStyle name="常规 2 2 9 5 3 2" xfId="23391"/>
    <cellStyle name="常规 2 2 9 5 4" xfId="23392"/>
    <cellStyle name="常规 2 2 9 5 5" xfId="5145"/>
    <cellStyle name="常规 2 2 9 5 6" xfId="19674"/>
    <cellStyle name="常规 2 2 9 6" xfId="23393"/>
    <cellStyle name="常规 2 2 9 6 2" xfId="23394"/>
    <cellStyle name="常规 2 2 9 6 2 2" xfId="23395"/>
    <cellStyle name="常规 2 2 9 6 3" xfId="23396"/>
    <cellStyle name="常规 2 2 9 6 4" xfId="23398"/>
    <cellStyle name="常规 2 2 9 7" xfId="23399"/>
    <cellStyle name="常规 2 2 9 7 2" xfId="16634"/>
    <cellStyle name="常规 2 2 9 7 2 2" xfId="23401"/>
    <cellStyle name="常规 2 2 9 7 3" xfId="23402"/>
    <cellStyle name="常规 2 2 9 7 4" xfId="23403"/>
    <cellStyle name="常规 2 2 9 8" xfId="23405"/>
    <cellStyle name="常规 2 2 9 8 2" xfId="23406"/>
    <cellStyle name="常规 2 2 9 9" xfId="23407"/>
    <cellStyle name="常规 2 2 9 9 2" xfId="23410"/>
    <cellStyle name="常规 2 2_三趟墩预算" xfId="23412"/>
    <cellStyle name="常规 2 3" xfId="23413"/>
    <cellStyle name="常规 2 3 10" xfId="23414"/>
    <cellStyle name="常规 2 3 10 2" xfId="23415"/>
    <cellStyle name="常规 2 3 10 2 2" xfId="23416"/>
    <cellStyle name="常规 2 3 10 3" xfId="23417"/>
    <cellStyle name="常规 2 3 10 4" xfId="21126"/>
    <cellStyle name="常规 2 3 11" xfId="23418"/>
    <cellStyle name="常规 2 3 11 2" xfId="23419"/>
    <cellStyle name="常规 2 3 12" xfId="23420"/>
    <cellStyle name="常规 2 3 12 2" xfId="23421"/>
    <cellStyle name="常规 2 3 13" xfId="4827"/>
    <cellStyle name="常规 2 3 14" xfId="23423"/>
    <cellStyle name="常规 2 3 15" xfId="23424"/>
    <cellStyle name="常规 2 3 2" xfId="23425"/>
    <cellStyle name="常规 2 3 2 10" xfId="17950"/>
    <cellStyle name="常规 2 3 2 11" xfId="23426"/>
    <cellStyle name="常规 2 3 2 12" xfId="23428"/>
    <cellStyle name="常规 2 3 2 2" xfId="23430"/>
    <cellStyle name="常规 2 3 2 2 10" xfId="11504"/>
    <cellStyle name="常规 2 3 2 2 2" xfId="23431"/>
    <cellStyle name="常规 2 3 2 2 2 2" xfId="15372"/>
    <cellStyle name="常规 2 3 2 2 2 2 2" xfId="23433"/>
    <cellStyle name="常规 2 3 2 2 2 2 2 2" xfId="23435"/>
    <cellStyle name="常规 2 3 2 2 2 2 2 2 2" xfId="23436"/>
    <cellStyle name="常规 2 3 2 2 2 2 2 3" xfId="23437"/>
    <cellStyle name="常规 2 3 2 2 2 2 2 4" xfId="23438"/>
    <cellStyle name="常规 2 3 2 2 2 2 3" xfId="23439"/>
    <cellStyle name="常规 2 3 2 2 2 2 3 2" xfId="23440"/>
    <cellStyle name="常规 2 3 2 2 2 2 4" xfId="23441"/>
    <cellStyle name="常规 2 3 2 2 2 2 5" xfId="14473"/>
    <cellStyle name="常规 2 3 2 2 2 3" xfId="15375"/>
    <cellStyle name="常规 2 3 2 2 2 3 2" xfId="17761"/>
    <cellStyle name="常规 2 3 2 2 2 3 2 2" xfId="17763"/>
    <cellStyle name="常规 2 3 2 2 2 3 3" xfId="17768"/>
    <cellStyle name="常规 2 3 2 2 2 3 4" xfId="23442"/>
    <cellStyle name="常规 2 3 2 2 2 4" xfId="15378"/>
    <cellStyle name="常规 2 3 2 2 2 4 2" xfId="18256"/>
    <cellStyle name="常规 2 3 2 2 2 4 2 2" xfId="18257"/>
    <cellStyle name="常规 2 3 2 2 2 4 3" xfId="18267"/>
    <cellStyle name="常规 2 3 2 2 2 4 4" xfId="23443"/>
    <cellStyle name="常规 2 3 2 2 2 5" xfId="23445"/>
    <cellStyle name="常规 2 3 2 2 2 5 2" xfId="18702"/>
    <cellStyle name="常规 2 3 2 2 2 6" xfId="7939"/>
    <cellStyle name="常规 2 3 2 2 2 7" xfId="7958"/>
    <cellStyle name="常规 2 3 2 2 2 8" xfId="7966"/>
    <cellStyle name="常规 2 3 2 2 3" xfId="23446"/>
    <cellStyle name="常规 2 3 2 2 3 2" xfId="15385"/>
    <cellStyle name="常规 2 3 2 2 3 2 2" xfId="23448"/>
    <cellStyle name="常规 2 3 2 2 3 2 2 2" xfId="14382"/>
    <cellStyle name="常规 2 3 2 2 3 2 3" xfId="23450"/>
    <cellStyle name="常规 2 3 2 2 3 2 4" xfId="23451"/>
    <cellStyle name="常规 2 3 2 2 3 3" xfId="23452"/>
    <cellStyle name="常规 2 3 2 2 3 3 2" xfId="20974"/>
    <cellStyle name="常规 2 3 2 2 3 4" xfId="23454"/>
    <cellStyle name="常规 2 3 2 2 3 5" xfId="23456"/>
    <cellStyle name="常规 2 3 2 2 3 6" xfId="7975"/>
    <cellStyle name="常规 2 3 2 2 4" xfId="2295"/>
    <cellStyle name="常规 2 3 2 2 4 2" xfId="2303"/>
    <cellStyle name="常规 2 3 2 2 4 2 2" xfId="4781"/>
    <cellStyle name="常规 2 3 2 2 4 3" xfId="4794"/>
    <cellStyle name="常规 2 3 2 2 4 4" xfId="15591"/>
    <cellStyle name="常规 2 3 2 2 5" xfId="2311"/>
    <cellStyle name="常规 2 3 2 2 5 2" xfId="2318"/>
    <cellStyle name="常规 2 3 2 2 5 2 2" xfId="15666"/>
    <cellStyle name="常规 2 3 2 2 5 3" xfId="15680"/>
    <cellStyle name="常规 2 3 2 2 5 4" xfId="15690"/>
    <cellStyle name="常规 2 3 2 2 6" xfId="2323"/>
    <cellStyle name="常规 2 3 2 2 6 2" xfId="15778"/>
    <cellStyle name="常规 2 3 2 2 7" xfId="23457"/>
    <cellStyle name="常规 2 3 2 2 7 2" xfId="15879"/>
    <cellStyle name="常规 2 3 2 2 8" xfId="15501"/>
    <cellStyle name="常规 2 3 2 2 9" xfId="23458"/>
    <cellStyle name="常规 2 3 2 3" xfId="23460"/>
    <cellStyle name="常规 2 3 2 3 10" xfId="11436"/>
    <cellStyle name="常规 2 3 2 3 11" xfId="22470"/>
    <cellStyle name="常规 2 3 2 3 2" xfId="23461"/>
    <cellStyle name="常规 2 3 2 3 2 10" xfId="4578"/>
    <cellStyle name="常规 2 3 2 3 2 2" xfId="15490"/>
    <cellStyle name="常规 2 3 2 3 2 2 2" xfId="15493"/>
    <cellStyle name="常规 2 3 2 3 2 2 2 2" xfId="15226"/>
    <cellStyle name="常规 2 3 2 3 2 2 2 2 2" xfId="10808"/>
    <cellStyle name="常规 2 3 2 3 2 2 2 2 2 2" xfId="10814"/>
    <cellStyle name="常规 2 3 2 3 2 2 2 2 3" xfId="10817"/>
    <cellStyle name="常规 2 3 2 3 2 2 2 2 4" xfId="10821"/>
    <cellStyle name="常规 2 3 2 3 2 2 2 3" xfId="15239"/>
    <cellStyle name="常规 2 3 2 3 2 2 2 3 2" xfId="10837"/>
    <cellStyle name="常规 2 3 2 3 2 2 2 4" xfId="15248"/>
    <cellStyle name="常规 2 3 2 3 2 2 2 5" xfId="10723"/>
    <cellStyle name="常规 2 3 2 3 2 2 3" xfId="15495"/>
    <cellStyle name="常规 2 3 2 3 2 2 3 2" xfId="15264"/>
    <cellStyle name="常规 2 3 2 3 2 2 3 2 2" xfId="10267"/>
    <cellStyle name="常规 2 3 2 3 2 2 3 3" xfId="15266"/>
    <cellStyle name="常规 2 3 2 3 2 2 3 4" xfId="15274"/>
    <cellStyle name="常规 2 3 2 3 2 2 4" xfId="15497"/>
    <cellStyle name="常规 2 3 2 3 2 2 4 2" xfId="15279"/>
    <cellStyle name="常规 2 3 2 3 2 2 4 2 2" xfId="15281"/>
    <cellStyle name="常规 2 3 2 3 2 2 4 3" xfId="15284"/>
    <cellStyle name="常规 2 3 2 3 2 2 4 4" xfId="15289"/>
    <cellStyle name="常规 2 3 2 3 2 2 5" xfId="23463"/>
    <cellStyle name="常规 2 3 2 3 2 2 5 2" xfId="15301"/>
    <cellStyle name="常规 2 3 2 3 2 2 6" xfId="23466"/>
    <cellStyle name="常规 2 3 2 3 2 2 7" xfId="15595"/>
    <cellStyle name="常规 2 3 2 3 2 2 8" xfId="15600"/>
    <cellStyle name="常规 2 3 2 3 2 3" xfId="15499"/>
    <cellStyle name="常规 2 3 2 3 2 3 2" xfId="15502"/>
    <cellStyle name="常规 2 3 2 3 2 3 2 2" xfId="15910"/>
    <cellStyle name="常规 2 3 2 3 2 3 2 2 2" xfId="15912"/>
    <cellStyle name="常规 2 3 2 3 2 3 2 3" xfId="15914"/>
    <cellStyle name="常规 2 3 2 3 2 3 2 4" xfId="15919"/>
    <cellStyle name="常规 2 3 2 3 2 3 3" xfId="23459"/>
    <cellStyle name="常规 2 3 2 3 2 3 3 2" xfId="15924"/>
    <cellStyle name="常规 2 3 2 3 2 3 4" xfId="23469"/>
    <cellStyle name="常规 2 3 2 3 2 3 5" xfId="23470"/>
    <cellStyle name="常规 2 3 2 3 2 3 6" xfId="23471"/>
    <cellStyle name="常规 2 3 2 3 2 4" xfId="15504"/>
    <cellStyle name="常规 2 3 2 3 2 4 2" xfId="23472"/>
    <cellStyle name="常规 2 3 2 3 2 4 2 2" xfId="16275"/>
    <cellStyle name="常规 2 3 2 3 2 4 3" xfId="20141"/>
    <cellStyle name="常规 2 3 2 3 2 4 4" xfId="20148"/>
    <cellStyle name="常规 2 3 2 3 2 5" xfId="15506"/>
    <cellStyle name="常规 2 3 2 3 2 5 2" xfId="23476"/>
    <cellStyle name="常规 2 3 2 3 2 5 2 2" xfId="16480"/>
    <cellStyle name="常规 2 3 2 3 2 5 3" xfId="20154"/>
    <cellStyle name="常规 2 3 2 3 2 5 4" xfId="23479"/>
    <cellStyle name="常规 2 3 2 3 2 6" xfId="8033"/>
    <cellStyle name="常规 2 3 2 3 2 6 2" xfId="8036"/>
    <cellStyle name="常规 2 3 2 3 2 7" xfId="8041"/>
    <cellStyle name="常规 2 3 2 3 2 7 2" xfId="23481"/>
    <cellStyle name="常规 2 3 2 3 2 8" xfId="23484"/>
    <cellStyle name="常规 2 3 2 3 2 9" xfId="23486"/>
    <cellStyle name="常规 2 3 2 3 3" xfId="23488"/>
    <cellStyle name="常规 2 3 2 3 3 2" xfId="15518"/>
    <cellStyle name="常规 2 3 2 3 3 2 2" xfId="23490"/>
    <cellStyle name="常规 2 3 2 3 3 2 2 2" xfId="23491"/>
    <cellStyle name="常规 2 3 2 3 3 2 2 2 2" xfId="19094"/>
    <cellStyle name="常规 2 3 2 3 3 2 2 3" xfId="23494"/>
    <cellStyle name="常规 2 3 2 3 3 2 2 4" xfId="23496"/>
    <cellStyle name="常规 2 3 2 3 3 2 3" xfId="23498"/>
    <cellStyle name="常规 2 3 2 3 3 2 3 2" xfId="23499"/>
    <cellStyle name="常规 2 3 2 3 3 2 4" xfId="23501"/>
    <cellStyle name="常规 2 3 2 3 3 2 5" xfId="23502"/>
    <cellStyle name="常规 2 3 2 3 3 3" xfId="15520"/>
    <cellStyle name="常规 2 3 2 3 3 3 2" xfId="23503"/>
    <cellStyle name="常规 2 3 2 3 3 3 2 2" xfId="23505"/>
    <cellStyle name="常规 2 3 2 3 3 3 3" xfId="23506"/>
    <cellStyle name="常规 2 3 2 3 3 3 4" xfId="23508"/>
    <cellStyle name="常规 2 3 2 3 3 4" xfId="15522"/>
    <cellStyle name="常规 2 3 2 3 3 4 2" xfId="23509"/>
    <cellStyle name="常规 2 3 2 3 3 4 2 2" xfId="5206"/>
    <cellStyle name="常规 2 3 2 3 3 4 3" xfId="20159"/>
    <cellStyle name="常规 2 3 2 3 3 4 4" xfId="23512"/>
    <cellStyle name="常规 2 3 2 3 3 5" xfId="23514"/>
    <cellStyle name="常规 2 3 2 3 3 5 2" xfId="23515"/>
    <cellStyle name="常规 2 3 2 3 3 6" xfId="8048"/>
    <cellStyle name="常规 2 3 2 3 3 7" xfId="19911"/>
    <cellStyle name="常规 2 3 2 3 3 8" xfId="19914"/>
    <cellStyle name="常规 2 3 2 3 4" xfId="5502"/>
    <cellStyle name="常规 2 3 2 3 4 2" xfId="4851"/>
    <cellStyle name="常规 2 3 2 3 4 2 2" xfId="15977"/>
    <cellStyle name="常规 2 3 2 3 4 2 2 2" xfId="15978"/>
    <cellStyle name="常规 2 3 2 3 4 2 3" xfId="15991"/>
    <cellStyle name="常规 2 3 2 3 4 2 4" xfId="15998"/>
    <cellStyle name="常规 2 3 2 3 4 3" xfId="16003"/>
    <cellStyle name="常规 2 3 2 3 4 3 2" xfId="16007"/>
    <cellStyle name="常规 2 3 2 3 4 4" xfId="16015"/>
    <cellStyle name="常规 2 3 2 3 4 5" xfId="16028"/>
    <cellStyle name="常规 2 3 2 3 4 6" xfId="16031"/>
    <cellStyle name="常规 2 3 2 3 5" xfId="5505"/>
    <cellStyle name="常规 2 3 2 3 5 2" xfId="15544"/>
    <cellStyle name="常规 2 3 2 3 5 2 2" xfId="16110"/>
    <cellStyle name="常规 2 3 2 3 5 3" xfId="15407"/>
    <cellStyle name="常规 2 3 2 3 5 4" xfId="16154"/>
    <cellStyle name="常规 2 3 2 3 6" xfId="23517"/>
    <cellStyle name="常规 2 3 2 3 6 2" xfId="16201"/>
    <cellStyle name="常规 2 3 2 3 6 2 2" xfId="16204"/>
    <cellStyle name="常规 2 3 2 3 6 3" xfId="16216"/>
    <cellStyle name="常规 2 3 2 3 6 4" xfId="16227"/>
    <cellStyle name="常规 2 3 2 3 7" xfId="23520"/>
    <cellStyle name="常规 2 3 2 3 7 2" xfId="16252"/>
    <cellStyle name="常规 2 3 2 3 8" xfId="23474"/>
    <cellStyle name="常规 2 3 2 3 8 2" xfId="16276"/>
    <cellStyle name="常规 2 3 2 3 9" xfId="20144"/>
    <cellStyle name="常规 2 3 2 4" xfId="23522"/>
    <cellStyle name="常规 2 3 2 4 2" xfId="23523"/>
    <cellStyle name="常规 2 3 2 4 2 2" xfId="15571"/>
    <cellStyle name="常规 2 3 2 4 2 2 2" xfId="23525"/>
    <cellStyle name="常规 2 3 2 4 2 2 2 2" xfId="23526"/>
    <cellStyle name="常规 2 3 2 4 2 2 3" xfId="23527"/>
    <cellStyle name="常规 2 3 2 4 2 2 4" xfId="1697"/>
    <cellStyle name="常规 2 3 2 4 2 3" xfId="23528"/>
    <cellStyle name="常规 2 3 2 4 2 3 2" xfId="23529"/>
    <cellStyle name="常规 2 3 2 4 2 4" xfId="23531"/>
    <cellStyle name="常规 2 3 2 4 2 5" xfId="23532"/>
    <cellStyle name="常规 2 3 2 4 3" xfId="23534"/>
    <cellStyle name="常规 2 3 2 4 3 2" xfId="15578"/>
    <cellStyle name="常规 2 3 2 4 3 2 2" xfId="23537"/>
    <cellStyle name="常规 2 3 2 4 3 3" xfId="23106"/>
    <cellStyle name="常规 2 3 2 4 3 4" xfId="23538"/>
    <cellStyle name="常规 2 3 2 4 4" xfId="5508"/>
    <cellStyle name="常规 2 3 2 4 4 2" xfId="5511"/>
    <cellStyle name="常规 2 3 2 4 4 2 2" xfId="16359"/>
    <cellStyle name="常规 2 3 2 4 4 3" xfId="16374"/>
    <cellStyle name="常规 2 3 2 4 4 4" xfId="16382"/>
    <cellStyle name="常规 2 3 2 4 5" xfId="356"/>
    <cellStyle name="常规 2 3 2 4 5 2" xfId="16417"/>
    <cellStyle name="常规 2 3 2 4 6" xfId="23539"/>
    <cellStyle name="常规 2 3 2 4 7" xfId="23541"/>
    <cellStyle name="常规 2 3 2 4 8" xfId="23477"/>
    <cellStyle name="常规 2 3 2 5" xfId="23543"/>
    <cellStyle name="常规 2 3 2 5 2" xfId="23544"/>
    <cellStyle name="常规 2 3 2 5 2 2" xfId="23545"/>
    <cellStyle name="常规 2 3 2 5 2 2 2" xfId="23546"/>
    <cellStyle name="常规 2 3 2 5 2 3" xfId="23547"/>
    <cellStyle name="常规 2 3 2 5 2 4" xfId="23548"/>
    <cellStyle name="常规 2 3 2 5 3" xfId="23549"/>
    <cellStyle name="常规 2 3 2 5 3 2" xfId="23550"/>
    <cellStyle name="常规 2 3 2 5 4" xfId="5515"/>
    <cellStyle name="常规 2 3 2 5 5" xfId="23551"/>
    <cellStyle name="常规 2 3 2 5 6" xfId="22979"/>
    <cellStyle name="常规 2 3 2 6" xfId="23553"/>
    <cellStyle name="常规 2 3 2 6 2" xfId="23554"/>
    <cellStyle name="常规 2 3 2 6 2 2" xfId="23555"/>
    <cellStyle name="常规 2 3 2 6 3" xfId="23250"/>
    <cellStyle name="常规 2 3 2 6 4" xfId="23252"/>
    <cellStyle name="常规 2 3 2 7" xfId="23556"/>
    <cellStyle name="常规 2 3 2 7 2" xfId="23557"/>
    <cellStyle name="常规 2 3 2 7 2 2" xfId="40"/>
    <cellStyle name="常规 2 3 2 7 3" xfId="23258"/>
    <cellStyle name="常规 2 3 2 7 4" xfId="23558"/>
    <cellStyle name="常规 2 3 2 8" xfId="23560"/>
    <cellStyle name="常规 2 3 2 8 2" xfId="23561"/>
    <cellStyle name="常规 2 3 2 9" xfId="23563"/>
    <cellStyle name="常规 2 3 2 9 2" xfId="23564"/>
    <cellStyle name="常规 2 3 3" xfId="3245"/>
    <cellStyle name="常规 2 3 3 10" xfId="23566"/>
    <cellStyle name="常规 2 3 3 11" xfId="17735"/>
    <cellStyle name="常规 2 3 3 2" xfId="7361"/>
    <cellStyle name="常规 2 3 3 2 10" xfId="23567"/>
    <cellStyle name="常规 2 3 3 2 2" xfId="2389"/>
    <cellStyle name="常规 2 3 3 2 2 2" xfId="2393"/>
    <cellStyle name="常规 2 3 3 2 2 2 2" xfId="6252"/>
    <cellStyle name="常规 2 3 3 2 2 2 2 2" xfId="6255"/>
    <cellStyle name="常规 2 3 3 2 2 2 2 2 2" xfId="254"/>
    <cellStyle name="常规 2 3 3 2 2 2 2 3" xfId="1081"/>
    <cellStyle name="常规 2 3 3 2 2 2 2 4" xfId="895"/>
    <cellStyle name="常规 2 3 3 2 2 2 3" xfId="4163"/>
    <cellStyle name="常规 2 3 3 2 2 2 3 2" xfId="6308"/>
    <cellStyle name="常规 2 3 3 2 2 2 4" xfId="6342"/>
    <cellStyle name="常规 2 3 3 2 2 2 5" xfId="5040"/>
    <cellStyle name="常规 2 3 3 2 2 3" xfId="6357"/>
    <cellStyle name="常规 2 3 3 2 2 3 2" xfId="4427"/>
    <cellStyle name="常规 2 3 3 2 2 3 2 2" xfId="2547"/>
    <cellStyle name="常规 2 3 3 2 2 3 3" xfId="4433"/>
    <cellStyle name="常规 2 3 3 2 2 3 4" xfId="4444"/>
    <cellStyle name="常规 2 3 3 2 2 4" xfId="6365"/>
    <cellStyle name="常规 2 3 3 2 2 4 2" xfId="6368"/>
    <cellStyle name="常规 2 3 3 2 2 4 2 2" xfId="6371"/>
    <cellStyle name="常规 2 3 3 2 2 4 3" xfId="6382"/>
    <cellStyle name="常规 2 3 3 2 2 4 4" xfId="6388"/>
    <cellStyle name="常规 2 3 3 2 2 5" xfId="6390"/>
    <cellStyle name="常规 2 3 3 2 2 5 2" xfId="6393"/>
    <cellStyle name="常规 2 3 3 2 2 6" xfId="6403"/>
    <cellStyle name="常规 2 3 3 2 2 7" xfId="6419"/>
    <cellStyle name="常规 2 3 3 2 2 8" xfId="8107"/>
    <cellStyle name="常规 2 3 3 2 3" xfId="23568"/>
    <cellStyle name="常规 2 3 3 2 3 2" xfId="15647"/>
    <cellStyle name="常规 2 3 3 2 3 2 2" xfId="23570"/>
    <cellStyle name="常规 2 3 3 2 3 2 2 2" xfId="23572"/>
    <cellStyle name="常规 2 3 3 2 3 2 3" xfId="23574"/>
    <cellStyle name="常规 2 3 3 2 3 2 4" xfId="23576"/>
    <cellStyle name="常规 2 3 3 2 3 3" xfId="23578"/>
    <cellStyle name="常规 2 3 3 2 3 3 2" xfId="23580"/>
    <cellStyle name="常规 2 3 3 2 3 4" xfId="23583"/>
    <cellStyle name="常规 2 3 3 2 3 5" xfId="23585"/>
    <cellStyle name="常规 2 3 3 2 3 6" xfId="8126"/>
    <cellStyle name="常规 2 3 3 2 4" xfId="2403"/>
    <cellStyle name="常规 2 3 3 2 4 2" xfId="4025"/>
    <cellStyle name="常规 2 3 3 2 4 2 2" xfId="4028"/>
    <cellStyle name="常规 2 3 3 2 4 3" xfId="4032"/>
    <cellStyle name="常规 2 3 3 2 4 4" xfId="4035"/>
    <cellStyle name="常规 2 3 3 2 5" xfId="5521"/>
    <cellStyle name="常规 2 3 3 2 5 2" xfId="23587"/>
    <cellStyle name="常规 2 3 3 2 5 2 2" xfId="20939"/>
    <cellStyle name="常规 2 3 3 2 5 3" xfId="23593"/>
    <cellStyle name="常规 2 3 3 2 5 4" xfId="12567"/>
    <cellStyle name="常规 2 3 3 2 6" xfId="23597"/>
    <cellStyle name="常规 2 3 3 2 6 2" xfId="23598"/>
    <cellStyle name="常规 2 3 3 2 7" xfId="23602"/>
    <cellStyle name="常规 2 3 3 2 7 2" xfId="23603"/>
    <cellStyle name="常规 2 3 3 2 8" xfId="23504"/>
    <cellStyle name="常规 2 3 3 2 9" xfId="23507"/>
    <cellStyle name="常规 2 3 3 3" xfId="7363"/>
    <cellStyle name="常规 2 3 3 3 2" xfId="17554"/>
    <cellStyle name="常规 2 3 3 3 2 2" xfId="6626"/>
    <cellStyle name="常规 2 3 3 3 2 2 2" xfId="6629"/>
    <cellStyle name="常规 2 3 3 3 2 2 2 2" xfId="84"/>
    <cellStyle name="常规 2 3 3 3 2 2 3" xfId="5177"/>
    <cellStyle name="常规 2 3 3 3 2 2 4" xfId="5186"/>
    <cellStyle name="常规 2 3 3 3 2 3" xfId="6745"/>
    <cellStyle name="常规 2 3 3 3 2 3 2" xfId="6747"/>
    <cellStyle name="常规 2 3 3 3 2 4" xfId="6763"/>
    <cellStyle name="常规 2 3 3 3 2 5" xfId="376"/>
    <cellStyle name="常规 2 3 3 3 3" xfId="17558"/>
    <cellStyle name="常规 2 3 3 3 3 2" xfId="23606"/>
    <cellStyle name="常规 2 3 3 3 3 2 2" xfId="23608"/>
    <cellStyle name="常规 2 3 3 3 3 3" xfId="23609"/>
    <cellStyle name="常规 2 3 3 3 3 4" xfId="23611"/>
    <cellStyle name="常规 2 3 3 3 4" xfId="5525"/>
    <cellStyle name="常规 2 3 3 3 4 2" xfId="23612"/>
    <cellStyle name="常规 2 3 3 3 4 2 2" xfId="23615"/>
    <cellStyle name="常规 2 3 3 3 4 3" xfId="23616"/>
    <cellStyle name="常规 2 3 3 3 4 4" xfId="12611"/>
    <cellStyle name="常规 2 3 3 3 5" xfId="23617"/>
    <cellStyle name="常规 2 3 3 3 5 2" xfId="23618"/>
    <cellStyle name="常规 2 3 3 3 6" xfId="23621"/>
    <cellStyle name="常规 2 3 3 3 7" xfId="23623"/>
    <cellStyle name="常规 2 3 3 3 8" xfId="23510"/>
    <cellStyle name="常规 2 3 3 4" xfId="23625"/>
    <cellStyle name="常规 2 3 3 4 2" xfId="23626"/>
    <cellStyle name="常规 2 3 3 4 2 2" xfId="7026"/>
    <cellStyle name="常规 2 3 3 4 2 2 2" xfId="7029"/>
    <cellStyle name="常规 2 3 3 4 2 3" xfId="7119"/>
    <cellStyle name="常规 2 3 3 4 2 4" xfId="6953"/>
    <cellStyle name="常规 2 3 3 4 3" xfId="23627"/>
    <cellStyle name="常规 2 3 3 4 3 2" xfId="23628"/>
    <cellStyle name="常规 2 3 3 4 4" xfId="23630"/>
    <cellStyle name="常规 2 3 3 4 5" xfId="23631"/>
    <cellStyle name="常规 2 3 3 4 6" xfId="23632"/>
    <cellStyle name="常规 2 3 3 5" xfId="23634"/>
    <cellStyle name="常规 2 3 3 5 2" xfId="23635"/>
    <cellStyle name="常规 2 3 3 5 2 2" xfId="7305"/>
    <cellStyle name="常规 2 3 3 5 3" xfId="23636"/>
    <cellStyle name="常规 2 3 3 5 4" xfId="14560"/>
    <cellStyle name="常规 2 3 3 6" xfId="23637"/>
    <cellStyle name="常规 2 3 3 6 2" xfId="23638"/>
    <cellStyle name="常规 2 3 3 6 2 2" xfId="7750"/>
    <cellStyle name="常规 2 3 3 6 3" xfId="23264"/>
    <cellStyle name="常规 2 3 3 6 4" xfId="14608"/>
    <cellStyle name="常规 2 3 3 7" xfId="23639"/>
    <cellStyle name="常规 2 3 3 7 2" xfId="23641"/>
    <cellStyle name="常规 2 3 3 8" xfId="23642"/>
    <cellStyle name="常规 2 3 3 8 2" xfId="23643"/>
    <cellStyle name="常规 2 3 3 9" xfId="23645"/>
    <cellStyle name="常规 2 3 4" xfId="7365"/>
    <cellStyle name="常规 2 3 4 10" xfId="23646"/>
    <cellStyle name="常规 2 3 4 2" xfId="7367"/>
    <cellStyle name="常规 2 3 4 2 2" xfId="23647"/>
    <cellStyle name="常规 2 3 4 2 2 2" xfId="15752"/>
    <cellStyle name="常规 2 3 4 2 2 2 2" xfId="23648"/>
    <cellStyle name="常规 2 3 4 2 2 2 2 2" xfId="23649"/>
    <cellStyle name="常规 2 3 4 2 2 2 3" xfId="23650"/>
    <cellStyle name="常规 2 3 4 2 2 2 4" xfId="23651"/>
    <cellStyle name="常规 2 3 4 2 2 3" xfId="15754"/>
    <cellStyle name="常规 2 3 4 2 2 3 2" xfId="23652"/>
    <cellStyle name="常规 2 3 4 2 2 4" xfId="15756"/>
    <cellStyle name="常规 2 3 4 2 2 5" xfId="23654"/>
    <cellStyle name="常规 2 3 4 2 3" xfId="23655"/>
    <cellStyle name="常规 2 3 4 2 3 2" xfId="15763"/>
    <cellStyle name="常规 2 3 4 2 3 2 2" xfId="23656"/>
    <cellStyle name="常规 2 3 4 2 3 3" xfId="23658"/>
    <cellStyle name="常规 2 3 4 2 3 4" xfId="23660"/>
    <cellStyle name="常规 2 3 4 2 4" xfId="471"/>
    <cellStyle name="常规 2 3 4 2 4 2" xfId="15774"/>
    <cellStyle name="常规 2 3 4 2 4 2 2" xfId="23661"/>
    <cellStyle name="常规 2 3 4 2 4 3" xfId="23663"/>
    <cellStyle name="常规 2 3 4 2 4 4" xfId="11976"/>
    <cellStyle name="常规 2 3 4 2 5" xfId="23664"/>
    <cellStyle name="常规 2 3 4 2 5 2" xfId="8138"/>
    <cellStyle name="常规 2 3 4 2 6" xfId="23665"/>
    <cellStyle name="常规 2 3 4 2 6 2" xfId="8194"/>
    <cellStyle name="常规 2 3 4 2 7" xfId="23666"/>
    <cellStyle name="常规 2 3 4 2 8" xfId="16008"/>
    <cellStyle name="常规 2 3 4 2 9" xfId="16011"/>
    <cellStyle name="常规 2 3 4 3" xfId="23667"/>
    <cellStyle name="常规 2 3 4 3 2" xfId="23669"/>
    <cellStyle name="常规 2 3 4 3 2 2" xfId="15794"/>
    <cellStyle name="常规 2 3 4 3 2 2 2" xfId="23670"/>
    <cellStyle name="常规 2 3 4 3 2 3" xfId="23671"/>
    <cellStyle name="常规 2 3 4 3 2 4" xfId="23672"/>
    <cellStyle name="常规 2 3 4 3 3" xfId="21523"/>
    <cellStyle name="常规 2 3 4 3 3 2" xfId="15803"/>
    <cellStyle name="常规 2 3 4 3 4" xfId="23673"/>
    <cellStyle name="常规 2 3 4 3 5" xfId="23674"/>
    <cellStyle name="常规 2 3 4 3 6" xfId="23675"/>
    <cellStyle name="常规 2 3 4 4" xfId="23677"/>
    <cellStyle name="常规 2 3 4 4 2" xfId="23679"/>
    <cellStyle name="常规 2 3 4 4 2 2" xfId="23680"/>
    <cellStyle name="常规 2 3 4 4 3" xfId="23681"/>
    <cellStyle name="常规 2 3 4 4 4" xfId="23682"/>
    <cellStyle name="常规 2 3 4 5" xfId="23683"/>
    <cellStyle name="常规 2 3 4 5 2" xfId="23684"/>
    <cellStyle name="常规 2 3 4 5 2 2" xfId="23685"/>
    <cellStyle name="常规 2 3 4 5 3" xfId="23686"/>
    <cellStyle name="常规 2 3 4 5 4" xfId="14664"/>
    <cellStyle name="常规 2 3 4 6" xfId="23687"/>
    <cellStyle name="常规 2 3 4 6 2" xfId="23688"/>
    <cellStyle name="常规 2 3 4 7" xfId="23689"/>
    <cellStyle name="常规 2 3 4 7 2" xfId="23690"/>
    <cellStyle name="常规 2 3 4 8" xfId="23691"/>
    <cellStyle name="常规 2 3 4 9" xfId="23692"/>
    <cellStyle name="常规 2 3 5" xfId="7370"/>
    <cellStyle name="常规 2 3 5 2" xfId="23693"/>
    <cellStyle name="常规 2 3 5 2 2" xfId="23694"/>
    <cellStyle name="常规 2 3 5 2 2 2" xfId="23695"/>
    <cellStyle name="常规 2 3 5 2 2 2 2" xfId="1436"/>
    <cellStyle name="常规 2 3 5 2 2 2 2 2" xfId="23696"/>
    <cellStyle name="常规 2 3 5 2 2 2 3" xfId="16605"/>
    <cellStyle name="常规 2 3 5 2 2 2 4" xfId="23697"/>
    <cellStyle name="常规 2 3 5 2 2 3" xfId="23698"/>
    <cellStyle name="常规 2 3 5 2 2 3 2" xfId="1575"/>
    <cellStyle name="常规 2 3 5 2 2 4" xfId="23699"/>
    <cellStyle name="常规 2 3 5 2 2 5" xfId="23700"/>
    <cellStyle name="常规 2 3 5 2 3" xfId="23701"/>
    <cellStyle name="常规 2 3 5 2 3 2" xfId="23702"/>
    <cellStyle name="常规 2 3 5 2 3 2 2" xfId="23703"/>
    <cellStyle name="常规 2 3 5 2 3 3" xfId="23704"/>
    <cellStyle name="常规 2 3 5 2 3 4" xfId="23705"/>
    <cellStyle name="常规 2 3 5 2 4" xfId="4180"/>
    <cellStyle name="常规 2 3 5 2 4 2" xfId="23706"/>
    <cellStyle name="常规 2 3 5 2 5" xfId="23707"/>
    <cellStyle name="常规 2 3 5 2 6" xfId="23708"/>
    <cellStyle name="常规 2 3 5 2 7" xfId="23709"/>
    <cellStyle name="常规 2 3 5 3" xfId="23710"/>
    <cellStyle name="常规 2 3 5 3 2" xfId="23711"/>
    <cellStyle name="常规 2 3 5 3 2 2" xfId="23712"/>
    <cellStyle name="常规 2 3 5 3 3" xfId="23713"/>
    <cellStyle name="常规 2 3 5 3 4" xfId="23714"/>
    <cellStyle name="常规 2 3 5 4" xfId="23715"/>
    <cellStyle name="常规 2 3 5 4 2" xfId="23716"/>
    <cellStyle name="常规 2 3 5 4 2 2" xfId="9530"/>
    <cellStyle name="常规 2 3 5 4 3" xfId="23717"/>
    <cellStyle name="常规 2 3 5 4 4" xfId="23718"/>
    <cellStyle name="常规 2 3 5 5" xfId="23719"/>
    <cellStyle name="常规 2 3 5 6" xfId="23720"/>
    <cellStyle name="常规 2 3 5 7" xfId="23722"/>
    <cellStyle name="常规 2 3 6" xfId="23723"/>
    <cellStyle name="常规 2 3 6 2" xfId="17802"/>
    <cellStyle name="常规 2 3 6 2 2" xfId="23725"/>
    <cellStyle name="常规 2 3 6 2 2 2" xfId="23726"/>
    <cellStyle name="常规 2 3 6 2 2 2 2" xfId="23727"/>
    <cellStyle name="常规 2 3 6 2 2 3" xfId="23728"/>
    <cellStyle name="常规 2 3 6 2 2 4" xfId="23730"/>
    <cellStyle name="常规 2 3 6 2 3" xfId="23732"/>
    <cellStyle name="常规 2 3 6 2 3 2" xfId="23733"/>
    <cellStyle name="常规 2 3 6 2 4" xfId="23734"/>
    <cellStyle name="常规 2 3 6 2 5" xfId="23735"/>
    <cellStyle name="常规 2 3 6 3" xfId="17804"/>
    <cellStyle name="常规 2 3 6 3 2" xfId="23736"/>
    <cellStyle name="常规 2 3 6 3 2 2" xfId="23737"/>
    <cellStyle name="常规 2 3 6 3 3" xfId="23738"/>
    <cellStyle name="常规 2 3 6 3 4" xfId="23739"/>
    <cellStyle name="常规 2 3 6 4" xfId="18914"/>
    <cellStyle name="常规 2 3 6 4 2" xfId="18916"/>
    <cellStyle name="常规 2 3 6 4 2 2" xfId="23740"/>
    <cellStyle name="常规 2 3 6 4 3" xfId="23741"/>
    <cellStyle name="常规 2 3 6 4 4" xfId="23742"/>
    <cellStyle name="常规 2 3 6 5" xfId="18918"/>
    <cellStyle name="常规 2 3 6 5 2" xfId="23743"/>
    <cellStyle name="常规 2 3 6 6" xfId="18920"/>
    <cellStyle name="常规 2 3 6 7" xfId="23744"/>
    <cellStyle name="常规 2 3 6 8" xfId="23745"/>
    <cellStyle name="常规 2 3 7" xfId="23746"/>
    <cellStyle name="常规 2 3 7 2" xfId="17815"/>
    <cellStyle name="常规 2 3 7 2 2" xfId="23748"/>
    <cellStyle name="常规 2 3 7 2 2 2" xfId="23752"/>
    <cellStyle name="常规 2 3 7 2 3" xfId="23754"/>
    <cellStyle name="常规 2 3 7 2 4" xfId="23756"/>
    <cellStyle name="常规 2 3 7 3" xfId="23758"/>
    <cellStyle name="常规 2 3 7 3 2" xfId="23761"/>
    <cellStyle name="常规 2 3 7 3 2 2" xfId="23764"/>
    <cellStyle name="常规 2 3 7 3 3" xfId="23765"/>
    <cellStyle name="常规 2 3 7 3 4" xfId="23766"/>
    <cellStyle name="常规 2 3 7 4" xfId="18922"/>
    <cellStyle name="常规 2 3 7 4 2" xfId="23767"/>
    <cellStyle name="常规 2 3 7 5" xfId="23769"/>
    <cellStyle name="常规 2 3 7 6" xfId="23772"/>
    <cellStyle name="常规 2 3 7 7" xfId="23774"/>
    <cellStyle name="常规 2 3 8" xfId="23775"/>
    <cellStyle name="常规 2 3 8 2" xfId="17828"/>
    <cellStyle name="常规 2 3 8 2 2" xfId="23777"/>
    <cellStyle name="常规 2 3 8 2 2 2" xfId="23779"/>
    <cellStyle name="常规 2 3 8 2 3" xfId="23781"/>
    <cellStyle name="常规 2 3 8 2 4" xfId="23782"/>
    <cellStyle name="常规 2 3 8 3" xfId="23783"/>
    <cellStyle name="常规 2 3 8 3 2" xfId="23786"/>
    <cellStyle name="常规 2 3 8 3 2 2" xfId="23787"/>
    <cellStyle name="常规 2 3 8 3 3" xfId="23790"/>
    <cellStyle name="常规 2 3 8 3 4" xfId="23791"/>
    <cellStyle name="常规 2 3 8 4" xfId="23792"/>
    <cellStyle name="常规 2 3 8 4 2" xfId="23795"/>
    <cellStyle name="常规 2 3 8 5" xfId="23100"/>
    <cellStyle name="常规 2 3 8 6" xfId="23796"/>
    <cellStyle name="常规 2 3 9" xfId="23797"/>
    <cellStyle name="常规 2 3 9 2" xfId="23799"/>
    <cellStyle name="常规 2 3 9 2 2" xfId="23802"/>
    <cellStyle name="常规 2 3 9 3" xfId="23804"/>
    <cellStyle name="常规 2 3 9 4" xfId="23806"/>
    <cellStyle name="常规 2 4" xfId="23808"/>
    <cellStyle name="常规 2 4 10" xfId="737"/>
    <cellStyle name="常规 2 4 11" xfId="3545"/>
    <cellStyle name="常规 2 4 12" xfId="1699"/>
    <cellStyle name="常规 2 4 2" xfId="23809"/>
    <cellStyle name="常规 2 4 2 10" xfId="23810"/>
    <cellStyle name="常规 2 4 2 11" xfId="22497"/>
    <cellStyle name="常规 2 4 2 12" xfId="22503"/>
    <cellStyle name="常规 2 4 2 2" xfId="23811"/>
    <cellStyle name="常规 2 4 2 2 10" xfId="13801"/>
    <cellStyle name="常规 2 4 2 2 2" xfId="23813"/>
    <cellStyle name="常规 2 4 2 2 2 2" xfId="15960"/>
    <cellStyle name="常规 2 4 2 2 2 2 2" xfId="23815"/>
    <cellStyle name="常规 2 4 2 2 2 2 2 2" xfId="23817"/>
    <cellStyle name="常规 2 4 2 2 2 2 2 2 2" xfId="3347"/>
    <cellStyle name="常规 2 4 2 2 2 2 2 3" xfId="23818"/>
    <cellStyle name="常规 2 4 2 2 2 2 2 4" xfId="23819"/>
    <cellStyle name="常规 2 4 2 2 2 2 3" xfId="23820"/>
    <cellStyle name="常规 2 4 2 2 2 2 3 2" xfId="23821"/>
    <cellStyle name="常规 2 4 2 2 2 2 4" xfId="23822"/>
    <cellStyle name="常规 2 4 2 2 2 2 5" xfId="23823"/>
    <cellStyle name="常规 2 4 2 2 2 3" xfId="10301"/>
    <cellStyle name="常规 2 4 2 2 2 3 2" xfId="23825"/>
    <cellStyle name="常规 2 4 2 2 2 3 2 2" xfId="23826"/>
    <cellStyle name="常规 2 4 2 2 2 3 3" xfId="23827"/>
    <cellStyle name="常规 2 4 2 2 2 3 4" xfId="23829"/>
    <cellStyle name="常规 2 4 2 2 2 4" xfId="23831"/>
    <cellStyle name="常规 2 4 2 2 2 4 2" xfId="23833"/>
    <cellStyle name="常规 2 4 2 2 2 4 2 2" xfId="23834"/>
    <cellStyle name="常规 2 4 2 2 2 4 3" xfId="23836"/>
    <cellStyle name="常规 2 4 2 2 2 4 4" xfId="23838"/>
    <cellStyle name="常规 2 4 2 2 2 5" xfId="23841"/>
    <cellStyle name="常规 2 4 2 2 2 5 2" xfId="23842"/>
    <cellStyle name="常规 2 4 2 2 2 6" xfId="8345"/>
    <cellStyle name="常规 2 4 2 2 2 7" xfId="8350"/>
    <cellStyle name="常规 2 4 2 2 2 8" xfId="23844"/>
    <cellStyle name="常规 2 4 2 2 3" xfId="23846"/>
    <cellStyle name="常规 2 4 2 2 3 2" xfId="15970"/>
    <cellStyle name="常规 2 4 2 2 3 2 2" xfId="12024"/>
    <cellStyle name="常规 2 4 2 2 3 2 2 2" xfId="12027"/>
    <cellStyle name="常规 2 4 2 2 3 2 3" xfId="12029"/>
    <cellStyle name="常规 2 4 2 2 3 2 4" xfId="23848"/>
    <cellStyle name="常规 2 4 2 2 3 3" xfId="23850"/>
    <cellStyle name="常规 2 4 2 2 3 3 2" xfId="12178"/>
    <cellStyle name="常规 2 4 2 2 3 4" xfId="23852"/>
    <cellStyle name="常规 2 4 2 2 3 5" xfId="23854"/>
    <cellStyle name="常规 2 4 2 2 3 6" xfId="8355"/>
    <cellStyle name="常规 2 4 2 2 4" xfId="23855"/>
    <cellStyle name="常规 2 4 2 2 4 2" xfId="23857"/>
    <cellStyle name="常规 2 4 2 2 4 2 2" xfId="12312"/>
    <cellStyle name="常规 2 4 2 2 4 3" xfId="23859"/>
    <cellStyle name="常规 2 4 2 2 4 4" xfId="23860"/>
    <cellStyle name="常规 2 4 2 2 5" xfId="23861"/>
    <cellStyle name="常规 2 4 2 2 5 2" xfId="23863"/>
    <cellStyle name="常规 2 4 2 2 5 2 2" xfId="12405"/>
    <cellStyle name="常规 2 4 2 2 5 3" xfId="23865"/>
    <cellStyle name="常规 2 4 2 2 5 4" xfId="23867"/>
    <cellStyle name="常规 2 4 2 2 6" xfId="23869"/>
    <cellStyle name="常规 2 4 2 2 6 2" xfId="23871"/>
    <cellStyle name="常规 2 4 2 2 7" xfId="23872"/>
    <cellStyle name="常规 2 4 2 2 7 2" xfId="907"/>
    <cellStyle name="常规 2 4 2 2 8" xfId="23530"/>
    <cellStyle name="常规 2 4 2 2 9" xfId="23873"/>
    <cellStyle name="常规 2 4 2 3" xfId="19722"/>
    <cellStyle name="常规 2 4 2 3 10" xfId="23874"/>
    <cellStyle name="常规 2 4 2 3 11" xfId="23875"/>
    <cellStyle name="常规 2 4 2 3 2" xfId="23877"/>
    <cellStyle name="常规 2 4 2 3 2 10" xfId="23879"/>
    <cellStyle name="常规 2 4 2 3 2 2" xfId="23882"/>
    <cellStyle name="常规 2 4 2 3 2 2 2" xfId="23884"/>
    <cellStyle name="常规 2 4 2 3 2 2 2 2" xfId="23885"/>
    <cellStyle name="常规 2 4 2 3 2 2 2 2 2" xfId="23886"/>
    <cellStyle name="常规 2 4 2 3 2 2 2 2 2 2" xfId="23887"/>
    <cellStyle name="常规 2 4 2 3 2 2 2 2 3" xfId="23890"/>
    <cellStyle name="常规 2 4 2 3 2 2 2 2 4" xfId="23892"/>
    <cellStyle name="常规 2 4 2 3 2 2 2 3" xfId="23893"/>
    <cellStyle name="常规 2 4 2 3 2 2 2 3 2" xfId="23894"/>
    <cellStyle name="常规 2 4 2 3 2 2 2 4" xfId="23895"/>
    <cellStyle name="常规 2 4 2 3 2 2 2 5" xfId="23896"/>
    <cellStyle name="常规 2 4 2 3 2 2 3" xfId="4423"/>
    <cellStyle name="常规 2 4 2 3 2 2 3 2" xfId="1956"/>
    <cellStyle name="常规 2 4 2 3 2 2 3 2 2" xfId="1962"/>
    <cellStyle name="常规 2 4 2 3 2 2 3 3" xfId="1966"/>
    <cellStyle name="常规 2 4 2 3 2 2 3 4" xfId="4456"/>
    <cellStyle name="常规 2 4 2 3 2 2 4" xfId="4488"/>
    <cellStyle name="常规 2 4 2 3 2 2 4 2" xfId="2010"/>
    <cellStyle name="常规 2 4 2 3 2 2 4 2 2" xfId="4490"/>
    <cellStyle name="常规 2 4 2 3 2 2 4 3" xfId="2015"/>
    <cellStyle name="常规 2 4 2 3 2 2 4 4" xfId="4499"/>
    <cellStyle name="常规 2 4 2 3 2 2 5" xfId="4533"/>
    <cellStyle name="常规 2 4 2 3 2 2 5 2" xfId="4536"/>
    <cellStyle name="常规 2 4 2 3 2 2 6" xfId="4548"/>
    <cellStyle name="常规 2 4 2 3 2 2 7" xfId="4555"/>
    <cellStyle name="常规 2 4 2 3 2 2 8" xfId="1835"/>
    <cellStyle name="常规 2 4 2 3 2 3" xfId="23897"/>
    <cellStyle name="常规 2 4 2 3 2 3 2" xfId="23900"/>
    <cellStyle name="常规 2 4 2 3 2 3 2 2" xfId="23901"/>
    <cellStyle name="常规 2 4 2 3 2 3 2 2 2" xfId="23902"/>
    <cellStyle name="常规 2 4 2 3 2 3 2 3" xfId="23903"/>
    <cellStyle name="常规 2 4 2 3 2 3 2 4" xfId="23904"/>
    <cellStyle name="常规 2 4 2 3 2 3 3" xfId="4571"/>
    <cellStyle name="常规 2 4 2 3 2 3 3 2" xfId="4573"/>
    <cellStyle name="常规 2 4 2 3 2 3 4" xfId="4600"/>
    <cellStyle name="常规 2 4 2 3 2 3 5" xfId="4610"/>
    <cellStyle name="常规 2 4 2 3 2 3 6" xfId="4618"/>
    <cellStyle name="常规 2 4 2 3 2 4" xfId="23905"/>
    <cellStyle name="常规 2 4 2 3 2 4 2" xfId="23906"/>
    <cellStyle name="常规 2 4 2 3 2 4 2 2" xfId="23908"/>
    <cellStyle name="常规 2 4 2 3 2 4 3" xfId="4630"/>
    <cellStyle name="常规 2 4 2 3 2 4 4" xfId="4635"/>
    <cellStyle name="常规 2 4 2 3 2 5" xfId="22677"/>
    <cellStyle name="常规 2 4 2 3 2 5 2" xfId="22680"/>
    <cellStyle name="常规 2 4 2 3 2 5 2 2" xfId="22683"/>
    <cellStyle name="常规 2 4 2 3 2 5 3" xfId="3815"/>
    <cellStyle name="常规 2 4 2 3 2 5 4" xfId="3826"/>
    <cellStyle name="常规 2 4 2 3 2 6" xfId="8370"/>
    <cellStyle name="常规 2 4 2 3 2 6 2" xfId="22701"/>
    <cellStyle name="常规 2 4 2 3 2 7" xfId="22713"/>
    <cellStyle name="常规 2 4 2 3 2 7 2" xfId="11577"/>
    <cellStyle name="常规 2 4 2 3 2 8" xfId="22718"/>
    <cellStyle name="常规 2 4 2 3 2 9" xfId="22723"/>
    <cellStyle name="常规 2 4 2 3 3" xfId="23911"/>
    <cellStyle name="常规 2 4 2 3 3 2" xfId="23913"/>
    <cellStyle name="常规 2 4 2 3 3 2 2" xfId="12520"/>
    <cellStyle name="常规 2 4 2 3 3 2 2 2" xfId="23914"/>
    <cellStyle name="常规 2 4 2 3 3 2 2 2 2" xfId="23915"/>
    <cellStyle name="常规 2 4 2 3 3 2 2 3" xfId="23917"/>
    <cellStyle name="常规 2 4 2 3 3 2 2 4" xfId="23918"/>
    <cellStyle name="常规 2 4 2 3 3 2 3" xfId="4704"/>
    <cellStyle name="常规 2 4 2 3 3 2 3 2" xfId="3652"/>
    <cellStyle name="常规 2 4 2 3 3 2 4" xfId="4708"/>
    <cellStyle name="常规 2 4 2 3 3 2 5" xfId="4715"/>
    <cellStyle name="常规 2 4 2 3 3 3" xfId="23919"/>
    <cellStyle name="常规 2 4 2 3 3 3 2" xfId="23920"/>
    <cellStyle name="常规 2 4 2 3 3 3 2 2" xfId="23921"/>
    <cellStyle name="常规 2 4 2 3 3 3 3" xfId="4722"/>
    <cellStyle name="常规 2 4 2 3 3 3 4" xfId="4724"/>
    <cellStyle name="常规 2 4 2 3 3 4" xfId="23922"/>
    <cellStyle name="常规 2 4 2 3 3 4 2" xfId="23923"/>
    <cellStyle name="常规 2 4 2 3 3 4 2 2" xfId="4643"/>
    <cellStyle name="常规 2 4 2 3 3 4 3" xfId="4729"/>
    <cellStyle name="常规 2 4 2 3 3 4 4" xfId="4739"/>
    <cellStyle name="常规 2 4 2 3 3 5" xfId="22737"/>
    <cellStyle name="常规 2 4 2 3 3 5 2" xfId="22739"/>
    <cellStyle name="常规 2 4 2 3 3 6" xfId="22779"/>
    <cellStyle name="常规 2 4 2 3 3 7" xfId="22799"/>
    <cellStyle name="常规 2 4 2 3 3 8" xfId="22822"/>
    <cellStyle name="常规 2 4 2 3 4" xfId="23925"/>
    <cellStyle name="常规 2 4 2 3 4 2" xfId="23927"/>
    <cellStyle name="常规 2 4 2 3 4 2 2" xfId="12632"/>
    <cellStyle name="常规 2 4 2 3 4 2 2 2" xfId="12634"/>
    <cellStyle name="常规 2 4 2 3 4 2 3" xfId="4846"/>
    <cellStyle name="常规 2 4 2 3 4 2 4" xfId="4858"/>
    <cellStyle name="常规 2 4 2 3 4 3" xfId="11713"/>
    <cellStyle name="常规 2 4 2 3 4 3 2" xfId="12650"/>
    <cellStyle name="常规 2 4 2 3 4 4" xfId="23928"/>
    <cellStyle name="常规 2 4 2 3 4 5" xfId="22853"/>
    <cellStyle name="常规 2 4 2 3 4 6" xfId="22858"/>
    <cellStyle name="常规 2 4 2 3 5" xfId="23929"/>
    <cellStyle name="常规 2 4 2 3 5 2" xfId="23931"/>
    <cellStyle name="常规 2 4 2 3 5 2 2" xfId="23932"/>
    <cellStyle name="常规 2 4 2 3 5 3" xfId="23933"/>
    <cellStyle name="常规 2 4 2 3 5 4" xfId="23935"/>
    <cellStyle name="常规 2 4 2 3 6" xfId="14013"/>
    <cellStyle name="常规 2 4 2 3 6 2" xfId="14016"/>
    <cellStyle name="常规 2 4 2 3 6 2 2" xfId="14020"/>
    <cellStyle name="常规 2 4 2 3 6 3" xfId="14023"/>
    <cellStyle name="常规 2 4 2 3 6 4" xfId="14028"/>
    <cellStyle name="常规 2 4 2 3 7" xfId="14034"/>
    <cellStyle name="常规 2 4 2 3 7 2" xfId="1020"/>
    <cellStyle name="常规 2 4 2 3 8" xfId="14038"/>
    <cellStyle name="常规 2 4 2 3 8 2" xfId="1052"/>
    <cellStyle name="常规 2 4 2 3 9" xfId="14043"/>
    <cellStyle name="常规 2 4 2 4" xfId="23937"/>
    <cellStyle name="常规 2 4 2 4 2" xfId="17108"/>
    <cellStyle name="常规 2 4 2 4 2 2" xfId="23938"/>
    <cellStyle name="常规 2 4 2 4 2 2 2" xfId="17272"/>
    <cellStyle name="常规 2 4 2 4 2 2 2 2" xfId="17274"/>
    <cellStyle name="常规 2 4 2 4 2 2 3" xfId="17276"/>
    <cellStyle name="常规 2 4 2 4 2 2 4" xfId="17279"/>
    <cellStyle name="常规 2 4 2 4 2 3" xfId="11448"/>
    <cellStyle name="常规 2 4 2 4 2 3 2" xfId="17377"/>
    <cellStyle name="常规 2 4 2 4 2 4" xfId="23939"/>
    <cellStyle name="常规 2 4 2 4 2 5" xfId="22914"/>
    <cellStyle name="常规 2 4 2 4 3" xfId="17111"/>
    <cellStyle name="常规 2 4 2 4 3 2" xfId="23940"/>
    <cellStyle name="常规 2 4 2 4 3 2 2" xfId="12774"/>
    <cellStyle name="常规 2 4 2 4 3 3" xfId="23941"/>
    <cellStyle name="常规 2 4 2 4 3 4" xfId="23942"/>
    <cellStyle name="常规 2 4 2 4 4" xfId="23943"/>
    <cellStyle name="常规 2 4 2 4 4 2" xfId="23944"/>
    <cellStyle name="常规 2 4 2 4 4 2 2" xfId="17642"/>
    <cellStyle name="常规 2 4 2 4 4 3" xfId="11720"/>
    <cellStyle name="常规 2 4 2 4 4 4" xfId="23945"/>
    <cellStyle name="常规 2 4 2 4 5" xfId="23946"/>
    <cellStyle name="常规 2 4 2 4 5 2" xfId="23947"/>
    <cellStyle name="常规 2 4 2 4 6" xfId="14049"/>
    <cellStyle name="常规 2 4 2 4 7" xfId="2023"/>
    <cellStyle name="常规 2 4 2 4 8" xfId="2039"/>
    <cellStyle name="常规 2 4 2 5" xfId="22135"/>
    <cellStyle name="常规 2 4 2 5 2" xfId="17131"/>
    <cellStyle name="常规 2 4 2 5 2 2" xfId="23948"/>
    <cellStyle name="常规 2 4 2 5 2 2 2" xfId="17865"/>
    <cellStyle name="常规 2 4 2 5 2 3" xfId="42"/>
    <cellStyle name="常规 2 4 2 5 2 4" xfId="1721"/>
    <cellStyle name="常规 2 4 2 5 3" xfId="17133"/>
    <cellStyle name="常规 2 4 2 5 3 2" xfId="23949"/>
    <cellStyle name="常规 2 4 2 5 4" xfId="23950"/>
    <cellStyle name="常规 2 4 2 5 5" xfId="23952"/>
    <cellStyle name="常规 2 4 2 5 6" xfId="14058"/>
    <cellStyle name="常规 2 4 2 6" xfId="22139"/>
    <cellStyle name="常规 2 4 2 6 2" xfId="23954"/>
    <cellStyle name="常规 2 4 2 6 2 2" xfId="23955"/>
    <cellStyle name="常规 2 4 2 6 3" xfId="23355"/>
    <cellStyle name="常规 2 4 2 6 4" xfId="23956"/>
    <cellStyle name="常规 2 4 2 7" xfId="22142"/>
    <cellStyle name="常规 2 4 2 7 2" xfId="23958"/>
    <cellStyle name="常规 2 4 2 7 2 2" xfId="23959"/>
    <cellStyle name="常规 2 4 2 7 3" xfId="23960"/>
    <cellStyle name="常规 2 4 2 7 4" xfId="23961"/>
    <cellStyle name="常规 2 4 2 8" xfId="23962"/>
    <cellStyle name="常规 2 4 2 8 2" xfId="23963"/>
    <cellStyle name="常规 2 4 2 9" xfId="23965"/>
    <cellStyle name="常规 2 4 2 9 2" xfId="23966"/>
    <cellStyle name="常规 2 4 3" xfId="6432"/>
    <cellStyle name="常规 2 4 3 10" xfId="5378"/>
    <cellStyle name="常规 2 4 3 11" xfId="5383"/>
    <cellStyle name="常规 2 4 3 2" xfId="971"/>
    <cellStyle name="常规 2 4 3 2 10" xfId="23967"/>
    <cellStyle name="常规 2 4 3 2 2" xfId="23968"/>
    <cellStyle name="常规 2 4 3 2 2 2" xfId="16082"/>
    <cellStyle name="常规 2 4 3 2 2 2 2" xfId="23970"/>
    <cellStyle name="常规 2 4 3 2 2 2 2 2" xfId="23971"/>
    <cellStyle name="常规 2 4 3 2 2 2 2 2 2" xfId="23972"/>
    <cellStyle name="常规 2 4 3 2 2 2 2 3" xfId="23974"/>
    <cellStyle name="常规 2 4 3 2 2 2 2 4" xfId="23975"/>
    <cellStyle name="常规 2 4 3 2 2 2 3" xfId="4868"/>
    <cellStyle name="常规 2 4 3 2 2 2 3 2" xfId="23976"/>
    <cellStyle name="常规 2 4 3 2 2 2 4" xfId="23977"/>
    <cellStyle name="常规 2 4 3 2 2 2 5" xfId="17414"/>
    <cellStyle name="常规 2 4 3 2 2 3" xfId="16085"/>
    <cellStyle name="常规 2 4 3 2 2 3 2" xfId="23978"/>
    <cellStyle name="常规 2 4 3 2 2 3 2 2" xfId="23979"/>
    <cellStyle name="常规 2 4 3 2 2 3 3" xfId="23980"/>
    <cellStyle name="常规 2 4 3 2 2 3 4" xfId="23981"/>
    <cellStyle name="常规 2 4 3 2 2 4" xfId="16087"/>
    <cellStyle name="常规 2 4 3 2 2 4 2" xfId="23982"/>
    <cellStyle name="常规 2 4 3 2 2 4 2 2" xfId="23983"/>
    <cellStyle name="常规 2 4 3 2 2 4 3" xfId="23985"/>
    <cellStyle name="常规 2 4 3 2 2 4 4" xfId="23986"/>
    <cellStyle name="常规 2 4 3 2 2 5" xfId="23987"/>
    <cellStyle name="常规 2 4 3 2 2 5 2" xfId="23988"/>
    <cellStyle name="常规 2 4 3 2 2 6" xfId="8409"/>
    <cellStyle name="常规 2 4 3 2 2 7" xfId="23990"/>
    <cellStyle name="常规 2 4 3 2 2 8" xfId="23992"/>
    <cellStyle name="常规 2 4 3 2 3" xfId="23994"/>
    <cellStyle name="常规 2 4 3 2 3 2" xfId="16093"/>
    <cellStyle name="常规 2 4 3 2 3 2 2" xfId="23996"/>
    <cellStyle name="常规 2 4 3 2 3 2 2 2" xfId="23997"/>
    <cellStyle name="常规 2 4 3 2 3 2 3" xfId="23998"/>
    <cellStyle name="常规 2 4 3 2 3 2 4" xfId="23999"/>
    <cellStyle name="常规 2 4 3 2 3 3" xfId="24000"/>
    <cellStyle name="常规 2 4 3 2 3 3 2" xfId="24001"/>
    <cellStyle name="常规 2 4 3 2 3 4" xfId="24002"/>
    <cellStyle name="常规 2 4 3 2 3 5" xfId="24003"/>
    <cellStyle name="常规 2 4 3 2 3 6" xfId="24004"/>
    <cellStyle name="常规 2 4 3 2 4" xfId="24006"/>
    <cellStyle name="常规 2 4 3 2 4 2" xfId="16100"/>
    <cellStyle name="常规 2 4 3 2 4 2 2" xfId="24008"/>
    <cellStyle name="常规 2 4 3 2 4 3" xfId="24009"/>
    <cellStyle name="常规 2 4 3 2 4 4" xfId="12684"/>
    <cellStyle name="常规 2 4 3 2 5" xfId="24010"/>
    <cellStyle name="常规 2 4 3 2 5 2" xfId="24012"/>
    <cellStyle name="常规 2 4 3 2 5 2 2" xfId="18031"/>
    <cellStyle name="常规 2 4 3 2 5 3" xfId="24014"/>
    <cellStyle name="常规 2 4 3 2 5 4" xfId="24017"/>
    <cellStyle name="常规 2 4 3 2 6" xfId="24019"/>
    <cellStyle name="常规 2 4 3 2 6 2" xfId="24020"/>
    <cellStyle name="常规 2 4 3 2 7" xfId="24021"/>
    <cellStyle name="常规 2 4 3 2 7 2" xfId="24022"/>
    <cellStyle name="常规 2 4 3 2 8" xfId="24023"/>
    <cellStyle name="常规 2 4 3 2 9" xfId="24024"/>
    <cellStyle name="常规 2 4 3 3" xfId="24025"/>
    <cellStyle name="常规 2 4 3 3 2" xfId="24029"/>
    <cellStyle name="常规 2 4 3 3 2 2" xfId="94"/>
    <cellStyle name="常规 2 4 3 3 2 2 2" xfId="9876"/>
    <cellStyle name="常规 2 4 3 3 2 2 2 2" xfId="9878"/>
    <cellStyle name="常规 2 4 3 3 2 2 3" xfId="5045"/>
    <cellStyle name="常规 2 4 3 3 2 2 4" xfId="2535"/>
    <cellStyle name="常规 2 4 3 3 2 3" xfId="98"/>
    <cellStyle name="常规 2 4 3 3 2 3 2" xfId="10042"/>
    <cellStyle name="常规 2 4 3 3 2 4" xfId="104"/>
    <cellStyle name="常规 2 4 3 3 2 5" xfId="80"/>
    <cellStyle name="常规 2 4 3 3 3" xfId="24032"/>
    <cellStyle name="常规 2 4 3 3 3 2" xfId="16130"/>
    <cellStyle name="常规 2 4 3 3 3 2 2" xfId="24034"/>
    <cellStyle name="常规 2 4 3 3 3 3" xfId="24035"/>
    <cellStyle name="常规 2 4 3 3 3 4" xfId="24036"/>
    <cellStyle name="常规 2 4 3 3 4" xfId="24037"/>
    <cellStyle name="常规 2 4 3 3 4 2" xfId="24038"/>
    <cellStyle name="常规 2 4 3 3 4 2 2" xfId="24039"/>
    <cellStyle name="常规 2 4 3 3 4 3" xfId="24040"/>
    <cellStyle name="常规 2 4 3 3 4 4" xfId="24041"/>
    <cellStyle name="常规 2 4 3 3 5" xfId="24042"/>
    <cellStyle name="常规 2 4 3 3 5 2" xfId="24043"/>
    <cellStyle name="常规 2 4 3 3 6" xfId="14085"/>
    <cellStyle name="常规 2 4 3 3 7" xfId="14091"/>
    <cellStyle name="常规 2 4 3 3 8" xfId="14095"/>
    <cellStyle name="常规 2 4 3 4" xfId="24044"/>
    <cellStyle name="常规 2 4 3 4 2" xfId="24046"/>
    <cellStyle name="常规 2 4 3 4 2 2" xfId="24047"/>
    <cellStyle name="常规 2 4 3 4 2 2 2" xfId="19682"/>
    <cellStyle name="常规 2 4 3 4 2 3" xfId="24048"/>
    <cellStyle name="常规 2 4 3 4 2 4" xfId="24049"/>
    <cellStyle name="常规 2 4 3 4 3" xfId="24050"/>
    <cellStyle name="常规 2 4 3 4 3 2" xfId="24051"/>
    <cellStyle name="常规 2 4 3 4 4" xfId="24052"/>
    <cellStyle name="常规 2 4 3 4 5" xfId="24053"/>
    <cellStyle name="常规 2 4 3 4 6" xfId="14101"/>
    <cellStyle name="常规 2 4 3 5" xfId="22147"/>
    <cellStyle name="常规 2 4 3 5 2" xfId="22151"/>
    <cellStyle name="常规 2 4 3 5 2 2" xfId="24054"/>
    <cellStyle name="常规 2 4 3 5 3" xfId="24056"/>
    <cellStyle name="常规 2 4 3 5 4" xfId="14902"/>
    <cellStyle name="常规 2 4 3 6" xfId="22153"/>
    <cellStyle name="常规 2 4 3 6 2" xfId="24057"/>
    <cellStyle name="常规 2 4 3 6 2 2" xfId="24059"/>
    <cellStyle name="常规 2 4 3 6 3" xfId="23361"/>
    <cellStyle name="常规 2 4 3 6 4" xfId="14917"/>
    <cellStyle name="常规 2 4 3 7" xfId="22156"/>
    <cellStyle name="常规 2 4 3 7 2" xfId="24060"/>
    <cellStyle name="常规 2 4 3 8" xfId="24061"/>
    <cellStyle name="常规 2 4 3 8 2" xfId="24063"/>
    <cellStyle name="常规 2 4 3 9" xfId="24064"/>
    <cellStyle name="常规 2 4 4" xfId="6478"/>
    <cellStyle name="常规 2 4 4 2" xfId="24065"/>
    <cellStyle name="常规 2 4 4 2 2" xfId="4148"/>
    <cellStyle name="常规 2 4 4 2 2 2" xfId="4154"/>
    <cellStyle name="常规 2 4 4 2 2 2 2" xfId="6242"/>
    <cellStyle name="常规 2 4 4 2 2 3" xfId="24067"/>
    <cellStyle name="常规 2 4 4 2 2 4" xfId="24068"/>
    <cellStyle name="常规 2 4 4 2 3" xfId="4159"/>
    <cellStyle name="常规 2 4 4 2 3 2" xfId="24069"/>
    <cellStyle name="常规 2 4 4 2 4" xfId="24070"/>
    <cellStyle name="常规 2 4 4 2 5" xfId="24071"/>
    <cellStyle name="常规 2 4 4 3" xfId="24072"/>
    <cellStyle name="常规 2 4 4 3 2" xfId="5025"/>
    <cellStyle name="常规 2 4 4 3 2 2" xfId="24076"/>
    <cellStyle name="常规 2 4 4 3 3" xfId="24077"/>
    <cellStyle name="常规 2 4 4 3 4" xfId="24078"/>
    <cellStyle name="常规 2 4 4 4" xfId="24079"/>
    <cellStyle name="常规 2 4 4 4 2" xfId="5031"/>
    <cellStyle name="常规 2 4 4 4 2 2" xfId="24081"/>
    <cellStyle name="常规 2 4 4 4 3" xfId="24082"/>
    <cellStyle name="常规 2 4 4 4 4" xfId="24083"/>
    <cellStyle name="常规 2 4 4 5" xfId="22162"/>
    <cellStyle name="常规 2 4 4 5 2" xfId="6150"/>
    <cellStyle name="常规 2 4 4 6" xfId="24084"/>
    <cellStyle name="常规 2 4 4 7" xfId="24086"/>
    <cellStyle name="常规 2 4 4 8" xfId="24087"/>
    <cellStyle name="常规 2 4 5" xfId="24088"/>
    <cellStyle name="常规 2 4 5 2" xfId="24090"/>
    <cellStyle name="常规 2 4 5 2 2" xfId="5148"/>
    <cellStyle name="常规 2 4 5 2 2 2" xfId="5155"/>
    <cellStyle name="常规 2 4 5 2 3" xfId="5172"/>
    <cellStyle name="常规 2 4 5 2 4" xfId="3981"/>
    <cellStyle name="常规 2 4 5 3" xfId="24094"/>
    <cellStyle name="常规 2 4 5 3 2" xfId="5216"/>
    <cellStyle name="常规 2 4 5 4" xfId="24097"/>
    <cellStyle name="常规 2 4 5 5" xfId="22169"/>
    <cellStyle name="常规 2 4 5 6" xfId="24101"/>
    <cellStyle name="常规 2 4 6" xfId="24104"/>
    <cellStyle name="常规 2 4 6 2" xfId="17847"/>
    <cellStyle name="常规 2 4 6 2 2" xfId="5250"/>
    <cellStyle name="常规 2 4 6 3" xfId="24107"/>
    <cellStyle name="常规 2 4 6 4" xfId="18933"/>
    <cellStyle name="常规 2 4 7" xfId="24109"/>
    <cellStyle name="常规 2 4 7 2" xfId="9173"/>
    <cellStyle name="常规 2 4 7 2 2" xfId="24112"/>
    <cellStyle name="常规 2 4 7 3" xfId="9177"/>
    <cellStyle name="常规 2 4 7 4" xfId="24115"/>
    <cellStyle name="常规 2 4 8" xfId="24118"/>
    <cellStyle name="常规 2 4 8 2" xfId="9233"/>
    <cellStyle name="常规 2 4 9" xfId="24120"/>
    <cellStyle name="常规 2 4 9 2" xfId="24122"/>
    <cellStyle name="常规 2 5" xfId="24124"/>
    <cellStyle name="常规 2 5 10" xfId="22311"/>
    <cellStyle name="常规 2 5 11" xfId="24125"/>
    <cellStyle name="常规 2 5 12" xfId="24126"/>
    <cellStyle name="常规 2 5 2" xfId="24127"/>
    <cellStyle name="常规 2 5 2 10" xfId="5695"/>
    <cellStyle name="常规 2 5 2 11" xfId="5697"/>
    <cellStyle name="常规 2 5 2 12" xfId="24128"/>
    <cellStyle name="常规 2 5 2 2" xfId="24129"/>
    <cellStyle name="常规 2 5 2 2 10" xfId="12353"/>
    <cellStyle name="常规 2 5 2 2 2" xfId="24130"/>
    <cellStyle name="常规 2 5 2 2 2 2" xfId="16339"/>
    <cellStyle name="常规 2 5 2 2 2 2 2" xfId="24133"/>
    <cellStyle name="常规 2 5 2 2 2 2 2 2" xfId="24137"/>
    <cellStyle name="常规 2 5 2 2 2 2 2 2 2" xfId="24138"/>
    <cellStyle name="常规 2 5 2 2 2 2 2 3" xfId="24139"/>
    <cellStyle name="常规 2 5 2 2 2 2 2 4" xfId="24140"/>
    <cellStyle name="常规 2 5 2 2 2 2 3" xfId="24141"/>
    <cellStyle name="常规 2 5 2 2 2 2 3 2" xfId="24142"/>
    <cellStyle name="常规 2 5 2 2 2 2 4" xfId="24143"/>
    <cellStyle name="常规 2 5 2 2 2 2 5" xfId="24144"/>
    <cellStyle name="常规 2 5 2 2 2 3" xfId="24148"/>
    <cellStyle name="常规 2 5 2 2 2 3 2" xfId="24153"/>
    <cellStyle name="常规 2 5 2 2 2 3 2 2" xfId="24155"/>
    <cellStyle name="常规 2 5 2 2 2 3 3" xfId="24156"/>
    <cellStyle name="常规 2 5 2 2 2 3 4" xfId="24157"/>
    <cellStyle name="常规 2 5 2 2 2 4" xfId="24158"/>
    <cellStyle name="常规 2 5 2 2 2 4 2" xfId="24162"/>
    <cellStyle name="常规 2 5 2 2 2 4 2 2" xfId="24163"/>
    <cellStyle name="常规 2 5 2 2 2 4 3" xfId="24165"/>
    <cellStyle name="常规 2 5 2 2 2 4 4" xfId="24166"/>
    <cellStyle name="常规 2 5 2 2 2 5" xfId="3621"/>
    <cellStyle name="常规 2 5 2 2 2 5 2" xfId="24168"/>
    <cellStyle name="常规 2 5 2 2 2 6" xfId="7166"/>
    <cellStyle name="常规 2 5 2 2 2 7" xfId="8468"/>
    <cellStyle name="常规 2 5 2 2 2 8" xfId="8473"/>
    <cellStyle name="常规 2 5 2 2 3" xfId="24169"/>
    <cellStyle name="常规 2 5 2 2 3 2" xfId="16349"/>
    <cellStyle name="常规 2 5 2 2 3 2 2" xfId="24172"/>
    <cellStyle name="常规 2 5 2 2 3 2 2 2" xfId="24174"/>
    <cellStyle name="常规 2 5 2 2 3 2 3" xfId="24176"/>
    <cellStyle name="常规 2 5 2 2 3 2 4" xfId="24177"/>
    <cellStyle name="常规 2 5 2 2 3 3" xfId="24178"/>
    <cellStyle name="常规 2 5 2 2 3 3 2" xfId="24182"/>
    <cellStyle name="常规 2 5 2 2 3 4" xfId="24183"/>
    <cellStyle name="常规 2 5 2 2 3 5" xfId="3626"/>
    <cellStyle name="常规 2 5 2 2 3 6" xfId="8480"/>
    <cellStyle name="常规 2 5 2 2 4" xfId="24185"/>
    <cellStyle name="常规 2 5 2 2 4 2" xfId="24188"/>
    <cellStyle name="常规 2 5 2 2 4 2 2" xfId="23117"/>
    <cellStyle name="常规 2 5 2 2 4 3" xfId="24190"/>
    <cellStyle name="常规 2 5 2 2 4 4" xfId="24191"/>
    <cellStyle name="常规 2 5 2 2 5" xfId="24192"/>
    <cellStyle name="常规 2 5 2 2 5 2" xfId="7339"/>
    <cellStyle name="常规 2 5 2 2 5 2 2" xfId="7344"/>
    <cellStyle name="常规 2 5 2 2 5 3" xfId="7349"/>
    <cellStyle name="常规 2 5 2 2 5 4" xfId="7358"/>
    <cellStyle name="常规 2 5 2 2 6" xfId="24195"/>
    <cellStyle name="常规 2 5 2 2 6 2" xfId="23724"/>
    <cellStyle name="常规 2 5 2 2 7" xfId="24198"/>
    <cellStyle name="常规 2 5 2 2 7 2" xfId="24105"/>
    <cellStyle name="常规 2 5 2 2 8" xfId="24199"/>
    <cellStyle name="常规 2 5 2 2 9" xfId="24200"/>
    <cellStyle name="常规 2 5 2 3" xfId="24201"/>
    <cellStyle name="常规 2 5 2 3 10" xfId="21886"/>
    <cellStyle name="常规 2 5 2 3 11" xfId="21903"/>
    <cellStyle name="常规 2 5 2 3 2" xfId="12086"/>
    <cellStyle name="常规 2 5 2 3 2 10" xfId="2589"/>
    <cellStyle name="常规 2 5 2 3 2 2" xfId="24202"/>
    <cellStyle name="常规 2 5 2 3 2 2 2" xfId="24205"/>
    <cellStyle name="常规 2 5 2 3 2 2 2 2" xfId="24206"/>
    <cellStyle name="常规 2 5 2 3 2 2 2 2 2" xfId="18752"/>
    <cellStyle name="常规 2 5 2 3 2 2 2 2 2 2" xfId="18753"/>
    <cellStyle name="常规 2 5 2 3 2 2 2 2 3" xfId="18757"/>
    <cellStyle name="常规 2 5 2 3 2 2 2 2 4" xfId="4607"/>
    <cellStyle name="常规 2 5 2 3 2 2 2 3" xfId="24207"/>
    <cellStyle name="常规 2 5 2 3 2 2 2 3 2" xfId="18772"/>
    <cellStyle name="常规 2 5 2 3 2 2 2 4" xfId="24208"/>
    <cellStyle name="常规 2 5 2 3 2 2 2 5" xfId="24209"/>
    <cellStyle name="常规 2 5 2 3 2 2 3" xfId="18259"/>
    <cellStyle name="常规 2 5 2 3 2 2 3 2" xfId="18261"/>
    <cellStyle name="常规 2 5 2 3 2 2 3 2 2" xfId="18839"/>
    <cellStyle name="常规 2 5 2 3 2 2 3 3" xfId="24210"/>
    <cellStyle name="常规 2 5 2 3 2 2 3 4" xfId="24211"/>
    <cellStyle name="常规 2 5 2 3 2 2 4" xfId="18263"/>
    <cellStyle name="常规 2 5 2 3 2 2 4 2" xfId="24212"/>
    <cellStyle name="常规 2 5 2 3 2 2 4 2 2" xfId="18928"/>
    <cellStyle name="常规 2 5 2 3 2 2 4 3" xfId="24213"/>
    <cellStyle name="常规 2 5 2 3 2 2 4 4" xfId="24214"/>
    <cellStyle name="常规 2 5 2 3 2 2 5" xfId="18265"/>
    <cellStyle name="常规 2 5 2 3 2 2 5 2" xfId="24215"/>
    <cellStyle name="常规 2 5 2 3 2 2 6" xfId="24216"/>
    <cellStyle name="常规 2 5 2 3 2 2 7" xfId="24218"/>
    <cellStyle name="常规 2 5 2 3 2 2 8" xfId="24220"/>
    <cellStyle name="常规 2 5 2 3 2 3" xfId="24221"/>
    <cellStyle name="常规 2 5 2 3 2 3 2" xfId="24225"/>
    <cellStyle name="常规 2 5 2 3 2 3 2 2" xfId="24226"/>
    <cellStyle name="常规 2 5 2 3 2 3 2 2 2" xfId="18998"/>
    <cellStyle name="常规 2 5 2 3 2 3 2 3" xfId="24227"/>
    <cellStyle name="常规 2 5 2 3 2 3 2 4" xfId="24228"/>
    <cellStyle name="常规 2 5 2 3 2 3 3" xfId="18269"/>
    <cellStyle name="常规 2 5 2 3 2 3 3 2" xfId="24229"/>
    <cellStyle name="常规 2 5 2 3 2 3 4" xfId="24230"/>
    <cellStyle name="常规 2 5 2 3 2 3 5" xfId="24231"/>
    <cellStyle name="常规 2 5 2 3 2 3 6" xfId="24232"/>
    <cellStyle name="常规 2 5 2 3 2 4" xfId="24233"/>
    <cellStyle name="常规 2 5 2 3 2 4 2" xfId="24234"/>
    <cellStyle name="常规 2 5 2 3 2 4 2 2" xfId="1779"/>
    <cellStyle name="常规 2 5 2 3 2 4 3" xfId="24236"/>
    <cellStyle name="常规 2 5 2 3 2 4 4" xfId="24239"/>
    <cellStyle name="常规 2 5 2 3 2 5" xfId="23780"/>
    <cellStyle name="常规 2 5 2 3 2 5 2" xfId="24241"/>
    <cellStyle name="常规 2 5 2 3 2 5 2 2" xfId="24243"/>
    <cellStyle name="常规 2 5 2 3 2 5 3" xfId="24244"/>
    <cellStyle name="常规 2 5 2 3 2 5 4" xfId="24246"/>
    <cellStyle name="常规 2 5 2 3 2 6" xfId="8518"/>
    <cellStyle name="常规 2 5 2 3 2 6 2" xfId="8520"/>
    <cellStyle name="常规 2 5 2 3 2 7" xfId="8525"/>
    <cellStyle name="常规 2 5 2 3 2 7 2" xfId="24247"/>
    <cellStyle name="常规 2 5 2 3 2 8" xfId="24249"/>
    <cellStyle name="常规 2 5 2 3 2 9" xfId="6171"/>
    <cellStyle name="常规 2 5 2 3 3" xfId="24251"/>
    <cellStyle name="常规 2 5 2 3 3 2" xfId="24254"/>
    <cellStyle name="常规 2 5 2 3 3 2 2" xfId="24255"/>
    <cellStyle name="常规 2 5 2 3 3 2 2 2" xfId="24256"/>
    <cellStyle name="常规 2 5 2 3 3 2 2 2 2" xfId="19170"/>
    <cellStyle name="常规 2 5 2 3 3 2 2 3" xfId="24258"/>
    <cellStyle name="常规 2 5 2 3 3 2 2 4" xfId="24260"/>
    <cellStyle name="常规 2 5 2 3 3 2 3" xfId="18704"/>
    <cellStyle name="常规 2 5 2 3 3 2 3 2" xfId="24262"/>
    <cellStyle name="常规 2 5 2 3 3 2 4" xfId="24264"/>
    <cellStyle name="常规 2 5 2 3 3 2 5" xfId="24265"/>
    <cellStyle name="常规 2 5 2 3 3 3" xfId="24266"/>
    <cellStyle name="常规 2 5 2 3 3 3 2" xfId="24267"/>
    <cellStyle name="常规 2 5 2 3 3 3 2 2" xfId="24268"/>
    <cellStyle name="常规 2 5 2 3 3 3 3" xfId="18707"/>
    <cellStyle name="常规 2 5 2 3 3 3 4" xfId="24270"/>
    <cellStyle name="常规 2 5 2 3 3 4" xfId="24271"/>
    <cellStyle name="常规 2 5 2 3 3 4 2" xfId="24272"/>
    <cellStyle name="常规 2 5 2 3 3 4 2 2" xfId="1890"/>
    <cellStyle name="常规 2 5 2 3 3 4 3" xfId="24274"/>
    <cellStyle name="常规 2 5 2 3 3 4 4" xfId="24275"/>
    <cellStyle name="常规 2 5 2 3 3 5" xfId="24276"/>
    <cellStyle name="常规 2 5 2 3 3 5 2" xfId="24277"/>
    <cellStyle name="常规 2 5 2 3 3 6" xfId="8530"/>
    <cellStyle name="常规 2 5 2 3 3 7" xfId="24278"/>
    <cellStyle name="常规 2 5 2 3 3 8" xfId="24280"/>
    <cellStyle name="常规 2 5 2 3 4" xfId="24282"/>
    <cellStyle name="常规 2 5 2 3 4 2" xfId="24285"/>
    <cellStyle name="常规 2 5 2 3 4 2 2" xfId="14803"/>
    <cellStyle name="常规 2 5 2 3 4 2 2 2" xfId="14805"/>
    <cellStyle name="常规 2 5 2 3 4 2 3" xfId="7951"/>
    <cellStyle name="常规 2 5 2 3 4 2 4" xfId="14816"/>
    <cellStyle name="常规 2 5 2 3 4 3" xfId="24286"/>
    <cellStyle name="常规 2 5 2 3 4 3 2" xfId="14856"/>
    <cellStyle name="常规 2 5 2 3 4 4" xfId="24287"/>
    <cellStyle name="常规 2 5 2 3 4 5" xfId="24288"/>
    <cellStyle name="常规 2 5 2 3 4 6" xfId="24289"/>
    <cellStyle name="常规 2 5 2 3 5" xfId="24291"/>
    <cellStyle name="常规 2 5 2 3 5 2" xfId="4295"/>
    <cellStyle name="常规 2 5 2 3 5 2 2" xfId="14945"/>
    <cellStyle name="常规 2 5 2 3 5 3" xfId="24293"/>
    <cellStyle name="常规 2 5 2 3 5 4" xfId="21355"/>
    <cellStyle name="常规 2 5 2 3 6" xfId="14148"/>
    <cellStyle name="常规 2 5 2 3 6 2" xfId="14153"/>
    <cellStyle name="常规 2 5 2 3 6 2 2" xfId="15102"/>
    <cellStyle name="常规 2 5 2 3 6 3" xfId="24296"/>
    <cellStyle name="常规 2 5 2 3 6 4" xfId="21370"/>
    <cellStyle name="常规 2 5 2 3 7" xfId="14157"/>
    <cellStyle name="常规 2 5 2 3 7 2" xfId="24299"/>
    <cellStyle name="常规 2 5 2 3 8" xfId="14160"/>
    <cellStyle name="常规 2 5 2 3 8 2" xfId="24301"/>
    <cellStyle name="常规 2 5 2 3 9" xfId="24303"/>
    <cellStyle name="常规 2 5 2 4" xfId="24304"/>
    <cellStyle name="常规 2 5 2 4 2" xfId="24305"/>
    <cellStyle name="常规 2 5 2 4 2 2" xfId="24308"/>
    <cellStyle name="常规 2 5 2 4 2 2 2" xfId="24310"/>
    <cellStyle name="常规 2 5 2 4 2 2 2 2" xfId="24314"/>
    <cellStyle name="常规 2 5 2 4 2 2 3" xfId="21106"/>
    <cellStyle name="常规 2 5 2 4 2 2 4" xfId="24316"/>
    <cellStyle name="常规 2 5 2 4 2 3" xfId="24318"/>
    <cellStyle name="常规 2 5 2 4 2 3 2" xfId="24321"/>
    <cellStyle name="常规 2 5 2 4 2 4" xfId="24323"/>
    <cellStyle name="常规 2 5 2 4 2 5" xfId="23789"/>
    <cellStyle name="常规 2 5 2 4 3" xfId="7"/>
    <cellStyle name="常规 2 5 2 4 3 2" xfId="24325"/>
    <cellStyle name="常规 2 5 2 4 3 2 2" xfId="24328"/>
    <cellStyle name="常规 2 5 2 4 3 3" xfId="24330"/>
    <cellStyle name="常规 2 5 2 4 3 4" xfId="24331"/>
    <cellStyle name="常规 2 5 2 4 4" xfId="24332"/>
    <cellStyle name="常规 2 5 2 4 4 2" xfId="24334"/>
    <cellStyle name="常规 2 5 2 4 4 2 2" xfId="15535"/>
    <cellStyle name="常规 2 5 2 4 4 3" xfId="24336"/>
    <cellStyle name="常规 2 5 2 4 4 4" xfId="24337"/>
    <cellStyle name="常规 2 5 2 4 5" xfId="24338"/>
    <cellStyle name="常规 2 5 2 4 5 2" xfId="24339"/>
    <cellStyle name="常规 2 5 2 4 6" xfId="14165"/>
    <cellStyle name="常规 2 5 2 4 7" xfId="2217"/>
    <cellStyle name="常规 2 5 2 4 8" xfId="24341"/>
    <cellStyle name="常规 2 5 2 5" xfId="22194"/>
    <cellStyle name="常规 2 5 2 5 2" xfId="22196"/>
    <cellStyle name="常规 2 5 2 5 2 2" xfId="24342"/>
    <cellStyle name="常规 2 5 2 5 2 2 2" xfId="23467"/>
    <cellStyle name="常规 2 5 2 5 2 3" xfId="24344"/>
    <cellStyle name="常规 2 5 2 5 2 4" xfId="24345"/>
    <cellStyle name="常规 2 5 2 5 3" xfId="24346"/>
    <cellStyle name="常规 2 5 2 5 3 2" xfId="24348"/>
    <cellStyle name="常规 2 5 2 5 4" xfId="24349"/>
    <cellStyle name="常规 2 5 2 5 5" xfId="24351"/>
    <cellStyle name="常规 2 5 2 5 6" xfId="24352"/>
    <cellStyle name="常规 2 5 2 6" xfId="22201"/>
    <cellStyle name="常规 2 5 2 6 2" xfId="24353"/>
    <cellStyle name="常规 2 5 2 6 2 2" xfId="24355"/>
    <cellStyle name="常规 2 5 2 6 3" xfId="24356"/>
    <cellStyle name="常规 2 5 2 6 4" xfId="24357"/>
    <cellStyle name="常规 2 5 2 7" xfId="22204"/>
    <cellStyle name="常规 2 5 2 7 2" xfId="24358"/>
    <cellStyle name="常规 2 5 2 7 2 2" xfId="24360"/>
    <cellStyle name="常规 2 5 2 7 3" xfId="24361"/>
    <cellStyle name="常规 2 5 2 7 4" xfId="24362"/>
    <cellStyle name="常规 2 5 2 8" xfId="24363"/>
    <cellStyle name="常规 2 5 2 8 2" xfId="24364"/>
    <cellStyle name="常规 2 5 2 9" xfId="3392"/>
    <cellStyle name="常规 2 5 2 9 2" xfId="3396"/>
    <cellStyle name="常规 2 5 3" xfId="5113"/>
    <cellStyle name="常规 2 5 3 10" xfId="15965"/>
    <cellStyle name="常规 2 5 3 11" xfId="24365"/>
    <cellStyle name="常规 2 5 3 2" xfId="2632"/>
    <cellStyle name="常规 2 5 3 2 10" xfId="24366"/>
    <cellStyle name="常规 2 5 3 2 2" xfId="20053"/>
    <cellStyle name="常规 2 5 3 2 2 2" xfId="24367"/>
    <cellStyle name="常规 2 5 3 2 2 2 2" xfId="24369"/>
    <cellStyle name="常规 2 5 3 2 2 2 2 2" xfId="24370"/>
    <cellStyle name="常规 2 5 3 2 2 2 2 2 2" xfId="18589"/>
    <cellStyle name="常规 2 5 3 2 2 2 2 3" xfId="24371"/>
    <cellStyle name="常规 2 5 3 2 2 2 2 4" xfId="18779"/>
    <cellStyle name="常规 2 5 3 2 2 2 3" xfId="5459"/>
    <cellStyle name="常规 2 5 3 2 2 2 3 2" xfId="24372"/>
    <cellStyle name="常规 2 5 3 2 2 2 4" xfId="24373"/>
    <cellStyle name="常规 2 5 3 2 2 2 5" xfId="16888"/>
    <cellStyle name="常规 2 5 3 2 2 3" xfId="24374"/>
    <cellStyle name="常规 2 5 3 2 2 3 2" xfId="24376"/>
    <cellStyle name="常规 2 5 3 2 2 3 2 2" xfId="24377"/>
    <cellStyle name="常规 2 5 3 2 2 3 3" xfId="24378"/>
    <cellStyle name="常规 2 5 3 2 2 3 4" xfId="24379"/>
    <cellStyle name="常规 2 5 3 2 2 4" xfId="24380"/>
    <cellStyle name="常规 2 5 3 2 2 4 2" xfId="24381"/>
    <cellStyle name="常规 2 5 3 2 2 4 2 2" xfId="24382"/>
    <cellStyle name="常规 2 5 3 2 2 4 3" xfId="24384"/>
    <cellStyle name="常规 2 5 3 2 2 4 4" xfId="24385"/>
    <cellStyle name="常规 2 5 3 2 2 5" xfId="24386"/>
    <cellStyle name="常规 2 5 3 2 2 5 2" xfId="24387"/>
    <cellStyle name="常规 2 5 3 2 2 6" xfId="1025"/>
    <cellStyle name="常规 2 5 3 2 2 7" xfId="8573"/>
    <cellStyle name="常规 2 5 3 2 2 8" xfId="24388"/>
    <cellStyle name="常规 2 5 3 2 3" xfId="24390"/>
    <cellStyle name="常规 2 5 3 2 3 2" xfId="24392"/>
    <cellStyle name="常规 2 5 3 2 3 2 2" xfId="24393"/>
    <cellStyle name="常规 2 5 3 2 3 2 2 2" xfId="24394"/>
    <cellStyle name="常规 2 5 3 2 3 2 3" xfId="24395"/>
    <cellStyle name="常规 2 5 3 2 3 2 4" xfId="24396"/>
    <cellStyle name="常规 2 5 3 2 3 3" xfId="24397"/>
    <cellStyle name="常规 2 5 3 2 3 3 2" xfId="24398"/>
    <cellStyle name="常规 2 5 3 2 3 4" xfId="24399"/>
    <cellStyle name="常规 2 5 3 2 3 5" xfId="24400"/>
    <cellStyle name="常规 2 5 3 2 3 6" xfId="1055"/>
    <cellStyle name="常规 2 5 3 2 4" xfId="24401"/>
    <cellStyle name="常规 2 5 3 2 4 2" xfId="24403"/>
    <cellStyle name="常规 2 5 3 2 4 2 2" xfId="24404"/>
    <cellStyle name="常规 2 5 3 2 4 3" xfId="24405"/>
    <cellStyle name="常规 2 5 3 2 4 4" xfId="24406"/>
    <cellStyle name="常规 2 5 3 2 5" xfId="24407"/>
    <cellStyle name="常规 2 5 3 2 5 2" xfId="24409"/>
    <cellStyle name="常规 2 5 3 2 5 2 2" xfId="24410"/>
    <cellStyle name="常规 2 5 3 2 5 3" xfId="24412"/>
    <cellStyle name="常规 2 5 3 2 5 4" xfId="24414"/>
    <cellStyle name="常规 2 5 3 2 6" xfId="24416"/>
    <cellStyle name="常规 2 5 3 2 6 2" xfId="12184"/>
    <cellStyle name="常规 2 5 3 2 7" xfId="24417"/>
    <cellStyle name="常规 2 5 3 2 7 2" xfId="12322"/>
    <cellStyle name="常规 2 5 3 2 8" xfId="24418"/>
    <cellStyle name="常规 2 5 3 2 9" xfId="24419"/>
    <cellStyle name="常规 2 5 3 3" xfId="24420"/>
    <cellStyle name="常规 2 5 3 3 2" xfId="24422"/>
    <cellStyle name="常规 2 5 3 3 2 2" xfId="16268"/>
    <cellStyle name="常规 2 5 3 3 2 2 2" xfId="16271"/>
    <cellStyle name="常规 2 5 3 3 2 2 2 2" xfId="16274"/>
    <cellStyle name="常规 2 5 3 3 2 2 3" xfId="16277"/>
    <cellStyle name="常规 2 5 3 3 2 2 4" xfId="16280"/>
    <cellStyle name="常规 2 5 3 3 2 3" xfId="16284"/>
    <cellStyle name="常规 2 5 3 3 2 3 2" xfId="16288"/>
    <cellStyle name="常规 2 5 3 3 2 4" xfId="16296"/>
    <cellStyle name="常规 2 5 3 3 2 5" xfId="16300"/>
    <cellStyle name="常规 2 5 3 3 3" xfId="24425"/>
    <cellStyle name="常规 2 5 3 3 3 2" xfId="16474"/>
    <cellStyle name="常规 2 5 3 3 3 2 2" xfId="16477"/>
    <cellStyle name="常规 2 5 3 3 3 3" xfId="16483"/>
    <cellStyle name="常规 2 5 3 3 3 4" xfId="16487"/>
    <cellStyle name="常规 2 5 3 3 4" xfId="24427"/>
    <cellStyle name="常规 2 5 3 3 4 2" xfId="16568"/>
    <cellStyle name="常规 2 5 3 3 4 2 2" xfId="24428"/>
    <cellStyle name="常规 2 5 3 3 4 3" xfId="16571"/>
    <cellStyle name="常规 2 5 3 3 4 4" xfId="16574"/>
    <cellStyle name="常规 2 5 3 3 5" xfId="24429"/>
    <cellStyle name="常规 2 5 3 3 5 2" xfId="16595"/>
    <cellStyle name="常规 2 5 3 3 6" xfId="14180"/>
    <cellStyle name="常规 2 5 3 3 7" xfId="21566"/>
    <cellStyle name="常规 2 5 3 3 8" xfId="21568"/>
    <cellStyle name="常规 2 5 3 4" xfId="24430"/>
    <cellStyle name="常规 2 5 3 4 2" xfId="24431"/>
    <cellStyle name="常规 2 5 3 4 2 2" xfId="24432"/>
    <cellStyle name="常规 2 5 3 4 2 2 2" xfId="2539"/>
    <cellStyle name="常规 2 5 3 4 2 3" xfId="2544"/>
    <cellStyle name="常规 2 5 3 4 2 4" xfId="24435"/>
    <cellStyle name="常规 2 5 3 4 3" xfId="24437"/>
    <cellStyle name="常规 2 5 3 4 3 2" xfId="24439"/>
    <cellStyle name="常规 2 5 3 4 4" xfId="24442"/>
    <cellStyle name="常规 2 5 3 4 5" xfId="24445"/>
    <cellStyle name="常规 2 5 3 4 6" xfId="24447"/>
    <cellStyle name="常规 2 5 3 5" xfId="22209"/>
    <cellStyle name="常规 2 5 3 5 2" xfId="24449"/>
    <cellStyle name="常规 2 5 3 5 2 2" xfId="24451"/>
    <cellStyle name="常规 2 5 3 5 3" xfId="24454"/>
    <cellStyle name="常规 2 5 3 5 4" xfId="14981"/>
    <cellStyle name="常规 2 5 3 6" xfId="24456"/>
    <cellStyle name="常规 2 5 3 6 2" xfId="24458"/>
    <cellStyle name="常规 2 5 3 6 2 2" xfId="9739"/>
    <cellStyle name="常规 2 5 3 6 3" xfId="24459"/>
    <cellStyle name="常规 2 5 3 6 4" xfId="15018"/>
    <cellStyle name="常规 2 5 3 7" xfId="24461"/>
    <cellStyle name="常规 2 5 3 7 2" xfId="24462"/>
    <cellStyle name="常规 2 5 3 8" xfId="24463"/>
    <cellStyle name="常规 2 5 3 8 2" xfId="24464"/>
    <cellStyle name="常规 2 5 3 9" xfId="4300"/>
    <cellStyle name="常规 2 5 4" xfId="5118"/>
    <cellStyle name="常规 2 5 4 2" xfId="24465"/>
    <cellStyle name="常规 2 5 4 2 2" xfId="5297"/>
    <cellStyle name="常规 2 5 4 2 2 2" xfId="24466"/>
    <cellStyle name="常规 2 5 4 2 2 2 2" xfId="24467"/>
    <cellStyle name="常规 2 5 4 2 2 3" xfId="24468"/>
    <cellStyle name="常规 2 5 4 2 2 4" xfId="24469"/>
    <cellStyle name="常规 2 5 4 2 3" xfId="24470"/>
    <cellStyle name="常规 2 5 4 2 3 2" xfId="24471"/>
    <cellStyle name="常规 2 5 4 2 4" xfId="24472"/>
    <cellStyle name="常规 2 5 4 2 5" xfId="24473"/>
    <cellStyle name="常规 2 5 4 3" xfId="24476"/>
    <cellStyle name="常规 2 5 4 3 2" xfId="5311"/>
    <cellStyle name="常规 2 5 4 3 2 2" xfId="24477"/>
    <cellStyle name="常规 2 5 4 3 3" xfId="24479"/>
    <cellStyle name="常规 2 5 4 3 4" xfId="24480"/>
    <cellStyle name="常规 2 5 4 4" xfId="24481"/>
    <cellStyle name="常规 2 5 4 4 2" xfId="24482"/>
    <cellStyle name="常规 2 5 4 4 2 2" xfId="24483"/>
    <cellStyle name="常规 2 5 4 4 3" xfId="24485"/>
    <cellStyle name="常规 2 5 4 4 4" xfId="24487"/>
    <cellStyle name="常规 2 5 4 5" xfId="24489"/>
    <cellStyle name="常规 2 5 4 5 2" xfId="24490"/>
    <cellStyle name="常规 2 5 4 6" xfId="24491"/>
    <cellStyle name="常规 2 5 4 7" xfId="24492"/>
    <cellStyle name="常规 2 5 4 8" xfId="24493"/>
    <cellStyle name="常规 2 5 5" xfId="24494"/>
    <cellStyle name="常规 2 5 5 2" xfId="24496"/>
    <cellStyle name="常规 2 5 5 2 2" xfId="24497"/>
    <cellStyle name="常规 2 5 5 2 2 2" xfId="24498"/>
    <cellStyle name="常规 2 5 5 2 3" xfId="24501"/>
    <cellStyle name="常规 2 5 5 2 4" xfId="24502"/>
    <cellStyle name="常规 2 5 5 3" xfId="24503"/>
    <cellStyle name="常规 2 5 5 3 2" xfId="24504"/>
    <cellStyle name="常规 2 5 5 4" xfId="24505"/>
    <cellStyle name="常规 2 5 5 5" xfId="24507"/>
    <cellStyle name="常规 2 5 5 6" xfId="24509"/>
    <cellStyle name="常规 2 5 6" xfId="24511"/>
    <cellStyle name="常规 2 5 6 2" xfId="24512"/>
    <cellStyle name="常规 2 5 6 2 2" xfId="24513"/>
    <cellStyle name="常规 2 5 6 3" xfId="24514"/>
    <cellStyle name="常规 2 5 6 4" xfId="18944"/>
    <cellStyle name="常规 2 5 7" xfId="24515"/>
    <cellStyle name="常规 2 5 7 2" xfId="24517"/>
    <cellStyle name="常规 2 5 7 2 2" xfId="24519"/>
    <cellStyle name="常规 2 5 7 3" xfId="24520"/>
    <cellStyle name="常规 2 5 7 4" xfId="24521"/>
    <cellStyle name="常规 2 5 8" xfId="24522"/>
    <cellStyle name="常规 2 5 8 2" xfId="24524"/>
    <cellStyle name="常规 2 5 9" xfId="24525"/>
    <cellStyle name="常规 2 5 9 2" xfId="24527"/>
    <cellStyle name="常规 2 6" xfId="24528"/>
    <cellStyle name="常规 2 6 10" xfId="24530"/>
    <cellStyle name="常规 2 6 11" xfId="24532"/>
    <cellStyle name="常规 2 6 12" xfId="24533"/>
    <cellStyle name="常规 2 6 2" xfId="24534"/>
    <cellStyle name="常规 2 6 2 10" xfId="24535"/>
    <cellStyle name="常规 2 6 2 11" xfId="13218"/>
    <cellStyle name="常规 2 6 2 12" xfId="13239"/>
    <cellStyle name="常规 2 6 2 2" xfId="9684"/>
    <cellStyle name="常规 2 6 2 2 10" xfId="14746"/>
    <cellStyle name="常规 2 6 2 2 2" xfId="24537"/>
    <cellStyle name="常规 2 6 2 2 2 2" xfId="24540"/>
    <cellStyle name="常规 2 6 2 2 2 2 2" xfId="24543"/>
    <cellStyle name="常规 2 6 2 2 2 2 2 2" xfId="24545"/>
    <cellStyle name="常规 2 6 2 2 2 2 2 2 2" xfId="24546"/>
    <cellStyle name="常规 2 6 2 2 2 2 2 3" xfId="24547"/>
    <cellStyle name="常规 2 6 2 2 2 2 2 4" xfId="17496"/>
    <cellStyle name="常规 2 6 2 2 2 2 3" xfId="13433"/>
    <cellStyle name="常规 2 6 2 2 2 2 3 2" xfId="24548"/>
    <cellStyle name="常规 2 6 2 2 2 2 4" xfId="24550"/>
    <cellStyle name="常规 2 6 2 2 2 2 5" xfId="24551"/>
    <cellStyle name="常规 2 6 2 2 2 3" xfId="24557"/>
    <cellStyle name="常规 2 6 2 2 2 3 2" xfId="24560"/>
    <cellStyle name="常规 2 6 2 2 2 3 2 2" xfId="24561"/>
    <cellStyle name="常规 2 6 2 2 2 3 3" xfId="13438"/>
    <cellStyle name="常规 2 6 2 2 2 3 4" xfId="24562"/>
    <cellStyle name="常规 2 6 2 2 2 4" xfId="24563"/>
    <cellStyle name="常规 2 6 2 2 2 4 2" xfId="24565"/>
    <cellStyle name="常规 2 6 2 2 2 4 2 2" xfId="24566"/>
    <cellStyle name="常规 2 6 2 2 2 4 3" xfId="24568"/>
    <cellStyle name="常规 2 6 2 2 2 4 4" xfId="24569"/>
    <cellStyle name="常规 2 6 2 2 2 5" xfId="24572"/>
    <cellStyle name="常规 2 6 2 2 2 5 2" xfId="24573"/>
    <cellStyle name="常规 2 6 2 2 2 6" xfId="8646"/>
    <cellStyle name="常规 2 6 2 2 2 7" xfId="24574"/>
    <cellStyle name="常规 2 6 2 2 2 8" xfId="24576"/>
    <cellStyle name="常规 2 6 2 2 3" xfId="24578"/>
    <cellStyle name="常规 2 6 2 2 3 2" xfId="24580"/>
    <cellStyle name="常规 2 6 2 2 3 2 2" xfId="24583"/>
    <cellStyle name="常规 2 6 2 2 3 2 2 2" xfId="24585"/>
    <cellStyle name="常规 2 6 2 2 3 2 3" xfId="13593"/>
    <cellStyle name="常规 2 6 2 2 3 2 4" xfId="24586"/>
    <cellStyle name="常规 2 6 2 2 3 3" xfId="19403"/>
    <cellStyle name="常规 2 6 2 2 3 3 2" xfId="24587"/>
    <cellStyle name="常规 2 6 2 2 3 4" xfId="24588"/>
    <cellStyle name="常规 2 6 2 2 3 5" xfId="24590"/>
    <cellStyle name="常规 2 6 2 2 3 6" xfId="24591"/>
    <cellStyle name="常规 2 6 2 2 4" xfId="24593"/>
    <cellStyle name="常规 2 6 2 2 4 2" xfId="24595"/>
    <cellStyle name="常规 2 6 2 2 4 2 2" xfId="24597"/>
    <cellStyle name="常规 2 6 2 2 4 3" xfId="24598"/>
    <cellStyle name="常规 2 6 2 2 4 4" xfId="24599"/>
    <cellStyle name="常规 2 6 2 2 5" xfId="2598"/>
    <cellStyle name="常规 2 6 2 2 5 2" xfId="2604"/>
    <cellStyle name="常规 2 6 2 2 5 2 2" xfId="2607"/>
    <cellStyle name="常规 2 6 2 2 5 3" xfId="3068"/>
    <cellStyle name="常规 2 6 2 2 5 4" xfId="3129"/>
    <cellStyle name="常规 2 6 2 2 6" xfId="3390"/>
    <cellStyle name="常规 2 6 2 2 6 2" xfId="3394"/>
    <cellStyle name="常规 2 6 2 2 7" xfId="24600"/>
    <cellStyle name="常规 2 6 2 2 7 2" xfId="24601"/>
    <cellStyle name="常规 2 6 2 2 8" xfId="24602"/>
    <cellStyle name="常规 2 6 2 2 9" xfId="24603"/>
    <cellStyle name="常规 2 6 2 3" xfId="9687"/>
    <cellStyle name="常规 2 6 2 3 10" xfId="24604"/>
    <cellStyle name="常规 2 6 2 3 11" xfId="24605"/>
    <cellStyle name="常规 2 6 2 3 2" xfId="24606"/>
    <cellStyle name="常规 2 6 2 3 2 10" xfId="24609"/>
    <cellStyle name="常规 2 6 2 3 2 2" xfId="24611"/>
    <cellStyle name="常规 2 6 2 3 2 2 2" xfId="24613"/>
    <cellStyle name="常规 2 6 2 3 2 2 2 2" xfId="24614"/>
    <cellStyle name="常规 2 6 2 3 2 2 2 2 2" xfId="19057"/>
    <cellStyle name="常规 2 6 2 3 2 2 2 2 2 2" xfId="12233"/>
    <cellStyle name="常规 2 6 2 3 2 2 2 2 3" xfId="19060"/>
    <cellStyle name="常规 2 6 2 3 2 2 2 2 4" xfId="24615"/>
    <cellStyle name="常规 2 6 2 3 2 2 2 3" xfId="24616"/>
    <cellStyle name="常规 2 6 2 3 2 2 2 3 2" xfId="21263"/>
    <cellStyle name="常规 2 6 2 3 2 2 2 4" xfId="19670"/>
    <cellStyle name="常规 2 6 2 3 2 2 2 5" xfId="24617"/>
    <cellStyle name="常规 2 6 2 3 2 2 3" xfId="6372"/>
    <cellStyle name="常规 2 6 2 3 2 2 3 2" xfId="6376"/>
    <cellStyle name="常规 2 6 2 3 2 2 3 2 2" xfId="24619"/>
    <cellStyle name="常规 2 6 2 3 2 2 3 3" xfId="24620"/>
    <cellStyle name="常规 2 6 2 3 2 2 3 4" xfId="24621"/>
    <cellStyle name="常规 2 6 2 3 2 2 4" xfId="6378"/>
    <cellStyle name="常规 2 6 2 3 2 2 4 2" xfId="24622"/>
    <cellStyle name="常规 2 6 2 3 2 2 4 2 2" xfId="6677"/>
    <cellStyle name="常规 2 6 2 3 2 2 4 3" xfId="24623"/>
    <cellStyle name="常规 2 6 2 3 2 2 4 4" xfId="9394"/>
    <cellStyle name="常规 2 6 2 3 2 2 5" xfId="24624"/>
    <cellStyle name="常规 2 6 2 3 2 2 5 2" xfId="24625"/>
    <cellStyle name="常规 2 6 2 3 2 2 6" xfId="24626"/>
    <cellStyle name="常规 2 6 2 3 2 2 7" xfId="24628"/>
    <cellStyle name="常规 2 6 2 3 2 2 8" xfId="24630"/>
    <cellStyle name="常规 2 6 2 3 2 3" xfId="24631"/>
    <cellStyle name="常规 2 6 2 3 2 3 2" xfId="24632"/>
    <cellStyle name="常规 2 6 2 3 2 3 2 2" xfId="24633"/>
    <cellStyle name="常规 2 6 2 3 2 3 2 2 2" xfId="24634"/>
    <cellStyle name="常规 2 6 2 3 2 3 2 3" xfId="24635"/>
    <cellStyle name="常规 2 6 2 3 2 3 2 4" xfId="24636"/>
    <cellStyle name="常规 2 6 2 3 2 3 3" xfId="6385"/>
    <cellStyle name="常规 2 6 2 3 2 3 3 2" xfId="24637"/>
    <cellStyle name="常规 2 6 2 3 2 3 4" xfId="24638"/>
    <cellStyle name="常规 2 6 2 3 2 3 5" xfId="19622"/>
    <cellStyle name="常规 2 6 2 3 2 3 6" xfId="19630"/>
    <cellStyle name="常规 2 6 2 3 2 4" xfId="24639"/>
    <cellStyle name="常规 2 6 2 3 2 4 2" xfId="24640"/>
    <cellStyle name="常规 2 6 2 3 2 4 2 2" xfId="24642"/>
    <cellStyle name="常规 2 6 2 3 2 4 3" xfId="24644"/>
    <cellStyle name="常规 2 6 2 3 2 4 4" xfId="24646"/>
    <cellStyle name="常规 2 6 2 3 2 5" xfId="24648"/>
    <cellStyle name="常规 2 6 2 3 2 5 2" xfId="24649"/>
    <cellStyle name="常规 2 6 2 3 2 5 2 2" xfId="24651"/>
    <cellStyle name="常规 2 6 2 3 2 5 3" xfId="24652"/>
    <cellStyle name="常规 2 6 2 3 2 5 4" xfId="24654"/>
    <cellStyle name="常规 2 6 2 3 2 6" xfId="24655"/>
    <cellStyle name="常规 2 6 2 3 2 6 2" xfId="24657"/>
    <cellStyle name="常规 2 6 2 3 2 7" xfId="24660"/>
    <cellStyle name="常规 2 6 2 3 2 7 2" xfId="24662"/>
    <cellStyle name="常规 2 6 2 3 2 8" xfId="24665"/>
    <cellStyle name="常规 2 6 2 3 2 9" xfId="24667"/>
    <cellStyle name="常规 2 6 2 3 3" xfId="24669"/>
    <cellStyle name="常规 2 6 2 3 3 2" xfId="24671"/>
    <cellStyle name="常规 2 6 2 3 3 2 2" xfId="24672"/>
    <cellStyle name="常规 2 6 2 3 3 2 2 2" xfId="24673"/>
    <cellStyle name="常规 2 6 2 3 3 2 2 2 2" xfId="13610"/>
    <cellStyle name="常规 2 6 2 3 3 2 2 3" xfId="24674"/>
    <cellStyle name="常规 2 6 2 3 3 2 2 4" xfId="24675"/>
    <cellStyle name="常规 2 6 2 3 3 2 3" xfId="6397"/>
    <cellStyle name="常规 2 6 2 3 3 2 3 2" xfId="24676"/>
    <cellStyle name="常规 2 6 2 3 3 2 4" xfId="24677"/>
    <cellStyle name="常规 2 6 2 3 3 2 5" xfId="24678"/>
    <cellStyle name="常规 2 6 2 3 3 3" xfId="24679"/>
    <cellStyle name="常规 2 6 2 3 3 3 2" xfId="24680"/>
    <cellStyle name="常规 2 6 2 3 3 3 2 2" xfId="24681"/>
    <cellStyle name="常规 2 6 2 3 3 3 3" xfId="24682"/>
    <cellStyle name="常规 2 6 2 3 3 3 4" xfId="24683"/>
    <cellStyle name="常规 2 6 2 3 3 4" xfId="24684"/>
    <cellStyle name="常规 2 6 2 3 3 4 2" xfId="24685"/>
    <cellStyle name="常规 2 6 2 3 3 4 2 2" xfId="24687"/>
    <cellStyle name="常规 2 6 2 3 3 4 3" xfId="24689"/>
    <cellStyle name="常规 2 6 2 3 3 4 4" xfId="24690"/>
    <cellStyle name="常规 2 6 2 3 3 5" xfId="24691"/>
    <cellStyle name="常规 2 6 2 3 3 5 2" xfId="24692"/>
    <cellStyle name="常规 2 6 2 3 3 6" xfId="24693"/>
    <cellStyle name="常规 2 6 2 3 3 7" xfId="24695"/>
    <cellStyle name="常规 2 6 2 3 3 8" xfId="24697"/>
    <cellStyle name="常规 2 6 2 3 4" xfId="16788"/>
    <cellStyle name="常规 2 6 2 3 4 2" xfId="8748"/>
    <cellStyle name="常规 2 6 2 3 4 2 2" xfId="8751"/>
    <cellStyle name="常规 2 6 2 3 4 2 2 2" xfId="21190"/>
    <cellStyle name="常规 2 6 2 3 4 2 3" xfId="6413"/>
    <cellStyle name="常规 2 6 2 3 4 2 4" xfId="8100"/>
    <cellStyle name="常规 2 6 2 3 4 3" xfId="8753"/>
    <cellStyle name="常规 2 6 2 3 4 3 2" xfId="8755"/>
    <cellStyle name="常规 2 6 2 3 4 4" xfId="8757"/>
    <cellStyle name="常规 2 6 2 3 4 5" xfId="8759"/>
    <cellStyle name="常规 2 6 2 3 4 6" xfId="24700"/>
    <cellStyle name="常规 2 6 2 3 5" xfId="3400"/>
    <cellStyle name="常规 2 6 2 3 5 2" xfId="3414"/>
    <cellStyle name="常规 2 6 2 3 5 2 2" xfId="3420"/>
    <cellStyle name="常规 2 6 2 3 5 3" xfId="3889"/>
    <cellStyle name="常规 2 6 2 3 5 4" xfId="3958"/>
    <cellStyle name="常规 2 6 2 3 6" xfId="4303"/>
    <cellStyle name="常规 2 6 2 3 6 2" xfId="4308"/>
    <cellStyle name="常规 2 6 2 3 6 2 2" xfId="8788"/>
    <cellStyle name="常规 2 6 2 3 6 3" xfId="8790"/>
    <cellStyle name="常规 2 6 2 3 6 4" xfId="8792"/>
    <cellStyle name="常规 2 6 2 3 7" xfId="24702"/>
    <cellStyle name="常规 2 6 2 3 7 2" xfId="24703"/>
    <cellStyle name="常规 2 6 2 3 8" xfId="24704"/>
    <cellStyle name="常规 2 6 2 3 8 2" xfId="24705"/>
    <cellStyle name="常规 2 6 2 3 9" xfId="24706"/>
    <cellStyle name="常规 2 6 2 4" xfId="24707"/>
    <cellStyle name="常规 2 6 2 4 2" xfId="24708"/>
    <cellStyle name="常规 2 6 2 4 2 2" xfId="24710"/>
    <cellStyle name="常规 2 6 2 4 2 2 2" xfId="24713"/>
    <cellStyle name="常规 2 6 2 4 2 2 2 2" xfId="24715"/>
    <cellStyle name="常规 2 6 2 4 2 2 3" xfId="24716"/>
    <cellStyle name="常规 2 6 2 4 2 2 4" xfId="24719"/>
    <cellStyle name="常规 2 6 2 4 2 3" xfId="24720"/>
    <cellStyle name="常规 2 6 2 4 2 3 2" xfId="24722"/>
    <cellStyle name="常规 2 6 2 4 2 4" xfId="24723"/>
    <cellStyle name="常规 2 6 2 4 2 5" xfId="24725"/>
    <cellStyle name="常规 2 6 2 4 3" xfId="24726"/>
    <cellStyle name="常规 2 6 2 4 3 2" xfId="24728"/>
    <cellStyle name="常规 2 6 2 4 3 2 2" xfId="24729"/>
    <cellStyle name="常规 2 6 2 4 3 3" xfId="24730"/>
    <cellStyle name="常规 2 6 2 4 3 4" xfId="24731"/>
    <cellStyle name="常规 2 6 2 4 4" xfId="24732"/>
    <cellStyle name="常规 2 6 2 4 4 2" xfId="8818"/>
    <cellStyle name="常规 2 6 2 4 4 2 2" xfId="8820"/>
    <cellStyle name="常规 2 6 2 4 4 3" xfId="8823"/>
    <cellStyle name="常规 2 6 2 4 4 4" xfId="8826"/>
    <cellStyle name="常规 2 6 2 4 5" xfId="4312"/>
    <cellStyle name="常规 2 6 2 4 5 2" xfId="4319"/>
    <cellStyle name="常规 2 6 2 4 6" xfId="4966"/>
    <cellStyle name="常规 2 6 2 4 7" xfId="2444"/>
    <cellStyle name="常规 2 6 2 4 8" xfId="24734"/>
    <cellStyle name="常规 2 6 2 5" xfId="24735"/>
    <cellStyle name="常规 2 6 2 5 2" xfId="15444"/>
    <cellStyle name="常规 2 6 2 5 2 2" xfId="24736"/>
    <cellStyle name="常规 2 6 2 5 2 2 2" xfId="4549"/>
    <cellStyle name="常规 2 6 2 5 2 3" xfId="24738"/>
    <cellStyle name="常规 2 6 2 5 2 4" xfId="24740"/>
    <cellStyle name="常规 2 6 2 5 3" xfId="23"/>
    <cellStyle name="常规 2 6 2 5 3 2" xfId="6096"/>
    <cellStyle name="常规 2 6 2 5 4" xfId="24741"/>
    <cellStyle name="常规 2 6 2 5 5" xfId="4970"/>
    <cellStyle name="常规 2 6 2 5 6" xfId="5529"/>
    <cellStyle name="常规 2 6 2 6" xfId="24742"/>
    <cellStyle name="常规 2 6 2 6 2" xfId="24744"/>
    <cellStyle name="常规 2 6 2 6 2 2" xfId="17177"/>
    <cellStyle name="常规 2 6 2 6 3" xfId="24745"/>
    <cellStyle name="常规 2 6 2 6 4" xfId="24746"/>
    <cellStyle name="常规 2 6 2 7" xfId="24747"/>
    <cellStyle name="常规 2 6 2 7 2" xfId="24748"/>
    <cellStyle name="常规 2 6 2 7 2 2" xfId="24749"/>
    <cellStyle name="常规 2 6 2 7 3" xfId="24750"/>
    <cellStyle name="常规 2 6 2 7 4" xfId="24751"/>
    <cellStyle name="常规 2 6 2 8" xfId="24752"/>
    <cellStyle name="常规 2 6 2 8 2" xfId="24753"/>
    <cellStyle name="常规 2 6 2 9" xfId="6916"/>
    <cellStyle name="常规 2 6 2 9 2" xfId="24754"/>
    <cellStyle name="常规 2 6 3" xfId="5128"/>
    <cellStyle name="常规 2 6 3 10" xfId="576"/>
    <cellStyle name="常规 2 6 3 11" xfId="598"/>
    <cellStyle name="常规 2 6 3 2" xfId="24755"/>
    <cellStyle name="常规 2 6 3 2 10" xfId="18003"/>
    <cellStyle name="常规 2 6 3 2 2" xfId="24756"/>
    <cellStyle name="常规 2 6 3 2 2 2" xfId="24758"/>
    <cellStyle name="常规 2 6 3 2 2 2 2" xfId="24760"/>
    <cellStyle name="常规 2 6 3 2 2 2 2 2" xfId="24761"/>
    <cellStyle name="常规 2 6 3 2 2 2 2 2 2" xfId="20446"/>
    <cellStyle name="常规 2 6 3 2 2 2 2 3" xfId="24762"/>
    <cellStyle name="常规 2 6 3 2 2 2 2 4" xfId="1832"/>
    <cellStyle name="常规 2 6 3 2 2 2 3" xfId="5949"/>
    <cellStyle name="常规 2 6 3 2 2 2 3 2" xfId="24765"/>
    <cellStyle name="常规 2 6 3 2 2 2 4" xfId="17237"/>
    <cellStyle name="常规 2 6 3 2 2 2 5" xfId="24766"/>
    <cellStyle name="常规 2 6 3 2 2 3" xfId="24767"/>
    <cellStyle name="常规 2 6 3 2 2 3 2" xfId="24768"/>
    <cellStyle name="常规 2 6 3 2 2 3 2 2" xfId="24769"/>
    <cellStyle name="常规 2 6 3 2 2 3 3" xfId="24771"/>
    <cellStyle name="常规 2 6 3 2 2 3 4" xfId="24772"/>
    <cellStyle name="常规 2 6 3 2 2 4" xfId="24773"/>
    <cellStyle name="常规 2 6 3 2 2 4 2" xfId="24774"/>
    <cellStyle name="常规 2 6 3 2 2 4 2 2" xfId="24775"/>
    <cellStyle name="常规 2 6 3 2 2 4 3" xfId="24779"/>
    <cellStyle name="常规 2 6 3 2 2 4 4" xfId="24780"/>
    <cellStyle name="常规 2 6 3 2 2 5" xfId="24782"/>
    <cellStyle name="常规 2 6 3 2 2 5 2" xfId="8700"/>
    <cellStyle name="常规 2 6 3 2 2 6" xfId="24783"/>
    <cellStyle name="常规 2 6 3 2 2 7" xfId="24785"/>
    <cellStyle name="常规 2 6 3 2 2 8" xfId="24787"/>
    <cellStyle name="常规 2 6 3 2 3" xfId="8118"/>
    <cellStyle name="常规 2 6 3 2 3 2" xfId="24789"/>
    <cellStyle name="常规 2 6 3 2 3 2 2" xfId="11934"/>
    <cellStyle name="常规 2 6 3 2 3 2 2 2" xfId="11936"/>
    <cellStyle name="常规 2 6 3 2 3 2 3" xfId="11943"/>
    <cellStyle name="常规 2 6 3 2 3 2 4" xfId="11947"/>
    <cellStyle name="常规 2 6 3 2 3 3" xfId="24790"/>
    <cellStyle name="常规 2 6 3 2 3 3 2" xfId="2799"/>
    <cellStyle name="常规 2 6 3 2 3 4" xfId="24791"/>
    <cellStyle name="常规 2 6 3 2 3 5" xfId="24793"/>
    <cellStyle name="常规 2 6 3 2 3 6" xfId="24794"/>
    <cellStyle name="常规 2 6 3 2 4" xfId="24796"/>
    <cellStyle name="常规 2 6 3 2 4 2" xfId="24799"/>
    <cellStyle name="常规 2 6 3 2 4 2 2" xfId="24800"/>
    <cellStyle name="常规 2 6 3 2 4 3" xfId="24801"/>
    <cellStyle name="常规 2 6 3 2 4 4" xfId="24802"/>
    <cellStyle name="常规 2 6 3 2 5" xfId="24803"/>
    <cellStyle name="常规 2 6 3 2 5 2" xfId="24805"/>
    <cellStyle name="常规 2 6 3 2 5 2 2" xfId="24806"/>
    <cellStyle name="常规 2 6 3 2 5 3" xfId="24807"/>
    <cellStyle name="常规 2 6 3 2 5 4" xfId="24808"/>
    <cellStyle name="常规 2 6 3 2 6" xfId="24809"/>
    <cellStyle name="常规 2 6 3 2 6 2" xfId="24810"/>
    <cellStyle name="常规 2 6 3 2 7" xfId="24811"/>
    <cellStyle name="常规 2 6 3 2 7 2" xfId="24812"/>
    <cellStyle name="常规 2 6 3 2 8" xfId="24813"/>
    <cellStyle name="常规 2 6 3 2 9" xfId="24814"/>
    <cellStyle name="常规 2 6 3 3" xfId="24815"/>
    <cellStyle name="常规 2 6 3 3 2" xfId="24817"/>
    <cellStyle name="常规 2 6 3 3 2 2" xfId="24819"/>
    <cellStyle name="常规 2 6 3 3 2 2 2" xfId="24820"/>
    <cellStyle name="常规 2 6 3 3 2 2 2 2" xfId="24821"/>
    <cellStyle name="常规 2 6 3 3 2 2 3" xfId="6769"/>
    <cellStyle name="常规 2 6 3 3 2 2 4" xfId="6771"/>
    <cellStyle name="常规 2 6 3 3 2 3" xfId="24823"/>
    <cellStyle name="常规 2 6 3 3 2 3 2" xfId="24824"/>
    <cellStyle name="常规 2 6 3 3 2 4" xfId="24825"/>
    <cellStyle name="常规 2 6 3 3 2 5" xfId="24826"/>
    <cellStyle name="常规 2 6 3 3 3" xfId="20826"/>
    <cellStyle name="常规 2 6 3 3 3 2" xfId="20829"/>
    <cellStyle name="常规 2 6 3 3 3 2 2" xfId="20831"/>
    <cellStyle name="常规 2 6 3 3 3 3" xfId="20833"/>
    <cellStyle name="常规 2 6 3 3 3 4" xfId="20835"/>
    <cellStyle name="常规 2 6 3 3 4" xfId="20837"/>
    <cellStyle name="常规 2 6 3 3 4 2" xfId="20840"/>
    <cellStyle name="常规 2 6 3 3 4 2 2" xfId="24827"/>
    <cellStyle name="常规 2 6 3 3 4 3" xfId="24828"/>
    <cellStyle name="常规 2 6 3 3 4 4" xfId="24829"/>
    <cellStyle name="常规 2 6 3 3 5" xfId="20842"/>
    <cellStyle name="常规 2 6 3 3 5 2" xfId="24830"/>
    <cellStyle name="常规 2 6 3 3 6" xfId="20844"/>
    <cellStyle name="常规 2 6 3 3 7" xfId="21647"/>
    <cellStyle name="常规 2 6 3 3 8" xfId="21650"/>
    <cellStyle name="常规 2 6 3 4" xfId="24831"/>
    <cellStyle name="常规 2 6 3 4 2" xfId="24833"/>
    <cellStyle name="常规 2 6 3 4 2 2" xfId="24835"/>
    <cellStyle name="常规 2 6 3 4 2 2 2" xfId="17418"/>
    <cellStyle name="常规 2 6 3 4 2 3" xfId="24837"/>
    <cellStyle name="常规 2 6 3 4 2 4" xfId="24838"/>
    <cellStyle name="常规 2 6 3 4 3" xfId="20846"/>
    <cellStyle name="常规 2 6 3 4 3 2" xfId="20850"/>
    <cellStyle name="常规 2 6 3 4 4" xfId="20853"/>
    <cellStyle name="常规 2 6 3 4 5" xfId="20857"/>
    <cellStyle name="常规 2 6 3 4 6" xfId="24839"/>
    <cellStyle name="常规 2 6 3 5" xfId="24840"/>
    <cellStyle name="常规 2 6 3 5 2" xfId="24843"/>
    <cellStyle name="常规 2 6 3 5 2 2" xfId="24845"/>
    <cellStyle name="常规 2 6 3 5 3" xfId="20862"/>
    <cellStyle name="常规 2 6 3 5 4" xfId="15174"/>
    <cellStyle name="常规 2 6 3 6" xfId="24846"/>
    <cellStyle name="常规 2 6 3 6 2" xfId="24850"/>
    <cellStyle name="常规 2 6 3 6 2 2" xfId="5622"/>
    <cellStyle name="常规 2 6 3 6 3" xfId="19680"/>
    <cellStyle name="常规 2 6 3 6 4" xfId="15184"/>
    <cellStyle name="常规 2 6 3 7" xfId="24852"/>
    <cellStyle name="常规 2 6 3 7 2" xfId="24854"/>
    <cellStyle name="常规 2 6 3 8" xfId="24855"/>
    <cellStyle name="常规 2 6 3 8 2" xfId="24857"/>
    <cellStyle name="常规 2 6 3 9" xfId="6921"/>
    <cellStyle name="常规 2 6 4" xfId="24858"/>
    <cellStyle name="常规 2 6 4 2" xfId="24859"/>
    <cellStyle name="常规 2 6 4 2 2" xfId="5395"/>
    <cellStyle name="常规 2 6 4 2 2 2" xfId="1367"/>
    <cellStyle name="常规 2 6 4 2 2 2 2" xfId="24860"/>
    <cellStyle name="常规 2 6 4 2 2 3" xfId="24861"/>
    <cellStyle name="常规 2 6 4 2 2 4" xfId="24862"/>
    <cellStyle name="常规 2 6 4 2 3" xfId="4582"/>
    <cellStyle name="常规 2 6 4 2 3 2" xfId="16618"/>
    <cellStyle name="常规 2 6 4 2 4" xfId="16636"/>
    <cellStyle name="常规 2 6 4 2 5" xfId="16643"/>
    <cellStyle name="常规 2 6 4 3" xfId="24863"/>
    <cellStyle name="常规 2 6 4 3 2" xfId="5405"/>
    <cellStyle name="常规 2 6 4 3 2 2" xfId="24864"/>
    <cellStyle name="常规 2 6 4 3 3" xfId="16669"/>
    <cellStyle name="常规 2 6 4 3 4" xfId="16680"/>
    <cellStyle name="常规 2 6 4 4" xfId="24865"/>
    <cellStyle name="常规 2 6 4 4 2" xfId="5411"/>
    <cellStyle name="常规 2 6 4 4 2 2" xfId="24867"/>
    <cellStyle name="常规 2 6 4 4 3" xfId="16697"/>
    <cellStyle name="常规 2 6 4 4 4" xfId="16701"/>
    <cellStyle name="常规 2 6 4 5" xfId="24868"/>
    <cellStyle name="常规 2 6 4 5 2" xfId="24870"/>
    <cellStyle name="常规 2 6 4 6" xfId="24871"/>
    <cellStyle name="常规 2 6 4 7" xfId="24873"/>
    <cellStyle name="常规 2 6 4 8" xfId="24874"/>
    <cellStyle name="常规 2 6 5" xfId="24875"/>
    <cellStyle name="常规 2 6 5 2" xfId="24876"/>
    <cellStyle name="常规 2 6 5 2 2" xfId="3706"/>
    <cellStyle name="常规 2 6 5 2 2 2" xfId="24877"/>
    <cellStyle name="常规 2 6 5 2 3" xfId="3711"/>
    <cellStyle name="常规 2 6 5 2 4" xfId="16758"/>
    <cellStyle name="常规 2 6 5 3" xfId="24878"/>
    <cellStyle name="常规 2 6 5 3 2" xfId="5446"/>
    <cellStyle name="常规 2 6 5 4" xfId="24879"/>
    <cellStyle name="常规 2 6 5 5" xfId="24882"/>
    <cellStyle name="常规 2 6 5 6" xfId="24884"/>
    <cellStyle name="常规 2 6 6" xfId="24886"/>
    <cellStyle name="常规 2 6 6 2" xfId="24887"/>
    <cellStyle name="常规 2 6 6 2 2" xfId="24888"/>
    <cellStyle name="常规 2 6 6 3" xfId="24889"/>
    <cellStyle name="常规 2 6 6 4" xfId="11118"/>
    <cellStyle name="常规 2 6 7" xfId="24890"/>
    <cellStyle name="常规 2 6 7 2" xfId="24892"/>
    <cellStyle name="常规 2 6 7 2 2" xfId="24894"/>
    <cellStyle name="常规 2 6 7 3" xfId="24895"/>
    <cellStyle name="常规 2 6 7 4" xfId="24896"/>
    <cellStyle name="常规 2 6 8" xfId="24898"/>
    <cellStyle name="常规 2 6 8 2" xfId="24900"/>
    <cellStyle name="常规 2 6 9" xfId="24901"/>
    <cellStyle name="常规 2 6 9 2" xfId="24903"/>
    <cellStyle name="常规 2 7" xfId="24904"/>
    <cellStyle name="常规 2 7 10" xfId="640"/>
    <cellStyle name="常规 2 7 11" xfId="649"/>
    <cellStyle name="常规 2 7 12" xfId="654"/>
    <cellStyle name="常规 2 7 2" xfId="24905"/>
    <cellStyle name="常规 2 7 2 10" xfId="24906"/>
    <cellStyle name="常规 2 7 2 11" xfId="24549"/>
    <cellStyle name="常规 2 7 2 12" xfId="24908"/>
    <cellStyle name="常规 2 7 2 2" xfId="24909"/>
    <cellStyle name="常规 2 7 2 2 10" xfId="1961"/>
    <cellStyle name="常规 2 7 2 2 2" xfId="24910"/>
    <cellStyle name="常规 2 7 2 2 2 2" xfId="24913"/>
    <cellStyle name="常规 2 7 2 2 2 2 2" xfId="24915"/>
    <cellStyle name="常规 2 7 2 2 2 2 2 2" xfId="24917"/>
    <cellStyle name="常规 2 7 2 2 2 2 2 2 2" xfId="24919"/>
    <cellStyle name="常规 2 7 2 2 2 2 2 3" xfId="24920"/>
    <cellStyle name="常规 2 7 2 2 2 2 2 4" xfId="24921"/>
    <cellStyle name="常规 2 7 2 2 2 2 3" xfId="24922"/>
    <cellStyle name="常规 2 7 2 2 2 2 3 2" xfId="24923"/>
    <cellStyle name="常规 2 7 2 2 2 2 4" xfId="24924"/>
    <cellStyle name="常规 2 7 2 2 2 2 5" xfId="24925"/>
    <cellStyle name="常规 2 7 2 2 2 3" xfId="24927"/>
    <cellStyle name="常规 2 7 2 2 2 3 2" xfId="24929"/>
    <cellStyle name="常规 2 7 2 2 2 3 2 2" xfId="24930"/>
    <cellStyle name="常规 2 7 2 2 2 3 3" xfId="24931"/>
    <cellStyle name="常规 2 7 2 2 2 3 4" xfId="24932"/>
    <cellStyle name="常规 2 7 2 2 2 4" xfId="24933"/>
    <cellStyle name="常规 2 7 2 2 2 4 2" xfId="24936"/>
    <cellStyle name="常规 2 7 2 2 2 4 2 2" xfId="24937"/>
    <cellStyle name="常规 2 7 2 2 2 4 3" xfId="24938"/>
    <cellStyle name="常规 2 7 2 2 2 4 4" xfId="24939"/>
    <cellStyle name="常规 2 7 2 2 2 5" xfId="23148"/>
    <cellStyle name="常规 2 7 2 2 2 5 2" xfId="24941"/>
    <cellStyle name="常规 2 7 2 2 2 6" xfId="7353"/>
    <cellStyle name="常规 2 7 2 2 2 7" xfId="22486"/>
    <cellStyle name="常规 2 7 2 2 2 8" xfId="22615"/>
    <cellStyle name="常规 2 7 2 2 3" xfId="24942"/>
    <cellStyle name="常规 2 7 2 2 3 2" xfId="24944"/>
    <cellStyle name="常规 2 7 2 2 3 2 2" xfId="24946"/>
    <cellStyle name="常规 2 7 2 2 3 2 2 2" xfId="5767"/>
    <cellStyle name="常规 2 7 2 2 3 2 3" xfId="24948"/>
    <cellStyle name="常规 2 7 2 2 3 2 4" xfId="24949"/>
    <cellStyle name="常规 2 7 2 2 3 3" xfId="13631"/>
    <cellStyle name="常规 2 7 2 2 3 3 2" xfId="24950"/>
    <cellStyle name="常规 2 7 2 2 3 4" xfId="24951"/>
    <cellStyle name="常规 2 7 2 2 3 5" xfId="24953"/>
    <cellStyle name="常规 2 7 2 2 3 6" xfId="22669"/>
    <cellStyle name="常规 2 7 2 2 4" xfId="24954"/>
    <cellStyle name="常规 2 7 2 2 4 2" xfId="24956"/>
    <cellStyle name="常规 2 7 2 2 4 2 2" xfId="24958"/>
    <cellStyle name="常规 2 7 2 2 4 3" xfId="24959"/>
    <cellStyle name="常规 2 7 2 2 4 4" xfId="24960"/>
    <cellStyle name="常规 2 7 2 2 5" xfId="24961"/>
    <cellStyle name="常规 2 7 2 2 5 2" xfId="24964"/>
    <cellStyle name="常规 2 7 2 2 5 2 2" xfId="24966"/>
    <cellStyle name="常规 2 7 2 2 5 3" xfId="24967"/>
    <cellStyle name="常规 2 7 2 2 5 4" xfId="24968"/>
    <cellStyle name="常规 2 7 2 2 6" xfId="24969"/>
    <cellStyle name="常规 2 7 2 2 6 2" xfId="24971"/>
    <cellStyle name="常规 2 7 2 2 7" xfId="24972"/>
    <cellStyle name="常规 2 7 2 2 7 2" xfId="24973"/>
    <cellStyle name="常规 2 7 2 2 8" xfId="1101"/>
    <cellStyle name="常规 2 7 2 2 9" xfId="24974"/>
    <cellStyle name="常规 2 7 2 3" xfId="24975"/>
    <cellStyle name="常规 2 7 2 3 10" xfId="4484"/>
    <cellStyle name="常规 2 7 2 3 11" xfId="24976"/>
    <cellStyle name="常规 2 7 2 3 2" xfId="24977"/>
    <cellStyle name="常规 2 7 2 3 2 10" xfId="24979"/>
    <cellStyle name="常规 2 7 2 3 2 2" xfId="24981"/>
    <cellStyle name="常规 2 7 2 3 2 2 2" xfId="24983"/>
    <cellStyle name="常规 2 7 2 3 2 2 2 2" xfId="24984"/>
    <cellStyle name="常规 2 7 2 3 2 2 2 2 2" xfId="24985"/>
    <cellStyle name="常规 2 7 2 3 2 2 2 2 2 2" xfId="16992"/>
    <cellStyle name="常规 2 7 2 3 2 2 2 2 3" xfId="24987"/>
    <cellStyle name="常规 2 7 2 3 2 2 2 2 4" xfId="24989"/>
    <cellStyle name="常规 2 7 2 3 2 2 2 3" xfId="24991"/>
    <cellStyle name="常规 2 7 2 3 2 2 2 3 2" xfId="24992"/>
    <cellStyle name="常规 2 7 2 3 2 2 2 4" xfId="11949"/>
    <cellStyle name="常规 2 7 2 3 2 2 2 5" xfId="24994"/>
    <cellStyle name="常规 2 7 2 3 2 2 3" xfId="24995"/>
    <cellStyle name="常规 2 7 2 3 2 2 3 2" xfId="24997"/>
    <cellStyle name="常规 2 7 2 3 2 2 3 2 2" xfId="11106"/>
    <cellStyle name="常规 2 7 2 3 2 2 3 3" xfId="24998"/>
    <cellStyle name="常规 2 7 2 3 2 2 3 4" xfId="24999"/>
    <cellStyle name="常规 2 7 2 3 2 2 4" xfId="25000"/>
    <cellStyle name="常规 2 7 2 3 2 2 4 2" xfId="25001"/>
    <cellStyle name="常规 2 7 2 3 2 2 4 2 2" xfId="25003"/>
    <cellStyle name="常规 2 7 2 3 2 2 4 3" xfId="25004"/>
    <cellStyle name="常规 2 7 2 3 2 2 4 4" xfId="25006"/>
    <cellStyle name="常规 2 7 2 3 2 2 5" xfId="25008"/>
    <cellStyle name="常规 2 7 2 3 2 2 5 2" xfId="25009"/>
    <cellStyle name="常规 2 7 2 3 2 2 6" xfId="25011"/>
    <cellStyle name="常规 2 7 2 3 2 2 7" xfId="11743"/>
    <cellStyle name="常规 2 7 2 3 2 2 8" xfId="25013"/>
    <cellStyle name="常规 2 7 2 3 2 3" xfId="25014"/>
    <cellStyle name="常规 2 7 2 3 2 3 2" xfId="25015"/>
    <cellStyle name="常规 2 7 2 3 2 3 2 2" xfId="25016"/>
    <cellStyle name="常规 2 7 2 3 2 3 2 2 2" xfId="25017"/>
    <cellStyle name="常规 2 7 2 3 2 3 2 3" xfId="25020"/>
    <cellStyle name="常规 2 7 2 3 2 3 2 4" xfId="2827"/>
    <cellStyle name="常规 2 7 2 3 2 3 3" xfId="25021"/>
    <cellStyle name="常规 2 7 2 3 2 3 3 2" xfId="25022"/>
    <cellStyle name="常规 2 7 2 3 2 3 4" xfId="25023"/>
    <cellStyle name="常规 2 7 2 3 2 3 5" xfId="25024"/>
    <cellStyle name="常规 2 7 2 3 2 3 6" xfId="25025"/>
    <cellStyle name="常规 2 7 2 3 2 4" xfId="17808"/>
    <cellStyle name="常规 2 7 2 3 2 4 2" xfId="17811"/>
    <cellStyle name="常规 2 7 2 3 2 4 2 2" xfId="25026"/>
    <cellStyle name="常规 2 7 2 3 2 4 3" xfId="25027"/>
    <cellStyle name="常规 2 7 2 3 2 4 4" xfId="25029"/>
    <cellStyle name="常规 2 7 2 3 2 5" xfId="17814"/>
    <cellStyle name="常规 2 7 2 3 2 5 2" xfId="25031"/>
    <cellStyle name="常规 2 7 2 3 2 5 2 2" xfId="25033"/>
    <cellStyle name="常规 2 7 2 3 2 5 3" xfId="25034"/>
    <cellStyle name="常规 2 7 2 3 2 5 4" xfId="25035"/>
    <cellStyle name="常规 2 7 2 3 2 6" xfId="17817"/>
    <cellStyle name="常规 2 7 2 3 2 6 2" xfId="23749"/>
    <cellStyle name="常规 2 7 2 3 2 7" xfId="23759"/>
    <cellStyle name="常规 2 7 2 3 2 7 2" xfId="23762"/>
    <cellStyle name="常规 2 7 2 3 2 8" xfId="18923"/>
    <cellStyle name="常规 2 7 2 3 2 9" xfId="23770"/>
    <cellStyle name="常规 2 7 2 3 3" xfId="25036"/>
    <cellStyle name="常规 2 7 2 3 3 2" xfId="25038"/>
    <cellStyle name="常规 2 7 2 3 3 2 2" xfId="25039"/>
    <cellStyle name="常规 2 7 2 3 3 2 2 2" xfId="25040"/>
    <cellStyle name="常规 2 7 2 3 3 2 2 2 2" xfId="25041"/>
    <cellStyle name="常规 2 7 2 3 3 2 2 3" xfId="25042"/>
    <cellStyle name="常规 2 7 2 3 3 2 2 4" xfId="25043"/>
    <cellStyle name="常规 2 7 2 3 3 2 3" xfId="25044"/>
    <cellStyle name="常规 2 7 2 3 3 2 3 2" xfId="25045"/>
    <cellStyle name="常规 2 7 2 3 3 2 4" xfId="25046"/>
    <cellStyle name="常规 2 7 2 3 3 2 5" xfId="25047"/>
    <cellStyle name="常规 2 7 2 3 3 3" xfId="25049"/>
    <cellStyle name="常规 2 7 2 3 3 3 2" xfId="25050"/>
    <cellStyle name="常规 2 7 2 3 3 3 2 2" xfId="25051"/>
    <cellStyle name="常规 2 7 2 3 3 3 3" xfId="25052"/>
    <cellStyle name="常规 2 7 2 3 3 3 4" xfId="25053"/>
    <cellStyle name="常规 2 7 2 3 3 4" xfId="17822"/>
    <cellStyle name="常规 2 7 2 3 3 4 2" xfId="17824"/>
    <cellStyle name="常规 2 7 2 3 3 4 2 2" xfId="25055"/>
    <cellStyle name="常规 2 7 2 3 3 4 3" xfId="25057"/>
    <cellStyle name="常规 2 7 2 3 3 4 4" xfId="25058"/>
    <cellStyle name="常规 2 7 2 3 3 5" xfId="17827"/>
    <cellStyle name="常规 2 7 2 3 3 5 2" xfId="3618"/>
    <cellStyle name="常规 2 7 2 3 3 6" xfId="17830"/>
    <cellStyle name="常规 2 7 2 3 3 7" xfId="23784"/>
    <cellStyle name="常规 2 7 2 3 3 8" xfId="23793"/>
    <cellStyle name="常规 2 7 2 3 4" xfId="25060"/>
    <cellStyle name="常规 2 7 2 3 4 2" xfId="8880"/>
    <cellStyle name="常规 2 7 2 3 4 2 2" xfId="8882"/>
    <cellStyle name="常规 2 7 2 3 4 2 2 2" xfId="25063"/>
    <cellStyle name="常规 2 7 2 3 4 2 3" xfId="25064"/>
    <cellStyle name="常规 2 7 2 3 4 2 4" xfId="25065"/>
    <cellStyle name="常规 2 7 2 3 4 3" xfId="8884"/>
    <cellStyle name="常规 2 7 2 3 4 3 2" xfId="8886"/>
    <cellStyle name="常规 2 7 2 3 4 4" xfId="8889"/>
    <cellStyle name="常规 2 7 2 3 4 5" xfId="8891"/>
    <cellStyle name="常规 2 7 2 3 4 6" xfId="23800"/>
    <cellStyle name="常规 2 7 2 3 5" xfId="25066"/>
    <cellStyle name="常规 2 7 2 3 5 2" xfId="8913"/>
    <cellStyle name="常规 2 7 2 3 5 2 2" xfId="8915"/>
    <cellStyle name="常规 2 7 2 3 5 3" xfId="8929"/>
    <cellStyle name="常规 2 7 2 3 5 4" xfId="8933"/>
    <cellStyle name="常规 2 7 2 3 6" xfId="25068"/>
    <cellStyle name="常规 2 7 2 3 6 2" xfId="8942"/>
    <cellStyle name="常规 2 7 2 3 6 2 2" xfId="8945"/>
    <cellStyle name="常规 2 7 2 3 6 3" xfId="8947"/>
    <cellStyle name="常规 2 7 2 3 6 4" xfId="8949"/>
    <cellStyle name="常规 2 7 2 3 7" xfId="25069"/>
    <cellStyle name="常规 2 7 2 3 7 2" xfId="25070"/>
    <cellStyle name="常规 2 7 2 3 8" xfId="25072"/>
    <cellStyle name="常规 2 7 2 3 8 2" xfId="25073"/>
    <cellStyle name="常规 2 7 2 3 9" xfId="25075"/>
    <cellStyle name="常规 2 7 2 4" xfId="25076"/>
    <cellStyle name="常规 2 7 2 4 2" xfId="25077"/>
    <cellStyle name="常规 2 7 2 4 2 2" xfId="9099"/>
    <cellStyle name="常规 2 7 2 4 2 2 2" xfId="9104"/>
    <cellStyle name="常规 2 7 2 4 2 2 2 2" xfId="9109"/>
    <cellStyle name="常规 2 7 2 4 2 2 3" xfId="9129"/>
    <cellStyle name="常规 2 7 2 4 2 2 4" xfId="9133"/>
    <cellStyle name="常规 2 7 2 4 2 3" xfId="9141"/>
    <cellStyle name="常规 2 7 2 4 2 3 2" xfId="9146"/>
    <cellStyle name="常规 2 7 2 4 2 4" xfId="9160"/>
    <cellStyle name="常规 2 7 2 4 2 5" xfId="9168"/>
    <cellStyle name="常规 2 7 2 4 3" xfId="25079"/>
    <cellStyle name="常规 2 7 2 4 3 2" xfId="9206"/>
    <cellStyle name="常规 2 7 2 4 3 2 2" xfId="9210"/>
    <cellStyle name="常规 2 7 2 4 3 3" xfId="9223"/>
    <cellStyle name="常规 2 7 2 4 3 4" xfId="9227"/>
    <cellStyle name="常规 2 7 2 4 4" xfId="25081"/>
    <cellStyle name="常规 2 7 2 4 4 2" xfId="8985"/>
    <cellStyle name="常规 2 7 2 4 4 2 2" xfId="8990"/>
    <cellStyle name="常规 2 7 2 4 4 3" xfId="8994"/>
    <cellStyle name="常规 2 7 2 4 4 4" xfId="9000"/>
    <cellStyle name="常规 2 7 2 4 5" xfId="25082"/>
    <cellStyle name="常规 2 7 2 4 5 2" xfId="9015"/>
    <cellStyle name="常规 2 7 2 4 6" xfId="25083"/>
    <cellStyle name="常规 2 7 2 4 7" xfId="25084"/>
    <cellStyle name="常规 2 7 2 4 8" xfId="25085"/>
    <cellStyle name="常规 2 7 2 5" xfId="5393"/>
    <cellStyle name="常规 2 7 2 5 2" xfId="25086"/>
    <cellStyle name="常规 2 7 2 5 2 2" xfId="25087"/>
    <cellStyle name="常规 2 7 2 5 2 2 2" xfId="24217"/>
    <cellStyle name="常规 2 7 2 5 2 3" xfId="25089"/>
    <cellStyle name="常规 2 7 2 5 2 4" xfId="25090"/>
    <cellStyle name="常规 2 7 2 5 3" xfId="25091"/>
    <cellStyle name="常规 2 7 2 5 3 2" xfId="25092"/>
    <cellStyle name="常规 2 7 2 5 4" xfId="25094"/>
    <cellStyle name="常规 2 7 2 5 5" xfId="25095"/>
    <cellStyle name="常规 2 7 2 5 6" xfId="25096"/>
    <cellStyle name="常规 2 7 2 6" xfId="25097"/>
    <cellStyle name="常规 2 7 2 6 2" xfId="25098"/>
    <cellStyle name="常规 2 7 2 6 2 2" xfId="25099"/>
    <cellStyle name="常规 2 7 2 6 3" xfId="25100"/>
    <cellStyle name="常规 2 7 2 6 4" xfId="25101"/>
    <cellStyle name="常规 2 7 2 7" xfId="25102"/>
    <cellStyle name="常规 2 7 2 7 2" xfId="25103"/>
    <cellStyle name="常规 2 7 2 7 2 2" xfId="25104"/>
    <cellStyle name="常规 2 7 2 7 3" xfId="25105"/>
    <cellStyle name="常规 2 7 2 7 4" xfId="25106"/>
    <cellStyle name="常规 2 7 2 8" xfId="25107"/>
    <cellStyle name="常规 2 7 2 8 2" xfId="25111"/>
    <cellStyle name="常规 2 7 2 9" xfId="25114"/>
    <cellStyle name="常规 2 7 2 9 2" xfId="25117"/>
    <cellStyle name="常规 2 7 3" xfId="4664"/>
    <cellStyle name="常规 2 7 3 10" xfId="25120"/>
    <cellStyle name="常规 2 7 3 11" xfId="25121"/>
    <cellStyle name="常规 2 7 3 2" xfId="25122"/>
    <cellStyle name="常规 2 7 3 2 10" xfId="5119"/>
    <cellStyle name="常规 2 7 3 2 2" xfId="14948"/>
    <cellStyle name="常规 2 7 3 2 2 2" xfId="14951"/>
    <cellStyle name="常规 2 7 3 2 2 2 2" xfId="14954"/>
    <cellStyle name="常规 2 7 3 2 2 2 2 2" xfId="25123"/>
    <cellStyle name="常规 2 7 3 2 2 2 2 2 2" xfId="25124"/>
    <cellStyle name="常规 2 7 3 2 2 2 2 3" xfId="25125"/>
    <cellStyle name="常规 2 7 3 2 2 2 2 4" xfId="25126"/>
    <cellStyle name="常规 2 7 3 2 2 2 3" xfId="9288"/>
    <cellStyle name="常规 2 7 3 2 2 2 3 2" xfId="25127"/>
    <cellStyle name="常规 2 7 3 2 2 2 4" xfId="17508"/>
    <cellStyle name="常规 2 7 3 2 2 2 5" xfId="20458"/>
    <cellStyle name="常规 2 7 3 2 2 3" xfId="14956"/>
    <cellStyle name="常规 2 7 3 2 2 3 2" xfId="25128"/>
    <cellStyle name="常规 2 7 3 2 2 3 2 2" xfId="25129"/>
    <cellStyle name="常规 2 7 3 2 2 3 3" xfId="25130"/>
    <cellStyle name="常规 2 7 3 2 2 3 4" xfId="21111"/>
    <cellStyle name="常规 2 7 3 2 2 4" xfId="14958"/>
    <cellStyle name="常规 2 7 3 2 2 4 2" xfId="25131"/>
    <cellStyle name="常规 2 7 3 2 2 4 2 2" xfId="25133"/>
    <cellStyle name="常规 2 7 3 2 2 4 3" xfId="25134"/>
    <cellStyle name="常规 2 7 3 2 2 4 4" xfId="21133"/>
    <cellStyle name="常规 2 7 3 2 2 5" xfId="25136"/>
    <cellStyle name="常规 2 7 3 2 2 5 2" xfId="25137"/>
    <cellStyle name="常规 2 7 3 2 2 6" xfId="25138"/>
    <cellStyle name="常规 2 7 3 2 2 7" xfId="14489"/>
    <cellStyle name="常规 2 7 3 2 2 8" xfId="14495"/>
    <cellStyle name="常规 2 7 3 2 3" xfId="14960"/>
    <cellStyle name="常规 2 7 3 2 3 2" xfId="14963"/>
    <cellStyle name="常规 2 7 3 2 3 2 2" xfId="14965"/>
    <cellStyle name="常规 2 7 3 2 3 2 2 2" xfId="537"/>
    <cellStyle name="常规 2 7 3 2 3 2 3" xfId="25141"/>
    <cellStyle name="常规 2 7 3 2 3 2 4" xfId="17517"/>
    <cellStyle name="常规 2 7 3 2 3 3" xfId="14967"/>
    <cellStyle name="常规 2 7 3 2 3 3 2" xfId="25142"/>
    <cellStyle name="常规 2 7 3 2 3 4" xfId="14969"/>
    <cellStyle name="常规 2 7 3 2 3 5" xfId="25143"/>
    <cellStyle name="常规 2 7 3 2 3 6" xfId="21359"/>
    <cellStyle name="常规 2 7 3 2 4" xfId="10588"/>
    <cellStyle name="常规 2 7 3 2 4 2" xfId="10592"/>
    <cellStyle name="常规 2 7 3 2 4 2 2" xfId="10594"/>
    <cellStyle name="常规 2 7 3 2 4 3" xfId="10596"/>
    <cellStyle name="常规 2 7 3 2 4 4" xfId="10599"/>
    <cellStyle name="常规 2 7 3 2 5" xfId="10603"/>
    <cellStyle name="常规 2 7 3 2 5 2" xfId="10607"/>
    <cellStyle name="常规 2 7 3 2 5 2 2" xfId="25148"/>
    <cellStyle name="常规 2 7 3 2 5 3" xfId="25149"/>
    <cellStyle name="常规 2 7 3 2 5 4" xfId="25150"/>
    <cellStyle name="常规 2 7 3 2 6" xfId="10610"/>
    <cellStyle name="常规 2 7 3 2 6 2" xfId="10612"/>
    <cellStyle name="常规 2 7 3 2 7" xfId="10616"/>
    <cellStyle name="常规 2 7 3 2 7 2" xfId="25151"/>
    <cellStyle name="常规 2 7 3 2 8" xfId="10618"/>
    <cellStyle name="常规 2 7 3 2 9" xfId="25152"/>
    <cellStyle name="常规 2 7 3 3" xfId="25153"/>
    <cellStyle name="常规 2 7 3 3 2" xfId="15114"/>
    <cellStyle name="常规 2 7 3 3 2 2" xfId="15118"/>
    <cellStyle name="常规 2 7 3 3 2 2 2" xfId="15121"/>
    <cellStyle name="常规 2 7 3 3 2 2 2 2" xfId="15124"/>
    <cellStyle name="常规 2 7 3 3 2 2 3" xfId="15127"/>
    <cellStyle name="常规 2 7 3 3 2 2 4" xfId="15130"/>
    <cellStyle name="常规 2 7 3 3 2 3" xfId="15133"/>
    <cellStyle name="常规 2 7 3 3 2 3 2" xfId="15136"/>
    <cellStyle name="常规 2 7 3 3 2 4" xfId="15139"/>
    <cellStyle name="常规 2 7 3 3 2 5" xfId="15143"/>
    <cellStyle name="常规 2 7 3 3 3" xfId="15150"/>
    <cellStyle name="常规 2 7 3 3 3 2" xfId="15155"/>
    <cellStyle name="常规 2 7 3 3 3 2 2" xfId="15159"/>
    <cellStyle name="常规 2 7 3 3 3 3" xfId="15162"/>
    <cellStyle name="常规 2 7 3 3 3 4" xfId="15166"/>
    <cellStyle name="常规 2 7 3 3 4" xfId="10627"/>
    <cellStyle name="常规 2 7 3 3 4 2" xfId="10633"/>
    <cellStyle name="常规 2 7 3 3 4 2 2" xfId="10637"/>
    <cellStyle name="常规 2 7 3 3 4 3" xfId="10645"/>
    <cellStyle name="常规 2 7 3 3 4 4" xfId="10651"/>
    <cellStyle name="常规 2 7 3 3 5" xfId="10663"/>
    <cellStyle name="常规 2 7 3 3 5 2" xfId="10668"/>
    <cellStyle name="常规 2 7 3 3 6" xfId="10682"/>
    <cellStyle name="常规 2 7 3 3 7" xfId="10690"/>
    <cellStyle name="常规 2 7 3 3 8" xfId="10694"/>
    <cellStyle name="常规 2 7 3 4" xfId="25155"/>
    <cellStyle name="常规 2 7 3 4 2" xfId="15201"/>
    <cellStyle name="常规 2 7 3 4 2 2" xfId="9276"/>
    <cellStyle name="常规 2 7 3 4 2 2 2" xfId="9282"/>
    <cellStyle name="常规 2 7 3 4 2 3" xfId="9325"/>
    <cellStyle name="常规 2 7 3 4 2 4" xfId="9345"/>
    <cellStyle name="常规 2 7 3 4 3" xfId="15207"/>
    <cellStyle name="常规 2 7 3 4 3 2" xfId="9390"/>
    <cellStyle name="常规 2 7 3 4 4" xfId="10703"/>
    <cellStyle name="常规 2 7 3 4 5" xfId="10708"/>
    <cellStyle name="常规 2 7 3 4 6" xfId="10712"/>
    <cellStyle name="常规 2 7 3 5" xfId="25158"/>
    <cellStyle name="常规 2 7 3 5 2" xfId="15240"/>
    <cellStyle name="常规 2 7 3 5 2 2" xfId="10838"/>
    <cellStyle name="常规 2 7 3 5 3" xfId="15249"/>
    <cellStyle name="常规 2 7 3 5 4" xfId="10724"/>
    <cellStyle name="常规 2 7 3 6" xfId="25161"/>
    <cellStyle name="常规 2 7 3 6 2" xfId="15267"/>
    <cellStyle name="常规 2 7 3 6 2 2" xfId="15270"/>
    <cellStyle name="常规 2 7 3 6 3" xfId="15275"/>
    <cellStyle name="常规 2 7 3 6 4" xfId="10732"/>
    <cellStyle name="常规 2 7 3 7" xfId="25164"/>
    <cellStyle name="常规 2 7 3 7 2" xfId="15285"/>
    <cellStyle name="常规 2 7 3 8" xfId="25166"/>
    <cellStyle name="常规 2 7 3 8 2" xfId="15304"/>
    <cellStyle name="常规 2 7 3 9" xfId="7817"/>
    <cellStyle name="常规 2 7 4" xfId="25170"/>
    <cellStyle name="常规 2 7 4 2" xfId="25171"/>
    <cellStyle name="常规 2 7 4 2 2" xfId="15681"/>
    <cellStyle name="常规 2 7 4 2 2 2" xfId="15684"/>
    <cellStyle name="常规 2 7 4 2 2 2 2" xfId="15687"/>
    <cellStyle name="常规 2 7 4 2 2 3" xfId="584"/>
    <cellStyle name="常规 2 7 4 2 2 4" xfId="613"/>
    <cellStyle name="常规 2 7 4 2 3" xfId="15691"/>
    <cellStyle name="常规 2 7 4 2 3 2" xfId="15695"/>
    <cellStyle name="常规 2 7 4 2 4" xfId="10742"/>
    <cellStyle name="常规 2 7 4 2 5" xfId="8003"/>
    <cellStyle name="常规 2 7 4 3" xfId="25172"/>
    <cellStyle name="常规 2 7 4 3 2" xfId="15812"/>
    <cellStyle name="常规 2 7 4 3 2 2" xfId="15816"/>
    <cellStyle name="常规 2 7 4 3 3" xfId="15838"/>
    <cellStyle name="常规 2 7 4 3 4" xfId="10781"/>
    <cellStyle name="常规 2 7 4 4" xfId="25174"/>
    <cellStyle name="常规 2 7 4 4 2" xfId="15887"/>
    <cellStyle name="常规 2 7 4 4 2 2" xfId="9472"/>
    <cellStyle name="常规 2 7 4 4 3" xfId="15892"/>
    <cellStyle name="常规 2 7 4 4 4" xfId="10805"/>
    <cellStyle name="常规 2 7 4 5" xfId="25177"/>
    <cellStyle name="常规 2 7 4 5 2" xfId="15915"/>
    <cellStyle name="常规 2 7 4 6" xfId="25179"/>
    <cellStyle name="常规 2 7 4 7" xfId="25181"/>
    <cellStyle name="常规 2 7 4 8" xfId="25183"/>
    <cellStyle name="常规 2 7 5" xfId="25186"/>
    <cellStyle name="常规 2 7 5 2" xfId="25187"/>
    <cellStyle name="常规 2 7 5 2 2" xfId="15408"/>
    <cellStyle name="常规 2 7 5 2 2 2" xfId="16140"/>
    <cellStyle name="常规 2 7 5 2 3" xfId="16155"/>
    <cellStyle name="常规 2 7 5 2 4" xfId="10826"/>
    <cellStyle name="常规 2 7 5 3" xfId="25189"/>
    <cellStyle name="常规 2 7 5 3 2" xfId="16219"/>
    <cellStyle name="常规 2 7 5 4" xfId="25193"/>
    <cellStyle name="常规 2 7 5 5" xfId="25195"/>
    <cellStyle name="常规 2 7 5 6" xfId="25197"/>
    <cellStyle name="常规 2 7 6" xfId="1844"/>
    <cellStyle name="常规 2 7 6 2" xfId="25198"/>
    <cellStyle name="常规 2 7 6 2 2" xfId="16422"/>
    <cellStyle name="常规 2 7 6 3" xfId="25199"/>
    <cellStyle name="常规 2 7 6 4" xfId="25201"/>
    <cellStyle name="常规 2 7 7" xfId="25203"/>
    <cellStyle name="常规 2 7 7 2" xfId="25205"/>
    <cellStyle name="常规 2 7 7 2 2" xfId="16543"/>
    <cellStyle name="常规 2 7 7 3" xfId="25206"/>
    <cellStyle name="常规 2 7 7 4" xfId="25208"/>
    <cellStyle name="常规 2 7 8" xfId="25209"/>
    <cellStyle name="常规 2 7 8 2" xfId="25210"/>
    <cellStyle name="常规 2 7 9" xfId="25211"/>
    <cellStyle name="常规 2 7 9 2" xfId="25212"/>
    <cellStyle name="常规 2 8" xfId="25213"/>
    <cellStyle name="常规 2 8 10" xfId="25214"/>
    <cellStyle name="常规 2 8 11" xfId="25216"/>
    <cellStyle name="常规 2 8 12" xfId="25218"/>
    <cellStyle name="常规 2 8 2" xfId="25220"/>
    <cellStyle name="常规 2 8 2 10" xfId="25221"/>
    <cellStyle name="常规 2 8 2 11" xfId="25222"/>
    <cellStyle name="常规 2 8 2 12" xfId="25224"/>
    <cellStyle name="常规 2 8 2 2" xfId="25226"/>
    <cellStyle name="常规 2 8 2 2 10" xfId="25227"/>
    <cellStyle name="常规 2 8 2 2 2" xfId="25228"/>
    <cellStyle name="常规 2 8 2 2 2 2" xfId="25231"/>
    <cellStyle name="常规 2 8 2 2 2 2 2" xfId="7453"/>
    <cellStyle name="常规 2 8 2 2 2 2 2 2" xfId="7457"/>
    <cellStyle name="常规 2 8 2 2 2 2 2 2 2" xfId="25234"/>
    <cellStyle name="常规 2 8 2 2 2 2 2 3" xfId="9804"/>
    <cellStyle name="常规 2 8 2 2 2 2 2 4" xfId="25236"/>
    <cellStyle name="常规 2 8 2 2 2 2 3" xfId="25237"/>
    <cellStyle name="常规 2 8 2 2 2 2 3 2" xfId="25239"/>
    <cellStyle name="常规 2 8 2 2 2 2 4" xfId="25240"/>
    <cellStyle name="常规 2 8 2 2 2 2 5" xfId="25241"/>
    <cellStyle name="常规 2 8 2 2 2 3" xfId="25242"/>
    <cellStyle name="常规 2 8 2 2 2 3 2" xfId="25244"/>
    <cellStyle name="常规 2 8 2 2 2 3 2 2" xfId="21937"/>
    <cellStyle name="常规 2 8 2 2 2 3 3" xfId="25245"/>
    <cellStyle name="常规 2 8 2 2 2 3 4" xfId="25246"/>
    <cellStyle name="常规 2 8 2 2 2 4" xfId="25247"/>
    <cellStyle name="常规 2 8 2 2 2 4 2" xfId="25249"/>
    <cellStyle name="常规 2 8 2 2 2 4 2 2" xfId="22174"/>
    <cellStyle name="常规 2 8 2 2 2 4 3" xfId="25250"/>
    <cellStyle name="常规 2 8 2 2 2 4 4" xfId="25251"/>
    <cellStyle name="常规 2 8 2 2 2 5" xfId="25253"/>
    <cellStyle name="常规 2 8 2 2 2 5 2" xfId="25254"/>
    <cellStyle name="常规 2 8 2 2 2 6" xfId="25255"/>
    <cellStyle name="常规 2 8 2 2 2 7" xfId="25257"/>
    <cellStyle name="常规 2 8 2 2 2 8" xfId="21256"/>
    <cellStyle name="常规 2 8 2 2 3" xfId="25259"/>
    <cellStyle name="常规 2 8 2 2 3 2" xfId="25262"/>
    <cellStyle name="常规 2 8 2 2 3 2 2" xfId="13655"/>
    <cellStyle name="常规 2 8 2 2 3 2 2 2" xfId="25265"/>
    <cellStyle name="常规 2 8 2 2 3 2 3" xfId="13659"/>
    <cellStyle name="常规 2 8 2 2 3 2 4" xfId="13663"/>
    <cellStyle name="常规 2 8 2 2 3 3" xfId="13959"/>
    <cellStyle name="常规 2 8 2 2 3 3 2" xfId="25266"/>
    <cellStyle name="常规 2 8 2 2 3 4" xfId="25267"/>
    <cellStyle name="常规 2 8 2 2 3 5" xfId="25269"/>
    <cellStyle name="常规 2 8 2 2 3 6" xfId="25270"/>
    <cellStyle name="常规 2 8 2 2 4" xfId="25272"/>
    <cellStyle name="常规 2 8 2 2 4 2" xfId="25276"/>
    <cellStyle name="常规 2 8 2 2 4 2 2" xfId="25278"/>
    <cellStyle name="常规 2 8 2 2 4 3" xfId="25281"/>
    <cellStyle name="常规 2 8 2 2 4 4" xfId="25283"/>
    <cellStyle name="常规 2 8 2 2 5" xfId="25285"/>
    <cellStyle name="常规 2 8 2 2 5 2" xfId="25289"/>
    <cellStyle name="常规 2 8 2 2 5 2 2" xfId="25291"/>
    <cellStyle name="常规 2 8 2 2 5 3" xfId="25294"/>
    <cellStyle name="常规 2 8 2 2 5 4" xfId="25296"/>
    <cellStyle name="常规 2 8 2 2 6" xfId="25298"/>
    <cellStyle name="常规 2 8 2 2 6 2" xfId="25301"/>
    <cellStyle name="常规 2 8 2 2 7" xfId="25303"/>
    <cellStyle name="常规 2 8 2 2 7 2" xfId="10172"/>
    <cellStyle name="常规 2 8 2 2 8" xfId="25304"/>
    <cellStyle name="常规 2 8 2 2 9" xfId="25305"/>
    <cellStyle name="常规 2 8 2 3" xfId="25306"/>
    <cellStyle name="常规 2 8 2 3 10" xfId="22875"/>
    <cellStyle name="常规 2 8 2 3 11" xfId="22880"/>
    <cellStyle name="常规 2 8 2 3 2" xfId="25307"/>
    <cellStyle name="常规 2 8 2 3 2 10" xfId="24474"/>
    <cellStyle name="常规 2 8 2 3 2 2" xfId="25310"/>
    <cellStyle name="常规 2 8 2 3 2 2 2" xfId="25312"/>
    <cellStyle name="常规 2 8 2 3 2 2 2 2" xfId="25313"/>
    <cellStyle name="常规 2 8 2 3 2 2 2 2 2" xfId="25315"/>
    <cellStyle name="常规 2 8 2 3 2 2 2 2 2 2" xfId="25316"/>
    <cellStyle name="常规 2 8 2 3 2 2 2 2 3" xfId="10183"/>
    <cellStyle name="常规 2 8 2 3 2 2 2 2 4" xfId="25317"/>
    <cellStyle name="常规 2 8 2 3 2 2 2 3" xfId="5488"/>
    <cellStyle name="常规 2 8 2 3 2 2 2 3 2" xfId="5493"/>
    <cellStyle name="常规 2 8 2 3 2 2 2 4" xfId="6940"/>
    <cellStyle name="常规 2 8 2 3 2 2 2 5" xfId="315"/>
    <cellStyle name="常规 2 8 2 3 2 2 3" xfId="25318"/>
    <cellStyle name="常规 2 8 2 3 2 2 3 2" xfId="25321"/>
    <cellStyle name="常规 2 8 2 3 2 2 3 2 2" xfId="25323"/>
    <cellStyle name="常规 2 8 2 3 2 2 3 3" xfId="6944"/>
    <cellStyle name="常规 2 8 2 3 2 2 3 4" xfId="6948"/>
    <cellStyle name="常规 2 8 2 3 2 2 4" xfId="25324"/>
    <cellStyle name="常规 2 8 2 3 2 2 4 2" xfId="14676"/>
    <cellStyle name="常规 2 8 2 3 2 2 4 2 2" xfId="11854"/>
    <cellStyle name="常规 2 8 2 3 2 2 4 3" xfId="6956"/>
    <cellStyle name="常规 2 8 2 3 2 2 4 4" xfId="25325"/>
    <cellStyle name="常规 2 8 2 3 2 2 5" xfId="25326"/>
    <cellStyle name="常规 2 8 2 3 2 2 5 2" xfId="25327"/>
    <cellStyle name="常规 2 8 2 3 2 2 6" xfId="16059"/>
    <cellStyle name="常规 2 8 2 3 2 2 7" xfId="25328"/>
    <cellStyle name="常规 2 8 2 3 2 2 8" xfId="25330"/>
    <cellStyle name="常规 2 8 2 3 2 3" xfId="25332"/>
    <cellStyle name="常规 2 8 2 3 2 3 2" xfId="25333"/>
    <cellStyle name="常规 2 8 2 3 2 3 2 2" xfId="25334"/>
    <cellStyle name="常规 2 8 2 3 2 3 2 2 2" xfId="19325"/>
    <cellStyle name="常规 2 8 2 3 2 3 2 3" xfId="6975"/>
    <cellStyle name="常规 2 8 2 3 2 3 2 4" xfId="21146"/>
    <cellStyle name="常规 2 8 2 3 2 3 3" xfId="25215"/>
    <cellStyle name="常规 2 8 2 3 2 3 3 2" xfId="25336"/>
    <cellStyle name="常规 2 8 2 3 2 3 4" xfId="25217"/>
    <cellStyle name="常规 2 8 2 3 2 3 5" xfId="25219"/>
    <cellStyle name="常规 2 8 2 3 2 3 6" xfId="4833"/>
    <cellStyle name="常规 2 8 2 3 2 4" xfId="18045"/>
    <cellStyle name="常规 2 8 2 3 2 4 2" xfId="18047"/>
    <cellStyle name="常规 2 8 2 3 2 4 2 2" xfId="25338"/>
    <cellStyle name="常规 2 8 2 3 2 4 3" xfId="25339"/>
    <cellStyle name="常规 2 8 2 3 2 4 4" xfId="25341"/>
    <cellStyle name="常规 2 8 2 3 2 5" xfId="18050"/>
    <cellStyle name="常规 2 8 2 3 2 5 2" xfId="10529"/>
    <cellStyle name="常规 2 8 2 3 2 5 2 2" xfId="19660"/>
    <cellStyle name="常规 2 8 2 3 2 5 3" xfId="797"/>
    <cellStyle name="常规 2 8 2 3 2 5 4" xfId="25343"/>
    <cellStyle name="常规 2 8 2 3 2 6" xfId="12214"/>
    <cellStyle name="常规 2 8 2 3 2 6 2" xfId="12218"/>
    <cellStyle name="常规 2 8 2 3 2 7" xfId="12227"/>
    <cellStyle name="常规 2 8 2 3 2 7 2" xfId="12230"/>
    <cellStyle name="常规 2 8 2 3 2 8" xfId="12234"/>
    <cellStyle name="常规 2 8 2 3 2 9" xfId="25344"/>
    <cellStyle name="常规 2 8 2 3 3" xfId="25346"/>
    <cellStyle name="常规 2 8 2 3 3 2" xfId="25349"/>
    <cellStyle name="常规 2 8 2 3 3 2 2" xfId="25352"/>
    <cellStyle name="常规 2 8 2 3 3 2 2 2" xfId="25355"/>
    <cellStyle name="常规 2 8 2 3 3 2 2 2 2" xfId="13280"/>
    <cellStyle name="常规 2 8 2 3 3 2 2 3" xfId="25356"/>
    <cellStyle name="常规 2 8 2 3 3 2 2 4" xfId="25357"/>
    <cellStyle name="常规 2 8 2 3 3 2 3" xfId="25358"/>
    <cellStyle name="常规 2 8 2 3 3 2 3 2" xfId="25360"/>
    <cellStyle name="常规 2 8 2 3 3 2 4" xfId="25361"/>
    <cellStyle name="常规 2 8 2 3 3 2 5" xfId="25362"/>
    <cellStyle name="常规 2 8 2 3 3 3" xfId="25363"/>
    <cellStyle name="常规 2 8 2 3 3 3 2" xfId="25366"/>
    <cellStyle name="常规 2 8 2 3 3 3 2 2" xfId="25368"/>
    <cellStyle name="常规 2 8 2 3 3 3 3" xfId="25369"/>
    <cellStyle name="常规 2 8 2 3 3 3 4" xfId="25371"/>
    <cellStyle name="常规 2 8 2 3 3 4" xfId="18053"/>
    <cellStyle name="常规 2 8 2 3 3 4 2" xfId="18055"/>
    <cellStyle name="常规 2 8 2 3 3 4 2 2" xfId="25372"/>
    <cellStyle name="常规 2 8 2 3 3 4 3" xfId="25374"/>
    <cellStyle name="常规 2 8 2 3 3 4 4" xfId="25376"/>
    <cellStyle name="常规 2 8 2 3 3 5" xfId="18058"/>
    <cellStyle name="常规 2 8 2 3 3 5 2" xfId="20126"/>
    <cellStyle name="常规 2 8 2 3 3 6" xfId="12240"/>
    <cellStyle name="常规 2 8 2 3 3 7" xfId="12246"/>
    <cellStyle name="常规 2 8 2 3 3 8" xfId="25377"/>
    <cellStyle name="常规 2 8 2 3 4" xfId="25379"/>
    <cellStyle name="常规 2 8 2 3 4 2" xfId="9085"/>
    <cellStyle name="常规 2 8 2 3 4 2 2" xfId="9088"/>
    <cellStyle name="常规 2 8 2 3 4 2 2 2" xfId="25382"/>
    <cellStyle name="常规 2 8 2 3 4 2 3" xfId="25384"/>
    <cellStyle name="常规 2 8 2 3 4 2 4" xfId="25385"/>
    <cellStyle name="常规 2 8 2 3 4 3" xfId="9090"/>
    <cellStyle name="常规 2 8 2 3 4 3 2" xfId="9092"/>
    <cellStyle name="常规 2 8 2 3 4 4" xfId="9095"/>
    <cellStyle name="常规 2 8 2 3 4 5" xfId="9097"/>
    <cellStyle name="常规 2 8 2 3 4 6" xfId="12252"/>
    <cellStyle name="常规 2 8 2 3 5" xfId="25386"/>
    <cellStyle name="常规 2 8 2 3 5 2" xfId="9128"/>
    <cellStyle name="常规 2 8 2 3 5 2 2" xfId="2056"/>
    <cellStyle name="常规 2 8 2 3 5 3" xfId="9132"/>
    <cellStyle name="常规 2 8 2 3 5 4" xfId="9136"/>
    <cellStyle name="常规 2 8 2 3 6" xfId="25388"/>
    <cellStyle name="常规 2 8 2 3 6 2" xfId="9151"/>
    <cellStyle name="常规 2 8 2 3 6 2 2" xfId="9154"/>
    <cellStyle name="常规 2 8 2 3 6 3" xfId="9156"/>
    <cellStyle name="常规 2 8 2 3 6 4" xfId="9158"/>
    <cellStyle name="常规 2 8 2 3 7" xfId="25389"/>
    <cellStyle name="常规 2 8 2 3 7 2" xfId="10332"/>
    <cellStyle name="常规 2 8 2 3 8" xfId="2678"/>
    <cellStyle name="常规 2 8 2 3 8 2" xfId="25390"/>
    <cellStyle name="常规 2 8 2 3 9" xfId="25391"/>
    <cellStyle name="常规 2 8 2 4" xfId="25392"/>
    <cellStyle name="常规 2 8 2 4 2" xfId="25395"/>
    <cellStyle name="常规 2 8 2 4 2 2" xfId="25397"/>
    <cellStyle name="常规 2 8 2 4 2 2 2" xfId="25398"/>
    <cellStyle name="常规 2 8 2 4 2 2 2 2" xfId="25399"/>
    <cellStyle name="常规 2 8 2 4 2 2 3" xfId="25401"/>
    <cellStyle name="常规 2 8 2 4 2 2 4" xfId="25403"/>
    <cellStyle name="常规 2 8 2 4 2 3" xfId="25405"/>
    <cellStyle name="常规 2 8 2 4 2 3 2" xfId="25406"/>
    <cellStyle name="常规 2 8 2 4 2 4" xfId="18071"/>
    <cellStyle name="常规 2 8 2 4 2 5" xfId="25407"/>
    <cellStyle name="常规 2 8 2 4 3" xfId="25408"/>
    <cellStyle name="常规 2 8 2 4 3 2" xfId="25410"/>
    <cellStyle name="常规 2 8 2 4 3 2 2" xfId="25411"/>
    <cellStyle name="常规 2 8 2 4 3 3" xfId="25412"/>
    <cellStyle name="常规 2 8 2 4 3 4" xfId="25413"/>
    <cellStyle name="常规 2 8 2 4 4" xfId="10198"/>
    <cellStyle name="常规 2 8 2 4 4 2" xfId="9195"/>
    <cellStyle name="常规 2 8 2 4 4 2 2" xfId="9198"/>
    <cellStyle name="常规 2 8 2 4 4 3" xfId="9200"/>
    <cellStyle name="常规 2 8 2 4 4 4" xfId="9203"/>
    <cellStyle name="常规 2 8 2 4 5" xfId="10200"/>
    <cellStyle name="常规 2 8 2 4 5 2" xfId="9216"/>
    <cellStyle name="常规 2 8 2 4 6" xfId="10202"/>
    <cellStyle name="常规 2 8 2 4 7" xfId="10204"/>
    <cellStyle name="常规 2 8 2 4 8" xfId="25414"/>
    <cellStyle name="常规 2 8 2 5" xfId="25415"/>
    <cellStyle name="常规 2 8 2 5 2" xfId="25416"/>
    <cellStyle name="常规 2 8 2 5 2 2" xfId="25417"/>
    <cellStyle name="常规 2 8 2 5 2 2 2" xfId="24627"/>
    <cellStyle name="常规 2 8 2 5 2 3" xfId="8740"/>
    <cellStyle name="常规 2 8 2 5 2 4" xfId="25418"/>
    <cellStyle name="常规 2 8 2 5 3" xfId="25419"/>
    <cellStyle name="常规 2 8 2 5 3 2" xfId="25420"/>
    <cellStyle name="常规 2 8 2 5 4" xfId="10207"/>
    <cellStyle name="常规 2 8 2 5 5" xfId="25421"/>
    <cellStyle name="常规 2 8 2 5 6" xfId="25422"/>
    <cellStyle name="常规 2 8 2 6" xfId="25423"/>
    <cellStyle name="常规 2 8 2 6 2" xfId="25424"/>
    <cellStyle name="常规 2 8 2 6 2 2" xfId="21182"/>
    <cellStyle name="常规 2 8 2 6 3" xfId="24980"/>
    <cellStyle name="常规 2 8 2 6 4" xfId="10210"/>
    <cellStyle name="常规 2 8 2 7" xfId="25426"/>
    <cellStyle name="常规 2 8 2 7 2" xfId="25427"/>
    <cellStyle name="常规 2 8 2 7 2 2" xfId="23640"/>
    <cellStyle name="常规 2 8 2 7 3" xfId="25428"/>
    <cellStyle name="常规 2 8 2 7 4" xfId="25429"/>
    <cellStyle name="常规 2 8 2 8" xfId="565"/>
    <cellStyle name="常规 2 8 2 8 2" xfId="25430"/>
    <cellStyle name="常规 2 8 2 9" xfId="25433"/>
    <cellStyle name="常规 2 8 2 9 2" xfId="25437"/>
    <cellStyle name="常规 2 8 3" xfId="25438"/>
    <cellStyle name="常规 2 8 3 10" xfId="25439"/>
    <cellStyle name="常规 2 8 3 11" xfId="25440"/>
    <cellStyle name="常规 2 8 3 2" xfId="25441"/>
    <cellStyle name="常规 2 8 3 2 10" xfId="25442"/>
    <cellStyle name="常规 2 8 3 2 2" xfId="25444"/>
    <cellStyle name="常规 2 8 3 2 2 2" xfId="17708"/>
    <cellStyle name="常规 2 8 3 2 2 2 2" xfId="25447"/>
    <cellStyle name="常规 2 8 3 2 2 2 2 2" xfId="25449"/>
    <cellStyle name="常规 2 8 3 2 2 2 2 2 2" xfId="25451"/>
    <cellStyle name="常规 2 8 3 2 2 2 2 3" xfId="25452"/>
    <cellStyle name="常规 2 8 3 2 2 2 2 4" xfId="25453"/>
    <cellStyle name="常规 2 8 3 2 2 2 3" xfId="25454"/>
    <cellStyle name="常规 2 8 3 2 2 2 3 2" xfId="25455"/>
    <cellStyle name="常规 2 8 3 2 2 2 4" xfId="25456"/>
    <cellStyle name="常规 2 8 3 2 2 2 5" xfId="25457"/>
    <cellStyle name="常规 2 8 3 2 2 3" xfId="17712"/>
    <cellStyle name="常规 2 8 3 2 2 3 2" xfId="25458"/>
    <cellStyle name="常规 2 8 3 2 2 3 2 2" xfId="25459"/>
    <cellStyle name="常规 2 8 3 2 2 3 3" xfId="25462"/>
    <cellStyle name="常规 2 8 3 2 2 3 4" xfId="14145"/>
    <cellStyle name="常规 2 8 3 2 2 4" xfId="17715"/>
    <cellStyle name="常规 2 8 3 2 2 4 2" xfId="25463"/>
    <cellStyle name="常规 2 8 3 2 2 4 2 2" xfId="25464"/>
    <cellStyle name="常规 2 8 3 2 2 4 3" xfId="25466"/>
    <cellStyle name="常规 2 8 3 2 2 4 4" xfId="14177"/>
    <cellStyle name="常规 2 8 3 2 2 5" xfId="25467"/>
    <cellStyle name="常规 2 8 3 2 2 5 2" xfId="25468"/>
    <cellStyle name="常规 2 8 3 2 2 6" xfId="25469"/>
    <cellStyle name="常规 2 8 3 2 2 7" xfId="25471"/>
    <cellStyle name="常规 2 8 3 2 2 8" xfId="25473"/>
    <cellStyle name="常规 2 8 3 2 3" xfId="25475"/>
    <cellStyle name="常规 2 8 3 2 3 2" xfId="17742"/>
    <cellStyle name="常规 2 8 3 2 3 2 2" xfId="25478"/>
    <cellStyle name="常规 2 8 3 2 3 2 2 2" xfId="25479"/>
    <cellStyle name="常规 2 8 3 2 3 2 3" xfId="25481"/>
    <cellStyle name="常规 2 8 3 2 3 2 4" xfId="25482"/>
    <cellStyle name="常规 2 8 3 2 3 3" xfId="17745"/>
    <cellStyle name="常规 2 8 3 2 3 3 2" xfId="25484"/>
    <cellStyle name="常规 2 8 3 2 3 4" xfId="17747"/>
    <cellStyle name="常规 2 8 3 2 3 5" xfId="25485"/>
    <cellStyle name="常规 2 8 3 2 3 6" xfId="12"/>
    <cellStyle name="常规 2 8 3 2 4" xfId="25486"/>
    <cellStyle name="常规 2 8 3 2 4 2" xfId="17758"/>
    <cellStyle name="常规 2 8 3 2 4 2 2" xfId="25489"/>
    <cellStyle name="常规 2 8 3 2 4 3" xfId="25490"/>
    <cellStyle name="常规 2 8 3 2 4 4" xfId="25491"/>
    <cellStyle name="常规 2 8 3 2 5" xfId="25492"/>
    <cellStyle name="常规 2 8 3 2 5 2" xfId="25495"/>
    <cellStyle name="常规 2 8 3 2 5 2 2" xfId="25496"/>
    <cellStyle name="常规 2 8 3 2 5 3" xfId="25497"/>
    <cellStyle name="常规 2 8 3 2 5 4" xfId="25498"/>
    <cellStyle name="常规 2 8 3 2 6" xfId="25499"/>
    <cellStyle name="常规 2 8 3 2 6 2" xfId="25501"/>
    <cellStyle name="常规 2 8 3 2 7" xfId="25502"/>
    <cellStyle name="常规 2 8 3 2 7 2" xfId="25503"/>
    <cellStyle name="常规 2 8 3 2 8" xfId="25504"/>
    <cellStyle name="常规 2 8 3 2 9" xfId="25505"/>
    <cellStyle name="常规 2 8 3 3" xfId="25507"/>
    <cellStyle name="常规 2 8 3 3 2" xfId="25510"/>
    <cellStyle name="常规 2 8 3 3 2 2" xfId="18227"/>
    <cellStyle name="常规 2 8 3 3 2 2 2" xfId="25514"/>
    <cellStyle name="常规 2 8 3 3 2 2 2 2" xfId="25515"/>
    <cellStyle name="常规 2 8 3 3 2 2 3" xfId="25518"/>
    <cellStyle name="常规 2 8 3 3 2 2 4" xfId="10071"/>
    <cellStyle name="常规 2 8 3 3 2 3" xfId="18231"/>
    <cellStyle name="常规 2 8 3 3 2 3 2" xfId="25520"/>
    <cellStyle name="常规 2 8 3 3 2 4" xfId="18102"/>
    <cellStyle name="常规 2 8 3 3 2 5" xfId="25521"/>
    <cellStyle name="常规 2 8 3 3 3" xfId="20926"/>
    <cellStyle name="常规 2 8 3 3 3 2" xfId="18248"/>
    <cellStyle name="常规 2 8 3 3 3 2 2" xfId="25522"/>
    <cellStyle name="常规 2 8 3 3 3 3" xfId="25523"/>
    <cellStyle name="常规 2 8 3 3 3 4" xfId="25524"/>
    <cellStyle name="常规 2 8 3 3 4" xfId="10853"/>
    <cellStyle name="常规 2 8 3 3 4 2" xfId="25525"/>
    <cellStyle name="常规 2 8 3 3 4 2 2" xfId="25526"/>
    <cellStyle name="常规 2 8 3 3 4 3" xfId="25528"/>
    <cellStyle name="常规 2 8 3 3 4 4" xfId="25529"/>
    <cellStyle name="常规 2 8 3 3 5" xfId="12638"/>
    <cellStyle name="常规 2 8 3 3 5 2" xfId="24219"/>
    <cellStyle name="常规 2 8 3 3 6" xfId="25530"/>
    <cellStyle name="常规 2 8 3 3 7" xfId="25532"/>
    <cellStyle name="常规 2 8 3 3 8" xfId="25533"/>
    <cellStyle name="常规 2 8 3 4" xfId="25535"/>
    <cellStyle name="常规 2 8 3 4 2" xfId="25539"/>
    <cellStyle name="常规 2 8 3 4 2 2" xfId="18690"/>
    <cellStyle name="常规 2 8 3 4 2 2 2" xfId="25542"/>
    <cellStyle name="常规 2 8 3 4 2 3" xfId="25543"/>
    <cellStyle name="常规 2 8 3 4 2 4" xfId="25544"/>
    <cellStyle name="常规 2 8 3 4 3" xfId="20933"/>
    <cellStyle name="常规 2 8 3 4 3 2" xfId="25545"/>
    <cellStyle name="常规 2 8 3 4 4" xfId="10218"/>
    <cellStyle name="常规 2 8 3 4 5" xfId="10227"/>
    <cellStyle name="常规 2 8 3 4 6" xfId="10230"/>
    <cellStyle name="常规 2 8 3 5" xfId="25547"/>
    <cellStyle name="常规 2 8 3 5 2" xfId="23495"/>
    <cellStyle name="常规 2 8 3 5 2 2" xfId="19110"/>
    <cellStyle name="常规 2 8 3 5 3" xfId="23497"/>
    <cellStyle name="常规 2 8 3 5 4" xfId="10238"/>
    <cellStyle name="常规 2 8 3 6" xfId="25550"/>
    <cellStyle name="常规 2 8 3 6 2" xfId="25552"/>
    <cellStyle name="常规 2 8 3 6 2 2" xfId="14244"/>
    <cellStyle name="常规 2 8 3 6 3" xfId="25553"/>
    <cellStyle name="常规 2 8 3 6 4" xfId="10251"/>
    <cellStyle name="常规 2 8 3 7" xfId="25554"/>
    <cellStyle name="常规 2 8 3 7 2" xfId="25555"/>
    <cellStyle name="常规 2 8 3 8" xfId="284"/>
    <cellStyle name="常规 2 8 3 8 2" xfId="25556"/>
    <cellStyle name="常规 2 8 3 9" xfId="25560"/>
    <cellStyle name="常规 2 8 4" xfId="24770"/>
    <cellStyle name="常规 2 8 4 2" xfId="21715"/>
    <cellStyle name="常规 2 8 4 2 2" xfId="23594"/>
    <cellStyle name="常规 2 8 4 2 2 2" xfId="20959"/>
    <cellStyle name="常规 2 8 4 2 2 2 2" xfId="17143"/>
    <cellStyle name="常规 2 8 4 2 2 3" xfId="25564"/>
    <cellStyle name="常规 2 8 4 2 2 4" xfId="25566"/>
    <cellStyle name="常规 2 8 4 2 3" xfId="12568"/>
    <cellStyle name="常规 2 8 4 2 3 2" xfId="12574"/>
    <cellStyle name="常规 2 8 4 2 4" xfId="12579"/>
    <cellStyle name="常规 2 8 4 2 5" xfId="8152"/>
    <cellStyle name="常规 2 8 4 3" xfId="25568"/>
    <cellStyle name="常规 2 8 4 3 2" xfId="25571"/>
    <cellStyle name="常规 2 8 4 3 2 2" xfId="25574"/>
    <cellStyle name="常规 2 8 4 3 3" xfId="12588"/>
    <cellStyle name="常规 2 8 4 3 4" xfId="12596"/>
    <cellStyle name="常规 2 8 4 4" xfId="25577"/>
    <cellStyle name="常规 2 8 4 4 2" xfId="25579"/>
    <cellStyle name="常规 2 8 4 4 2 2" xfId="25580"/>
    <cellStyle name="常规 2 8 4 4 3" xfId="12602"/>
    <cellStyle name="常规 2 8 4 4 4" xfId="10264"/>
    <cellStyle name="常规 2 8 4 5" xfId="25583"/>
    <cellStyle name="常规 2 8 4 5 2" xfId="25585"/>
    <cellStyle name="常规 2 8 4 6" xfId="25586"/>
    <cellStyle name="常规 2 8 4 7" xfId="25587"/>
    <cellStyle name="常规 2 8 4 8" xfId="25588"/>
    <cellStyle name="常规 2 8 5" xfId="25591"/>
    <cellStyle name="常规 2 8 5 2" xfId="25592"/>
    <cellStyle name="常规 2 8 5 2 2" xfId="25593"/>
    <cellStyle name="常规 2 8 5 2 2 2" xfId="21339"/>
    <cellStyle name="常规 2 8 5 2 3" xfId="12620"/>
    <cellStyle name="常规 2 8 5 2 4" xfId="10862"/>
    <cellStyle name="常规 2 8 5 3" xfId="25596"/>
    <cellStyle name="常规 2 8 5 3 2" xfId="6196"/>
    <cellStyle name="常规 2 8 5 4" xfId="25599"/>
    <cellStyle name="常规 2 8 5 5" xfId="25602"/>
    <cellStyle name="常规 2 8 5 6" xfId="25604"/>
    <cellStyle name="常规 2 8 6" xfId="25605"/>
    <cellStyle name="常规 2 8 6 2" xfId="25606"/>
    <cellStyle name="常规 2 8 6 2 2" xfId="25607"/>
    <cellStyle name="常规 2 8 6 3" xfId="25609"/>
    <cellStyle name="常规 2 8 6 4" xfId="25611"/>
    <cellStyle name="常规 2 8 7" xfId="25612"/>
    <cellStyle name="常规 2 8 7 2" xfId="25614"/>
    <cellStyle name="常规 2 8 7 2 2" xfId="14577"/>
    <cellStyle name="常规 2 8 7 3" xfId="25615"/>
    <cellStyle name="常规 2 8 7 4" xfId="25616"/>
    <cellStyle name="常规 2 8 8" xfId="25617"/>
    <cellStyle name="常规 2 8 8 2" xfId="25618"/>
    <cellStyle name="常规 2 8 9" xfId="11863"/>
    <cellStyle name="常规 2 8 9 2" xfId="25619"/>
    <cellStyle name="常规 2 9" xfId="25620"/>
    <cellStyle name="常规 2 9 10" xfId="957"/>
    <cellStyle name="常规 2 9 11" xfId="3918"/>
    <cellStyle name="常规 2 9 12" xfId="1712"/>
    <cellStyle name="常规 2 9 2" xfId="25621"/>
    <cellStyle name="常规 2 9 2 10" xfId="25622"/>
    <cellStyle name="常规 2 9 2 11" xfId="22566"/>
    <cellStyle name="常规 2 9 2 12" xfId="22571"/>
    <cellStyle name="常规 2 9 2 2" xfId="25624"/>
    <cellStyle name="常规 2 9 2 2 10" xfId="25625"/>
    <cellStyle name="常规 2 9 2 2 2" xfId="25626"/>
    <cellStyle name="常规 2 9 2 2 2 2" xfId="16644"/>
    <cellStyle name="常规 2 9 2 2 2 2 2" xfId="16647"/>
    <cellStyle name="常规 2 9 2 2 2 2 2 2" xfId="16649"/>
    <cellStyle name="常规 2 9 2 2 2 2 2 2 2" xfId="25628"/>
    <cellStyle name="常规 2 9 2 2 2 2 2 3" xfId="25629"/>
    <cellStyle name="常规 2 9 2 2 2 2 2 4" xfId="3734"/>
    <cellStyle name="常规 2 9 2 2 2 2 3" xfId="16651"/>
    <cellStyle name="常规 2 9 2 2 2 2 3 2" xfId="25630"/>
    <cellStyle name="常规 2 9 2 2 2 2 4" xfId="16653"/>
    <cellStyle name="常规 2 9 2 2 2 2 5" xfId="23409"/>
    <cellStyle name="常规 2 9 2 2 2 3" xfId="16655"/>
    <cellStyle name="常规 2 9 2 2 2 3 2" xfId="16657"/>
    <cellStyle name="常规 2 9 2 2 2 3 2 2" xfId="25632"/>
    <cellStyle name="常规 2 9 2 2 2 3 3" xfId="25633"/>
    <cellStyle name="常规 2 9 2 2 2 3 4" xfId="25634"/>
    <cellStyle name="常规 2 9 2 2 2 4" xfId="16659"/>
    <cellStyle name="常规 2 9 2 2 2 4 2" xfId="25636"/>
    <cellStyle name="常规 2 9 2 2 2 4 2 2" xfId="25637"/>
    <cellStyle name="常规 2 9 2 2 2 4 3" xfId="25638"/>
    <cellStyle name="常规 2 9 2 2 2 4 4" xfId="25640"/>
    <cellStyle name="常规 2 9 2 2 2 5" xfId="16661"/>
    <cellStyle name="常规 2 9 2 2 2 5 2" xfId="25643"/>
    <cellStyle name="常规 2 9 2 2 2 6" xfId="16663"/>
    <cellStyle name="常规 2 9 2 2 2 7" xfId="25644"/>
    <cellStyle name="常规 2 9 2 2 2 8" xfId="25646"/>
    <cellStyle name="常规 2 9 2 2 3" xfId="25648"/>
    <cellStyle name="常规 2 9 2 2 3 2" xfId="16684"/>
    <cellStyle name="常规 2 9 2 2 3 2 2" xfId="25650"/>
    <cellStyle name="常规 2 9 2 2 3 2 2 2" xfId="25651"/>
    <cellStyle name="常规 2 9 2 2 3 2 3" xfId="25652"/>
    <cellStyle name="常规 2 9 2 2 3 2 4" xfId="25653"/>
    <cellStyle name="常规 2 9 2 2 3 3" xfId="16688"/>
    <cellStyle name="常规 2 9 2 2 3 3 2" xfId="25654"/>
    <cellStyle name="常规 2 9 2 2 3 4" xfId="16691"/>
    <cellStyle name="常规 2 9 2 2 3 5" xfId="25655"/>
    <cellStyle name="常规 2 9 2 2 3 6" xfId="25656"/>
    <cellStyle name="常规 2 9 2 2 4" xfId="25658"/>
    <cellStyle name="常规 2 9 2 2 4 2" xfId="16703"/>
    <cellStyle name="常规 2 9 2 2 4 2 2" xfId="25660"/>
    <cellStyle name="常规 2 9 2 2 4 3" xfId="25661"/>
    <cellStyle name="常规 2 9 2 2 4 4" xfId="25662"/>
    <cellStyle name="常规 2 9 2 2 5" xfId="25663"/>
    <cellStyle name="常规 2 9 2 2 5 2" xfId="16709"/>
    <cellStyle name="常规 2 9 2 2 5 2 2" xfId="25665"/>
    <cellStyle name="常规 2 9 2 2 5 3" xfId="25666"/>
    <cellStyle name="常规 2 9 2 2 5 4" xfId="25667"/>
    <cellStyle name="常规 2 9 2 2 6" xfId="25669"/>
    <cellStyle name="常规 2 9 2 2 6 2" xfId="25671"/>
    <cellStyle name="常规 2 9 2 2 7" xfId="25672"/>
    <cellStyle name="常规 2 9 2 2 7 2" xfId="17931"/>
    <cellStyle name="常规 2 9 2 2 8" xfId="25673"/>
    <cellStyle name="常规 2 9 2 2 9" xfId="25674"/>
    <cellStyle name="常规 2 9 2 3" xfId="25675"/>
    <cellStyle name="常规 2 9 2 3 10" xfId="25676"/>
    <cellStyle name="常规 2 9 2 3 11" xfId="8135"/>
    <cellStyle name="常规 2 9 2 3 2" xfId="25677"/>
    <cellStyle name="常规 2 9 2 3 2 10" xfId="25679"/>
    <cellStyle name="常规 2 9 2 3 2 2" xfId="16771"/>
    <cellStyle name="常规 2 9 2 3 2 2 2" xfId="16773"/>
    <cellStyle name="常规 2 9 2 3 2 2 2 2" xfId="16775"/>
    <cellStyle name="常规 2 9 2 3 2 2 2 2 2" xfId="25682"/>
    <cellStyle name="常规 2 9 2 3 2 2 2 2 2 2" xfId="25683"/>
    <cellStyle name="常规 2 9 2 3 2 2 2 2 3" xfId="11885"/>
    <cellStyle name="常规 2 9 2 3 2 2 2 2 4" xfId="25684"/>
    <cellStyle name="常规 2 9 2 3 2 2 2 3" xfId="25685"/>
    <cellStyle name="常规 2 9 2 3 2 2 2 3 2" xfId="25686"/>
    <cellStyle name="常规 2 9 2 3 2 2 2 4" xfId="25687"/>
    <cellStyle name="常规 2 9 2 3 2 2 2 5" xfId="10905"/>
    <cellStyle name="常规 2 9 2 3 2 2 3" xfId="16778"/>
    <cellStyle name="常规 2 9 2 3 2 2 3 2" xfId="25689"/>
    <cellStyle name="常规 2 9 2 3 2 2 3 2 2" xfId="25691"/>
    <cellStyle name="常规 2 9 2 3 2 2 3 3" xfId="25692"/>
    <cellStyle name="常规 2 9 2 3 2 2 3 4" xfId="25693"/>
    <cellStyle name="常规 2 9 2 3 2 2 4" xfId="16781"/>
    <cellStyle name="常规 2 9 2 3 2 2 4 2" xfId="15416"/>
    <cellStyle name="常规 2 9 2 3 2 2 4 2 2" xfId="25694"/>
    <cellStyle name="常规 2 9 2 3 2 2 4 3" xfId="25695"/>
    <cellStyle name="常规 2 9 2 3 2 2 4 4" xfId="25696"/>
    <cellStyle name="常规 2 9 2 3 2 2 5" xfId="25697"/>
    <cellStyle name="常规 2 9 2 3 2 2 5 2" xfId="25700"/>
    <cellStyle name="常规 2 9 2 3 2 2 6" xfId="25701"/>
    <cellStyle name="常规 2 9 2 3 2 2 7" xfId="25702"/>
    <cellStyle name="常规 2 9 2 3 2 2 8" xfId="6089"/>
    <cellStyle name="常规 2 9 2 3 2 3" xfId="16784"/>
    <cellStyle name="常规 2 9 2 3 2 3 2" xfId="16786"/>
    <cellStyle name="常规 2 9 2 3 2 3 2 2" xfId="16789"/>
    <cellStyle name="常规 2 9 2 3 2 3 2 2 2" xfId="8749"/>
    <cellStyle name="常规 2 9 2 3 2 3 2 3" xfId="3399"/>
    <cellStyle name="常规 2 9 2 3 2 3 2 4" xfId="4304"/>
    <cellStyle name="常规 2 9 2 3 2 3 3" xfId="16792"/>
    <cellStyle name="常规 2 9 2 3 2 3 3 2" xfId="24733"/>
    <cellStyle name="常规 2 9 2 3 2 3 4" xfId="16794"/>
    <cellStyle name="常规 2 9 2 3 2 3 5" xfId="25705"/>
    <cellStyle name="常规 2 9 2 3 2 3 6" xfId="25706"/>
    <cellStyle name="常规 2 9 2 3 2 4" xfId="16799"/>
    <cellStyle name="常规 2 9 2 3 2 4 2" xfId="16800"/>
    <cellStyle name="常规 2 9 2 3 2 4 2 2" xfId="20838"/>
    <cellStyle name="常规 2 9 2 3 2 4 3" xfId="25707"/>
    <cellStyle name="常规 2 9 2 3 2 4 4" xfId="15171"/>
    <cellStyle name="常规 2 9 2 3 2 5" xfId="16804"/>
    <cellStyle name="常规 2 9 2 3 2 5 2" xfId="16805"/>
    <cellStyle name="常规 2 9 2 3 2 5 2 2" xfId="16681"/>
    <cellStyle name="常规 2 9 2 3 2 5 3" xfId="25709"/>
    <cellStyle name="常规 2 9 2 3 2 5 4" xfId="15194"/>
    <cellStyle name="常规 2 9 2 3 2 6" xfId="16809"/>
    <cellStyle name="常规 2 9 2 3 2 6 2" xfId="25710"/>
    <cellStyle name="常规 2 9 2 3 2 7" xfId="16812"/>
    <cellStyle name="常规 2 9 2 3 2 7 2" xfId="25713"/>
    <cellStyle name="常规 2 9 2 3 2 8" xfId="25715"/>
    <cellStyle name="常规 2 9 2 3 2 9" xfId="3316"/>
    <cellStyle name="常规 2 9 2 3 3" xfId="25717"/>
    <cellStyle name="常规 2 9 2 3 3 2" xfId="16841"/>
    <cellStyle name="常规 2 9 2 3 3 2 2" xfId="16844"/>
    <cellStyle name="常规 2 9 2 3 3 2 2 2" xfId="16847"/>
    <cellStyle name="常规 2 9 2 3 3 2 2 2 2" xfId="25720"/>
    <cellStyle name="常规 2 9 2 3 3 2 2 3" xfId="25722"/>
    <cellStyle name="常规 2 9 2 3 3 2 2 4" xfId="25724"/>
    <cellStyle name="常规 2 9 2 3 3 2 3" xfId="16850"/>
    <cellStyle name="常规 2 9 2 3 3 2 3 2" xfId="25726"/>
    <cellStyle name="常规 2 9 2 3 3 2 4" xfId="16854"/>
    <cellStyle name="常规 2 9 2 3 3 2 5" xfId="25728"/>
    <cellStyle name="常规 2 9 2 3 3 3" xfId="16857"/>
    <cellStyle name="常规 2 9 2 3 3 3 2" xfId="16860"/>
    <cellStyle name="常规 2 9 2 3 3 3 2 2" xfId="25061"/>
    <cellStyle name="常规 2 9 2 3 3 3 3" xfId="25730"/>
    <cellStyle name="常规 2 9 2 3 3 3 4" xfId="25732"/>
    <cellStyle name="常规 2 9 2 3 3 4" xfId="16863"/>
    <cellStyle name="常规 2 9 2 3 3 4 2" xfId="10620"/>
    <cellStyle name="常规 2 9 2 3 3 4 2 2" xfId="10628"/>
    <cellStyle name="常规 2 9 2 3 3 4 3" xfId="10698"/>
    <cellStyle name="常规 2 9 2 3 3 4 4" xfId="10717"/>
    <cellStyle name="常规 2 9 2 3 3 5" xfId="16867"/>
    <cellStyle name="常规 2 9 2 3 3 5 2" xfId="10775"/>
    <cellStyle name="常规 2 9 2 3 3 6" xfId="16870"/>
    <cellStyle name="常规 2 9 2 3 3 7" xfId="25735"/>
    <cellStyle name="常规 2 9 2 3 3 8" xfId="25739"/>
    <cellStyle name="常规 2 9 2 3 4" xfId="25743"/>
    <cellStyle name="常规 2 9 2 3 4 2" xfId="9255"/>
    <cellStyle name="常规 2 9 2 3 4 2 2" xfId="9258"/>
    <cellStyle name="常规 2 9 2 3 4 2 2 2" xfId="25745"/>
    <cellStyle name="常规 2 9 2 3 4 2 3" xfId="25748"/>
    <cellStyle name="常规 2 9 2 3 4 2 4" xfId="25751"/>
    <cellStyle name="常规 2 9 2 3 4 3" xfId="9262"/>
    <cellStyle name="常规 2 9 2 3 4 3 2" xfId="9265"/>
    <cellStyle name="常规 2 9 2 3 4 4" xfId="9269"/>
    <cellStyle name="常规 2 9 2 3 4 5" xfId="9272"/>
    <cellStyle name="常规 2 9 2 3 4 6" xfId="25753"/>
    <cellStyle name="常规 2 9 2 3 5" xfId="25756"/>
    <cellStyle name="常规 2 9 2 3 5 2" xfId="9299"/>
    <cellStyle name="常规 2 9 2 3 5 2 2" xfId="9302"/>
    <cellStyle name="常规 2 9 2 3 5 3" xfId="9315"/>
    <cellStyle name="常规 2 9 2 3 5 4" xfId="9319"/>
    <cellStyle name="常规 2 9 2 3 6" xfId="3428"/>
    <cellStyle name="常规 2 9 2 3 6 2" xfId="3435"/>
    <cellStyle name="常规 2 9 2 3 6 2 2" xfId="9331"/>
    <cellStyle name="常规 2 9 2 3 6 3" xfId="9336"/>
    <cellStyle name="常规 2 9 2 3 6 4" xfId="9340"/>
    <cellStyle name="常规 2 9 2 3 7" xfId="3443"/>
    <cellStyle name="常规 2 9 2 3 7 2" xfId="25759"/>
    <cellStyle name="常规 2 9 2 3 8" xfId="25761"/>
    <cellStyle name="常规 2 9 2 3 8 2" xfId="25763"/>
    <cellStyle name="常规 2 9 2 3 9" xfId="25765"/>
    <cellStyle name="常规 2 9 2 4" xfId="25767"/>
    <cellStyle name="常规 2 9 2 4 2" xfId="25768"/>
    <cellStyle name="常规 2 9 2 4 2 2" xfId="16914"/>
    <cellStyle name="常规 2 9 2 4 2 2 2" xfId="25769"/>
    <cellStyle name="常规 2 9 2 4 2 2 2 2" xfId="25770"/>
    <cellStyle name="常规 2 9 2 4 2 2 3" xfId="25771"/>
    <cellStyle name="常规 2 9 2 4 2 2 4" xfId="25774"/>
    <cellStyle name="常规 2 9 2 4 2 3" xfId="16916"/>
    <cellStyle name="常规 2 9 2 4 2 3 2" xfId="25776"/>
    <cellStyle name="常规 2 9 2 4 2 4" xfId="25777"/>
    <cellStyle name="常规 2 9 2 4 2 5" xfId="25778"/>
    <cellStyle name="常规 2 9 2 4 3" xfId="25779"/>
    <cellStyle name="常规 2 9 2 4 3 2" xfId="16924"/>
    <cellStyle name="常规 2 9 2 4 3 2 2" xfId="25781"/>
    <cellStyle name="常规 2 9 2 4 3 3" xfId="25784"/>
    <cellStyle name="常规 2 9 2 4 3 4" xfId="25786"/>
    <cellStyle name="常规 2 9 2 4 4" xfId="10284"/>
    <cellStyle name="常规 2 9 2 4 4 2" xfId="9374"/>
    <cellStyle name="常规 2 9 2 4 4 2 2" xfId="9377"/>
    <cellStyle name="常规 2 9 2 4 4 3" xfId="9381"/>
    <cellStyle name="常规 2 9 2 4 4 4" xfId="9385"/>
    <cellStyle name="常规 2 9 2 4 5" xfId="10287"/>
    <cellStyle name="常规 2 9 2 4 5 2" xfId="9397"/>
    <cellStyle name="常规 2 9 2 4 6" xfId="3454"/>
    <cellStyle name="常规 2 9 2 4 7" xfId="10290"/>
    <cellStyle name="常规 2 9 2 4 8" xfId="25788"/>
    <cellStyle name="常规 2 9 2 5" xfId="25790"/>
    <cellStyle name="常规 2 9 2 5 2" xfId="15944"/>
    <cellStyle name="常规 2 9 2 5 2 2" xfId="15947"/>
    <cellStyle name="常规 2 9 2 5 2 2 2" xfId="25012"/>
    <cellStyle name="常规 2 9 2 5 2 3" xfId="8811"/>
    <cellStyle name="常规 2 9 2 5 2 4" xfId="25792"/>
    <cellStyle name="常规 2 9 2 5 3" xfId="15949"/>
    <cellStyle name="常规 2 9 2 5 3 2" xfId="25793"/>
    <cellStyle name="常规 2 9 2 5 4" xfId="10295"/>
    <cellStyle name="常规 2 9 2 5 5" xfId="3720"/>
    <cellStyle name="常规 2 9 2 5 6" xfId="3460"/>
    <cellStyle name="常规 2 9 2 6" xfId="25795"/>
    <cellStyle name="常规 2 9 2 6 2" xfId="15956"/>
    <cellStyle name="常规 2 9 2 6 2 2" xfId="25797"/>
    <cellStyle name="常规 2 9 2 6 3" xfId="15959"/>
    <cellStyle name="常规 2 9 2 6 4" xfId="10300"/>
    <cellStyle name="常规 2 9 2 7" xfId="25798"/>
    <cellStyle name="常规 2 9 2 7 2" xfId="15967"/>
    <cellStyle name="常规 2 9 2 7 2 2" xfId="25799"/>
    <cellStyle name="常规 2 9 2 7 3" xfId="15969"/>
    <cellStyle name="常规 2 9 2 7 4" xfId="23849"/>
    <cellStyle name="常规 2 9 2 8" xfId="451"/>
    <cellStyle name="常规 2 9 2 8 2" xfId="25800"/>
    <cellStyle name="常规 2 9 2 9" xfId="25801"/>
    <cellStyle name="常规 2 9 2 9 2" xfId="25802"/>
    <cellStyle name="常规 2 9 3" xfId="25803"/>
    <cellStyle name="常规 2 9 3 10" xfId="7987"/>
    <cellStyle name="常规 2 9 3 11" xfId="7994"/>
    <cellStyle name="常规 2 9 3 2" xfId="25804"/>
    <cellStyle name="常规 2 9 3 2 10" xfId="25805"/>
    <cellStyle name="常规 2 9 3 2 2" xfId="7998"/>
    <cellStyle name="常规 2 9 3 2 2 2" xfId="8004"/>
    <cellStyle name="常规 2 9 3 2 2 2 2" xfId="10754"/>
    <cellStyle name="常规 2 9 3 2 2 2 2 2" xfId="16984"/>
    <cellStyle name="常规 2 9 3 2 2 2 2 2 2" xfId="6557"/>
    <cellStyle name="常规 2 9 3 2 2 2 2 3" xfId="25806"/>
    <cellStyle name="常规 2 9 3 2 2 2 2 4" xfId="4565"/>
    <cellStyle name="常规 2 9 3 2 2 2 3" xfId="7916"/>
    <cellStyle name="常规 2 9 3 2 2 2 3 2" xfId="7927"/>
    <cellStyle name="常规 2 9 3 2 2 2 4" xfId="8729"/>
    <cellStyle name="常规 2 9 3 2 2 2 5" xfId="25807"/>
    <cellStyle name="常规 2 9 3 2 2 3" xfId="10759"/>
    <cellStyle name="常规 2 9 3 2 2 3 2" xfId="10765"/>
    <cellStyle name="常规 2 9 3 2 2 3 2 2" xfId="12485"/>
    <cellStyle name="常规 2 9 3 2 2 3 3" xfId="12717"/>
    <cellStyle name="常规 2 9 3 2 2 3 4" xfId="12850"/>
    <cellStyle name="常规 2 9 3 2 2 4" xfId="10768"/>
    <cellStyle name="常规 2 9 3 2 2 4 2" xfId="25809"/>
    <cellStyle name="常规 2 9 3 2 2 4 2 2" xfId="25810"/>
    <cellStyle name="常规 2 9 3 2 2 4 3" xfId="25811"/>
    <cellStyle name="常规 2 9 3 2 2 4 4" xfId="25812"/>
    <cellStyle name="常规 2 9 3 2 2 5" xfId="10773"/>
    <cellStyle name="常规 2 9 3 2 2 5 2" xfId="25814"/>
    <cellStyle name="常规 2 9 3 2 2 6" xfId="16986"/>
    <cellStyle name="常规 2 9 3 2 2 7" xfId="25815"/>
    <cellStyle name="常规 2 9 3 2 2 8" xfId="25817"/>
    <cellStyle name="常规 2 9 3 2 3" xfId="8008"/>
    <cellStyle name="常规 2 9 3 2 3 2" xfId="8014"/>
    <cellStyle name="常规 2 9 3 2 3 2 2" xfId="10790"/>
    <cellStyle name="常规 2 9 3 2 3 2 2 2" xfId="25819"/>
    <cellStyle name="常规 2 9 3 2 3 2 3" xfId="25820"/>
    <cellStyle name="常规 2 9 3 2 3 2 4" xfId="25821"/>
    <cellStyle name="常规 2 9 3 2 3 3" xfId="10795"/>
    <cellStyle name="常规 2 9 3 2 3 3 2" xfId="15862"/>
    <cellStyle name="常规 2 9 3 2 3 4" xfId="10799"/>
    <cellStyle name="常规 2 9 3 2 3 5" xfId="25823"/>
    <cellStyle name="常规 2 9 3 2 3 6" xfId="25824"/>
    <cellStyle name="常规 2 9 3 2 4" xfId="8019"/>
    <cellStyle name="常规 2 9 3 2 4 2" xfId="15894"/>
    <cellStyle name="常规 2 9 3 2 4 2 2" xfId="6446"/>
    <cellStyle name="常规 2 9 3 2 4 3" xfId="15899"/>
    <cellStyle name="常规 2 9 3 2 4 4" xfId="25826"/>
    <cellStyle name="常规 2 9 3 2 5" xfId="8022"/>
    <cellStyle name="常规 2 9 3 2 5 2" xfId="15234"/>
    <cellStyle name="常规 2 9 3 2 5 2 2" xfId="25827"/>
    <cellStyle name="常规 2 9 3 2 5 3" xfId="15236"/>
    <cellStyle name="常规 2 9 3 2 5 4" xfId="25828"/>
    <cellStyle name="常规 2 9 3 2 6" xfId="25829"/>
    <cellStyle name="常规 2 9 3 2 6 2" xfId="25831"/>
    <cellStyle name="常规 2 9 3 2 7" xfId="25832"/>
    <cellStyle name="常规 2 9 3 2 7 2" xfId="25833"/>
    <cellStyle name="常规 2 9 3 2 8" xfId="25834"/>
    <cellStyle name="常规 2 9 3 2 9" xfId="25835"/>
    <cellStyle name="常规 2 9 3 3" xfId="25837"/>
    <cellStyle name="常规 2 9 3 3 2" xfId="15316"/>
    <cellStyle name="常规 2 9 3 3 2 2" xfId="16173"/>
    <cellStyle name="常规 2 9 3 3 2 2 2" xfId="16177"/>
    <cellStyle name="常规 2 9 3 3 2 2 2 2" xfId="25839"/>
    <cellStyle name="常规 2 9 3 3 2 2 3" xfId="25841"/>
    <cellStyle name="常规 2 9 3 3 2 2 4" xfId="25843"/>
    <cellStyle name="常规 2 9 3 3 2 3" xfId="16180"/>
    <cellStyle name="常规 2 9 3 3 2 3 2" xfId="16183"/>
    <cellStyle name="常规 2 9 3 3 2 4" xfId="16185"/>
    <cellStyle name="常规 2 9 3 3 2 5" xfId="25845"/>
    <cellStyle name="常规 2 9 3 3 3" xfId="20946"/>
    <cellStyle name="常规 2 9 3 3 3 2" xfId="16235"/>
    <cellStyle name="常规 2 9 3 3 3 2 2" xfId="25846"/>
    <cellStyle name="常规 2 9 3 3 3 3" xfId="16241"/>
    <cellStyle name="常规 2 9 3 3 3 4" xfId="25848"/>
    <cellStyle name="常规 2 9 3 3 4" xfId="25850"/>
    <cellStyle name="常规 2 9 3 3 4 2" xfId="17020"/>
    <cellStyle name="常规 2 9 3 3 4 2 2" xfId="6505"/>
    <cellStyle name="常规 2 9 3 3 4 3" xfId="25853"/>
    <cellStyle name="常规 2 9 3 3 4 4" xfId="25854"/>
    <cellStyle name="常规 2 9 3 3 5" xfId="25855"/>
    <cellStyle name="常规 2 9 3 3 5 2" xfId="25858"/>
    <cellStyle name="常规 2 9 3 3 6" xfId="3465"/>
    <cellStyle name="常规 2 9 3 3 7" xfId="25859"/>
    <cellStyle name="常规 2 9 3 3 8" xfId="25860"/>
    <cellStyle name="常规 2 9 3 4" xfId="25862"/>
    <cellStyle name="常规 2 9 3 4 2" xfId="25865"/>
    <cellStyle name="常规 2 9 3 4 2 2" xfId="16439"/>
    <cellStyle name="常规 2 9 3 4 2 2 2" xfId="25867"/>
    <cellStyle name="常规 2 9 3 4 2 3" xfId="16441"/>
    <cellStyle name="常规 2 9 3 4 2 4" xfId="25868"/>
    <cellStyle name="常规 2 9 3 4 3" xfId="25869"/>
    <cellStyle name="常规 2 9 3 4 3 2" xfId="25872"/>
    <cellStyle name="常规 2 9 3 4 4" xfId="10311"/>
    <cellStyle name="常规 2 9 3 4 5" xfId="25874"/>
    <cellStyle name="常规 2 9 3 4 6" xfId="25876"/>
    <cellStyle name="常规 2 9 3 5" xfId="25878"/>
    <cellStyle name="常规 2 9 3 5 2" xfId="15985"/>
    <cellStyle name="常规 2 9 3 5 2 2" xfId="16549"/>
    <cellStyle name="常规 2 9 3 5 3" xfId="15987"/>
    <cellStyle name="常规 2 9 3 5 4" xfId="10317"/>
    <cellStyle name="常规 2 9 3 6" xfId="25880"/>
    <cellStyle name="常规 2 9 3 6 2" xfId="25881"/>
    <cellStyle name="常规 2 9 3 6 2 2" xfId="25882"/>
    <cellStyle name="常规 2 9 3 6 3" xfId="23881"/>
    <cellStyle name="常规 2 9 3 6 4" xfId="23898"/>
    <cellStyle name="常规 2 9 3 7" xfId="25883"/>
    <cellStyle name="常规 2 9 3 7 2" xfId="25884"/>
    <cellStyle name="常规 2 9 3 8" xfId="25885"/>
    <cellStyle name="常规 2 9 3 8 2" xfId="25886"/>
    <cellStyle name="常规 2 9 3 9" xfId="25887"/>
    <cellStyle name="常规 2 9 4" xfId="25888"/>
    <cellStyle name="常规 2 9 4 2" xfId="25889"/>
    <cellStyle name="常规 2 9 4 2 2" xfId="8148"/>
    <cellStyle name="常规 2 9 4 2 2 2" xfId="8154"/>
    <cellStyle name="常规 2 9 4 2 2 2 2" xfId="8157"/>
    <cellStyle name="常规 2 9 4 2 2 3" xfId="8160"/>
    <cellStyle name="常规 2 9 4 2 2 4" xfId="25890"/>
    <cellStyle name="常规 2 9 4 2 3" xfId="8164"/>
    <cellStyle name="常规 2 9 4 2 3 2" xfId="8168"/>
    <cellStyle name="常规 2 9 4 2 4" xfId="8171"/>
    <cellStyle name="常规 2 9 4 2 5" xfId="17091"/>
    <cellStyle name="常规 2 9 4 3" xfId="25892"/>
    <cellStyle name="常规 2 9 4 3 2" xfId="8202"/>
    <cellStyle name="常规 2 9 4 3 2 2" xfId="8204"/>
    <cellStyle name="常规 2 9 4 3 3" xfId="8207"/>
    <cellStyle name="常规 2 9 4 3 4" xfId="8215"/>
    <cellStyle name="常规 2 9 4 4" xfId="25894"/>
    <cellStyle name="常规 2 9 4 4 2" xfId="25895"/>
    <cellStyle name="常规 2 9 4 4 2 2" xfId="25896"/>
    <cellStyle name="常规 2 9 4 4 3" xfId="17097"/>
    <cellStyle name="常规 2 9 4 4 4" xfId="17101"/>
    <cellStyle name="常规 2 9 4 5" xfId="25897"/>
    <cellStyle name="常规 2 9 4 5 2" xfId="25898"/>
    <cellStyle name="常规 2 9 4 6" xfId="25899"/>
    <cellStyle name="常规 2 9 4 7" xfId="25900"/>
    <cellStyle name="常规 2 9 4 8" xfId="25901"/>
    <cellStyle name="常规 2 9 5" xfId="25902"/>
    <cellStyle name="常规 2 9 5 2" xfId="25903"/>
    <cellStyle name="常规 2 9 5 2 2" xfId="8275"/>
    <cellStyle name="常规 2 9 5 2 2 2" xfId="17092"/>
    <cellStyle name="常规 2 9 5 2 3" xfId="17115"/>
    <cellStyle name="常规 2 9 5 2 4" xfId="17119"/>
    <cellStyle name="常规 2 9 5 3" xfId="25904"/>
    <cellStyle name="常规 2 9 5 3 2" xfId="6589"/>
    <cellStyle name="常规 2 9 5 4" xfId="25905"/>
    <cellStyle name="常规 2 9 5 5" xfId="25906"/>
    <cellStyle name="常规 2 9 5 6" xfId="25907"/>
    <cellStyle name="常规 2 9 6" xfId="25908"/>
    <cellStyle name="常规 2 9 6 2" xfId="25909"/>
    <cellStyle name="常规 2 9 6 2 2" xfId="25910"/>
    <cellStyle name="常规 2 9 6 3" xfId="25911"/>
    <cellStyle name="常规 2 9 6 4" xfId="25912"/>
    <cellStyle name="常规 2 9 7" xfId="25913"/>
    <cellStyle name="常规 2 9 7 2" xfId="25914"/>
    <cellStyle name="常规 2 9 7 2 2" xfId="14705"/>
    <cellStyle name="常规 2 9 7 3" xfId="25915"/>
    <cellStyle name="常规 2 9 7 4" xfId="25917"/>
    <cellStyle name="常规 2 9 8" xfId="25919"/>
    <cellStyle name="常规 2 9 8 2" xfId="25920"/>
    <cellStyle name="常规 2 9 9" xfId="25921"/>
    <cellStyle name="常规 2 9 9 2" xfId="25923"/>
    <cellStyle name="常规 2_三趟墩预算" xfId="25924"/>
    <cellStyle name="常规 20" xfId="12932"/>
    <cellStyle name="常规 20 2" xfId="9762"/>
    <cellStyle name="常规 20 2 2" xfId="12935"/>
    <cellStyle name="常规 20 2 2 2" xfId="12937"/>
    <cellStyle name="常规 20 2 3" xfId="12950"/>
    <cellStyle name="常规 20 2 4" xfId="12956"/>
    <cellStyle name="常规 20 3" xfId="12964"/>
    <cellStyle name="常规 20 3 2" xfId="12966"/>
    <cellStyle name="常规 20 3 2 2" xfId="4395"/>
    <cellStyle name="常规 20 3 3" xfId="12968"/>
    <cellStyle name="常规 20 3 4" xfId="21216"/>
    <cellStyle name="常规 20 4" xfId="12972"/>
    <cellStyle name="常规 20 5" xfId="12977"/>
    <cellStyle name="常规 20 6" xfId="1552"/>
    <cellStyle name="常规 21" xfId="12979"/>
    <cellStyle name="常规 21 2" xfId="9814"/>
    <cellStyle name="常规 21 2 2" xfId="9818"/>
    <cellStyle name="常规 21 2 2 2" xfId="12983"/>
    <cellStyle name="常规 21 2 3" xfId="12996"/>
    <cellStyle name="常规 21 2 4" xfId="13005"/>
    <cellStyle name="常规 21 3" xfId="9822"/>
    <cellStyle name="常规 21 3 2" xfId="13022"/>
    <cellStyle name="常规 21 3 2 2" xfId="13025"/>
    <cellStyle name="常规 21 3 3" xfId="13043"/>
    <cellStyle name="常规 21 3 4" xfId="13053"/>
    <cellStyle name="常规 21 4" xfId="13062"/>
    <cellStyle name="常规 21 5" xfId="13072"/>
    <cellStyle name="常规 21 6" xfId="1596"/>
    <cellStyle name="常规 22" xfId="13078"/>
    <cellStyle name="常规 22 2" xfId="1274"/>
    <cellStyle name="常规 22 2 2" xfId="5551"/>
    <cellStyle name="常规 22 2 2 2" xfId="2562"/>
    <cellStyle name="常规 22 2 3" xfId="5555"/>
    <cellStyle name="常规 22 2 4" xfId="21312"/>
    <cellStyle name="常规 22 3" xfId="5560"/>
    <cellStyle name="常规 22 3 2" xfId="5565"/>
    <cellStyle name="常规 22 3 2 2" xfId="4809"/>
    <cellStyle name="常规 22 3 3" xfId="5570"/>
    <cellStyle name="常规 22 3 4" xfId="21318"/>
    <cellStyle name="常规 22 4" xfId="1613"/>
    <cellStyle name="常规 22 4 2" xfId="778"/>
    <cellStyle name="常规 22 5" xfId="1620"/>
    <cellStyle name="常规 22 6" xfId="1629"/>
    <cellStyle name="常规 22 7" xfId="1637"/>
    <cellStyle name="常规 23" xfId="12269"/>
    <cellStyle name="常规 23 2" xfId="474"/>
    <cellStyle name="常规 23 2 2" xfId="3171"/>
    <cellStyle name="常规 23 3" xfId="5578"/>
    <cellStyle name="常规 23 3 2" xfId="12276"/>
    <cellStyle name="常规 23 3 2 2" xfId="25925"/>
    <cellStyle name="常规 23 3 3" xfId="25926"/>
    <cellStyle name="常规 23 4" xfId="12280"/>
    <cellStyle name="常规 23 5" xfId="17647"/>
    <cellStyle name="常规 24" xfId="12282"/>
    <cellStyle name="常规 24 2" xfId="5585"/>
    <cellStyle name="常规 24 2 2" xfId="12288"/>
    <cellStyle name="常规 24 3" xfId="12293"/>
    <cellStyle name="常规 24 3 2" xfId="12815"/>
    <cellStyle name="常规 24 3 2 2" xfId="13094"/>
    <cellStyle name="常规 24 3 3" xfId="7206"/>
    <cellStyle name="常规 24 4" xfId="12819"/>
    <cellStyle name="常规 24 5" xfId="13100"/>
    <cellStyle name="常规 25" xfId="12295"/>
    <cellStyle name="常规 25 2" xfId="5592"/>
    <cellStyle name="常规 25 2 2" xfId="12298"/>
    <cellStyle name="常规 25 3" xfId="12301"/>
    <cellStyle name="常规 25 4" xfId="25927"/>
    <cellStyle name="常规 26" xfId="12304"/>
    <cellStyle name="常规 26 2" xfId="12307"/>
    <cellStyle name="常规 27" xfId="12309"/>
    <cellStyle name="常规 27 2" xfId="25928"/>
    <cellStyle name="常规 27 3" xfId="25929"/>
    <cellStyle name="常规 28" xfId="12313"/>
    <cellStyle name="常规 28 2" xfId="25930"/>
    <cellStyle name="常规 28 2 2" xfId="25931"/>
    <cellStyle name="常规 28 3" xfId="25932"/>
    <cellStyle name="常规 28 4" xfId="25933"/>
    <cellStyle name="常规 29" xfId="25934"/>
    <cellStyle name="常规 29 2" xfId="25936"/>
    <cellStyle name="常规 3" xfId="19648"/>
    <cellStyle name="常规 3 10" xfId="25937"/>
    <cellStyle name="常规 3 10 10" xfId="19341"/>
    <cellStyle name="常规 3 10 11" xfId="776"/>
    <cellStyle name="常规 3 10 12" xfId="966"/>
    <cellStyle name="常规 3 10 2" xfId="25938"/>
    <cellStyle name="常规 3 10 2 10" xfId="25940"/>
    <cellStyle name="常规 3 10 2 2" xfId="25942"/>
    <cellStyle name="常规 3 10 2 2 2" xfId="25943"/>
    <cellStyle name="常规 3 10 2 2 2 2" xfId="25944"/>
    <cellStyle name="常规 3 10 2 2 2 2 2" xfId="25945"/>
    <cellStyle name="常规 3 10 2 2 2 2 2 2" xfId="4552"/>
    <cellStyle name="常规 3 10 2 2 2 2 3" xfId="21754"/>
    <cellStyle name="常规 3 10 2 2 2 2 4" xfId="25947"/>
    <cellStyle name="常规 3 10 2 2 2 3" xfId="25948"/>
    <cellStyle name="常规 3 10 2 2 2 3 2" xfId="25949"/>
    <cellStyle name="常规 3 10 2 2 2 4" xfId="25951"/>
    <cellStyle name="常规 3 10 2 2 2 5" xfId="25952"/>
    <cellStyle name="常规 3 10 2 2 3" xfId="25954"/>
    <cellStyle name="常规 3 10 2 2 3 2" xfId="25955"/>
    <cellStyle name="常规 3 10 2 2 3 2 2" xfId="25956"/>
    <cellStyle name="常规 3 10 2 2 3 3" xfId="25958"/>
    <cellStyle name="常规 3 10 2 2 3 4" xfId="25959"/>
    <cellStyle name="常规 3 10 2 2 4" xfId="25960"/>
    <cellStyle name="常规 3 10 2 2 4 2" xfId="25961"/>
    <cellStyle name="常规 3 10 2 2 4 2 2" xfId="18273"/>
    <cellStyle name="常规 3 10 2 2 4 3" xfId="11054"/>
    <cellStyle name="常规 3 10 2 2 4 4" xfId="11060"/>
    <cellStyle name="常规 3 10 2 2 5" xfId="11374"/>
    <cellStyle name="常规 3 10 2 2 5 2" xfId="11376"/>
    <cellStyle name="常规 3 10 2 2 6" xfId="11383"/>
    <cellStyle name="常规 3 10 2 2 7" xfId="11388"/>
    <cellStyle name="常规 3 10 2 2 8" xfId="19265"/>
    <cellStyle name="常规 3 10 2 3" xfId="4777"/>
    <cellStyle name="常规 3 10 2 3 2" xfId="25963"/>
    <cellStyle name="常规 3 10 2 3 2 2" xfId="25964"/>
    <cellStyle name="常规 3 10 2 3 2 2 2" xfId="25965"/>
    <cellStyle name="常规 3 10 2 3 2 3" xfId="25966"/>
    <cellStyle name="常规 3 10 2 3 2 4" xfId="25967"/>
    <cellStyle name="常规 3 10 2 3 3" xfId="25968"/>
    <cellStyle name="常规 3 10 2 3 3 2" xfId="25969"/>
    <cellStyle name="常规 3 10 2 3 4" xfId="25970"/>
    <cellStyle name="常规 3 10 2 3 5" xfId="11391"/>
    <cellStyle name="常规 3 10 2 3 6" xfId="11396"/>
    <cellStyle name="常规 3 10 2 4" xfId="25972"/>
    <cellStyle name="常规 3 10 2 4 2" xfId="25974"/>
    <cellStyle name="常规 3 10 2 4 2 2" xfId="25975"/>
    <cellStyle name="常规 3 10 2 4 3" xfId="25976"/>
    <cellStyle name="常规 3 10 2 4 4" xfId="25977"/>
    <cellStyle name="常规 3 10 2 5" xfId="25978"/>
    <cellStyle name="常规 3 10 2 5 2" xfId="25979"/>
    <cellStyle name="常规 3 10 2 5 2 2" xfId="25980"/>
    <cellStyle name="常规 3 10 2 5 3" xfId="25939"/>
    <cellStyle name="常规 3 10 2 5 4" xfId="25981"/>
    <cellStyle name="常规 3 10 2 6" xfId="25983"/>
    <cellStyle name="常规 3 10 2 6 2" xfId="25985"/>
    <cellStyle name="常规 3 10 2 7" xfId="25987"/>
    <cellStyle name="常规 3 10 2 7 2" xfId="25989"/>
    <cellStyle name="常规 3 10 2 8" xfId="25992"/>
    <cellStyle name="常规 3 10 2 9" xfId="25994"/>
    <cellStyle name="常规 3 10 3" xfId="25982"/>
    <cellStyle name="常规 3 10 3 10" xfId="25996"/>
    <cellStyle name="常规 3 10 3 11" xfId="25997"/>
    <cellStyle name="常规 3 10 3 2" xfId="25999"/>
    <cellStyle name="常规 3 10 3 2 10" xfId="26000"/>
    <cellStyle name="常规 3 10 3 2 2" xfId="26002"/>
    <cellStyle name="常规 3 10 3 2 2 2" xfId="26003"/>
    <cellStyle name="常规 3 10 3 2 2 2 2" xfId="24098"/>
    <cellStyle name="常规 3 10 3 2 2 2 2 2" xfId="680"/>
    <cellStyle name="常规 3 10 3 2 2 2 2 2 2" xfId="9661"/>
    <cellStyle name="常规 3 10 3 2 2 2 2 3" xfId="26004"/>
    <cellStyle name="常规 3 10 3 2 2 2 2 4" xfId="26005"/>
    <cellStyle name="常规 3 10 3 2 2 2 3" xfId="22170"/>
    <cellStyle name="常规 3 10 3 2 2 2 3 2" xfId="744"/>
    <cellStyle name="常规 3 10 3 2 2 2 4" xfId="24102"/>
    <cellStyle name="常规 3 10 3 2 2 2 5" xfId="26006"/>
    <cellStyle name="常规 3 10 3 2 2 3" xfId="18931"/>
    <cellStyle name="常规 3 10 3 2 2 3 2" xfId="18934"/>
    <cellStyle name="常规 3 10 3 2 2 3 2 2" xfId="26007"/>
    <cellStyle name="常规 3 10 3 2 2 3 3" xfId="26008"/>
    <cellStyle name="常规 3 10 3 2 2 3 4" xfId="26009"/>
    <cellStyle name="常规 3 10 3 2 2 4" xfId="18937"/>
    <cellStyle name="常规 3 10 3 2 2 4 2" xfId="24116"/>
    <cellStyle name="常规 3 10 3 2 2 4 2 2" xfId="26010"/>
    <cellStyle name="常规 3 10 3 2 2 4 3" xfId="26011"/>
    <cellStyle name="常规 3 10 3 2 2 4 4" xfId="26013"/>
    <cellStyle name="常规 3 10 3 2 2 5" xfId="18939"/>
    <cellStyle name="常规 3 10 3 2 2 5 2" xfId="26015"/>
    <cellStyle name="常规 3 10 3 2 2 6" xfId="26016"/>
    <cellStyle name="常规 3 10 3 2 2 7" xfId="26017"/>
    <cellStyle name="常规 3 10 3 2 2 8" xfId="26018"/>
    <cellStyle name="常规 3 10 3 2 3" xfId="26019"/>
    <cellStyle name="常规 3 10 3 2 3 2" xfId="26020"/>
    <cellStyle name="常规 3 10 3 2 3 2 2" xfId="24506"/>
    <cellStyle name="常规 3 10 3 2 3 2 2 2" xfId="26021"/>
    <cellStyle name="常规 3 10 3 2 3 2 3" xfId="24508"/>
    <cellStyle name="常规 3 10 3 2 3 2 4" xfId="24510"/>
    <cellStyle name="常规 3 10 3 2 3 3" xfId="18942"/>
    <cellStyle name="常规 3 10 3 2 3 3 2" xfId="18945"/>
    <cellStyle name="常规 3 10 3 2 3 4" xfId="18947"/>
    <cellStyle name="常规 3 10 3 2 3 5" xfId="18949"/>
    <cellStyle name="常规 3 10 3 2 3 6" xfId="26022"/>
    <cellStyle name="常规 3 10 3 2 4" xfId="26023"/>
    <cellStyle name="常规 3 10 3 2 4 2" xfId="26024"/>
    <cellStyle name="常规 3 10 3 2 4 2 2" xfId="24880"/>
    <cellStyle name="常规 3 10 3 2 4 3" xfId="11115"/>
    <cellStyle name="常规 3 10 3 2 4 4" xfId="11121"/>
    <cellStyle name="常规 3 10 3 2 5" xfId="11411"/>
    <cellStyle name="常规 3 10 3 2 5 2" xfId="11413"/>
    <cellStyle name="常规 3 10 3 2 5 2 2" xfId="25192"/>
    <cellStyle name="常规 3 10 3 2 5 3" xfId="11127"/>
    <cellStyle name="常规 3 10 3 2 5 4" xfId="26026"/>
    <cellStyle name="常规 3 10 3 2 6" xfId="11417"/>
    <cellStyle name="常规 3 10 3 2 6 2" xfId="26029"/>
    <cellStyle name="常规 3 10 3 2 7" xfId="26032"/>
    <cellStyle name="常规 3 10 3 2 7 2" xfId="26034"/>
    <cellStyle name="常规 3 10 3 2 8" xfId="19322"/>
    <cellStyle name="常规 3 10 3 2 9" xfId="19327"/>
    <cellStyle name="常规 3 10 3 3" xfId="4788"/>
    <cellStyle name="常规 3 10 3 3 2" xfId="26036"/>
    <cellStyle name="常规 3 10 3 3 2 2" xfId="26037"/>
    <cellStyle name="常规 3 10 3 3 2 2 2" xfId="10932"/>
    <cellStyle name="常规 3 10 3 3 2 2 2 2" xfId="10936"/>
    <cellStyle name="常规 3 10 3 3 2 2 3" xfId="10939"/>
    <cellStyle name="常规 3 10 3 3 2 2 4" xfId="10942"/>
    <cellStyle name="常规 3 10 3 3 2 3" xfId="18958"/>
    <cellStyle name="常规 3 10 3 3 2 3 2" xfId="26038"/>
    <cellStyle name="常规 3 10 3 3 2 4" xfId="26040"/>
    <cellStyle name="常规 3 10 3 3 2 5" xfId="26041"/>
    <cellStyle name="常规 3 10 3 3 3" xfId="26042"/>
    <cellStyle name="常规 3 10 3 3 3 2" xfId="26043"/>
    <cellStyle name="常规 3 10 3 3 3 2 2" xfId="11243"/>
    <cellStyle name="常规 3 10 3 3 3 3" xfId="26044"/>
    <cellStyle name="常规 3 10 3 3 3 4" xfId="26045"/>
    <cellStyle name="常规 3 10 3 3 4" xfId="26046"/>
    <cellStyle name="常规 3 10 3 3 4 2" xfId="26047"/>
    <cellStyle name="常规 3 10 3 3 4 2 2" xfId="11649"/>
    <cellStyle name="常规 3 10 3 3 4 3" xfId="11135"/>
    <cellStyle name="常规 3 10 3 3 4 4" xfId="26049"/>
    <cellStyle name="常规 3 10 3 3 5" xfId="11420"/>
    <cellStyle name="常规 3 10 3 3 5 2" xfId="26051"/>
    <cellStyle name="常规 3 10 3 3 6" xfId="26054"/>
    <cellStyle name="常规 3 10 3 3 7" xfId="26056"/>
    <cellStyle name="常规 3 10 3 3 8" xfId="19333"/>
    <cellStyle name="常规 3 10 3 4" xfId="26057"/>
    <cellStyle name="常规 3 10 3 4 2" xfId="26058"/>
    <cellStyle name="常规 3 10 3 4 2 2" xfId="26059"/>
    <cellStyle name="常规 3 10 3 4 2 2 2" xfId="8419"/>
    <cellStyle name="常规 3 10 3 4 2 3" xfId="6605"/>
    <cellStyle name="常规 3 10 3 4 2 4" xfId="26060"/>
    <cellStyle name="常规 3 10 3 4 3" xfId="26061"/>
    <cellStyle name="常规 3 10 3 4 3 2" xfId="26062"/>
    <cellStyle name="常规 3 10 3 4 4" xfId="26063"/>
    <cellStyle name="常规 3 10 3 4 5" xfId="26064"/>
    <cellStyle name="常规 3 10 3 4 6" xfId="26066"/>
    <cellStyle name="常规 3 10 3 5" xfId="26067"/>
    <cellStyle name="常规 3 10 3 5 2" xfId="26068"/>
    <cellStyle name="常规 3 10 3 5 2 2" xfId="1550"/>
    <cellStyle name="常规 3 10 3 5 3" xfId="26069"/>
    <cellStyle name="常规 3 10 3 5 4" xfId="26070"/>
    <cellStyle name="常规 3 10 3 6" xfId="26072"/>
    <cellStyle name="常规 3 10 3 6 2" xfId="26074"/>
    <cellStyle name="常规 3 10 3 6 2 2" xfId="26077"/>
    <cellStyle name="常规 3 10 3 6 3" xfId="26079"/>
    <cellStyle name="常规 3 10 3 6 4" xfId="26081"/>
    <cellStyle name="常规 3 10 3 7" xfId="26083"/>
    <cellStyle name="常规 3 10 3 7 2" xfId="26086"/>
    <cellStyle name="常规 3 10 3 8" xfId="24776"/>
    <cellStyle name="常规 3 10 3 8 2" xfId="26089"/>
    <cellStyle name="常规 3 10 3 9" xfId="26092"/>
    <cellStyle name="常规 3 10 4" xfId="11404"/>
    <cellStyle name="常规 3 10 4 2" xfId="26095"/>
    <cellStyle name="常规 3 10 4 2 2" xfId="26096"/>
    <cellStyle name="常规 3 10 4 2 2 2" xfId="26098"/>
    <cellStyle name="常规 3 10 4 2 2 2 2" xfId="12320"/>
    <cellStyle name="常规 3 10 4 2 2 3" xfId="12043"/>
    <cellStyle name="常规 3 10 4 2 2 4" xfId="21264"/>
    <cellStyle name="常规 3 10 4 2 3" xfId="26099"/>
    <cellStyle name="常规 3 10 4 2 3 2" xfId="26100"/>
    <cellStyle name="常规 3 10 4 2 4" xfId="26101"/>
    <cellStyle name="常规 3 10 4 2 5" xfId="1892"/>
    <cellStyle name="常规 3 10 4 3" xfId="26102"/>
    <cellStyle name="常规 3 10 4 3 2" xfId="26103"/>
    <cellStyle name="常规 3 10 4 3 2 2" xfId="26104"/>
    <cellStyle name="常规 3 10 4 3 3" xfId="26105"/>
    <cellStyle name="常规 3 10 4 3 4" xfId="26106"/>
    <cellStyle name="常规 3 10 4 4" xfId="26107"/>
    <cellStyle name="常规 3 10 4 4 2" xfId="26108"/>
    <cellStyle name="常规 3 10 4 4 2 2" xfId="26109"/>
    <cellStyle name="常规 3 10 4 4 3" xfId="26110"/>
    <cellStyle name="常规 3 10 4 4 4" xfId="26111"/>
    <cellStyle name="常规 3 10 4 5" xfId="26112"/>
    <cellStyle name="常规 3 10 4 5 2" xfId="26113"/>
    <cellStyle name="常规 3 10 4 6" xfId="26114"/>
    <cellStyle name="常规 3 10 4 7" xfId="26116"/>
    <cellStyle name="常规 3 10 4 8" xfId="26119"/>
    <cellStyle name="常规 3 10 5" xfId="26122"/>
    <cellStyle name="常规 3 10 5 2" xfId="26123"/>
    <cellStyle name="常规 3 10 5 2 2" xfId="26124"/>
    <cellStyle name="常规 3 10 5 2 2 2" xfId="26125"/>
    <cellStyle name="常规 3 10 5 2 3" xfId="11937"/>
    <cellStyle name="常规 3 10 5 2 4" xfId="11941"/>
    <cellStyle name="常规 3 10 5 3" xfId="26126"/>
    <cellStyle name="常规 3 10 5 3 2" xfId="26127"/>
    <cellStyle name="常规 3 10 5 4" xfId="26128"/>
    <cellStyle name="常规 3 10 5 5" xfId="13299"/>
    <cellStyle name="常规 3 10 5 6" xfId="17794"/>
    <cellStyle name="常规 3 10 6" xfId="19212"/>
    <cellStyle name="常规 3 10 6 2" xfId="26129"/>
    <cellStyle name="常规 3 10 6 2 2" xfId="26130"/>
    <cellStyle name="常规 3 10 6 3" xfId="26131"/>
    <cellStyle name="常规 3 10 6 4" xfId="26132"/>
    <cellStyle name="常规 3 10 7" xfId="19214"/>
    <cellStyle name="常规 3 10 7 2" xfId="26133"/>
    <cellStyle name="常规 3 10 7 2 2" xfId="26136"/>
    <cellStyle name="常规 3 10 7 3" xfId="26139"/>
    <cellStyle name="常规 3 10 7 4" xfId="26141"/>
    <cellStyle name="常规 3 10 8" xfId="26143"/>
    <cellStyle name="常规 3 10 8 2" xfId="26146"/>
    <cellStyle name="常规 3 10 9" xfId="26148"/>
    <cellStyle name="常规 3 10 9 2" xfId="26151"/>
    <cellStyle name="常规 3 11" xfId="26153"/>
    <cellStyle name="常规 3 11 10" xfId="25353"/>
    <cellStyle name="常规 3 11 11" xfId="25359"/>
    <cellStyle name="常规 3 11 2" xfId="26154"/>
    <cellStyle name="常规 3 11 2 10" xfId="26156"/>
    <cellStyle name="常规 3 11 2 2" xfId="26160"/>
    <cellStyle name="常规 3 11 2 2 2" xfId="26162"/>
    <cellStyle name="常规 3 11 2 2 2 2" xfId="26164"/>
    <cellStyle name="常规 3 11 2 2 2 2 2" xfId="26167"/>
    <cellStyle name="常规 3 11 2 2 2 2 2 2" xfId="26171"/>
    <cellStyle name="常规 3 11 2 2 2 2 3" xfId="26173"/>
    <cellStyle name="常规 3 11 2 2 2 2 4" xfId="25054"/>
    <cellStyle name="常规 3 11 2 2 2 3" xfId="26177"/>
    <cellStyle name="常规 3 11 2 2 2 3 2" xfId="26180"/>
    <cellStyle name="常规 3 11 2 2 2 4" xfId="26183"/>
    <cellStyle name="常规 3 11 2 2 2 5" xfId="26185"/>
    <cellStyle name="常规 3 11 2 2 3" xfId="26190"/>
    <cellStyle name="常规 3 11 2 2 3 2" xfId="26192"/>
    <cellStyle name="常规 3 11 2 2 3 2 2" xfId="24147"/>
    <cellStyle name="常规 3 11 2 2 3 3" xfId="26194"/>
    <cellStyle name="常规 3 11 2 2 3 4" xfId="26197"/>
    <cellStyle name="常规 3 11 2 2 4" xfId="18292"/>
    <cellStyle name="常规 3 11 2 2 4 2" xfId="18295"/>
    <cellStyle name="常规 3 11 2 2 4 2 2" xfId="24222"/>
    <cellStyle name="常规 3 11 2 2 4 3" xfId="11206"/>
    <cellStyle name="常规 3 11 2 2 4 4" xfId="11784"/>
    <cellStyle name="常规 3 11 2 2 5" xfId="10872"/>
    <cellStyle name="常规 3 11 2 2 5 2" xfId="10877"/>
    <cellStyle name="常规 3 11 2 2 6" xfId="10881"/>
    <cellStyle name="常规 3 11 2 2 7" xfId="10886"/>
    <cellStyle name="常规 3 11 2 2 8" xfId="19385"/>
    <cellStyle name="常规 3 11 2 3" xfId="26199"/>
    <cellStyle name="常规 3 11 2 3 2" xfId="26201"/>
    <cellStyle name="常规 3 11 2 3 2 2" xfId="26203"/>
    <cellStyle name="常规 3 11 2 3 2 2 2" xfId="26205"/>
    <cellStyle name="常规 3 11 2 3 2 3" xfId="26208"/>
    <cellStyle name="常规 3 11 2 3 2 4" xfId="26210"/>
    <cellStyle name="常规 3 11 2 3 3" xfId="26212"/>
    <cellStyle name="常规 3 11 2 3 3 2" xfId="26214"/>
    <cellStyle name="常规 3 11 2 3 4" xfId="18300"/>
    <cellStyle name="常规 3 11 2 3 5" xfId="18305"/>
    <cellStyle name="常规 3 11 2 3 6" xfId="18309"/>
    <cellStyle name="常规 3 11 2 4" xfId="26216"/>
    <cellStyle name="常规 3 11 2 4 2" xfId="26218"/>
    <cellStyle name="常规 3 11 2 4 2 2" xfId="26220"/>
    <cellStyle name="常规 3 11 2 4 3" xfId="26222"/>
    <cellStyle name="常规 3 11 2 4 4" xfId="18313"/>
    <cellStyle name="常规 3 11 2 5" xfId="26224"/>
    <cellStyle name="常规 3 11 2 5 2" xfId="26226"/>
    <cellStyle name="常规 3 11 2 5 2 2" xfId="26228"/>
    <cellStyle name="常规 3 11 2 5 3" xfId="26230"/>
    <cellStyle name="常规 3 11 2 5 4" xfId="26232"/>
    <cellStyle name="常规 3 11 2 6" xfId="26234"/>
    <cellStyle name="常规 3 11 2 6 2" xfId="26237"/>
    <cellStyle name="常规 3 11 2 7" xfId="26240"/>
    <cellStyle name="常规 3 11 2 7 2" xfId="26186"/>
    <cellStyle name="常规 3 11 2 8" xfId="8683"/>
    <cellStyle name="常规 3 11 2 9" xfId="8694"/>
    <cellStyle name="常规 3 11 3" xfId="26243"/>
    <cellStyle name="常规 3 11 3 2" xfId="373"/>
    <cellStyle name="常规 3 11 3 2 2" xfId="379"/>
    <cellStyle name="常规 3 11 3 2 2 2" xfId="26246"/>
    <cellStyle name="常规 3 11 3 2 2 2 2" xfId="26248"/>
    <cellStyle name="常规 3 11 3 2 2 3" xfId="19393"/>
    <cellStyle name="常规 3 11 3 2 2 4" xfId="19397"/>
    <cellStyle name="常规 3 11 3 2 3" xfId="26251"/>
    <cellStyle name="常规 3 11 3 2 3 2" xfId="26253"/>
    <cellStyle name="常规 3 11 3 2 4" xfId="18327"/>
    <cellStyle name="常规 3 11 3 2 5" xfId="11466"/>
    <cellStyle name="常规 3 11 3 3" xfId="388"/>
    <cellStyle name="常规 3 11 3 3 2" xfId="26255"/>
    <cellStyle name="常规 3 11 3 3 2 2" xfId="26257"/>
    <cellStyle name="常规 3 11 3 3 3" xfId="26259"/>
    <cellStyle name="常规 3 11 3 3 4" xfId="26261"/>
    <cellStyle name="常规 3 11 3 4" xfId="402"/>
    <cellStyle name="常规 3 11 3 4 2" xfId="26263"/>
    <cellStyle name="常规 3 11 3 4 2 2" xfId="26265"/>
    <cellStyle name="常规 3 11 3 4 3" xfId="26267"/>
    <cellStyle name="常规 3 11 3 4 4" xfId="26269"/>
    <cellStyle name="常规 3 11 3 5" xfId="26271"/>
    <cellStyle name="常规 3 11 3 5 2" xfId="26273"/>
    <cellStyle name="常规 3 11 3 6" xfId="26275"/>
    <cellStyle name="常规 3 11 3 7" xfId="26278"/>
    <cellStyle name="常规 3 11 3 8" xfId="8702"/>
    <cellStyle name="常规 3 11 4" xfId="26282"/>
    <cellStyle name="常规 3 11 4 2" xfId="319"/>
    <cellStyle name="常规 3 11 4 2 2" xfId="279"/>
    <cellStyle name="常规 3 11 4 2 2 2" xfId="26285"/>
    <cellStyle name="常规 3 11 4 2 3" xfId="26289"/>
    <cellStyle name="常规 3 11 4 2 4" xfId="26291"/>
    <cellStyle name="常规 3 11 4 3" xfId="582"/>
    <cellStyle name="常规 3 11 4 3 2" xfId="593"/>
    <cellStyle name="常规 3 11 4 4" xfId="609"/>
    <cellStyle name="常规 3 11 4 5" xfId="622"/>
    <cellStyle name="常规 3 11 4 6" xfId="26293"/>
    <cellStyle name="常规 3 11 5" xfId="26296"/>
    <cellStyle name="常规 3 11 5 2" xfId="664"/>
    <cellStyle name="常规 3 11 5 2 2" xfId="26299"/>
    <cellStyle name="常规 3 11 5 3" xfId="26301"/>
    <cellStyle name="常规 3 11 5 4" xfId="26303"/>
    <cellStyle name="常规 3 11 6" xfId="26305"/>
    <cellStyle name="常规 3 11 6 2" xfId="1377"/>
    <cellStyle name="常规 3 11 6 2 2" xfId="26307"/>
    <cellStyle name="常规 3 11 6 3" xfId="26309"/>
    <cellStyle name="常规 3 11 6 4" xfId="26311"/>
    <cellStyle name="常规 3 11 7" xfId="19301"/>
    <cellStyle name="常规 3 11 7 2" xfId="26314"/>
    <cellStyle name="常规 3 11 8" xfId="26317"/>
    <cellStyle name="常规 3 11 8 2" xfId="7154"/>
    <cellStyle name="常规 3 11 9" xfId="26320"/>
    <cellStyle name="常规 3 12" xfId="26322"/>
    <cellStyle name="常规 3 12 2" xfId="26324"/>
    <cellStyle name="常规 3 12 2 2" xfId="26327"/>
    <cellStyle name="常规 3 12 2 2 2" xfId="26330"/>
    <cellStyle name="常规 3 12 2 2 2 2" xfId="24570"/>
    <cellStyle name="常规 3 12 2 2 2 2 2" xfId="26332"/>
    <cellStyle name="常规 3 12 2 2 2 3" xfId="26335"/>
    <cellStyle name="常规 3 12 2 2 2 4" xfId="26337"/>
    <cellStyle name="常规 3 12 2 2 3" xfId="26339"/>
    <cellStyle name="常规 3 12 2 2 3 2" xfId="26341"/>
    <cellStyle name="常规 3 12 2 2 4" xfId="18393"/>
    <cellStyle name="常规 3 12 2 2 5" xfId="11513"/>
    <cellStyle name="常规 3 12 2 3" xfId="21047"/>
    <cellStyle name="常规 3 12 2 3 2" xfId="21050"/>
    <cellStyle name="常规 3 12 2 3 2 2" xfId="26343"/>
    <cellStyle name="常规 3 12 2 3 3" xfId="26345"/>
    <cellStyle name="常规 3 12 2 3 4" xfId="18405"/>
    <cellStyle name="常规 3 12 2 4" xfId="21053"/>
    <cellStyle name="常规 3 12 2 4 2" xfId="26347"/>
    <cellStyle name="常规 3 12 2 5" xfId="21056"/>
    <cellStyle name="常规 3 12 2 6" xfId="26349"/>
    <cellStyle name="常规 3 12 2 7" xfId="26352"/>
    <cellStyle name="常规 3 12 3" xfId="26356"/>
    <cellStyle name="常规 3 12 3 2" xfId="756"/>
    <cellStyle name="常规 3 12 3 2 2" xfId="26358"/>
    <cellStyle name="常规 3 12 3 3" xfId="21059"/>
    <cellStyle name="常规 3 12 3 4" xfId="26360"/>
    <cellStyle name="常规 3 12 4" xfId="26362"/>
    <cellStyle name="常规 3 12 4 2" xfId="26365"/>
    <cellStyle name="常规 3 12 4 2 2" xfId="26367"/>
    <cellStyle name="常规 3 12 4 3" xfId="26369"/>
    <cellStyle name="常规 3 12 4 4" xfId="15903"/>
    <cellStyle name="常规 3 12 5" xfId="26371"/>
    <cellStyle name="常规 3 12 6" xfId="26373"/>
    <cellStyle name="常规 3 12 7" xfId="4284"/>
    <cellStyle name="常规 3 13" xfId="26375"/>
    <cellStyle name="常规 3 13 2" xfId="26377"/>
    <cellStyle name="常规 3 13 2 2" xfId="26380"/>
    <cellStyle name="常规 3 13 2 2 2" xfId="17240"/>
    <cellStyle name="常规 3 13 2 2 2 2" xfId="24781"/>
    <cellStyle name="常规 3 13 2 2 2 2 2" xfId="26382"/>
    <cellStyle name="常规 3 13 2 2 2 3" xfId="26384"/>
    <cellStyle name="常规 3 13 2 2 2 4" xfId="26385"/>
    <cellStyle name="常规 3 13 2 2 3" xfId="26386"/>
    <cellStyle name="常规 3 13 2 2 3 2" xfId="8723"/>
    <cellStyle name="常规 3 13 2 2 4" xfId="18488"/>
    <cellStyle name="常规 3 13 2 2 5" xfId="11582"/>
    <cellStyle name="常规 3 13 2 3" xfId="21066"/>
    <cellStyle name="常规 3 13 2 3 2" xfId="17246"/>
    <cellStyle name="常规 3 13 2 3 2 2" xfId="12714"/>
    <cellStyle name="常规 3 13 2 3 3" xfId="26387"/>
    <cellStyle name="常规 3 13 2 3 4" xfId="26388"/>
    <cellStyle name="常规 3 13 2 4" xfId="26389"/>
    <cellStyle name="常规 3 13 2 4 2" xfId="26391"/>
    <cellStyle name="常规 3 13 2 4 2 2" xfId="26392"/>
    <cellStyle name="常规 3 13 2 4 3" xfId="26393"/>
    <cellStyle name="常规 3 13 2 4 4" xfId="26394"/>
    <cellStyle name="常规 3 13 2 5" xfId="26395"/>
    <cellStyle name="常规 3 13 2 6" xfId="26397"/>
    <cellStyle name="常规 3 13 2 7" xfId="26398"/>
    <cellStyle name="常规 3 13 3" xfId="26399"/>
    <cellStyle name="常规 3 13 3 2" xfId="917"/>
    <cellStyle name="常规 3 13 3 2 2" xfId="921"/>
    <cellStyle name="常规 3 13 3 2 2 2" xfId="26401"/>
    <cellStyle name="常规 3 13 3 2 2 2 2" xfId="10165"/>
    <cellStyle name="常规 3 13 3 2 2 3" xfId="20096"/>
    <cellStyle name="常规 3 13 3 2 2 4" xfId="8770"/>
    <cellStyle name="常规 3 13 3 2 3" xfId="26402"/>
    <cellStyle name="常规 3 13 3 2 3 2" xfId="26403"/>
    <cellStyle name="常规 3 13 3 2 4" xfId="26404"/>
    <cellStyle name="常规 3 13 3 2 5" xfId="26405"/>
    <cellStyle name="常规 3 13 3 3" xfId="928"/>
    <cellStyle name="常规 3 13 3 3 2" xfId="26406"/>
    <cellStyle name="常规 3 13 3 3 2 2" xfId="26407"/>
    <cellStyle name="常规 3 13 3 3 3" xfId="26408"/>
    <cellStyle name="常规 3 13 3 3 4" xfId="26409"/>
    <cellStyle name="常规 3 13 3 4" xfId="935"/>
    <cellStyle name="常规 3 13 3 4 2" xfId="26410"/>
    <cellStyle name="常规 3 13 3 5" xfId="26411"/>
    <cellStyle name="常规 3 13 3 6" xfId="26413"/>
    <cellStyle name="常规 3 13 3 7" xfId="26414"/>
    <cellStyle name="常规 3 13 4" xfId="164"/>
    <cellStyle name="常规 3 13 4 2" xfId="249"/>
    <cellStyle name="常规 3 13 4 2 2" xfId="26417"/>
    <cellStyle name="常规 3 13 4 3" xfId="26418"/>
    <cellStyle name="常规 3 13 4 4" xfId="26419"/>
    <cellStyle name="常规 3 13 5" xfId="26420"/>
    <cellStyle name="常规 3 13 5 2" xfId="26422"/>
    <cellStyle name="常规 3 13 5 2 2" xfId="26423"/>
    <cellStyle name="常规 3 13 5 3" xfId="26424"/>
    <cellStyle name="常规 3 13 5 4" xfId="26425"/>
    <cellStyle name="常规 3 13 6" xfId="26426"/>
    <cellStyle name="常规 3 13 7" xfId="26428"/>
    <cellStyle name="常规 3 13 8" xfId="26431"/>
    <cellStyle name="常规 3 14" xfId="26433"/>
    <cellStyle name="常规 3 14 2" xfId="26435"/>
    <cellStyle name="常规 3 14 2 2" xfId="14024"/>
    <cellStyle name="常规 3 14 2 2 2" xfId="17319"/>
    <cellStyle name="常规 3 14 2 3" xfId="14029"/>
    <cellStyle name="常规 3 14 2 4" xfId="22890"/>
    <cellStyle name="常规 3 14 3" xfId="26437"/>
    <cellStyle name="常规 3 14 3 2" xfId="26439"/>
    <cellStyle name="常规 3 14 3 2 2" xfId="17348"/>
    <cellStyle name="常规 3 14 3 3" xfId="19952"/>
    <cellStyle name="常规 3 14 3 4" xfId="22898"/>
    <cellStyle name="常规 3 14 4" xfId="26441"/>
    <cellStyle name="常规 3 14 4 2" xfId="26443"/>
    <cellStyle name="常规 3 14 5" xfId="26445"/>
    <cellStyle name="常规 3 14 6" xfId="11654"/>
    <cellStyle name="常规 3 14 7" xfId="26447"/>
    <cellStyle name="常规 3 14 8" xfId="26449"/>
    <cellStyle name="常规 3 14 9" xfId="26450"/>
    <cellStyle name="常规 3 15" xfId="26452"/>
    <cellStyle name="常规 3 15 2" xfId="26455"/>
    <cellStyle name="常规 3 16" xfId="26458"/>
    <cellStyle name="常规 3 16 2" xfId="3100"/>
    <cellStyle name="常规 3 16 2 2" xfId="3103"/>
    <cellStyle name="常规 3 16 3" xfId="3107"/>
    <cellStyle name="常规 3 17" xfId="26460"/>
    <cellStyle name="常规 3 18" xfId="26463"/>
    <cellStyle name="常规 3 18 2" xfId="26465"/>
    <cellStyle name="常规 3 19" xfId="26467"/>
    <cellStyle name="常规 3 19 2" xfId="6793"/>
    <cellStyle name="常规 3 2" xfId="26469"/>
    <cellStyle name="常规 3 2 10" xfId="26470"/>
    <cellStyle name="常规 3 2 10 10" xfId="26471"/>
    <cellStyle name="常规 3 2 10 11" xfId="21811"/>
    <cellStyle name="常规 3 2 10 12" xfId="21815"/>
    <cellStyle name="常规 3 2 10 2" xfId="25639"/>
    <cellStyle name="常规 3 2 10 2 10" xfId="26472"/>
    <cellStyle name="常规 3 2 10 2 2" xfId="26457"/>
    <cellStyle name="常规 3 2 10 2 2 2" xfId="3098"/>
    <cellStyle name="常规 3 2 10 2 2 2 2" xfId="3101"/>
    <cellStyle name="常规 3 2 10 2 2 2 2 2" xfId="26474"/>
    <cellStyle name="常规 3 2 10 2 2 2 2 2 2" xfId="26475"/>
    <cellStyle name="常规 3 2 10 2 2 2 2 3" xfId="26477"/>
    <cellStyle name="常规 3 2 10 2 2 2 2 4" xfId="26478"/>
    <cellStyle name="常规 3 2 10 2 2 2 3" xfId="26479"/>
    <cellStyle name="常规 3 2 10 2 2 2 3 2" xfId="26480"/>
    <cellStyle name="常规 3 2 10 2 2 2 4" xfId="26483"/>
    <cellStyle name="常规 3 2 10 2 2 2 5" xfId="26484"/>
    <cellStyle name="常规 3 2 10 2 2 3" xfId="3105"/>
    <cellStyle name="常规 3 2 10 2 2 3 2" xfId="20406"/>
    <cellStyle name="常规 3 2 10 2 2 3 2 2" xfId="26485"/>
    <cellStyle name="常规 3 2 10 2 2 3 3" xfId="20408"/>
    <cellStyle name="常规 3 2 10 2 2 3 4" xfId="26486"/>
    <cellStyle name="常规 3 2 10 2 2 4" xfId="3108"/>
    <cellStyle name="常规 3 2 10 2 2 4 2" xfId="26487"/>
    <cellStyle name="常规 3 2 10 2 2 4 2 2" xfId="26488"/>
    <cellStyle name="常规 3 2 10 2 2 4 3" xfId="26489"/>
    <cellStyle name="常规 3 2 10 2 2 4 4" xfId="26490"/>
    <cellStyle name="常规 3 2 10 2 2 5" xfId="26491"/>
    <cellStyle name="常规 3 2 10 2 2 5 2" xfId="26492"/>
    <cellStyle name="常规 3 2 10 2 2 6" xfId="9450"/>
    <cellStyle name="常规 3 2 10 2 2 7" xfId="9453"/>
    <cellStyle name="常规 3 2 10 2 2 8" xfId="9456"/>
    <cellStyle name="常规 3 2 10 2 3" xfId="26461"/>
    <cellStyle name="常规 3 2 10 2 3 2" xfId="26493"/>
    <cellStyle name="常规 3 2 10 2 3 2 2" xfId="26494"/>
    <cellStyle name="常规 3 2 10 2 3 2 2 2" xfId="26451"/>
    <cellStyle name="常规 3 2 10 2 3 2 3" xfId="26496"/>
    <cellStyle name="常规 3 2 10 2 3 2 4" xfId="26498"/>
    <cellStyle name="常规 3 2 10 2 3 3" xfId="26499"/>
    <cellStyle name="常规 3 2 10 2 3 3 2" xfId="26500"/>
    <cellStyle name="常规 3 2 10 2 3 4" xfId="21280"/>
    <cellStyle name="常规 3 2 10 2 3 5" xfId="26501"/>
    <cellStyle name="常规 3 2 10 2 3 6" xfId="9463"/>
    <cellStyle name="常规 3 2 10 2 4" xfId="26464"/>
    <cellStyle name="常规 3 2 10 2 4 2" xfId="26466"/>
    <cellStyle name="常规 3 2 10 2 4 2 2" xfId="26502"/>
    <cellStyle name="常规 3 2 10 2 4 3" xfId="26503"/>
    <cellStyle name="常规 3 2 10 2 4 4" xfId="26504"/>
    <cellStyle name="常规 3 2 10 2 5" xfId="26468"/>
    <cellStyle name="常规 3 2 10 2 5 2" xfId="6794"/>
    <cellStyle name="常规 3 2 10 2 5 2 2" xfId="6796"/>
    <cellStyle name="常规 3 2 10 2 5 3" xfId="6798"/>
    <cellStyle name="常规 3 2 10 2 5 4" xfId="6801"/>
    <cellStyle name="常规 3 2 10 2 6" xfId="26505"/>
    <cellStyle name="常规 3 2 10 2 6 2" xfId="6814"/>
    <cellStyle name="常规 3 2 10 2 7" xfId="26506"/>
    <cellStyle name="常规 3 2 10 2 7 2" xfId="6830"/>
    <cellStyle name="常规 3 2 10 2 8" xfId="26507"/>
    <cellStyle name="常规 3 2 10 2 9" xfId="26508"/>
    <cellStyle name="常规 3 2 10 3" xfId="25641"/>
    <cellStyle name="常规 3 2 10 3 10" xfId="26511"/>
    <cellStyle name="常规 3 2 10 3 11" xfId="26513"/>
    <cellStyle name="常规 3 2 10 3 2" xfId="26514"/>
    <cellStyle name="常规 3 2 10 3 2 10" xfId="26515"/>
    <cellStyle name="常规 3 2 10 3 2 2" xfId="1095"/>
    <cellStyle name="常规 3 2 10 3 2 2 2" xfId="3199"/>
    <cellStyle name="常规 3 2 10 3 2 2 2 2" xfId="24438"/>
    <cellStyle name="常规 3 2 10 3 2 2 2 2 2" xfId="24440"/>
    <cellStyle name="常规 3 2 10 3 2 2 2 2 2 2" xfId="26516"/>
    <cellStyle name="常规 3 2 10 3 2 2 2 2 3" xfId="4440"/>
    <cellStyle name="常规 3 2 10 3 2 2 2 2 4" xfId="26518"/>
    <cellStyle name="常规 3 2 10 3 2 2 2 3" xfId="24443"/>
    <cellStyle name="常规 3 2 10 3 2 2 2 3 2" xfId="26520"/>
    <cellStyle name="常规 3 2 10 3 2 2 2 4" xfId="24446"/>
    <cellStyle name="常规 3 2 10 3 2 2 2 5" xfId="24448"/>
    <cellStyle name="常规 3 2 10 3 2 2 3" xfId="26522"/>
    <cellStyle name="常规 3 2 10 3 2 2 3 2" xfId="24455"/>
    <cellStyle name="常规 3 2 10 3 2 2 3 2 2" xfId="26523"/>
    <cellStyle name="常规 3 2 10 3 2 2 3 3" xfId="14982"/>
    <cellStyle name="常规 3 2 10 3 2 2 3 4" xfId="14997"/>
    <cellStyle name="常规 3 2 10 3 2 2 4" xfId="26526"/>
    <cellStyle name="常规 3 2 10 3 2 2 4 2" xfId="24460"/>
    <cellStyle name="常规 3 2 10 3 2 2 4 2 2" xfId="26527"/>
    <cellStyle name="常规 3 2 10 3 2 2 4 3" xfId="15019"/>
    <cellStyle name="常规 3 2 10 3 2 2 4 4" xfId="13148"/>
    <cellStyle name="常规 3 2 10 3 2 2 5" xfId="26528"/>
    <cellStyle name="常规 3 2 10 3 2 2 5 2" xfId="26529"/>
    <cellStyle name="常规 3 2 10 3 2 2 6" xfId="26530"/>
    <cellStyle name="常规 3 2 10 3 2 2 7" xfId="26531"/>
    <cellStyle name="常规 3 2 10 3 2 2 8" xfId="26532"/>
    <cellStyle name="常规 3 2 10 3 2 3" xfId="3204"/>
    <cellStyle name="常规 3 2 10 3 2 3 2" xfId="3207"/>
    <cellStyle name="常规 3 2 10 3 2 3 2 2" xfId="24486"/>
    <cellStyle name="常规 3 2 10 3 2 3 2 2 2" xfId="26533"/>
    <cellStyle name="常规 3 2 10 3 2 3 2 3" xfId="24488"/>
    <cellStyle name="常规 3 2 10 3 2 3 2 4" xfId="26534"/>
    <cellStyle name="常规 3 2 10 3 2 3 3" xfId="26536"/>
    <cellStyle name="常规 3 2 10 3 2 3 3 2" xfId="26537"/>
    <cellStyle name="常规 3 2 10 3 2 3 4" xfId="26538"/>
    <cellStyle name="常规 3 2 10 3 2 3 5" xfId="26539"/>
    <cellStyle name="常规 3 2 10 3 2 3 6" xfId="26540"/>
    <cellStyle name="常规 3 2 10 3 2 4" xfId="6296"/>
    <cellStyle name="常规 3 2 10 3 2 4 2" xfId="26541"/>
    <cellStyle name="常规 3 2 10 3 2 4 2 2" xfId="26542"/>
    <cellStyle name="常规 3 2 10 3 2 4 3" xfId="26543"/>
    <cellStyle name="常规 3 2 10 3 2 4 4" xfId="26544"/>
    <cellStyle name="常规 3 2 10 3 2 5" xfId="26545"/>
    <cellStyle name="常规 3 2 10 3 2 5 2" xfId="26546"/>
    <cellStyle name="常规 3 2 10 3 2 5 2 2" xfId="26547"/>
    <cellStyle name="常规 3 2 10 3 2 5 3" xfId="26548"/>
    <cellStyle name="常规 3 2 10 3 2 5 4" xfId="26549"/>
    <cellStyle name="常规 3 2 10 3 2 6" xfId="9477"/>
    <cellStyle name="常规 3 2 10 3 2 6 2" xfId="9479"/>
    <cellStyle name="常规 3 2 10 3 2 7" xfId="9486"/>
    <cellStyle name="常规 3 2 10 3 2 7 2" xfId="9488"/>
    <cellStyle name="常规 3 2 10 3 2 8" xfId="9490"/>
    <cellStyle name="常规 3 2 10 3 2 9" xfId="9493"/>
    <cellStyle name="常规 3 2 10 3 3" xfId="26550"/>
    <cellStyle name="常规 3 2 10 3 3 2" xfId="3252"/>
    <cellStyle name="常规 3 2 10 3 3 2 2" xfId="3255"/>
    <cellStyle name="常规 3 2 10 3 3 2 2 2" xfId="20847"/>
    <cellStyle name="常规 3 2 10 3 3 2 2 2 2" xfId="20851"/>
    <cellStyle name="常规 3 2 10 3 3 2 2 3" xfId="20854"/>
    <cellStyle name="常规 3 2 10 3 3 2 2 4" xfId="20858"/>
    <cellStyle name="常规 3 2 10 3 3 2 3" xfId="20860"/>
    <cellStyle name="常规 3 2 10 3 3 2 3 2" xfId="20863"/>
    <cellStyle name="常规 3 2 10 3 3 2 4" xfId="19677"/>
    <cellStyle name="常规 3 2 10 3 3 2 5" xfId="19684"/>
    <cellStyle name="常规 3 2 10 3 3 3" xfId="3261"/>
    <cellStyle name="常规 3 2 10 3 3 3 2" xfId="16694"/>
    <cellStyle name="常规 3 2 10 3 3 3 2 2" xfId="16698"/>
    <cellStyle name="常规 3 2 10 3 3 3 3" xfId="16706"/>
    <cellStyle name="常规 3 2 10 3 3 3 4" xfId="16713"/>
    <cellStyle name="常规 3 2 10 3 3 4" xfId="3264"/>
    <cellStyle name="常规 3 2 10 3 3 4 2" xfId="16876"/>
    <cellStyle name="常规 3 2 10 3 3 4 2 2" xfId="16878"/>
    <cellStyle name="常规 3 2 10 3 3 4 3" xfId="16886"/>
    <cellStyle name="常规 3 2 10 3 3 4 4" xfId="16891"/>
    <cellStyle name="常规 3 2 10 3 3 5" xfId="26551"/>
    <cellStyle name="常规 3 2 10 3 3 5 2" xfId="16929"/>
    <cellStyle name="常规 3 2 10 3 3 6" xfId="9497"/>
    <cellStyle name="常规 3 2 10 3 3 7" xfId="9502"/>
    <cellStyle name="常规 3 2 10 3 3 8" xfId="9506"/>
    <cellStyle name="常规 3 2 10 3 4" xfId="26552"/>
    <cellStyle name="常规 3 2 10 3 4 2" xfId="11006"/>
    <cellStyle name="常规 3 2 10 3 4 2 2" xfId="20893"/>
    <cellStyle name="常规 3 2 10 3 4 2 2 2" xfId="15206"/>
    <cellStyle name="常规 3 2 10 3 4 2 3" xfId="20895"/>
    <cellStyle name="常规 3 2 10 3 4 2 4" xfId="19697"/>
    <cellStyle name="常规 3 2 10 3 4 3" xfId="24986"/>
    <cellStyle name="常规 3 2 10 3 4 3 2" xfId="16993"/>
    <cellStyle name="常规 3 2 10 3 4 4" xfId="24988"/>
    <cellStyle name="常规 3 2 10 3 4 5" xfId="24990"/>
    <cellStyle name="常规 3 2 10 3 4 6" xfId="9513"/>
    <cellStyle name="常规 3 2 10 3 5" xfId="26553"/>
    <cellStyle name="常规 3 2 10 3 5 2" xfId="6302"/>
    <cellStyle name="常规 3 2 10 3 5 2 2" xfId="20931"/>
    <cellStyle name="常规 3 2 10 3 5 3" xfId="24993"/>
    <cellStyle name="常规 3 2 10 3 5 4" xfId="26554"/>
    <cellStyle name="常规 3 2 10 3 6" xfId="26556"/>
    <cellStyle name="常规 3 2 10 3 6 2" xfId="26557"/>
    <cellStyle name="常规 3 2 10 3 6 2 2" xfId="20950"/>
    <cellStyle name="常规 3 2 10 3 6 3" xfId="26558"/>
    <cellStyle name="常规 3 2 10 3 6 4" xfId="26559"/>
    <cellStyle name="常规 3 2 10 3 7" xfId="26560"/>
    <cellStyle name="常规 3 2 10 3 7 2" xfId="26561"/>
    <cellStyle name="常规 3 2 10 3 8" xfId="26562"/>
    <cellStyle name="常规 3 2 10 3 8 2" xfId="26563"/>
    <cellStyle name="常规 3 2 10 3 9" xfId="26564"/>
    <cellStyle name="常规 3 2 10 4" xfId="26565"/>
    <cellStyle name="常规 3 2 10 4 2" xfId="26567"/>
    <cellStyle name="常规 3 2 10 4 2 2" xfId="26569"/>
    <cellStyle name="常规 3 2 10 4 2 2 2" xfId="26572"/>
    <cellStyle name="常规 3 2 10 4 2 2 2 2" xfId="26575"/>
    <cellStyle name="常规 3 2 10 4 2 2 3" xfId="26577"/>
    <cellStyle name="常规 3 2 10 4 2 2 4" xfId="7635"/>
    <cellStyle name="常规 3 2 10 4 2 3" xfId="26578"/>
    <cellStyle name="常规 3 2 10 4 2 3 2" xfId="26581"/>
    <cellStyle name="常规 3 2 10 4 2 4" xfId="26582"/>
    <cellStyle name="常规 3 2 10 4 2 5" xfId="26584"/>
    <cellStyle name="常规 3 2 10 4 3" xfId="26585"/>
    <cellStyle name="常规 3 2 10 4 3 2" xfId="26587"/>
    <cellStyle name="常规 3 2 10 4 3 2 2" xfId="21002"/>
    <cellStyle name="常规 3 2 10 4 3 3" xfId="26589"/>
    <cellStyle name="常规 3 2 10 4 3 4" xfId="19920"/>
    <cellStyle name="常规 3 2 10 4 4" xfId="26590"/>
    <cellStyle name="常规 3 2 10 4 4 2" xfId="11100"/>
    <cellStyle name="常规 3 2 10 4 4 2 2" xfId="11103"/>
    <cellStyle name="常规 3 2 10 4 4 3" xfId="11107"/>
    <cellStyle name="常规 3 2 10 4 4 4" xfId="19948"/>
    <cellStyle name="常规 3 2 10 4 5" xfId="26592"/>
    <cellStyle name="常规 3 2 10 4 5 2" xfId="11148"/>
    <cellStyle name="常规 3 2 10 4 6" xfId="26594"/>
    <cellStyle name="常规 3 2 10 4 7" xfId="26595"/>
    <cellStyle name="常规 3 2 10 4 8" xfId="26596"/>
    <cellStyle name="常规 3 2 10 5" xfId="26597"/>
    <cellStyle name="常规 3 2 10 5 2" xfId="9970"/>
    <cellStyle name="常规 3 2 10 5 2 2" xfId="9973"/>
    <cellStyle name="常规 3 2 10 5 2 2 2" xfId="9976"/>
    <cellStyle name="常规 3 2 10 5 2 3" xfId="10001"/>
    <cellStyle name="常规 3 2 10 5 2 4" xfId="10009"/>
    <cellStyle name="常规 3 2 10 5 3" xfId="10019"/>
    <cellStyle name="常规 3 2 10 5 3 2" xfId="6046"/>
    <cellStyle name="常规 3 2 10 5 4" xfId="10031"/>
    <cellStyle name="常规 3 2 10 5 5" xfId="10035"/>
    <cellStyle name="常规 3 2 10 5 6" xfId="10039"/>
    <cellStyle name="常规 3 2 10 6" xfId="26600"/>
    <cellStyle name="常规 3 2 10 6 2" xfId="5076"/>
    <cellStyle name="常规 3 2 10 6 2 2" xfId="14"/>
    <cellStyle name="常规 3 2 10 6 3" xfId="5084"/>
    <cellStyle name="常规 3 2 10 6 4" xfId="3968"/>
    <cellStyle name="常规 3 2 10 7" xfId="24091"/>
    <cellStyle name="常规 3 2 10 7 2" xfId="5149"/>
    <cellStyle name="常规 3 2 10 7 2 2" xfId="5156"/>
    <cellStyle name="常规 3 2 10 7 3" xfId="5173"/>
    <cellStyle name="常规 3 2 10 7 4" xfId="3980"/>
    <cellStyle name="常规 3 2 10 8" xfId="24095"/>
    <cellStyle name="常规 3 2 10 8 2" xfId="5217"/>
    <cellStyle name="常规 3 2 10 9" xfId="24099"/>
    <cellStyle name="常规 3 2 10 9 2" xfId="678"/>
    <cellStyle name="常规 3 2 11" xfId="2961"/>
    <cellStyle name="常规 3 2 11 10" xfId="3983"/>
    <cellStyle name="常规 3 2 11 11" xfId="3992"/>
    <cellStyle name="常规 3 2 11 2" xfId="26603"/>
    <cellStyle name="常规 3 2 11 2 10" xfId="12753"/>
    <cellStyle name="常规 3 2 11 2 2" xfId="26604"/>
    <cellStyle name="常规 3 2 11 2 2 2" xfId="26605"/>
    <cellStyle name="常规 3 2 11 2 2 2 2" xfId="26607"/>
    <cellStyle name="常规 3 2 11 2 2 2 2 2" xfId="26609"/>
    <cellStyle name="常规 3 2 11 2 2 2 2 2 2" xfId="26611"/>
    <cellStyle name="常规 3 2 11 2 2 2 2 3" xfId="26613"/>
    <cellStyle name="常规 3 2 11 2 2 2 2 4" xfId="26616"/>
    <cellStyle name="常规 3 2 11 2 2 2 3" xfId="26619"/>
    <cellStyle name="常规 3 2 11 2 2 2 3 2" xfId="26621"/>
    <cellStyle name="常规 3 2 11 2 2 2 4" xfId="26623"/>
    <cellStyle name="常规 3 2 11 2 2 2 5" xfId="26625"/>
    <cellStyle name="常规 3 2 11 2 2 3" xfId="26626"/>
    <cellStyle name="常规 3 2 11 2 2 3 2" xfId="26628"/>
    <cellStyle name="常规 3 2 11 2 2 3 2 2" xfId="9671"/>
    <cellStyle name="常规 3 2 11 2 2 3 3" xfId="26630"/>
    <cellStyle name="常规 3 2 11 2 2 3 4" xfId="26632"/>
    <cellStyle name="常规 3 2 11 2 2 4" xfId="26634"/>
    <cellStyle name="常规 3 2 11 2 2 4 2" xfId="26635"/>
    <cellStyle name="常规 3 2 11 2 2 4 2 2" xfId="11872"/>
    <cellStyle name="常规 3 2 11 2 2 4 3" xfId="26637"/>
    <cellStyle name="常规 3 2 11 2 2 4 4" xfId="26639"/>
    <cellStyle name="常规 3 2 11 2 2 5" xfId="26641"/>
    <cellStyle name="常规 3 2 11 2 2 5 2" xfId="26642"/>
    <cellStyle name="常规 3 2 11 2 2 6" xfId="9546"/>
    <cellStyle name="常规 3 2 11 2 2 7" xfId="9550"/>
    <cellStyle name="常规 3 2 11 2 2 8" xfId="9553"/>
    <cellStyle name="常规 3 2 11 2 3" xfId="25275"/>
    <cellStyle name="常规 3 2 11 2 3 2" xfId="25279"/>
    <cellStyle name="常规 3 2 11 2 3 2 2" xfId="26644"/>
    <cellStyle name="常规 3 2 11 2 3 2 2 2" xfId="26646"/>
    <cellStyle name="常规 3 2 11 2 3 2 3" xfId="26648"/>
    <cellStyle name="常规 3 2 11 2 3 2 4" xfId="5880"/>
    <cellStyle name="常规 3 2 11 2 3 3" xfId="26650"/>
    <cellStyle name="常规 3 2 11 2 3 3 2" xfId="26652"/>
    <cellStyle name="常规 3 2 11 2 3 4" xfId="26653"/>
    <cellStyle name="常规 3 2 11 2 3 5" xfId="26654"/>
    <cellStyle name="常规 3 2 11 2 3 6" xfId="9559"/>
    <cellStyle name="常规 3 2 11 2 4" xfId="25282"/>
    <cellStyle name="常规 3 2 11 2 4 2" xfId="26655"/>
    <cellStyle name="常规 3 2 11 2 4 2 2" xfId="22731"/>
    <cellStyle name="常规 3 2 11 2 4 3" xfId="26656"/>
    <cellStyle name="常规 3 2 11 2 4 4" xfId="26657"/>
    <cellStyle name="常规 3 2 11 2 5" xfId="25284"/>
    <cellStyle name="常规 3 2 11 2 5 2" xfId="6873"/>
    <cellStyle name="常规 3 2 11 2 5 2 2" xfId="3365"/>
    <cellStyle name="常规 3 2 11 2 5 3" xfId="6875"/>
    <cellStyle name="常规 3 2 11 2 5 4" xfId="6877"/>
    <cellStyle name="常规 3 2 11 2 6" xfId="26658"/>
    <cellStyle name="常规 3 2 11 2 6 2" xfId="6894"/>
    <cellStyle name="常规 3 2 11 2 7" xfId="26659"/>
    <cellStyle name="常规 3 2 11 2 7 2" xfId="5002"/>
    <cellStyle name="常规 3 2 11 2 8" xfId="26661"/>
    <cellStyle name="常规 3 2 11 2 9" xfId="26664"/>
    <cellStyle name="常规 3 2 11 3" xfId="26666"/>
    <cellStyle name="常规 3 2 11 3 2" xfId="26667"/>
    <cellStyle name="常规 3 2 11 3 2 2" xfId="26668"/>
    <cellStyle name="常规 3 2 11 3 2 2 2" xfId="12888"/>
    <cellStyle name="常规 3 2 11 3 2 2 2 2" xfId="12890"/>
    <cellStyle name="常规 3 2 11 3 2 2 3" xfId="12893"/>
    <cellStyle name="常规 3 2 11 3 2 2 4" xfId="12895"/>
    <cellStyle name="常规 3 2 11 3 2 3" xfId="26670"/>
    <cellStyle name="常规 3 2 11 3 2 3 2" xfId="26672"/>
    <cellStyle name="常规 3 2 11 3 2 4" xfId="26673"/>
    <cellStyle name="常规 3 2 11 3 2 5" xfId="26674"/>
    <cellStyle name="常规 3 2 11 3 3" xfId="25288"/>
    <cellStyle name="常规 3 2 11 3 3 2" xfId="25292"/>
    <cellStyle name="常规 3 2 11 3 3 2 2" xfId="12961"/>
    <cellStyle name="常规 3 2 11 3 3 3" xfId="26675"/>
    <cellStyle name="常规 3 2 11 3 3 4" xfId="26677"/>
    <cellStyle name="常规 3 2 11 3 4" xfId="25295"/>
    <cellStyle name="常规 3 2 11 3 4 2" xfId="26678"/>
    <cellStyle name="常规 3 2 11 3 4 2 2" xfId="13016"/>
    <cellStyle name="常规 3 2 11 3 4 3" xfId="25018"/>
    <cellStyle name="常规 3 2 11 3 4 4" xfId="26680"/>
    <cellStyle name="常规 3 2 11 3 5" xfId="25297"/>
    <cellStyle name="常规 3 2 11 3 5 2" xfId="6906"/>
    <cellStyle name="常规 3 2 11 3 6" xfId="26682"/>
    <cellStyle name="常规 3 2 11 3 7" xfId="26683"/>
    <cellStyle name="常规 3 2 11 3 8" xfId="26685"/>
    <cellStyle name="常规 3 2 11 4" xfId="26687"/>
    <cellStyle name="常规 3 2 11 4 2" xfId="26689"/>
    <cellStyle name="常规 3 2 11 4 2 2" xfId="26691"/>
    <cellStyle name="常规 3 2 11 4 2 2 2" xfId="26693"/>
    <cellStyle name="常规 3 2 11 4 2 3" xfId="26694"/>
    <cellStyle name="常规 3 2 11 4 2 4" xfId="26696"/>
    <cellStyle name="常规 3 2 11 4 3" xfId="25302"/>
    <cellStyle name="常规 3 2 11 4 3 2" xfId="19149"/>
    <cellStyle name="常规 3 2 11 4 4" xfId="26697"/>
    <cellStyle name="常规 3 2 11 4 5" xfId="26698"/>
    <cellStyle name="常规 3 2 11 4 6" xfId="26699"/>
    <cellStyle name="常规 3 2 11 5" xfId="17840"/>
    <cellStyle name="常规 3 2 11 5 2" xfId="10136"/>
    <cellStyle name="常规 3 2 11 5 2 2" xfId="10138"/>
    <cellStyle name="常规 3 2 11 5 3" xfId="10173"/>
    <cellStyle name="常规 3 2 11 5 4" xfId="10181"/>
    <cellStyle name="常规 3 2 11 6" xfId="17845"/>
    <cellStyle name="常规 3 2 11 6 2" xfId="437"/>
    <cellStyle name="常规 3 2 11 6 2 2" xfId="5238"/>
    <cellStyle name="常规 3 2 11 6 3" xfId="5242"/>
    <cellStyle name="常规 3 2 11 6 4" xfId="3996"/>
    <cellStyle name="常规 3 2 11 7" xfId="17849"/>
    <cellStyle name="常规 3 2 11 7 2" xfId="5251"/>
    <cellStyle name="常规 3 2 11 8" xfId="24108"/>
    <cellStyle name="常规 3 2 11 8 2" xfId="5254"/>
    <cellStyle name="常规 3 2 11 9" xfId="18935"/>
    <cellStyle name="常规 3 2 12" xfId="9068"/>
    <cellStyle name="常规 3 2 12 2" xfId="9070"/>
    <cellStyle name="常规 3 2 12 2 2" xfId="9074"/>
    <cellStyle name="常规 3 2 12 2 3" xfId="9086"/>
    <cellStyle name="常规 3 2 12 3" xfId="9100"/>
    <cellStyle name="常规 3 2 12 3 2" xfId="9105"/>
    <cellStyle name="常规 3 2 12 3 2 2" xfId="9110"/>
    <cellStyle name="常规 3 2 12 3 3" xfId="9130"/>
    <cellStyle name="常规 3 2 12 3 4" xfId="9134"/>
    <cellStyle name="常规 3 2 12 4" xfId="9142"/>
    <cellStyle name="常规 3 2 13" xfId="9180"/>
    <cellStyle name="常规 3 2 13 2" xfId="9182"/>
    <cellStyle name="常规 3 2 13 2 2" xfId="9186"/>
    <cellStyle name="常规 3 2 13 2 3" xfId="9196"/>
    <cellStyle name="常规 3 2 13 3" xfId="9207"/>
    <cellStyle name="常规 3 2 13 3 2" xfId="9211"/>
    <cellStyle name="常规 3 2 13 3 2 2" xfId="9213"/>
    <cellStyle name="常规 3 2 13 3 3" xfId="9217"/>
    <cellStyle name="常规 3 2 13 3 4" xfId="9219"/>
    <cellStyle name="常规 3 2 13 4" xfId="9224"/>
    <cellStyle name="常规 3 2 14" xfId="8965"/>
    <cellStyle name="常规 3 2 14 2" xfId="8968"/>
    <cellStyle name="常规 3 2 14 2 2" xfId="8972"/>
    <cellStyle name="常规 3 2 14 2 2 2" xfId="8974"/>
    <cellStyle name="常规 3 2 14 2 2 2 2" xfId="26700"/>
    <cellStyle name="常规 3 2 14 2 2 3" xfId="26702"/>
    <cellStyle name="常规 3 2 14 2 2 4" xfId="26703"/>
    <cellStyle name="常规 3 2 14 2 3" xfId="8976"/>
    <cellStyle name="常规 3 2 14 2 3 2" xfId="8978"/>
    <cellStyle name="常规 3 2 14 2 4" xfId="8980"/>
    <cellStyle name="常规 3 2 14 2 5" xfId="8982"/>
    <cellStyle name="常规 3 2 14 3" xfId="8986"/>
    <cellStyle name="常规 3 2 14 3 2" xfId="8991"/>
    <cellStyle name="常规 3 2 14 3 2 2" xfId="8782"/>
    <cellStyle name="常规 3 2 14 3 3" xfId="26704"/>
    <cellStyle name="常规 3 2 14 3 4" xfId="26705"/>
    <cellStyle name="常规 3 2 14 4" xfId="8995"/>
    <cellStyle name="常规 3 2 14 4 2" xfId="8997"/>
    <cellStyle name="常规 3 2 14 4 2 2" xfId="26706"/>
    <cellStyle name="常规 3 2 14 4 3" xfId="26707"/>
    <cellStyle name="常规 3 2 14 4 4" xfId="26701"/>
    <cellStyle name="常规 3 2 14 5" xfId="9001"/>
    <cellStyle name="常规 3 2 14 5 2" xfId="23091"/>
    <cellStyle name="常规 3 2 14 6" xfId="9003"/>
    <cellStyle name="常规 3 2 14 7" xfId="24123"/>
    <cellStyle name="常规 3 2 14 8" xfId="26708"/>
    <cellStyle name="常规 3 2 15" xfId="9006"/>
    <cellStyle name="常规 3 2 15 2" xfId="9010"/>
    <cellStyle name="常规 3 2 15 2 2" xfId="9013"/>
    <cellStyle name="常规 3 2 15 2 2 2" xfId="21848"/>
    <cellStyle name="常规 3 2 15 2 3" xfId="21853"/>
    <cellStyle name="常规 3 2 15 2 4" xfId="21860"/>
    <cellStyle name="常规 3 2 15 3" xfId="9016"/>
    <cellStyle name="常规 3 2 15 3 2" xfId="9019"/>
    <cellStyle name="常规 3 2 15 4" xfId="9021"/>
    <cellStyle name="常规 3 2 15 5" xfId="9023"/>
    <cellStyle name="常规 3 2 15 6" xfId="26709"/>
    <cellStyle name="常规 3 2 16" xfId="9027"/>
    <cellStyle name="常规 3 2 16 2" xfId="9031"/>
    <cellStyle name="常规 3 2 16 2 2" xfId="23721"/>
    <cellStyle name="常规 3 2 16 3" xfId="26710"/>
    <cellStyle name="常规 3 2 16 4" xfId="26711"/>
    <cellStyle name="常规 3 2 17" xfId="9034"/>
    <cellStyle name="常规 3 2 17 2" xfId="9037"/>
    <cellStyle name="常规 3 2 17 2 2" xfId="24103"/>
    <cellStyle name="常规 3 2 17 3" xfId="26712"/>
    <cellStyle name="常规 3 2 17 4" xfId="26714"/>
    <cellStyle name="常规 3 2 18" xfId="9041"/>
    <cellStyle name="常规 3 2 18 2" xfId="26715"/>
    <cellStyle name="常规 3 2 19" xfId="9045"/>
    <cellStyle name="常规 3 2 19 2" xfId="26717"/>
    <cellStyle name="常规 3 2 2" xfId="6527"/>
    <cellStyle name="常规 3 2 2 10" xfId="23367"/>
    <cellStyle name="常规 3 2 2 11" xfId="23370"/>
    <cellStyle name="常规 3 2 2 12" xfId="26720"/>
    <cellStyle name="常规 3 2 2 2" xfId="6530"/>
    <cellStyle name="常规 3 2 2 2 10" xfId="26721"/>
    <cellStyle name="常规 3 2 2 2 11" xfId="26722"/>
    <cellStyle name="常规 3 2 2 2 12" xfId="26724"/>
    <cellStyle name="常规 3 2 2 2 2" xfId="6532"/>
    <cellStyle name="常规 3 2 2 2 2 10" xfId="26727"/>
    <cellStyle name="常规 3 2 2 2 2 2" xfId="26729"/>
    <cellStyle name="常规 3 2 2 2 2 2 2" xfId="26731"/>
    <cellStyle name="常规 3 2 2 2 2 2 2 2" xfId="26732"/>
    <cellStyle name="常规 3 2 2 2 2 2 2 2 2" xfId="26733"/>
    <cellStyle name="常规 3 2 2 2 2 2 2 2 2 2" xfId="26736"/>
    <cellStyle name="常规 3 2 2 2 2 2 2 2 3" xfId="26738"/>
    <cellStyle name="常规 3 2 2 2 2 2 2 2 4" xfId="26741"/>
    <cellStyle name="常规 3 2 2 2 2 2 2 3" xfId="26743"/>
    <cellStyle name="常规 3 2 2 2 2 2 2 3 2" xfId="26745"/>
    <cellStyle name="常规 3 2 2 2 2 2 2 4" xfId="17588"/>
    <cellStyle name="常规 3 2 2 2 2 2 2 5" xfId="17592"/>
    <cellStyle name="常规 3 2 2 2 2 2 3" xfId="4989"/>
    <cellStyle name="常规 3 2 2 2 2 2 3 2" xfId="4993"/>
    <cellStyle name="常规 3 2 2 2 2 2 3 2 2" xfId="4071"/>
    <cellStyle name="常规 3 2 2 2 2 2 3 3" xfId="2509"/>
    <cellStyle name="常规 3 2 2 2 2 2 3 4" xfId="2523"/>
    <cellStyle name="常规 3 2 2 2 2 2 4" xfId="5038"/>
    <cellStyle name="常规 3 2 2 2 2 2 4 2" xfId="5046"/>
    <cellStyle name="常规 3 2 2 2 2 2 4 2 2" xfId="4232"/>
    <cellStyle name="常规 3 2 2 2 2 2 4 3" xfId="2534"/>
    <cellStyle name="常规 3 2 2 2 2 2 4 4" xfId="5210"/>
    <cellStyle name="常规 3 2 2 2 2 2 5" xfId="417"/>
    <cellStyle name="常规 3 2 2 2 2 2 5 2" xfId="424"/>
    <cellStyle name="常规 3 2 2 2 2 2 6" xfId="486"/>
    <cellStyle name="常规 3 2 2 2 2 2 7" xfId="506"/>
    <cellStyle name="常规 3 2 2 2 2 2 8" xfId="517"/>
    <cellStyle name="常规 3 2 2 2 2 3" xfId="11594"/>
    <cellStyle name="常规 3 2 2 2 2 3 2" xfId="26747"/>
    <cellStyle name="常规 3 2 2 2 2 3 2 2" xfId="26748"/>
    <cellStyle name="常规 3 2 2 2 2 3 2 2 2" xfId="19994"/>
    <cellStyle name="常规 3 2 2 2 2 3 2 3" xfId="26749"/>
    <cellStyle name="常规 3 2 2 2 2 3 2 4" xfId="17604"/>
    <cellStyle name="常规 3 2 2 2 2 3 3" xfId="5285"/>
    <cellStyle name="常规 3 2 2 2 2 3 3 2" xfId="5288"/>
    <cellStyle name="常规 3 2 2 2 2 3 4" xfId="5327"/>
    <cellStyle name="常规 3 2 2 2 2 3 5" xfId="74"/>
    <cellStyle name="常规 3 2 2 2 2 3 6" xfId="47"/>
    <cellStyle name="常规 3 2 2 2 2 4" xfId="22802"/>
    <cellStyle name="常规 3 2 2 2 2 4 2" xfId="22805"/>
    <cellStyle name="常规 3 2 2 2 2 4 2 2" xfId="22810"/>
    <cellStyle name="常规 3 2 2 2 2 4 3" xfId="5343"/>
    <cellStyle name="常规 3 2 2 2 2 4 4" xfId="5425"/>
    <cellStyle name="常规 3 2 2 2 2 5" xfId="22812"/>
    <cellStyle name="常规 3 2 2 2 2 5 2" xfId="22814"/>
    <cellStyle name="常规 3 2 2 2 2 5 2 2" xfId="26751"/>
    <cellStyle name="常规 3 2 2 2 2 5 3" xfId="5363"/>
    <cellStyle name="常规 3 2 2 2 2 5 4" xfId="5500"/>
    <cellStyle name="常规 3 2 2 2 2 6" xfId="22818"/>
    <cellStyle name="常规 3 2 2 2 2 6 2" xfId="26754"/>
    <cellStyle name="常规 3 2 2 2 2 7" xfId="22764"/>
    <cellStyle name="常规 3 2 2 2 2 7 2" xfId="1266"/>
    <cellStyle name="常规 3 2 2 2 2 8" xfId="3569"/>
    <cellStyle name="常规 3 2 2 2 2 9" xfId="22768"/>
    <cellStyle name="常规 3 2 2 2 3" xfId="26757"/>
    <cellStyle name="常规 3 2 2 2 3 10" xfId="26759"/>
    <cellStyle name="常规 3 2 2 2 3 11" xfId="20714"/>
    <cellStyle name="常规 3 2 2 2 3 2" xfId="26760"/>
    <cellStyle name="常规 3 2 2 2 3 2 10" xfId="3370"/>
    <cellStyle name="常规 3 2 2 2 3 2 2" xfId="17307"/>
    <cellStyle name="常规 3 2 2 2 3 2 2 2" xfId="26761"/>
    <cellStyle name="常规 3 2 2 2 3 2 2 2 2" xfId="26762"/>
    <cellStyle name="常规 3 2 2 2 3 2 2 2 2 2" xfId="26763"/>
    <cellStyle name="常规 3 2 2 2 3 2 2 2 2 2 2" xfId="26764"/>
    <cellStyle name="常规 3 2 2 2 3 2 2 2 2 3" xfId="26765"/>
    <cellStyle name="常规 3 2 2 2 3 2 2 2 2 4" xfId="5400"/>
    <cellStyle name="常规 3 2 2 2 3 2 2 2 3" xfId="26766"/>
    <cellStyle name="常规 3 2 2 2 3 2 2 2 3 2" xfId="26768"/>
    <cellStyle name="常规 3 2 2 2 3 2 2 2 4" xfId="26771"/>
    <cellStyle name="常规 3 2 2 2 3 2 2 2 5" xfId="26772"/>
    <cellStyle name="常规 3 2 2 2 3 2 2 3" xfId="26773"/>
    <cellStyle name="常规 3 2 2 2 3 2 2 3 2" xfId="4710"/>
    <cellStyle name="常规 3 2 2 2 3 2 2 3 2 2" xfId="21304"/>
    <cellStyle name="常规 3 2 2 2 3 2 2 3 3" xfId="26774"/>
    <cellStyle name="常规 3 2 2 2 3 2 2 3 4" xfId="26777"/>
    <cellStyle name="常规 3 2 2 2 3 2 2 4" xfId="13097"/>
    <cellStyle name="常规 3 2 2 2 3 2 2 4 2" xfId="26780"/>
    <cellStyle name="常规 3 2 2 2 3 2 2 4 2 2" xfId="10115"/>
    <cellStyle name="常规 3 2 2 2 3 2 2 4 3" xfId="20308"/>
    <cellStyle name="常规 3 2 2 2 3 2 2 4 4" xfId="20314"/>
    <cellStyle name="常规 3 2 2 2 3 2 2 5" xfId="6585"/>
    <cellStyle name="常规 3 2 2 2 3 2 2 5 2" xfId="26781"/>
    <cellStyle name="常规 3 2 2 2 3 2 2 6" xfId="26782"/>
    <cellStyle name="常规 3 2 2 2 3 2 2 7" xfId="26784"/>
    <cellStyle name="常规 3 2 2 2 3 2 2 8" xfId="26785"/>
    <cellStyle name="常规 3 2 2 2 3 2 3" xfId="17309"/>
    <cellStyle name="常规 3 2 2 2 3 2 3 2" xfId="26786"/>
    <cellStyle name="常规 3 2 2 2 3 2 3 2 2" xfId="26787"/>
    <cellStyle name="常规 3 2 2 2 3 2 3 2 2 2" xfId="26788"/>
    <cellStyle name="常规 3 2 2 2 3 2 3 2 3" xfId="26789"/>
    <cellStyle name="常规 3 2 2 2 3 2 3 2 4" xfId="26791"/>
    <cellStyle name="常规 3 2 2 2 3 2 3 3" xfId="26792"/>
    <cellStyle name="常规 3 2 2 2 3 2 3 3 2" xfId="26793"/>
    <cellStyle name="常规 3 2 2 2 3 2 3 4" xfId="26794"/>
    <cellStyle name="常规 3 2 2 2 3 2 3 5" xfId="7210"/>
    <cellStyle name="常规 3 2 2 2 3 2 3 6" xfId="26795"/>
    <cellStyle name="常规 3 2 2 2 3 2 4" xfId="26796"/>
    <cellStyle name="常规 3 2 2 2 3 2 4 2" xfId="19687"/>
    <cellStyle name="常规 3 2 2 2 3 2 4 2 2" xfId="26797"/>
    <cellStyle name="常规 3 2 2 2 3 2 4 3" xfId="20865"/>
    <cellStyle name="常规 3 2 2 2 3 2 4 4" xfId="26798"/>
    <cellStyle name="常规 3 2 2 2 3 2 5" xfId="26799"/>
    <cellStyle name="常规 3 2 2 2 3 2 5 2" xfId="16719"/>
    <cellStyle name="常规 3 2 2 2 3 2 5 2 2" xfId="26800"/>
    <cellStyle name="常规 3 2 2 2 3 2 5 3" xfId="16722"/>
    <cellStyle name="常规 3 2 2 2 3 2 5 4" xfId="21891"/>
    <cellStyle name="常规 3 2 2 2 3 2 6" xfId="26802"/>
    <cellStyle name="常规 3 2 2 2 3 2 6 2" xfId="16897"/>
    <cellStyle name="常规 3 2 2 2 3 2 7" xfId="26804"/>
    <cellStyle name="常规 3 2 2 2 3 2 7 2" xfId="16940"/>
    <cellStyle name="常规 3 2 2 2 3 2 8" xfId="26805"/>
    <cellStyle name="常规 3 2 2 2 3 2 9" xfId="26806"/>
    <cellStyle name="常规 3 2 2 2 3 3" xfId="26807"/>
    <cellStyle name="常规 3 2 2 2 3 3 2" xfId="26808"/>
    <cellStyle name="常规 3 2 2 2 3 3 2 2" xfId="26809"/>
    <cellStyle name="常规 3 2 2 2 3 3 2 2 2" xfId="20474"/>
    <cellStyle name="常规 3 2 2 2 3 3 2 2 2 2" xfId="20480"/>
    <cellStyle name="常规 3 2 2 2 3 3 2 2 3" xfId="20485"/>
    <cellStyle name="常规 3 2 2 2 3 3 2 2 4" xfId="20492"/>
    <cellStyle name="常规 3 2 2 2 3 3 2 3" xfId="26810"/>
    <cellStyle name="常规 3 2 2 2 3 3 2 3 2" xfId="20526"/>
    <cellStyle name="常规 3 2 2 2 3 3 2 4" xfId="26811"/>
    <cellStyle name="常规 3 2 2 2 3 3 2 5" xfId="6246"/>
    <cellStyle name="常规 3 2 2 2 3 3 3" xfId="26812"/>
    <cellStyle name="常规 3 2 2 2 3 3 3 2" xfId="26813"/>
    <cellStyle name="常规 3 2 2 2 3 3 3 2 2" xfId="26814"/>
    <cellStyle name="常规 3 2 2 2 3 3 3 3" xfId="26817"/>
    <cellStyle name="常规 3 2 2 2 3 3 3 4" xfId="26818"/>
    <cellStyle name="常规 3 2 2 2 3 3 4" xfId="26819"/>
    <cellStyle name="常规 3 2 2 2 3 3 4 2" xfId="20899"/>
    <cellStyle name="常规 3 2 2 2 3 3 4 2 2" xfId="15309"/>
    <cellStyle name="常规 3 2 2 2 3 3 4 3" xfId="20901"/>
    <cellStyle name="常规 3 2 2 2 3 3 4 4" xfId="20903"/>
    <cellStyle name="常规 3 2 2 2 3 3 5" xfId="26820"/>
    <cellStyle name="常规 3 2 2 2 3 3 5 2" xfId="17008"/>
    <cellStyle name="常规 3 2 2 2 3 3 6" xfId="26821"/>
    <cellStyle name="常规 3 2 2 2 3 3 7" xfId="26822"/>
    <cellStyle name="常规 3 2 2 2 3 3 8" xfId="26823"/>
    <cellStyle name="常规 3 2 2 2 3 4" xfId="22825"/>
    <cellStyle name="常规 3 2 2 2 3 4 2" xfId="22826"/>
    <cellStyle name="常规 3 2 2 2 3 4 2 2" xfId="26824"/>
    <cellStyle name="常规 3 2 2 2 3 4 2 2 2" xfId="26826"/>
    <cellStyle name="常规 3 2 2 2 3 4 2 3" xfId="26829"/>
    <cellStyle name="常规 3 2 2 2 3 4 2 4" xfId="26830"/>
    <cellStyle name="常规 3 2 2 2 3 4 3" xfId="1688"/>
    <cellStyle name="常规 3 2 2 2 3 4 3 2" xfId="26831"/>
    <cellStyle name="常规 3 2 2 2 3 4 4" xfId="26832"/>
    <cellStyle name="常规 3 2 2 2 3 4 5" xfId="26833"/>
    <cellStyle name="常规 3 2 2 2 3 4 6" xfId="26834"/>
    <cellStyle name="常规 3 2 2 2 3 5" xfId="22830"/>
    <cellStyle name="常规 3 2 2 2 3 5 2" xfId="26835"/>
    <cellStyle name="常规 3 2 2 2 3 5 2 2" xfId="26836"/>
    <cellStyle name="常规 3 2 2 2 3 5 3" xfId="26838"/>
    <cellStyle name="常规 3 2 2 2 3 5 4" xfId="26839"/>
    <cellStyle name="常规 3 2 2 2 3 6" xfId="22832"/>
    <cellStyle name="常规 3 2 2 2 3 6 2" xfId="26840"/>
    <cellStyle name="常规 3 2 2 2 3 6 2 2" xfId="26841"/>
    <cellStyle name="常规 3 2 2 2 3 6 3" xfId="26843"/>
    <cellStyle name="常规 3 2 2 2 3 6 4" xfId="26844"/>
    <cellStyle name="常规 3 2 2 2 3 7" xfId="1723"/>
    <cellStyle name="常规 3 2 2 2 3 7 2" xfId="1302"/>
    <cellStyle name="常规 3 2 2 2 3 8" xfId="340"/>
    <cellStyle name="常规 3 2 2 2 3 8 2" xfId="26845"/>
    <cellStyle name="常规 3 2 2 2 3 9" xfId="26846"/>
    <cellStyle name="常规 3 2 2 2 4" xfId="26847"/>
    <cellStyle name="常规 3 2 2 2 4 2" xfId="26848"/>
    <cellStyle name="常规 3 2 2 2 4 2 2" xfId="26850"/>
    <cellStyle name="常规 3 2 2 2 4 2 2 2" xfId="26851"/>
    <cellStyle name="常规 3 2 2 2 4 2 2 2 2" xfId="26852"/>
    <cellStyle name="常规 3 2 2 2 4 2 2 3" xfId="20552"/>
    <cellStyle name="常规 3 2 2 2 4 2 2 4" xfId="17699"/>
    <cellStyle name="常规 3 2 2 2 4 2 3" xfId="26853"/>
    <cellStyle name="常规 3 2 2 2 4 2 3 2" xfId="26854"/>
    <cellStyle name="常规 3 2 2 2 4 2 4" xfId="5435"/>
    <cellStyle name="常规 3 2 2 2 4 2 5" xfId="26855"/>
    <cellStyle name="常规 3 2 2 2 4 3" xfId="26856"/>
    <cellStyle name="常规 3 2 2 2 4 3 2" xfId="26857"/>
    <cellStyle name="常规 3 2 2 2 4 3 2 2" xfId="26858"/>
    <cellStyle name="常规 3 2 2 2 4 3 3" xfId="26859"/>
    <cellStyle name="常规 3 2 2 2 4 3 4" xfId="26860"/>
    <cellStyle name="常规 3 2 2 2 4 4" xfId="22836"/>
    <cellStyle name="常规 3 2 2 2 4 4 2" xfId="22838"/>
    <cellStyle name="常规 3 2 2 2 4 4 2 2" xfId="26861"/>
    <cellStyle name="常规 3 2 2 2 4 4 3" xfId="26863"/>
    <cellStyle name="常规 3 2 2 2 4 4 4" xfId="26864"/>
    <cellStyle name="常规 3 2 2 2 4 5" xfId="22840"/>
    <cellStyle name="常规 3 2 2 2 4 5 2" xfId="26865"/>
    <cellStyle name="常规 3 2 2 2 4 6" xfId="22842"/>
    <cellStyle name="常规 3 2 2 2 4 7" xfId="22777"/>
    <cellStyle name="常规 3 2 2 2 4 8" xfId="26866"/>
    <cellStyle name="常规 3 2 2 2 5" xfId="1959"/>
    <cellStyle name="常规 3 2 2 2 5 2" xfId="26867"/>
    <cellStyle name="常规 3 2 2 2 5 2 2" xfId="26868"/>
    <cellStyle name="常规 3 2 2 2 5 2 2 2" xfId="26870"/>
    <cellStyle name="常规 3 2 2 2 5 2 3" xfId="26871"/>
    <cellStyle name="常规 3 2 2 2 5 2 4" xfId="16729"/>
    <cellStyle name="常规 3 2 2 2 5 3" xfId="26873"/>
    <cellStyle name="常规 3 2 2 2 5 3 2" xfId="26874"/>
    <cellStyle name="常规 3 2 2 2 5 4" xfId="22845"/>
    <cellStyle name="常规 3 2 2 2 5 5" xfId="26875"/>
    <cellStyle name="常规 3 2 2 2 5 6" xfId="26876"/>
    <cellStyle name="常规 3 2 2 2 6" xfId="26879"/>
    <cellStyle name="常规 3 2 2 2 6 2" xfId="26880"/>
    <cellStyle name="常规 3 2 2 2 6 2 2" xfId="26881"/>
    <cellStyle name="常规 3 2 2 2 6 3" xfId="26882"/>
    <cellStyle name="常规 3 2 2 2 6 4" xfId="22848"/>
    <cellStyle name="常规 3 2 2 2 7" xfId="26884"/>
    <cellStyle name="常规 3 2 2 2 7 2" xfId="26885"/>
    <cellStyle name="常规 3 2 2 2 7 2 2" xfId="26887"/>
    <cellStyle name="常规 3 2 2 2 7 3" xfId="26888"/>
    <cellStyle name="常规 3 2 2 2 7 4" xfId="26890"/>
    <cellStyle name="常规 3 2 2 2 8" xfId="4428"/>
    <cellStyle name="常规 3 2 2 2 8 2" xfId="2546"/>
    <cellStyle name="常规 3 2 2 2 9" xfId="4434"/>
    <cellStyle name="常规 3 2 2 2 9 2" xfId="4438"/>
    <cellStyle name="常规 3 2 2 3" xfId="6537"/>
    <cellStyle name="常规 3 2 2 3 10" xfId="10097"/>
    <cellStyle name="常规 3 2 2 3 11" xfId="10100"/>
    <cellStyle name="常规 3 2 2 3 2" xfId="13666"/>
    <cellStyle name="常规 3 2 2 3 2 10" xfId="4009"/>
    <cellStyle name="常规 3 2 2 3 2 2" xfId="13669"/>
    <cellStyle name="常规 3 2 2 3 2 2 2" xfId="13672"/>
    <cellStyle name="常规 3 2 2 3 2 2 2 2" xfId="13674"/>
    <cellStyle name="常规 3 2 2 3 2 2 2 2 2" xfId="13677"/>
    <cellStyle name="常规 3 2 2 3 2 2 2 2 2 2" xfId="26891"/>
    <cellStyle name="常规 3 2 2 3 2 2 2 2 3" xfId="21042"/>
    <cellStyle name="常规 3 2 2 3 2 2 2 2 4" xfId="12723"/>
    <cellStyle name="常规 3 2 2 3 2 2 2 3" xfId="13679"/>
    <cellStyle name="常规 3 2 2 3 2 2 2 3 2" xfId="21077"/>
    <cellStyle name="常规 3 2 2 3 2 2 2 4" xfId="13683"/>
    <cellStyle name="常规 3 2 2 3 2 2 2 5" xfId="18123"/>
    <cellStyle name="常规 3 2 2 3 2 2 3" xfId="299"/>
    <cellStyle name="常规 3 2 2 3 2 2 3 2" xfId="689"/>
    <cellStyle name="常规 3 2 2 3 2 2 3 2 2" xfId="5540"/>
    <cellStyle name="常规 3 2 2 3 2 2 3 3" xfId="3325"/>
    <cellStyle name="常规 3 2 2 3 2 2 3 4" xfId="3335"/>
    <cellStyle name="常规 3 2 2 3 2 2 4" xfId="272"/>
    <cellStyle name="常规 3 2 2 3 2 2 4 2" xfId="5602"/>
    <cellStyle name="常规 3 2 2 3 2 2 4 2 2" xfId="5604"/>
    <cellStyle name="常规 3 2 2 3 2 2 4 3" xfId="3344"/>
    <cellStyle name="常规 3 2 2 3 2 2 4 4" xfId="5671"/>
    <cellStyle name="常规 3 2 2 3 2 2 5" xfId="770"/>
    <cellStyle name="常规 3 2 2 3 2 2 5 2" xfId="5705"/>
    <cellStyle name="常规 3 2 2 3 2 2 6" xfId="2651"/>
    <cellStyle name="常规 3 2 2 3 2 2 7" xfId="2662"/>
    <cellStyle name="常规 3 2 2 3 2 2 8" xfId="5769"/>
    <cellStyle name="常规 3 2 2 3 2 3" xfId="11603"/>
    <cellStyle name="常规 3 2 2 3 2 3 2" xfId="13686"/>
    <cellStyle name="常规 3 2 2 3 2 3 2 2" xfId="13688"/>
    <cellStyle name="常规 3 2 2 3 2 3 2 2 2" xfId="3921"/>
    <cellStyle name="常规 3 2 2 3 2 3 2 3" xfId="26892"/>
    <cellStyle name="常规 3 2 2 3 2 3 2 4" xfId="18137"/>
    <cellStyle name="常规 3 2 2 3 2 3 3" xfId="1350"/>
    <cellStyle name="常规 3 2 2 3 2 3 3 2" xfId="5791"/>
    <cellStyle name="常规 3 2 2 3 2 3 4" xfId="5818"/>
    <cellStyle name="常规 3 2 2 3 2 3 5" xfId="5829"/>
    <cellStyle name="常规 3 2 2 3 2 3 6" xfId="2674"/>
    <cellStyle name="常规 3 2 2 3 2 4" xfId="13693"/>
    <cellStyle name="常规 3 2 2 3 2 4 2" xfId="13696"/>
    <cellStyle name="常规 3 2 2 3 2 4 2 2" xfId="13700"/>
    <cellStyle name="常规 3 2 2 3 2 4 3" xfId="1362"/>
    <cellStyle name="常规 3 2 2 3 2 4 4" xfId="5920"/>
    <cellStyle name="常规 3 2 2 3 2 5" xfId="4898"/>
    <cellStyle name="常规 3 2 2 3 2 5 2" xfId="13703"/>
    <cellStyle name="常规 3 2 2 3 2 5 2 2" xfId="26893"/>
    <cellStyle name="常规 3 2 2 3 2 5 3" xfId="5990"/>
    <cellStyle name="常规 3 2 2 3 2 5 4" xfId="5997"/>
    <cellStyle name="常规 3 2 2 3 2 6" xfId="13709"/>
    <cellStyle name="常规 3 2 2 3 2 6 2" xfId="26894"/>
    <cellStyle name="常规 3 2 2 3 2 7" xfId="13714"/>
    <cellStyle name="常规 3 2 2 3 2 7 2" xfId="26898"/>
    <cellStyle name="常规 3 2 2 3 2 8" xfId="13716"/>
    <cellStyle name="常规 3 2 2 3 2 9" xfId="26900"/>
    <cellStyle name="常规 3 2 2 3 3" xfId="13719"/>
    <cellStyle name="常规 3 2 2 3 3 2" xfId="13722"/>
    <cellStyle name="常规 3 2 2 3 3 2 2" xfId="13724"/>
    <cellStyle name="常规 3 2 2 3 3 2 2 2" xfId="13726"/>
    <cellStyle name="常规 3 2 2 3 3 2 2 2 2" xfId="8183"/>
    <cellStyle name="常规 3 2 2 3 3 2 2 3" xfId="26901"/>
    <cellStyle name="常规 3 2 2 3 3 2 2 4" xfId="18182"/>
    <cellStyle name="常规 3 2 2 3 3 2 3" xfId="311"/>
    <cellStyle name="常规 3 2 2 3 3 2 3 2" xfId="26903"/>
    <cellStyle name="常规 3 2 2 3 3 2 4" xfId="266"/>
    <cellStyle name="常规 3 2 2 3 3 2 5" xfId="26904"/>
    <cellStyle name="常规 3 2 2 3 3 3" xfId="13728"/>
    <cellStyle name="常规 3 2 2 3 3 3 2" xfId="13730"/>
    <cellStyle name="常规 3 2 2 3 3 3 2 2" xfId="26905"/>
    <cellStyle name="常规 3 2 2 3 3 3 3" xfId="26906"/>
    <cellStyle name="常规 3 2 2 3 3 3 4" xfId="26907"/>
    <cellStyle name="常规 3 2 2 3 3 4" xfId="13733"/>
    <cellStyle name="常规 3 2 2 3 3 4 2" xfId="26908"/>
    <cellStyle name="常规 3 2 2 3 3 4 2 2" xfId="26911"/>
    <cellStyle name="常规 3 2 2 3 3 4 3" xfId="20366"/>
    <cellStyle name="常规 3 2 2 3 3 4 4" xfId="26913"/>
    <cellStyle name="常规 3 2 2 3 3 5" xfId="13735"/>
    <cellStyle name="常规 3 2 2 3 3 5 2" xfId="26914"/>
    <cellStyle name="常规 3 2 2 3 3 6" xfId="13737"/>
    <cellStyle name="常规 3 2 2 3 3 7" xfId="1853"/>
    <cellStyle name="常规 3 2 2 3 3 8" xfId="26916"/>
    <cellStyle name="常规 3 2 2 3 4" xfId="13740"/>
    <cellStyle name="常规 3 2 2 3 4 2" xfId="13742"/>
    <cellStyle name="常规 3 2 2 3 4 2 2" xfId="13749"/>
    <cellStyle name="常规 3 2 2 3 4 2 2 2" xfId="26917"/>
    <cellStyle name="常规 3 2 2 3 4 2 3" xfId="26918"/>
    <cellStyle name="常规 3 2 2 3 4 2 4" xfId="26919"/>
    <cellStyle name="常规 3 2 2 3 4 3" xfId="13751"/>
    <cellStyle name="常规 3 2 2 3 4 3 2" xfId="26920"/>
    <cellStyle name="常规 3 2 2 3 4 4" xfId="13753"/>
    <cellStyle name="常规 3 2 2 3 4 5" xfId="26921"/>
    <cellStyle name="常规 3 2 2 3 4 6" xfId="26922"/>
    <cellStyle name="常规 3 2 2 3 5" xfId="1968"/>
    <cellStyle name="常规 3 2 2 3 5 2" xfId="13755"/>
    <cellStyle name="常规 3 2 2 3 5 2 2" xfId="13757"/>
    <cellStyle name="常规 3 2 2 3 5 3" xfId="13760"/>
    <cellStyle name="常规 3 2 2 3 5 4" xfId="13762"/>
    <cellStyle name="常规 3 2 2 3 6" xfId="13764"/>
    <cellStyle name="常规 3 2 2 3 6 2" xfId="13766"/>
    <cellStyle name="常规 3 2 2 3 6 2 2" xfId="26923"/>
    <cellStyle name="常规 3 2 2 3 6 3" xfId="26924"/>
    <cellStyle name="常规 3 2 2 3 6 4" xfId="26926"/>
    <cellStyle name="常规 3 2 2 3 7" xfId="13768"/>
    <cellStyle name="常规 3 2 2 3 7 2" xfId="13770"/>
    <cellStyle name="常规 3 2 2 3 8" xfId="6369"/>
    <cellStyle name="常规 3 2 2 3 8 2" xfId="6373"/>
    <cellStyle name="常规 3 2 2 3 9" xfId="6383"/>
    <cellStyle name="常规 3 2 2 4" xfId="13774"/>
    <cellStyle name="常规 3 2 2 4 2" xfId="13782"/>
    <cellStyle name="常规 3 2 2 4 2 2" xfId="13786"/>
    <cellStyle name="常规 3 2 2 4 2 2 2" xfId="13788"/>
    <cellStyle name="常规 3 2 2 4 2 2 2 2" xfId="13790"/>
    <cellStyle name="常规 3 2 2 4 2 2 3" xfId="13812"/>
    <cellStyle name="常规 3 2 2 4 2 2 4" xfId="13814"/>
    <cellStyle name="常规 3 2 2 4 2 3" xfId="13827"/>
    <cellStyle name="常规 3 2 2 4 2 3 2" xfId="13829"/>
    <cellStyle name="常规 3 2 2 4 2 4" xfId="13841"/>
    <cellStyle name="常规 3 2 2 4 2 5" xfId="13849"/>
    <cellStyle name="常规 3 2 2 4 3" xfId="13859"/>
    <cellStyle name="常规 3 2 2 4 3 2" xfId="13862"/>
    <cellStyle name="常规 3 2 2 4 3 2 2" xfId="13865"/>
    <cellStyle name="常规 3 2 2 4 3 3" xfId="13872"/>
    <cellStyle name="常规 3 2 2 4 3 4" xfId="13878"/>
    <cellStyle name="常规 3 2 2 4 4" xfId="13888"/>
    <cellStyle name="常规 3 2 2 4 4 2" xfId="13891"/>
    <cellStyle name="常规 3 2 2 4 4 2 2" xfId="13894"/>
    <cellStyle name="常规 3 2 2 4 4 3" xfId="13899"/>
    <cellStyle name="常规 3 2 2 4 4 4" xfId="13902"/>
    <cellStyle name="常规 3 2 2 4 5" xfId="13905"/>
    <cellStyle name="常规 3 2 2 4 5 2" xfId="13908"/>
    <cellStyle name="常规 3 2 2 4 6" xfId="13914"/>
    <cellStyle name="常规 3 2 2 4 7" xfId="13920"/>
    <cellStyle name="常规 3 2 2 4 8" xfId="6394"/>
    <cellStyle name="常规 3 2 2 5" xfId="13925"/>
    <cellStyle name="常规 3 2 2 5 2" xfId="13929"/>
    <cellStyle name="常规 3 2 2 5 2 2" xfId="3793"/>
    <cellStyle name="常规 3 2 2 5 2 2 2" xfId="13931"/>
    <cellStyle name="常规 3 2 2 5 2 3" xfId="13936"/>
    <cellStyle name="常规 3 2 2 5 2 4" xfId="13941"/>
    <cellStyle name="常规 3 2 2 5 3" xfId="13946"/>
    <cellStyle name="常规 3 2 2 5 3 2" xfId="13949"/>
    <cellStyle name="常规 3 2 2 5 4" xfId="13956"/>
    <cellStyle name="常规 3 2 2 5 5" xfId="13964"/>
    <cellStyle name="常规 3 2 2 5 6" xfId="13969"/>
    <cellStyle name="常规 3 2 2 6" xfId="10466"/>
    <cellStyle name="常规 3 2 2 6 2" xfId="10471"/>
    <cellStyle name="常规 3 2 2 6 2 2" xfId="13972"/>
    <cellStyle name="常规 3 2 2 6 3" xfId="13978"/>
    <cellStyle name="常规 3 2 2 6 4" xfId="13981"/>
    <cellStyle name="常规 3 2 2 7" xfId="10475"/>
    <cellStyle name="常规 3 2 2 7 2" xfId="10478"/>
    <cellStyle name="常规 3 2 2 7 2 2" xfId="13985"/>
    <cellStyle name="常规 3 2 2 7 3" xfId="6780"/>
    <cellStyle name="常规 3 2 2 7 4" xfId="6784"/>
    <cellStyle name="常规 3 2 2 8" xfId="10482"/>
    <cellStyle name="常规 3 2 2 8 2" xfId="13988"/>
    <cellStyle name="常规 3 2 2 9" xfId="10486"/>
    <cellStyle name="常规 3 2 2 9 2" xfId="13998"/>
    <cellStyle name="常规 3 2 20" xfId="9007"/>
    <cellStyle name="常规 3 2 21" xfId="9028"/>
    <cellStyle name="常规 3 2 22" xfId="9035"/>
    <cellStyle name="常规 3 2 3" xfId="6540"/>
    <cellStyle name="常规 3 2 3 10" xfId="22136"/>
    <cellStyle name="常规 3 2 3 11" xfId="22140"/>
    <cellStyle name="常规 3 2 3 12" xfId="22143"/>
    <cellStyle name="常规 3 2 3 2" xfId="6543"/>
    <cellStyle name="常规 3 2 3 2 10" xfId="26801"/>
    <cellStyle name="常规 3 2 3 2 11" xfId="10953"/>
    <cellStyle name="常规 3 2 3 2 12" xfId="10956"/>
    <cellStyle name="常规 3 2 3 2 2" xfId="7373"/>
    <cellStyle name="常规 3 2 3 2 2 10" xfId="26927"/>
    <cellStyle name="常规 3 2 3 2 2 2" xfId="26928"/>
    <cellStyle name="常规 3 2 3 2 2 2 2" xfId="23518"/>
    <cellStyle name="常规 3 2 3 2 2 2 2 2" xfId="16203"/>
    <cellStyle name="常规 3 2 3 2 2 2 2 2 2" xfId="16206"/>
    <cellStyle name="常规 3 2 3 2 2 2 2 2 2 2" xfId="16208"/>
    <cellStyle name="常规 3 2 3 2 2 2 2 2 3" xfId="16211"/>
    <cellStyle name="常规 3 2 3 2 2 2 2 2 4" xfId="16215"/>
    <cellStyle name="常规 3 2 3 2 2 2 2 3" xfId="16218"/>
    <cellStyle name="常规 3 2 3 2 2 2 2 3 2" xfId="16222"/>
    <cellStyle name="常规 3 2 3 2 2 2 2 4" xfId="16230"/>
    <cellStyle name="常规 3 2 3 2 2 2 2 5" xfId="10833"/>
    <cellStyle name="常规 3 2 3 2 2 2 3" xfId="23521"/>
    <cellStyle name="常规 3 2 3 2 2 2 3 2" xfId="16254"/>
    <cellStyle name="常规 3 2 3 2 2 2 3 2 2" xfId="16257"/>
    <cellStyle name="常规 3 2 3 2 2 2 3 3" xfId="16259"/>
    <cellStyle name="常规 3 2 3 2 2 2 3 4" xfId="16264"/>
    <cellStyle name="常规 3 2 3 2 2 2 4" xfId="23475"/>
    <cellStyle name="常规 3 2 3 2 2 2 4 2" xfId="16279"/>
    <cellStyle name="常规 3 2 3 2 2 2 4 2 2" xfId="26929"/>
    <cellStyle name="常规 3 2 3 2 2 2 4 3" xfId="16282"/>
    <cellStyle name="常规 3 2 3 2 2 2 4 4" xfId="17025"/>
    <cellStyle name="常规 3 2 3 2 2 2 5" xfId="20145"/>
    <cellStyle name="常规 3 2 3 2 2 2 5 2" xfId="16293"/>
    <cellStyle name="常规 3 2 3 2 2 2 6" xfId="20149"/>
    <cellStyle name="常规 3 2 3 2 2 2 7" xfId="20152"/>
    <cellStyle name="常规 3 2 3 2 2 2 8" xfId="26930"/>
    <cellStyle name="常规 3 2 3 2 2 3" xfId="21882"/>
    <cellStyle name="常规 3 2 3 2 2 3 2" xfId="23540"/>
    <cellStyle name="常规 3 2 3 2 2 3 2 2" xfId="16453"/>
    <cellStyle name="常规 3 2 3 2 2 3 2 2 2" xfId="16455"/>
    <cellStyle name="常规 3 2 3 2 2 3 2 3" xfId="16458"/>
    <cellStyle name="常规 3 2 3 2 2 3 2 4" xfId="16463"/>
    <cellStyle name="常规 3 2 3 2 2 3 3" xfId="23542"/>
    <cellStyle name="常规 3 2 3 2 2 3 3 2" xfId="16471"/>
    <cellStyle name="常规 3 2 3 2 2 3 4" xfId="23478"/>
    <cellStyle name="常规 3 2 3 2 2 3 5" xfId="20155"/>
    <cellStyle name="常规 3 2 3 2 2 3 6" xfId="23480"/>
    <cellStyle name="常规 3 2 3 2 2 4" xfId="9912"/>
    <cellStyle name="常规 3 2 3 2 2 4 2" xfId="22980"/>
    <cellStyle name="常规 3 2 3 2 2 4 2 2" xfId="16555"/>
    <cellStyle name="常规 3 2 3 2 2 4 3" xfId="26931"/>
    <cellStyle name="常规 3 2 3 2 2 4 4" xfId="8038"/>
    <cellStyle name="常规 3 2 3 2 2 5" xfId="22984"/>
    <cellStyle name="常规 3 2 3 2 2 5 2" xfId="26933"/>
    <cellStyle name="常规 3 2 3 2 2 5 2 2" xfId="26935"/>
    <cellStyle name="常规 3 2 3 2 2 5 3" xfId="26937"/>
    <cellStyle name="常规 3 2 3 2 2 5 4" xfId="23482"/>
    <cellStyle name="常规 3 2 3 2 2 6" xfId="22986"/>
    <cellStyle name="常规 3 2 3 2 2 6 2" xfId="26938"/>
    <cellStyle name="常规 3 2 3 2 2 7" xfId="22791"/>
    <cellStyle name="常规 3 2 3 2 2 7 2" xfId="26940"/>
    <cellStyle name="常规 3 2 3 2 2 8" xfId="26942"/>
    <cellStyle name="常规 3 2 3 2 2 9" xfId="17471"/>
    <cellStyle name="常规 3 2 3 2 3" xfId="26943"/>
    <cellStyle name="常规 3 2 3 2 3 10" xfId="24763"/>
    <cellStyle name="常规 3 2 3 2 3 11" xfId="1830"/>
    <cellStyle name="常规 3 2 3 2 3 2" xfId="26944"/>
    <cellStyle name="常规 3 2 3 2 3 2 10" xfId="6048"/>
    <cellStyle name="常规 3 2 3 2 3 2 2" xfId="23622"/>
    <cellStyle name="常规 3 2 3 2 3 2 2 2" xfId="2505"/>
    <cellStyle name="常规 3 2 3 2 3 2 2 2 2" xfId="6182"/>
    <cellStyle name="常规 3 2 3 2 3 2 2 2 2 2" xfId="6187"/>
    <cellStyle name="常规 3 2 3 2 3 2 2 2 2 2 2" xfId="26945"/>
    <cellStyle name="常规 3 2 3 2 3 2 2 2 2 3" xfId="26946"/>
    <cellStyle name="常规 3 2 3 2 3 2 2 2 2 4" xfId="26947"/>
    <cellStyle name="常规 3 2 3 2 3 2 2 2 3" xfId="6190"/>
    <cellStyle name="常规 3 2 3 2 3 2 2 2 3 2" xfId="26948"/>
    <cellStyle name="常规 3 2 3 2 3 2 2 2 4" xfId="26949"/>
    <cellStyle name="常规 3 2 3 2 3 2 2 2 5" xfId="26950"/>
    <cellStyle name="常规 3 2 3 2 3 2 2 3" xfId="6194"/>
    <cellStyle name="常规 3 2 3 2 3 2 2 3 2" xfId="6200"/>
    <cellStyle name="常规 3 2 3 2 3 2 2 3 2 2" xfId="26951"/>
    <cellStyle name="常规 3 2 3 2 3 2 2 3 3" xfId="26952"/>
    <cellStyle name="常规 3 2 3 2 3 2 2 3 4" xfId="6263"/>
    <cellStyle name="常规 3 2 3 2 3 2 2 4" xfId="6204"/>
    <cellStyle name="常规 3 2 3 2 3 2 2 4 2" xfId="6207"/>
    <cellStyle name="常规 3 2 3 2 3 2 2 4 2 2" xfId="26953"/>
    <cellStyle name="常规 3 2 3 2 3 2 2 4 3" xfId="26954"/>
    <cellStyle name="常规 3 2 3 2 3 2 2 4 4" xfId="6038"/>
    <cellStyle name="常规 3 2 3 2 3 2 2 5" xfId="26956"/>
    <cellStyle name="常规 3 2 3 2 3 2 2 5 2" xfId="26958"/>
    <cellStyle name="常规 3 2 3 2 3 2 2 6" xfId="8211"/>
    <cellStyle name="常规 3 2 3 2 3 2 2 7" xfId="26959"/>
    <cellStyle name="常规 3 2 3 2 3 2 2 8" xfId="26960"/>
    <cellStyle name="常规 3 2 3 2 3 2 3" xfId="23624"/>
    <cellStyle name="常规 3 2 3 2 3 2 3 2" xfId="2528"/>
    <cellStyle name="常规 3 2 3 2 3 2 3 2 2" xfId="4192"/>
    <cellStyle name="常规 3 2 3 2 3 2 3 2 2 2" xfId="26961"/>
    <cellStyle name="常规 3 2 3 2 3 2 3 2 3" xfId="26962"/>
    <cellStyle name="常规 3 2 3 2 3 2 3 2 4" xfId="5797"/>
    <cellStyle name="常规 3 2 3 2 3 2 3 3" xfId="26964"/>
    <cellStyle name="常规 3 2 3 2 3 2 3 3 2" xfId="26966"/>
    <cellStyle name="常规 3 2 3 2 3 2 3 4" xfId="26967"/>
    <cellStyle name="常规 3 2 3 2 3 2 3 5" xfId="26968"/>
    <cellStyle name="常规 3 2 3 2 3 2 3 6" xfId="26969"/>
    <cellStyle name="常规 3 2 3 2 3 2 4" xfId="23511"/>
    <cellStyle name="常规 3 2 3 2 3 2 4 2" xfId="5205"/>
    <cellStyle name="常规 3 2 3 2 3 2 4 2 2" xfId="91"/>
    <cellStyle name="常规 3 2 3 2 3 2 4 3" xfId="5223"/>
    <cellStyle name="常规 3 2 3 2 3 2 4 4" xfId="26970"/>
    <cellStyle name="常规 3 2 3 2 3 2 5" xfId="20160"/>
    <cellStyle name="常规 3 2 3 2 3 2 5 2" xfId="464"/>
    <cellStyle name="常规 3 2 3 2 3 2 5 2 2" xfId="26971"/>
    <cellStyle name="常规 3 2 3 2 3 2 5 3" xfId="26973"/>
    <cellStyle name="常规 3 2 3 2 3 2 5 4" xfId="22122"/>
    <cellStyle name="常规 3 2 3 2 3 2 6" xfId="23513"/>
    <cellStyle name="常规 3 2 3 2 3 2 6 2" xfId="26974"/>
    <cellStyle name="常规 3 2 3 2 3 2 7" xfId="22342"/>
    <cellStyle name="常规 3 2 3 2 3 2 7 2" xfId="22344"/>
    <cellStyle name="常规 3 2 3 2 3 2 8" xfId="22360"/>
    <cellStyle name="常规 3 2 3 2 3 2 9" xfId="22368"/>
    <cellStyle name="常规 3 2 3 2 3 3" xfId="26976"/>
    <cellStyle name="常规 3 2 3 2 3 3 2" xfId="23633"/>
    <cellStyle name="常规 3 2 3 2 3 3 2 2" xfId="26978"/>
    <cellStyle name="常规 3 2 3 2 3 3 2 2 2" xfId="21802"/>
    <cellStyle name="常规 3 2 3 2 3 3 2 2 2 2" xfId="26982"/>
    <cellStyle name="常规 3 2 3 2 3 3 2 2 3" xfId="26985"/>
    <cellStyle name="常规 3 2 3 2 3 3 2 2 4" xfId="26989"/>
    <cellStyle name="常规 3 2 3 2 3 3 2 3" xfId="26992"/>
    <cellStyle name="常规 3 2 3 2 3 3 2 3 2" xfId="26996"/>
    <cellStyle name="常规 3 2 3 2 3 3 2 4" xfId="26998"/>
    <cellStyle name="常规 3 2 3 2 3 3 2 5" xfId="26999"/>
    <cellStyle name="常规 3 2 3 2 3 3 3" xfId="9113"/>
    <cellStyle name="常规 3 2 3 2 3 3 3 2" xfId="27000"/>
    <cellStyle name="常规 3 2 3 2 3 3 3 2 2" xfId="27001"/>
    <cellStyle name="常规 3 2 3 2 3 3 3 3" xfId="27003"/>
    <cellStyle name="常规 3 2 3 2 3 3 3 4" xfId="27004"/>
    <cellStyle name="常规 3 2 3 2 3 3 4" xfId="23516"/>
    <cellStyle name="常规 3 2 3 2 3 3 4 2" xfId="27005"/>
    <cellStyle name="常规 3 2 3 2 3 3 4 2 2" xfId="4546"/>
    <cellStyle name="常规 3 2 3 2 3 3 4 3" xfId="6230"/>
    <cellStyle name="常规 3 2 3 2 3 3 4 4" xfId="6633"/>
    <cellStyle name="常规 3 2 3 2 3 3 5" xfId="27007"/>
    <cellStyle name="常规 3 2 3 2 3 3 5 2" xfId="27008"/>
    <cellStyle name="常规 3 2 3 2 3 3 6" xfId="27009"/>
    <cellStyle name="常规 3 2 3 2 3 3 7" xfId="22379"/>
    <cellStyle name="常规 3 2 3 2 3 3 8" xfId="22386"/>
    <cellStyle name="常规 3 2 3 2 3 4" xfId="22989"/>
    <cellStyle name="常规 3 2 3 2 3 4 2" xfId="14580"/>
    <cellStyle name="常规 3 2 3 2 3 4 2 2" xfId="14582"/>
    <cellStyle name="常规 3 2 3 2 3 4 2 2 2" xfId="14587"/>
    <cellStyle name="常规 3 2 3 2 3 4 2 3" xfId="14589"/>
    <cellStyle name="常规 3 2 3 2 3 4 2 4" xfId="14593"/>
    <cellStyle name="常规 3 2 3 2 3 4 3" xfId="9117"/>
    <cellStyle name="常规 3 2 3 2 3 4 3 2" xfId="14594"/>
    <cellStyle name="常规 3 2 3 2 3 4 4" xfId="14598"/>
    <cellStyle name="常规 3 2 3 2 3 4 5" xfId="14601"/>
    <cellStyle name="常规 3 2 3 2 3 4 6" xfId="14603"/>
    <cellStyle name="常规 3 2 3 2 3 5" xfId="17217"/>
    <cellStyle name="常规 3 2 3 2 3 5 2" xfId="14618"/>
    <cellStyle name="常规 3 2 3 2 3 5 2 2" xfId="17221"/>
    <cellStyle name="常规 3 2 3 2 3 5 3" xfId="14621"/>
    <cellStyle name="常规 3 2 3 2 3 5 4" xfId="14624"/>
    <cellStyle name="常规 3 2 3 2 3 6" xfId="17490"/>
    <cellStyle name="常规 3 2 3 2 3 6 2" xfId="14632"/>
    <cellStyle name="常规 3 2 3 2 3 6 2 2" xfId="12741"/>
    <cellStyle name="常规 3 2 3 2 3 6 3" xfId="17552"/>
    <cellStyle name="常规 3 2 3 2 3 6 4" xfId="17586"/>
    <cellStyle name="常规 3 2 3 2 3 7" xfId="17632"/>
    <cellStyle name="常规 3 2 3 2 3 7 2" xfId="14640"/>
    <cellStyle name="常规 3 2 3 2 3 8" xfId="17659"/>
    <cellStyle name="常规 3 2 3 2 3 8 2" xfId="17661"/>
    <cellStyle name="常规 3 2 3 2 3 9" xfId="17718"/>
    <cellStyle name="常规 3 2 3 2 4" xfId="18540"/>
    <cellStyle name="常规 3 2 3 2 4 2" xfId="27010"/>
    <cellStyle name="常规 3 2 3 2 4 2 2" xfId="23676"/>
    <cellStyle name="常规 3 2 3 2 4 2 2 2" xfId="6577"/>
    <cellStyle name="常规 3 2 3 2 4 2 2 2 2" xfId="6581"/>
    <cellStyle name="常规 3 2 3 2 4 2 2 3" xfId="6587"/>
    <cellStyle name="常规 3 2 3 2 4 2 2 4" xfId="3862"/>
    <cellStyle name="常规 3 2 3 2 4 2 3" xfId="27011"/>
    <cellStyle name="常规 3 2 3 2 4 2 3 2" xfId="6624"/>
    <cellStyle name="常规 3 2 3 2 4 2 4" xfId="16017"/>
    <cellStyle name="常规 3 2 3 2 4 2 5" xfId="16021"/>
    <cellStyle name="常规 3 2 3 2 4 3" xfId="27012"/>
    <cellStyle name="常规 3 2 3 2 4 3 2" xfId="27013"/>
    <cellStyle name="常规 3 2 3 2 4 3 2 2" xfId="27014"/>
    <cellStyle name="常规 3 2 3 2 4 3 3" xfId="27015"/>
    <cellStyle name="常规 3 2 3 2 4 3 4" xfId="16030"/>
    <cellStyle name="常规 3 2 3 2 4 4" xfId="12725"/>
    <cellStyle name="常规 3 2 3 2 4 4 2" xfId="12729"/>
    <cellStyle name="常规 3 2 3 2 4 4 2 2" xfId="14711"/>
    <cellStyle name="常规 3 2 3 2 4 4 3" xfId="14720"/>
    <cellStyle name="常规 3 2 3 2 4 4 4" xfId="14726"/>
    <cellStyle name="常规 3 2 3 2 4 5" xfId="12732"/>
    <cellStyle name="常规 3 2 3 2 4 5 2" xfId="14760"/>
    <cellStyle name="常规 3 2 3 2 4 6" xfId="18033"/>
    <cellStyle name="常规 3 2 3 2 4 7" xfId="18153"/>
    <cellStyle name="常规 3 2 3 2 4 8" xfId="18195"/>
    <cellStyle name="常规 3 2 3 2 5" xfId="18542"/>
    <cellStyle name="常规 3 2 3 2 5 2" xfId="27016"/>
    <cellStyle name="常规 3 2 3 2 5 2 2" xfId="27017"/>
    <cellStyle name="常规 3 2 3 2 5 2 2 2" xfId="3046"/>
    <cellStyle name="常规 3 2 3 2 5 2 3" xfId="27018"/>
    <cellStyle name="常规 3 2 3 2 5 2 4" xfId="16158"/>
    <cellStyle name="常规 3 2 3 2 5 3" xfId="27019"/>
    <cellStyle name="常规 3 2 3 2 5 3 2" xfId="27020"/>
    <cellStyle name="常规 3 2 3 2 5 4" xfId="12736"/>
    <cellStyle name="常规 3 2 3 2 5 5" xfId="18277"/>
    <cellStyle name="常规 3 2 3 2 5 6" xfId="18537"/>
    <cellStyle name="常规 3 2 3 2 6" xfId="27021"/>
    <cellStyle name="常规 3 2 3 2 6 2" xfId="27022"/>
    <cellStyle name="常规 3 2 3 2 6 2 2" xfId="27023"/>
    <cellStyle name="常规 3 2 3 2 6 3" xfId="27024"/>
    <cellStyle name="常规 3 2 3 2 6 4" xfId="27025"/>
    <cellStyle name="常规 3 2 3 2 7" xfId="27026"/>
    <cellStyle name="常规 3 2 3 2 7 2" xfId="27027"/>
    <cellStyle name="常规 3 2 3 2 7 2 2" xfId="27028"/>
    <cellStyle name="常规 3 2 3 2 7 3" xfId="27029"/>
    <cellStyle name="常规 3 2 3 2 7 4" xfId="2179"/>
    <cellStyle name="常规 3 2 3 2 8" xfId="23581"/>
    <cellStyle name="常规 3 2 3 2 8 2" xfId="27030"/>
    <cellStyle name="常规 3 2 3 2 9" xfId="27032"/>
    <cellStyle name="常规 3 2 3 2 9 2" xfId="27034"/>
    <cellStyle name="常规 3 2 3 3" xfId="5091"/>
    <cellStyle name="常规 3 2 3 3 10" xfId="1704"/>
    <cellStyle name="常规 3 2 3 3 11" xfId="1714"/>
    <cellStyle name="常规 3 2 3 3 2" xfId="14008"/>
    <cellStyle name="常规 3 2 3 3 2 10" xfId="27035"/>
    <cellStyle name="常规 3 2 3 3 2 2" xfId="14011"/>
    <cellStyle name="常规 3 2 3 3 2 2 2" xfId="14014"/>
    <cellStyle name="常规 3 2 3 3 2 2 2 2" xfId="14017"/>
    <cellStyle name="常规 3 2 3 3 2 2 2 2 2" xfId="14021"/>
    <cellStyle name="常规 3 2 3 3 2 2 2 2 2 2" xfId="17297"/>
    <cellStyle name="常规 3 2 3 3 2 2 2 2 3" xfId="4943"/>
    <cellStyle name="常规 3 2 3 3 2 2 2 2 4" xfId="17305"/>
    <cellStyle name="常规 3 2 3 3 2 2 2 3" xfId="14025"/>
    <cellStyle name="常规 3 2 3 3 2 2 2 3 2" xfId="17320"/>
    <cellStyle name="常规 3 2 3 3 2 2 2 4" xfId="14031"/>
    <cellStyle name="常规 3 2 3 3 2 2 2 5" xfId="22891"/>
    <cellStyle name="常规 3 2 3 3 2 2 3" xfId="14035"/>
    <cellStyle name="常规 3 2 3 3 2 2 3 2" xfId="1019"/>
    <cellStyle name="常规 3 2 3 3 2 2 3 2 2" xfId="931"/>
    <cellStyle name="常规 3 2 3 3 2 2 3 3" xfId="26440"/>
    <cellStyle name="常规 3 2 3 3 2 2 3 4" xfId="19953"/>
    <cellStyle name="常规 3 2 3 3 2 2 4" xfId="14039"/>
    <cellStyle name="常规 3 2 3 3 2 2 4 2" xfId="1051"/>
    <cellStyle name="常规 3 2 3 3 2 2 4 2 2" xfId="17365"/>
    <cellStyle name="常规 3 2 3 3 2 2 4 3" xfId="26444"/>
    <cellStyle name="常规 3 2 3 3 2 2 4 4" xfId="27037"/>
    <cellStyle name="常规 3 2 3 3 2 2 5" xfId="14044"/>
    <cellStyle name="常规 3 2 3 3 2 2 5 2" xfId="27038"/>
    <cellStyle name="常规 3 2 3 3 2 2 6" xfId="1300"/>
    <cellStyle name="常规 3 2 3 3 2 2 7" xfId="11616"/>
    <cellStyle name="常规 3 2 3 3 2 2 8" xfId="27039"/>
    <cellStyle name="常规 3 2 3 3 2 3" xfId="14046"/>
    <cellStyle name="常规 3 2 3 3 2 3 2" xfId="14050"/>
    <cellStyle name="常规 3 2 3 3 2 3 2 2" xfId="14052"/>
    <cellStyle name="常规 3 2 3 3 2 3 2 2 2" xfId="17396"/>
    <cellStyle name="常规 3 2 3 3 2 3 2 3" xfId="27040"/>
    <cellStyle name="常规 3 2 3 3 2 3 2 4" xfId="27041"/>
    <cellStyle name="常规 3 2 3 3 2 3 3" xfId="2022"/>
    <cellStyle name="常规 3 2 3 3 2 3 3 2" xfId="2030"/>
    <cellStyle name="常规 3 2 3 3 2 3 4" xfId="2038"/>
    <cellStyle name="常规 3 2 3 3 2 3 5" xfId="27042"/>
    <cellStyle name="常规 3 2 3 3 2 3 6" xfId="1730"/>
    <cellStyle name="常规 3 2 3 3 2 4" xfId="14055"/>
    <cellStyle name="常规 3 2 3 3 2 4 2" xfId="14059"/>
    <cellStyle name="常规 3 2 3 3 2 4 2 2" xfId="14062"/>
    <cellStyle name="常规 3 2 3 3 2 4 3" xfId="2049"/>
    <cellStyle name="常规 3 2 3 3 2 4 4" xfId="14065"/>
    <cellStyle name="常规 3 2 3 3 2 5" xfId="14069"/>
    <cellStyle name="常规 3 2 3 3 2 5 2" xfId="14071"/>
    <cellStyle name="常规 3 2 3 3 2 5 2 2" xfId="27043"/>
    <cellStyle name="常规 3 2 3 3 2 5 3" xfId="20412"/>
    <cellStyle name="常规 3 2 3 3 2 5 4" xfId="20415"/>
    <cellStyle name="常规 3 2 3 3 2 6" xfId="14074"/>
    <cellStyle name="常规 3 2 3 3 2 6 2" xfId="27045"/>
    <cellStyle name="常规 3 2 3 3 2 7" xfId="14077"/>
    <cellStyle name="常规 3 2 3 3 2 7 2" xfId="27046"/>
    <cellStyle name="常规 3 2 3 3 2 8" xfId="13793"/>
    <cellStyle name="常规 3 2 3 3 2 9" xfId="13798"/>
    <cellStyle name="常规 3 2 3 3 3" xfId="14081"/>
    <cellStyle name="常规 3 2 3 3 3 2" xfId="14083"/>
    <cellStyle name="常规 3 2 3 3 3 2 2" xfId="14086"/>
    <cellStyle name="常规 3 2 3 3 3 2 2 2" xfId="14088"/>
    <cellStyle name="常规 3 2 3 3 3 2 2 2 2" xfId="17557"/>
    <cellStyle name="常规 3 2 3 3 3 2 2 3" xfId="27047"/>
    <cellStyle name="常规 3 2 3 3 3 2 2 4" xfId="27049"/>
    <cellStyle name="常规 3 2 3 3 3 2 3" xfId="14092"/>
    <cellStyle name="常规 3 2 3 3 3 2 3 2" xfId="21521"/>
    <cellStyle name="常规 3 2 3 3 3 2 4" xfId="14096"/>
    <cellStyle name="常规 3 2 3 3 3 2 5" xfId="21529"/>
    <cellStyle name="常规 3 2 3 3 3 3" xfId="14098"/>
    <cellStyle name="常规 3 2 3 3 3 3 2" xfId="14102"/>
    <cellStyle name="常规 3 2 3 3 3 3 2 2" xfId="27050"/>
    <cellStyle name="常规 3 2 3 3 3 3 3" xfId="2068"/>
    <cellStyle name="常规 3 2 3 3 3 3 4" xfId="21533"/>
    <cellStyle name="常规 3 2 3 3 3 4" xfId="14104"/>
    <cellStyle name="常规 3 2 3 3 3 4 2" xfId="14909"/>
    <cellStyle name="常规 3 2 3 3 3 4 2 2" xfId="27051"/>
    <cellStyle name="常规 3 2 3 3 3 4 3" xfId="14913"/>
    <cellStyle name="常规 3 2 3 3 3 4 4" xfId="20432"/>
    <cellStyle name="常规 3 2 3 3 3 5" xfId="2195"/>
    <cellStyle name="常规 3 2 3 3 3 5 2" xfId="7317"/>
    <cellStyle name="常规 3 2 3 3 3 6" xfId="3215"/>
    <cellStyle name="常规 3 2 3 3 3 7" xfId="20921"/>
    <cellStyle name="常规 3 2 3 3 3 8" xfId="13805"/>
    <cellStyle name="常规 3 2 3 3 4" xfId="14107"/>
    <cellStyle name="常规 3 2 3 3 4 2" xfId="14109"/>
    <cellStyle name="常规 3 2 3 3 4 2 2" xfId="14111"/>
    <cellStyle name="常规 3 2 3 3 4 2 2 2" xfId="27052"/>
    <cellStyle name="常规 3 2 3 3 4 2 3" xfId="21538"/>
    <cellStyle name="常规 3 2 3 3 4 2 4" xfId="16385"/>
    <cellStyle name="常规 3 2 3 3 4 3" xfId="14113"/>
    <cellStyle name="常规 3 2 3 3 4 3 2" xfId="27053"/>
    <cellStyle name="常规 3 2 3 3 4 4" xfId="12749"/>
    <cellStyle name="常规 3 2 3 3 4 5" xfId="7321"/>
    <cellStyle name="常规 3 2 3 3 4 6" xfId="17504"/>
    <cellStyle name="常规 3 2 3 3 5" xfId="14115"/>
    <cellStyle name="常规 3 2 3 3 5 2" xfId="14117"/>
    <cellStyle name="常规 3 2 3 3 5 2 2" xfId="14119"/>
    <cellStyle name="常规 3 2 3 3 5 3" xfId="14121"/>
    <cellStyle name="常规 3 2 3 3 5 4" xfId="14124"/>
    <cellStyle name="常规 3 2 3 3 6" xfId="14126"/>
    <cellStyle name="常规 3 2 3 3 6 2" xfId="14128"/>
    <cellStyle name="常规 3 2 3 3 6 2 2" xfId="14546"/>
    <cellStyle name="常规 3 2 3 3 6 3" xfId="27054"/>
    <cellStyle name="常规 3 2 3 3 6 4" xfId="17515"/>
    <cellStyle name="常规 3 2 3 3 7" xfId="14130"/>
    <cellStyle name="常规 3 2 3 3 7 2" xfId="14132"/>
    <cellStyle name="常规 3 2 3 3 8" xfId="14134"/>
    <cellStyle name="常规 3 2 3 3 8 2" xfId="24717"/>
    <cellStyle name="常规 3 2 3 3 9" xfId="14137"/>
    <cellStyle name="常规 3 2 3 4" xfId="14140"/>
    <cellStyle name="常规 3 2 3 4 2" xfId="14143"/>
    <cellStyle name="常规 3 2 3 4 2 2" xfId="14146"/>
    <cellStyle name="常规 3 2 3 4 2 2 2" xfId="14149"/>
    <cellStyle name="常规 3 2 3 4 2 2 2 2" xfId="14154"/>
    <cellStyle name="常规 3 2 3 4 2 2 3" xfId="14158"/>
    <cellStyle name="常规 3 2 3 4 2 2 4" xfId="14161"/>
    <cellStyle name="常规 3 2 3 4 2 3" xfId="14163"/>
    <cellStyle name="常规 3 2 3 4 2 3 2" xfId="14166"/>
    <cellStyle name="常规 3 2 3 4 2 4" xfId="14168"/>
    <cellStyle name="常规 3 2 3 4 2 5" xfId="14170"/>
    <cellStyle name="常规 3 2 3 4 3" xfId="14174"/>
    <cellStyle name="常规 3 2 3 4 3 2" xfId="14178"/>
    <cellStyle name="常规 3 2 3 4 3 2 2" xfId="14181"/>
    <cellStyle name="常规 3 2 3 4 3 3" xfId="14183"/>
    <cellStyle name="常规 3 2 3 4 3 4" xfId="14185"/>
    <cellStyle name="常规 3 2 3 4 4" xfId="14187"/>
    <cellStyle name="常规 3 2 3 4 4 2" xfId="14189"/>
    <cellStyle name="常规 3 2 3 4 4 2 2" xfId="14191"/>
    <cellStyle name="常规 3 2 3 4 4 3" xfId="14193"/>
    <cellStyle name="常规 3 2 3 4 4 4" xfId="12762"/>
    <cellStyle name="常规 3 2 3 4 5" xfId="14195"/>
    <cellStyle name="常规 3 2 3 4 5 2" xfId="14197"/>
    <cellStyle name="常规 3 2 3 4 6" xfId="4507"/>
    <cellStyle name="常规 3 2 3 4 7" xfId="14199"/>
    <cellStyle name="常规 3 2 3 4 8" xfId="14201"/>
    <cellStyle name="常规 3 2 3 5" xfId="14205"/>
    <cellStyle name="常规 3 2 3 5 2" xfId="14207"/>
    <cellStyle name="常规 3 2 3 5 2 2" xfId="14210"/>
    <cellStyle name="常规 3 2 3 5 2 2 2" xfId="4305"/>
    <cellStyle name="常规 3 2 3 5 2 3" xfId="14213"/>
    <cellStyle name="常规 3 2 3 5 2 4" xfId="14216"/>
    <cellStyle name="常规 3 2 3 5 3" xfId="14218"/>
    <cellStyle name="常规 3 2 3 5 3 2" xfId="14222"/>
    <cellStyle name="常规 3 2 3 5 4" xfId="14224"/>
    <cellStyle name="常规 3 2 3 5 5" xfId="14227"/>
    <cellStyle name="常规 3 2 3 5 6" xfId="14231"/>
    <cellStyle name="常规 3 2 3 6" xfId="10491"/>
    <cellStyle name="常规 3 2 3 6 2" xfId="14233"/>
    <cellStyle name="常规 3 2 3 6 2 2" xfId="14236"/>
    <cellStyle name="常规 3 2 3 6 3" xfId="14238"/>
    <cellStyle name="常规 3 2 3 6 4" xfId="14241"/>
    <cellStyle name="常规 3 2 3 7" xfId="14245"/>
    <cellStyle name="常规 3 2 3 7 2" xfId="14247"/>
    <cellStyle name="常规 3 2 3 7 2 2" xfId="14250"/>
    <cellStyle name="常规 3 2 3 7 3" xfId="14252"/>
    <cellStyle name="常规 3 2 3 7 4" xfId="14254"/>
    <cellStyle name="常规 3 2 3 8" xfId="3423"/>
    <cellStyle name="常规 3 2 3 8 2" xfId="1514"/>
    <cellStyle name="常规 3 2 3 9" xfId="3517"/>
    <cellStyle name="常规 3 2 3 9 2" xfId="1076"/>
    <cellStyle name="常规 3 2 4" xfId="6546"/>
    <cellStyle name="常规 3 2 4 10" xfId="26012"/>
    <cellStyle name="常规 3 2 4 11" xfId="26014"/>
    <cellStyle name="常规 3 2 4 12" xfId="27055"/>
    <cellStyle name="常规 3 2 4 2" xfId="6549"/>
    <cellStyle name="常规 3 2 4 2 10" xfId="27056"/>
    <cellStyle name="常规 3 2 4 2 11" xfId="27057"/>
    <cellStyle name="常规 3 2 4 2 12" xfId="27059"/>
    <cellStyle name="常规 3 2 4 2 2" xfId="27061"/>
    <cellStyle name="常规 3 2 4 2 2 10" xfId="27062"/>
    <cellStyle name="常规 3 2 4 2 2 2" xfId="27063"/>
    <cellStyle name="常规 3 2 4 2 2 2 2" xfId="27064"/>
    <cellStyle name="常规 3 2 4 2 2 2 2 2" xfId="27066"/>
    <cellStyle name="常规 3 2 4 2 2 2 2 2 2" xfId="27069"/>
    <cellStyle name="常规 3 2 4 2 2 2 2 2 2 2" xfId="7838"/>
    <cellStyle name="常规 3 2 4 2 2 2 2 2 3" xfId="27072"/>
    <cellStyle name="常规 3 2 4 2 2 2 2 2 4" xfId="27074"/>
    <cellStyle name="常规 3 2 4 2 2 2 2 3" xfId="27076"/>
    <cellStyle name="常规 3 2 4 2 2 2 2 3 2" xfId="27078"/>
    <cellStyle name="常规 3 2 4 2 2 2 2 4" xfId="21290"/>
    <cellStyle name="常规 3 2 4 2 2 2 2 5" xfId="21293"/>
    <cellStyle name="常规 3 2 4 2 2 2 3" xfId="27079"/>
    <cellStyle name="常规 3 2 4 2 2 2 3 2" xfId="27081"/>
    <cellStyle name="常规 3 2 4 2 2 2 3 2 2" xfId="27083"/>
    <cellStyle name="常规 3 2 4 2 2 2 3 3" xfId="27085"/>
    <cellStyle name="常规 3 2 4 2 2 2 3 4" xfId="21296"/>
    <cellStyle name="常规 3 2 4 2 2 2 4" xfId="6765"/>
    <cellStyle name="常规 3 2 4 2 2 2 4 2" xfId="6768"/>
    <cellStyle name="常规 3 2 4 2 2 2 4 2 2" xfId="482"/>
    <cellStyle name="常规 3 2 4 2 2 2 4 3" xfId="6773"/>
    <cellStyle name="常规 3 2 4 2 2 2 4 4" xfId="27086"/>
    <cellStyle name="常规 3 2 4 2 2 2 5" xfId="5195"/>
    <cellStyle name="常规 3 2 4 2 2 2 5 2" xfId="6233"/>
    <cellStyle name="常规 3 2 4 2 2 2 6" xfId="6775"/>
    <cellStyle name="常规 3 2 4 2 2 2 7" xfId="27087"/>
    <cellStyle name="常规 3 2 4 2 2 2 8" xfId="27088"/>
    <cellStyle name="常规 3 2 4 2 2 3" xfId="21973"/>
    <cellStyle name="常规 3 2 4 2 2 3 2" xfId="21975"/>
    <cellStyle name="常规 3 2 4 2 2 3 2 2" xfId="27089"/>
    <cellStyle name="常规 3 2 4 2 2 3 2 2 2" xfId="27091"/>
    <cellStyle name="常规 3 2 4 2 2 3 2 3" xfId="27093"/>
    <cellStyle name="常规 3 2 4 2 2 3 2 4" xfId="10053"/>
    <cellStyle name="常规 3 2 4 2 2 3 3" xfId="27094"/>
    <cellStyle name="常规 3 2 4 2 2 3 3 2" xfId="27096"/>
    <cellStyle name="常规 3 2 4 2 2 3 4" xfId="382"/>
    <cellStyle name="常规 3 2 4 2 2 3 5" xfId="1745"/>
    <cellStyle name="常规 3 2 4 2 2 3 6" xfId="27097"/>
    <cellStyle name="常规 3 2 4 2 2 4" xfId="21978"/>
    <cellStyle name="常规 3 2 4 2 2 4 2" xfId="27098"/>
    <cellStyle name="常规 3 2 4 2 2 4 2 2" xfId="27101"/>
    <cellStyle name="常规 3 2 4 2 2 4 3" xfId="27102"/>
    <cellStyle name="常规 3 2 4 2 2 4 4" xfId="2115"/>
    <cellStyle name="常规 3 2 4 2 2 5" xfId="21980"/>
    <cellStyle name="常规 3 2 4 2 2 5 2" xfId="27105"/>
    <cellStyle name="常规 3 2 4 2 2 5 2 2" xfId="27107"/>
    <cellStyle name="常规 3 2 4 2 2 5 3" xfId="27108"/>
    <cellStyle name="常规 3 2 4 2 2 5 4" xfId="2245"/>
    <cellStyle name="常规 3 2 4 2 2 6" xfId="27109"/>
    <cellStyle name="常规 3 2 4 2 2 6 2" xfId="27110"/>
    <cellStyle name="常规 3 2 4 2 2 7" xfId="26752"/>
    <cellStyle name="常规 3 2 4 2 2 7 2" xfId="14655"/>
    <cellStyle name="常规 3 2 4 2 2 8" xfId="27111"/>
    <cellStyle name="常规 3 2 4 2 2 9" xfId="27112"/>
    <cellStyle name="常规 3 2 4 2 3" xfId="27113"/>
    <cellStyle name="常规 3 2 4 2 3 10" xfId="18799"/>
    <cellStyle name="常规 3 2 4 2 3 11" xfId="27114"/>
    <cellStyle name="常规 3 2 4 2 3 2" xfId="27115"/>
    <cellStyle name="常规 3 2 4 2 3 2 10" xfId="25757"/>
    <cellStyle name="常规 3 2 4 2 3 2 2" xfId="27116"/>
    <cellStyle name="常规 3 2 4 2 3 2 2 2" xfId="17402"/>
    <cellStyle name="常规 3 2 4 2 3 2 2 2 2" xfId="17738"/>
    <cellStyle name="常规 3 2 4 2 3 2 2 2 2 2" xfId="16736"/>
    <cellStyle name="常规 3 2 4 2 3 2 2 2 2 2 2" xfId="27118"/>
    <cellStyle name="常规 3 2 4 2 3 2 2 2 2 3" xfId="16738"/>
    <cellStyle name="常规 3 2 4 2 3 2 2 2 2 4" xfId="27119"/>
    <cellStyle name="常规 3 2 4 2 3 2 2 2 3" xfId="21917"/>
    <cellStyle name="常规 3 2 4 2 3 2 2 2 3 2" xfId="16743"/>
    <cellStyle name="常规 3 2 4 2 3 2 2 2 4" xfId="27120"/>
    <cellStyle name="常规 3 2 4 2 3 2 2 2 5" xfId="27121"/>
    <cellStyle name="常规 3 2 4 2 3 2 2 3" xfId="17404"/>
    <cellStyle name="常规 3 2 4 2 3 2 2 3 2" xfId="27123"/>
    <cellStyle name="常规 3 2 4 2 3 2 2 3 2 2" xfId="16764"/>
    <cellStyle name="常规 3 2 4 2 3 2 2 3 3" xfId="27124"/>
    <cellStyle name="常规 3 2 4 2 3 2 2 3 4" xfId="23010"/>
    <cellStyle name="常规 3 2 4 2 3 2 2 4" xfId="21320"/>
    <cellStyle name="常规 3 2 4 2 3 2 2 4 2" xfId="25483"/>
    <cellStyle name="常规 3 2 4 2 3 2 2 4 2 2" xfId="25688"/>
    <cellStyle name="常规 3 2 4 2 3 2 2 4 3" xfId="27126"/>
    <cellStyle name="常规 3 2 4 2 3 2 2 4 4" xfId="27128"/>
    <cellStyle name="常规 3 2 4 2 3 2 2 5" xfId="14208"/>
    <cellStyle name="常规 3 2 4 2 3 2 2 5 2" xfId="14211"/>
    <cellStyle name="常规 3 2 4 2 3 2 2 6" xfId="14219"/>
    <cellStyle name="常规 3 2 4 2 3 2 2 7" xfId="14225"/>
    <cellStyle name="常规 3 2 4 2 3 2 2 8" xfId="14228"/>
    <cellStyle name="常规 3 2 4 2 3 2 3" xfId="27129"/>
    <cellStyle name="常规 3 2 4 2 3 2 3 2" xfId="17410"/>
    <cellStyle name="常规 3 2 4 2 3 2 3 2 2" xfId="27131"/>
    <cellStyle name="常规 3 2 4 2 3 2 3 2 2 2" xfId="16822"/>
    <cellStyle name="常规 3 2 4 2 3 2 3 2 3" xfId="27132"/>
    <cellStyle name="常规 3 2 4 2 3 2 3 2 4" xfId="27134"/>
    <cellStyle name="常规 3 2 4 2 3 2 3 3" xfId="27135"/>
    <cellStyle name="常规 3 2 4 2 3 2 3 3 2" xfId="27136"/>
    <cellStyle name="常规 3 2 4 2 3 2 3 4" xfId="27137"/>
    <cellStyle name="常规 3 2 4 2 3 2 3 5" xfId="14234"/>
    <cellStyle name="常规 3 2 4 2 3 2 3 6" xfId="14239"/>
    <cellStyle name="常规 3 2 4 2 3 2 4" xfId="27138"/>
    <cellStyle name="常规 3 2 4 2 3 2 4 2" xfId="17420"/>
    <cellStyle name="常规 3 2 4 2 3 2 4 2 2" xfId="27140"/>
    <cellStyle name="常规 3 2 4 2 3 2 4 3" xfId="27141"/>
    <cellStyle name="常规 3 2 4 2 3 2 4 4" xfId="27142"/>
    <cellStyle name="常规 3 2 4 2 3 2 5" xfId="27143"/>
    <cellStyle name="常规 3 2 4 2 3 2 5 2" xfId="27144"/>
    <cellStyle name="常规 3 2 4 2 3 2 5 2 2" xfId="27145"/>
    <cellStyle name="常规 3 2 4 2 3 2 5 3" xfId="27146"/>
    <cellStyle name="常规 3 2 4 2 3 2 5 4" xfId="20240"/>
    <cellStyle name="常规 3 2 4 2 3 2 6" xfId="25623"/>
    <cellStyle name="常规 3 2 4 2 3 2 6 2" xfId="27147"/>
    <cellStyle name="常规 3 2 4 2 3 2 7" xfId="22567"/>
    <cellStyle name="常规 3 2 4 2 3 2 7 2" xfId="22569"/>
    <cellStyle name="常规 3 2 4 2 3 2 8" xfId="22572"/>
    <cellStyle name="常规 3 2 4 2 3 2 9" xfId="22574"/>
    <cellStyle name="常规 3 2 4 2 3 3" xfId="6811"/>
    <cellStyle name="常规 3 2 4 2 3 3 2" xfId="27148"/>
    <cellStyle name="常规 3 2 4 2 3 3 2 2" xfId="17439"/>
    <cellStyle name="常规 3 2 4 2 3 3 2 2 2" xfId="27150"/>
    <cellStyle name="常规 3 2 4 2 3 3 2 2 2 2" xfId="27153"/>
    <cellStyle name="常规 3 2 4 2 3 3 2 2 3" xfId="22042"/>
    <cellStyle name="常规 3 2 4 2 3 3 2 2 4" xfId="26481"/>
    <cellStyle name="常规 3 2 4 2 3 3 2 3" xfId="27155"/>
    <cellStyle name="常规 3 2 4 2 3 3 2 3 2" xfId="27156"/>
    <cellStyle name="常规 3 2 4 2 3 3 2 4" xfId="10091"/>
    <cellStyle name="常规 3 2 4 2 3 3 2 5" xfId="14375"/>
    <cellStyle name="常规 3 2 4 2 3 3 3" xfId="27158"/>
    <cellStyle name="常规 3 2 4 2 3 3 3 2" xfId="27159"/>
    <cellStyle name="常规 3 2 4 2 3 3 3 2 2" xfId="27160"/>
    <cellStyle name="常规 3 2 4 2 3 3 3 3" xfId="27162"/>
    <cellStyle name="常规 3 2 4 2 3 3 3 4" xfId="10094"/>
    <cellStyle name="常规 3 2 4 2 3 3 4" xfId="27163"/>
    <cellStyle name="常规 3 2 4 2 3 3 4 2" xfId="27164"/>
    <cellStyle name="常规 3 2 4 2 3 3 4 2 2" xfId="27165"/>
    <cellStyle name="常规 3 2 4 2 3 3 4 3" xfId="27166"/>
    <cellStyle name="常规 3 2 4 2 3 3 4 4" xfId="27167"/>
    <cellStyle name="常规 3 2 4 2 3 3 5" xfId="27168"/>
    <cellStyle name="常规 3 2 4 2 3 3 5 2" xfId="27169"/>
    <cellStyle name="常规 3 2 4 2 3 3 6" xfId="27170"/>
    <cellStyle name="常规 3 2 4 2 3 3 7" xfId="22577"/>
    <cellStyle name="常规 3 2 4 2 3 3 8" xfId="27171"/>
    <cellStyle name="常规 3 2 4 2 3 4" xfId="27172"/>
    <cellStyle name="常规 3 2 4 2 3 4 2" xfId="15340"/>
    <cellStyle name="常规 3 2 4 2 3 4 2 2" xfId="15342"/>
    <cellStyle name="常规 3 2 4 2 3 4 2 2 2" xfId="15345"/>
    <cellStyle name="常规 3 2 4 2 3 4 2 3" xfId="15350"/>
    <cellStyle name="常规 3 2 4 2 3 4 2 4" xfId="10110"/>
    <cellStyle name="常规 3 2 4 2 3 4 3" xfId="15352"/>
    <cellStyle name="常规 3 2 4 2 3 4 3 2" xfId="15354"/>
    <cellStyle name="常规 3 2 4 2 3 4 4" xfId="8191"/>
    <cellStyle name="常规 3 2 4 2 3 4 5" xfId="15356"/>
    <cellStyle name="常规 3 2 4 2 3 4 6" xfId="15358"/>
    <cellStyle name="常规 3 2 4 2 3 5" xfId="23432"/>
    <cellStyle name="常规 3 2 4 2 3 5 2" xfId="15373"/>
    <cellStyle name="常规 3 2 4 2 3 5 2 2" xfId="23434"/>
    <cellStyle name="常规 3 2 4 2 3 5 3" xfId="15376"/>
    <cellStyle name="常规 3 2 4 2 3 5 4" xfId="15379"/>
    <cellStyle name="常规 3 2 4 2 3 6" xfId="23447"/>
    <cellStyle name="常规 3 2 4 2 3 6 2" xfId="15386"/>
    <cellStyle name="常规 3 2 4 2 3 6 2 2" xfId="23449"/>
    <cellStyle name="常规 3 2 4 2 3 6 3" xfId="23453"/>
    <cellStyle name="常规 3 2 4 2 3 6 4" xfId="23455"/>
    <cellStyle name="常规 3 2 4 2 3 7" xfId="2294"/>
    <cellStyle name="常规 3 2 4 2 3 7 2" xfId="2302"/>
    <cellStyle name="常规 3 2 4 2 3 8" xfId="2310"/>
    <cellStyle name="常规 3 2 4 2 3 8 2" xfId="2317"/>
    <cellStyle name="常规 3 2 4 2 3 9" xfId="2322"/>
    <cellStyle name="常规 3 2 4 2 4" xfId="13796"/>
    <cellStyle name="常规 3 2 4 2 4 2" xfId="27174"/>
    <cellStyle name="常规 3 2 4 2 4 2 2" xfId="27176"/>
    <cellStyle name="常规 3 2 4 2 4 2 2 2" xfId="17595"/>
    <cellStyle name="常规 3 2 4 2 4 2 2 2 2" xfId="27177"/>
    <cellStyle name="常规 3 2 4 2 4 2 2 3" xfId="27179"/>
    <cellStyle name="常规 3 2 4 2 4 2 2 4" xfId="27180"/>
    <cellStyle name="常规 3 2 4 2 4 2 3" xfId="27182"/>
    <cellStyle name="常规 3 2 4 2 4 2 3 2" xfId="5033"/>
    <cellStyle name="常规 3 2 4 2 4 2 4" xfId="12614"/>
    <cellStyle name="常规 3 2 4 2 4 2 5" xfId="27183"/>
    <cellStyle name="常规 3 2 4 2 4 3" xfId="21983"/>
    <cellStyle name="常规 3 2 4 2 4 3 2" xfId="27185"/>
    <cellStyle name="常规 3 2 4 2 4 3 2 2" xfId="6223"/>
    <cellStyle name="常规 3 2 4 2 4 3 3" xfId="27186"/>
    <cellStyle name="常规 3 2 4 2 4 3 4" xfId="27187"/>
    <cellStyle name="常规 3 2 4 2 4 4" xfId="12780"/>
    <cellStyle name="常规 3 2 4 2 4 4 2" xfId="15456"/>
    <cellStyle name="常规 3 2 4 2 4 4 2 2" xfId="15458"/>
    <cellStyle name="常规 3 2 4 2 4 4 3" xfId="15464"/>
    <cellStyle name="常规 3 2 4 2 4 4 4" xfId="8199"/>
    <cellStyle name="常规 3 2 4 2 4 5" xfId="23462"/>
    <cellStyle name="常规 3 2 4 2 4 5 2" xfId="15491"/>
    <cellStyle name="常规 3 2 4 2 4 6" xfId="23489"/>
    <cellStyle name="常规 3 2 4 2 4 7" xfId="5503"/>
    <cellStyle name="常规 3 2 4 2 4 8" xfId="5506"/>
    <cellStyle name="常规 3 2 4 2 5" xfId="27189"/>
    <cellStyle name="常规 3 2 4 2 5 2" xfId="27191"/>
    <cellStyle name="常规 3 2 4 2 5 2 2" xfId="21341"/>
    <cellStyle name="常规 3 2 4 2 5 2 2 2" xfId="26783"/>
    <cellStyle name="常规 3 2 4 2 5 2 3" xfId="27192"/>
    <cellStyle name="常规 3 2 4 2 5 2 4" xfId="27193"/>
    <cellStyle name="常规 3 2 4 2 5 3" xfId="27195"/>
    <cellStyle name="常规 3 2 4 2 5 3 2" xfId="21348"/>
    <cellStyle name="常规 3 2 4 2 5 4" xfId="27196"/>
    <cellStyle name="常规 3 2 4 2 5 5" xfId="23524"/>
    <cellStyle name="常规 3 2 4 2 5 6" xfId="23535"/>
    <cellStyle name="常规 3 2 4 2 6" xfId="27198"/>
    <cellStyle name="常规 3 2 4 2 6 2" xfId="27200"/>
    <cellStyle name="常规 3 2 4 2 6 2 2" xfId="21457"/>
    <cellStyle name="常规 3 2 4 2 6 3" xfId="27202"/>
    <cellStyle name="常规 3 2 4 2 6 4" xfId="27204"/>
    <cellStyle name="常规 3 2 4 2 7" xfId="27206"/>
    <cellStyle name="常规 3 2 4 2 7 2" xfId="27207"/>
    <cellStyle name="常规 3 2 4 2 7 2 2" xfId="27208"/>
    <cellStyle name="常规 3 2 4 2 7 3" xfId="27209"/>
    <cellStyle name="常规 3 2 4 2 7 4" xfId="27210"/>
    <cellStyle name="常规 3 2 4 2 8" xfId="27212"/>
    <cellStyle name="常规 3 2 4 2 8 2" xfId="27214"/>
    <cellStyle name="常规 3 2 4 2 9" xfId="27216"/>
    <cellStyle name="常规 3 2 4 2 9 2" xfId="27217"/>
    <cellStyle name="常规 3 2 4 3" xfId="14262"/>
    <cellStyle name="常规 3 2 4 3 10" xfId="27218"/>
    <cellStyle name="常规 3 2 4 3 11" xfId="27220"/>
    <cellStyle name="常规 3 2 4 3 2" xfId="14266"/>
    <cellStyle name="常规 3 2 4 3 2 10" xfId="5709"/>
    <cellStyle name="常规 3 2 4 3 2 2" xfId="14268"/>
    <cellStyle name="常规 3 2 4 3 2 2 2" xfId="14269"/>
    <cellStyle name="常规 3 2 4 3 2 2 2 2" xfId="14273"/>
    <cellStyle name="常规 3 2 4 3 2 2 2 2 2" xfId="16676"/>
    <cellStyle name="常规 3 2 4 3 2 2 2 2 2 2" xfId="11131"/>
    <cellStyle name="常规 3 2 4 3 2 2 2 2 3" xfId="27222"/>
    <cellStyle name="常规 3 2 4 3 2 2 2 2 4" xfId="7687"/>
    <cellStyle name="常规 3 2 4 3 2 2 2 3" xfId="27223"/>
    <cellStyle name="常规 3 2 4 3 2 2 2 3 2" xfId="27225"/>
    <cellStyle name="常规 3 2 4 3 2 2 2 4" xfId="21429"/>
    <cellStyle name="常规 3 2 4 3 2 2 2 5" xfId="27226"/>
    <cellStyle name="常规 3 2 4 3 2 2 3" xfId="14276"/>
    <cellStyle name="常规 3 2 4 3 2 2 3 2" xfId="27228"/>
    <cellStyle name="常规 3 2 4 3 2 2 3 2 2" xfId="27230"/>
    <cellStyle name="常规 3 2 4 3 2 2 3 3" xfId="27231"/>
    <cellStyle name="常规 3 2 4 3 2 2 3 4" xfId="27232"/>
    <cellStyle name="常规 3 2 4 3 2 2 4" xfId="751"/>
    <cellStyle name="常规 3 2 4 3 2 2 4 2" xfId="1445"/>
    <cellStyle name="常规 3 2 4 3 2 2 4 2 2" xfId="18"/>
    <cellStyle name="常规 3 2 4 3 2 2 4 3" xfId="1528"/>
    <cellStyle name="常规 3 2 4 3 2 2 4 4" xfId="27233"/>
    <cellStyle name="常规 3 2 4 3 2 2 5" xfId="1585"/>
    <cellStyle name="常规 3 2 4 3 2 2 5 2" xfId="440"/>
    <cellStyle name="常规 3 2 4 3 2 2 6" xfId="1607"/>
    <cellStyle name="常规 3 2 4 3 2 2 7" xfId="27234"/>
    <cellStyle name="常规 3 2 4 3 2 2 8" xfId="27235"/>
    <cellStyle name="常规 3 2 4 3 2 3" xfId="14282"/>
    <cellStyle name="常规 3 2 4 3 2 3 2" xfId="14283"/>
    <cellStyle name="常规 3 2 4 3 2 3 2 2" xfId="27236"/>
    <cellStyle name="常规 3 2 4 3 2 3 2 2 2" xfId="16829"/>
    <cellStyle name="常规 3 2 4 3 2 3 2 3" xfId="27237"/>
    <cellStyle name="常规 3 2 4 3 2 3 2 4" xfId="10145"/>
    <cellStyle name="常规 3 2 4 3 2 3 3" xfId="19236"/>
    <cellStyle name="常规 3 2 4 3 2 3 3 2" xfId="27238"/>
    <cellStyle name="常规 3 2 4 3 2 3 4" xfId="2610"/>
    <cellStyle name="常规 3 2 4 3 2 3 5" xfId="2770"/>
    <cellStyle name="常规 3 2 4 3 2 3 6" xfId="2953"/>
    <cellStyle name="常规 3 2 4 3 2 4" xfId="14288"/>
    <cellStyle name="常规 3 2 4 3 2 4 2" xfId="27239"/>
    <cellStyle name="常规 3 2 4 3 2 4 2 2" xfId="27242"/>
    <cellStyle name="常规 3 2 4 3 2 4 3" xfId="20568"/>
    <cellStyle name="常规 3 2 4 3 2 4 4" xfId="3076"/>
    <cellStyle name="常规 3 2 4 3 2 5" xfId="14291"/>
    <cellStyle name="常规 3 2 4 3 2 5 2" xfId="27243"/>
    <cellStyle name="常规 3 2 4 3 2 5 2 2" xfId="27244"/>
    <cellStyle name="常规 3 2 4 3 2 5 3" xfId="27245"/>
    <cellStyle name="常规 3 2 4 3 2 5 4" xfId="3136"/>
    <cellStyle name="常规 3 2 4 3 2 6" xfId="27246"/>
    <cellStyle name="常规 3 2 4 3 2 6 2" xfId="27247"/>
    <cellStyle name="常规 3 2 4 3 2 7" xfId="27249"/>
    <cellStyle name="常规 3 2 4 3 2 7 2" xfId="27250"/>
    <cellStyle name="常规 3 2 4 3 2 8" xfId="13832"/>
    <cellStyle name="常规 3 2 4 3 2 9" xfId="27253"/>
    <cellStyle name="常规 3 2 4 3 3" xfId="14293"/>
    <cellStyle name="常规 3 2 4 3 3 2" xfId="14295"/>
    <cellStyle name="常规 3 2 4 3 3 2 2" xfId="14296"/>
    <cellStyle name="常规 3 2 4 3 3 2 2 2" xfId="17967"/>
    <cellStyle name="常规 3 2 4 3 3 2 2 2 2" xfId="15853"/>
    <cellStyle name="常规 3 2 4 3 3 2 2 3" xfId="17970"/>
    <cellStyle name="常规 3 2 4 3 3 2 2 4" xfId="27254"/>
    <cellStyle name="常规 3 2 4 3 3 2 3" xfId="21692"/>
    <cellStyle name="常规 3 2 4 3 3 2 3 2" xfId="17979"/>
    <cellStyle name="常规 3 2 4 3 3 2 4" xfId="21699"/>
    <cellStyle name="常规 3 2 4 3 3 2 5" xfId="21702"/>
    <cellStyle name="常规 3 2 4 3 3 3" xfId="6825"/>
    <cellStyle name="常规 3 2 4 3 3 3 2" xfId="27256"/>
    <cellStyle name="常规 3 2 4 3 3 3 2 2" xfId="18004"/>
    <cellStyle name="常规 3 2 4 3 3 3 3" xfId="19246"/>
    <cellStyle name="常规 3 2 4 3 3 3 4" xfId="21706"/>
    <cellStyle name="常规 3 2 4 3 3 4" xfId="14300"/>
    <cellStyle name="常规 3 2 4 3 3 4 2" xfId="15639"/>
    <cellStyle name="常规 3 2 4 3 3 4 2 2" xfId="27258"/>
    <cellStyle name="常规 3 2 4 3 3 4 3" xfId="15642"/>
    <cellStyle name="常规 3 2 4 3 3 4 4" xfId="21710"/>
    <cellStyle name="常规 3 2 4 3 3 5" xfId="2388"/>
    <cellStyle name="常规 3 2 4 3 3 5 2" xfId="2392"/>
    <cellStyle name="常规 3 2 4 3 3 6" xfId="23569"/>
    <cellStyle name="常规 3 2 4 3 3 7" xfId="2402"/>
    <cellStyle name="常规 3 2 4 3 3 8" xfId="5522"/>
    <cellStyle name="常规 3 2 4 3 4" xfId="14303"/>
    <cellStyle name="常规 3 2 4 3 4 2" xfId="14306"/>
    <cellStyle name="常规 3 2 4 3 4 2 2" xfId="14309"/>
    <cellStyle name="常规 3 2 4 3 4 2 2 2" xfId="18126"/>
    <cellStyle name="常规 3 2 4 3 4 2 3" xfId="16044"/>
    <cellStyle name="常规 3 2 4 3 4 2 4" xfId="21718"/>
    <cellStyle name="常规 3 2 4 3 4 3" xfId="14312"/>
    <cellStyle name="常规 3 2 4 3 4 3 2" xfId="27259"/>
    <cellStyle name="常规 3 2 4 3 4 4" xfId="14316"/>
    <cellStyle name="常规 3 2 4 3 4 5" xfId="17555"/>
    <cellStyle name="常规 3 2 4 3 4 6" xfId="17559"/>
    <cellStyle name="常规 3 2 4 3 5" xfId="14318"/>
    <cellStyle name="常规 3 2 4 3 5 2" xfId="27260"/>
    <cellStyle name="常规 3 2 4 3 5 2 2" xfId="21678"/>
    <cellStyle name="常规 3 2 4 3 5 3" xfId="27261"/>
    <cellStyle name="常规 3 2 4 3 5 4" xfId="17563"/>
    <cellStyle name="常规 3 2 4 3 6" xfId="14323"/>
    <cellStyle name="常规 3 2 4 3 6 2" xfId="27262"/>
    <cellStyle name="常规 3 2 4 3 6 2 2" xfId="21818"/>
    <cellStyle name="常规 3 2 4 3 6 3" xfId="27263"/>
    <cellStyle name="常规 3 2 4 3 6 4" xfId="27264"/>
    <cellStyle name="常规 3 2 4 3 7" xfId="14326"/>
    <cellStyle name="常规 3 2 4 3 7 2" xfId="4418"/>
    <cellStyle name="常规 3 2 4 3 8" xfId="12555"/>
    <cellStyle name="常规 3 2 4 3 8 2" xfId="4556"/>
    <cellStyle name="常规 3 2 4 3 9" xfId="12557"/>
    <cellStyle name="常规 3 2 4 4" xfId="14330"/>
    <cellStyle name="常规 3 2 4 4 2" xfId="10075"/>
    <cellStyle name="常规 3 2 4 4 2 2" xfId="10078"/>
    <cellStyle name="常规 3 2 4 4 2 2 2" xfId="14331"/>
    <cellStyle name="常规 3 2 4 4 2 2 2 2" xfId="14334"/>
    <cellStyle name="常规 3 2 4 4 2 2 3" xfId="14337"/>
    <cellStyle name="常规 3 2 4 4 2 2 4" xfId="7413"/>
    <cellStyle name="常规 3 2 4 4 2 3" xfId="14341"/>
    <cellStyle name="常规 3 2 4 4 2 3 2" xfId="14342"/>
    <cellStyle name="常规 3 2 4 4 2 4" xfId="14346"/>
    <cellStyle name="常规 3 2 4 4 2 5" xfId="14348"/>
    <cellStyle name="常规 3 2 4 4 3" xfId="10081"/>
    <cellStyle name="常规 3 2 4 4 3 2" xfId="14351"/>
    <cellStyle name="常规 3 2 4 4 3 2 2" xfId="14352"/>
    <cellStyle name="常规 3 2 4 4 3 3" xfId="14356"/>
    <cellStyle name="常规 3 2 4 4 3 4" xfId="14358"/>
    <cellStyle name="常规 3 2 4 4 4" xfId="10086"/>
    <cellStyle name="常规 3 2 4 4 4 2" xfId="14360"/>
    <cellStyle name="常规 3 2 4 4 4 2 2" xfId="27265"/>
    <cellStyle name="常规 3 2 4 4 4 3" xfId="27266"/>
    <cellStyle name="常规 3 2 4 4 4 4" xfId="17570"/>
    <cellStyle name="常规 3 2 4 4 5" xfId="14363"/>
    <cellStyle name="常规 3 2 4 4 5 2" xfId="27267"/>
    <cellStyle name="常规 3 2 4 4 6" xfId="14366"/>
    <cellStyle name="常规 3 2 4 4 7" xfId="14368"/>
    <cellStyle name="常规 3 2 4 4 8" xfId="12561"/>
    <cellStyle name="常规 3 2 4 5" xfId="14373"/>
    <cellStyle name="常规 3 2 4 5 2" xfId="14376"/>
    <cellStyle name="常规 3 2 4 5 2 2" xfId="14378"/>
    <cellStyle name="常规 3 2 4 5 2 2 2" xfId="27268"/>
    <cellStyle name="常规 3 2 4 5 2 3" xfId="27270"/>
    <cellStyle name="常规 3 2 4 5 2 4" xfId="27271"/>
    <cellStyle name="常规 3 2 4 5 3" xfId="14380"/>
    <cellStyle name="常规 3 2 4 5 3 2" xfId="27272"/>
    <cellStyle name="常规 3 2 4 5 4" xfId="14384"/>
    <cellStyle name="常规 3 2 4 5 5" xfId="27274"/>
    <cellStyle name="常规 3 2 4 5 6" xfId="27277"/>
    <cellStyle name="常规 3 2 4 6" xfId="10495"/>
    <cellStyle name="常规 3 2 4 6 2" xfId="14386"/>
    <cellStyle name="常规 3 2 4 6 2 2" xfId="14388"/>
    <cellStyle name="常规 3 2 4 6 3" xfId="14391"/>
    <cellStyle name="常规 3 2 4 6 4" xfId="14394"/>
    <cellStyle name="常规 3 2 4 7" xfId="14396"/>
    <cellStyle name="常规 3 2 4 7 2" xfId="27278"/>
    <cellStyle name="常规 3 2 4 7 2 2" xfId="27279"/>
    <cellStyle name="常规 3 2 4 7 3" xfId="27280"/>
    <cellStyle name="常规 3 2 4 7 4" xfId="27282"/>
    <cellStyle name="常规 3 2 4 8" xfId="3551"/>
    <cellStyle name="常规 3 2 4 8 2" xfId="322"/>
    <cellStyle name="常规 3 2 4 9" xfId="3676"/>
    <cellStyle name="常规 3 2 4 9 2" xfId="656"/>
    <cellStyle name="常规 3 2 5" xfId="3402"/>
    <cellStyle name="常规 3 2 5 10" xfId="19022"/>
    <cellStyle name="常规 3 2 5 11" xfId="19025"/>
    <cellStyle name="常规 3 2 5 12" xfId="19027"/>
    <cellStyle name="常规 3 2 5 2" xfId="3417"/>
    <cellStyle name="常规 3 2 5 2 10" xfId="10430"/>
    <cellStyle name="常规 3 2 5 2 11" xfId="8909"/>
    <cellStyle name="常规 3 2 5 2 12" xfId="27284"/>
    <cellStyle name="常规 3 2 5 2 2" xfId="27285"/>
    <cellStyle name="常规 3 2 5 2 2 10" xfId="9836"/>
    <cellStyle name="常规 3 2 5 2 2 2" xfId="27286"/>
    <cellStyle name="常规 3 2 5 2 2 2 2" xfId="27287"/>
    <cellStyle name="常规 3 2 5 2 2 2 2 2" xfId="27289"/>
    <cellStyle name="常规 3 2 5 2 2 2 2 2 2" xfId="27291"/>
    <cellStyle name="常规 3 2 5 2 2 2 2 2 2 2" xfId="27293"/>
    <cellStyle name="常规 3 2 5 2 2 2 2 2 3" xfId="27294"/>
    <cellStyle name="常规 3 2 5 2 2 2 2 2 4" xfId="27296"/>
    <cellStyle name="常规 3 2 5 2 2 2 2 3" xfId="27297"/>
    <cellStyle name="常规 3 2 5 2 2 2 2 3 2" xfId="27299"/>
    <cellStyle name="常规 3 2 5 2 2 2 2 4" xfId="21608"/>
    <cellStyle name="常规 3 2 5 2 2 2 2 5" xfId="21613"/>
    <cellStyle name="常规 3 2 5 2 2 2 3" xfId="9305"/>
    <cellStyle name="常规 3 2 5 2 2 2 3 2" xfId="27300"/>
    <cellStyle name="常规 3 2 5 2 2 2 3 2 2" xfId="27302"/>
    <cellStyle name="常规 3 2 5 2 2 2 3 3" xfId="27303"/>
    <cellStyle name="常规 3 2 5 2 2 2 3 4" xfId="21619"/>
    <cellStyle name="常规 3 2 5 2 2 2 4" xfId="27304"/>
    <cellStyle name="常规 3 2 5 2 2 2 4 2" xfId="15126"/>
    <cellStyle name="常规 3 2 5 2 2 2 4 2 2" xfId="27306"/>
    <cellStyle name="常规 3 2 5 2 2 2 4 3" xfId="15131"/>
    <cellStyle name="常规 3 2 5 2 2 2 4 4" xfId="27307"/>
    <cellStyle name="常规 3 2 5 2 2 2 5" xfId="27308"/>
    <cellStyle name="常规 3 2 5 2 2 2 5 2" xfId="27310"/>
    <cellStyle name="常规 3 2 5 2 2 2 6" xfId="27311"/>
    <cellStyle name="常规 3 2 5 2 2 2 7" xfId="27312"/>
    <cellStyle name="常规 3 2 5 2 2 2 8" xfId="27313"/>
    <cellStyle name="常规 3 2 5 2 2 3" xfId="27314"/>
    <cellStyle name="常规 3 2 5 2 2 3 2" xfId="27315"/>
    <cellStyle name="常规 3 2 5 2 2 3 2 2" xfId="27317"/>
    <cellStyle name="常规 3 2 5 2 2 3 2 2 2" xfId="27319"/>
    <cellStyle name="常规 3 2 5 2 2 3 2 3" xfId="27321"/>
    <cellStyle name="常规 3 2 5 2 2 3 2 4" xfId="21626"/>
    <cellStyle name="常规 3 2 5 2 2 3 3" xfId="9309"/>
    <cellStyle name="常规 3 2 5 2 2 3 3 2" xfId="27322"/>
    <cellStyle name="常规 3 2 5 2 2 3 4" xfId="27323"/>
    <cellStyle name="常规 3 2 5 2 2 3 5" xfId="27325"/>
    <cellStyle name="常规 3 2 5 2 2 3 6" xfId="27327"/>
    <cellStyle name="常规 3 2 5 2 2 4" xfId="27328"/>
    <cellStyle name="常规 3 2 5 2 2 4 2" xfId="27329"/>
    <cellStyle name="常规 3 2 5 2 2 4 2 2" xfId="27331"/>
    <cellStyle name="常规 3 2 5 2 2 4 3" xfId="27332"/>
    <cellStyle name="常规 3 2 5 2 2 4 4" xfId="4671"/>
    <cellStyle name="常规 3 2 5 2 2 5" xfId="27333"/>
    <cellStyle name="常规 3 2 5 2 2 5 2" xfId="27335"/>
    <cellStyle name="常规 3 2 5 2 2 5 2 2" xfId="27336"/>
    <cellStyle name="常规 3 2 5 2 2 5 3" xfId="27337"/>
    <cellStyle name="常规 3 2 5 2 2 5 4" xfId="4689"/>
    <cellStyle name="常规 3 2 5 2 2 6" xfId="27339"/>
    <cellStyle name="常规 3 2 5 2 2 6 2" xfId="27340"/>
    <cellStyle name="常规 3 2 5 2 2 7" xfId="26837"/>
    <cellStyle name="常规 3 2 5 2 2 7 2" xfId="27341"/>
    <cellStyle name="常规 3 2 5 2 2 8" xfId="27342"/>
    <cellStyle name="常规 3 2 5 2 2 9" xfId="27343"/>
    <cellStyle name="常规 3 2 5 2 3" xfId="27344"/>
    <cellStyle name="常规 3 2 5 2 3 10" xfId="27345"/>
    <cellStyle name="常规 3 2 5 2 3 11" xfId="27347"/>
    <cellStyle name="常规 3 2 5 2 3 2" xfId="27348"/>
    <cellStyle name="常规 3 2 5 2 3 2 10" xfId="27349"/>
    <cellStyle name="常规 3 2 5 2 3 2 2" xfId="25718"/>
    <cellStyle name="常规 3 2 5 2 3 2 2 2" xfId="16842"/>
    <cellStyle name="常规 3 2 5 2 3 2 2 2 2" xfId="16845"/>
    <cellStyle name="常规 3 2 5 2 3 2 2 2 2 2" xfId="16848"/>
    <cellStyle name="常规 3 2 5 2 3 2 2 2 2 2 2" xfId="25721"/>
    <cellStyle name="常规 3 2 5 2 3 2 2 2 2 3" xfId="25723"/>
    <cellStyle name="常规 3 2 5 2 3 2 2 2 2 4" xfId="25725"/>
    <cellStyle name="常规 3 2 5 2 3 2 2 2 3" xfId="16851"/>
    <cellStyle name="常规 3 2 5 2 3 2 2 2 3 2" xfId="25727"/>
    <cellStyle name="常规 3 2 5 2 3 2 2 2 4" xfId="16855"/>
    <cellStyle name="常规 3 2 5 2 3 2 2 2 5" xfId="25729"/>
    <cellStyle name="常规 3 2 5 2 3 2 2 3" xfId="16858"/>
    <cellStyle name="常规 3 2 5 2 3 2 2 3 2" xfId="16861"/>
    <cellStyle name="常规 3 2 5 2 3 2 2 3 2 2" xfId="25059"/>
    <cellStyle name="常规 3 2 5 2 3 2 2 3 3" xfId="25731"/>
    <cellStyle name="常规 3 2 5 2 3 2 2 3 4" xfId="25733"/>
    <cellStyle name="常规 3 2 5 2 3 2 2 4" xfId="16865"/>
    <cellStyle name="常规 3 2 5 2 3 2 2 4 2" xfId="10621"/>
    <cellStyle name="常规 3 2 5 2 3 2 2 4 2 2" xfId="10626"/>
    <cellStyle name="常规 3 2 5 2 3 2 2 4 3" xfId="10699"/>
    <cellStyle name="常规 3 2 5 2 3 2 2 4 4" xfId="10718"/>
    <cellStyle name="常规 3 2 5 2 3 2 2 5" xfId="16868"/>
    <cellStyle name="常规 3 2 5 2 3 2 2 5 2" xfId="10776"/>
    <cellStyle name="常规 3 2 5 2 3 2 2 6" xfId="16871"/>
    <cellStyle name="常规 3 2 5 2 3 2 2 7" xfId="25736"/>
    <cellStyle name="常规 3 2 5 2 3 2 2 8" xfId="25740"/>
    <cellStyle name="常规 3 2 5 2 3 2 3" xfId="25744"/>
    <cellStyle name="常规 3 2 5 2 3 2 3 2" xfId="9256"/>
    <cellStyle name="常规 3 2 5 2 3 2 3 2 2" xfId="9259"/>
    <cellStyle name="常规 3 2 5 2 3 2 3 2 2 2" xfId="25746"/>
    <cellStyle name="常规 3 2 5 2 3 2 3 2 3" xfId="25749"/>
    <cellStyle name="常规 3 2 5 2 3 2 3 2 4" xfId="25752"/>
    <cellStyle name="常规 3 2 5 2 3 2 3 3" xfId="9263"/>
    <cellStyle name="常规 3 2 5 2 3 2 3 3 2" xfId="9266"/>
    <cellStyle name="常规 3 2 5 2 3 2 3 4" xfId="9270"/>
    <cellStyle name="常规 3 2 5 2 3 2 3 5" xfId="9273"/>
    <cellStyle name="常规 3 2 5 2 3 2 3 6" xfId="25754"/>
    <cellStyle name="常规 3 2 5 2 3 2 4" xfId="25758"/>
    <cellStyle name="常规 3 2 5 2 3 2 4 2" xfId="9300"/>
    <cellStyle name="常规 3 2 5 2 3 2 4 2 2" xfId="9303"/>
    <cellStyle name="常规 3 2 5 2 3 2 4 3" xfId="9316"/>
    <cellStyle name="常规 3 2 5 2 3 2 4 4" xfId="9320"/>
    <cellStyle name="常规 3 2 5 2 3 2 5" xfId="3427"/>
    <cellStyle name="常规 3 2 5 2 3 2 5 2" xfId="3434"/>
    <cellStyle name="常规 3 2 5 2 3 2 5 2 2" xfId="9333"/>
    <cellStyle name="常规 3 2 5 2 3 2 5 3" xfId="9337"/>
    <cellStyle name="常规 3 2 5 2 3 2 5 4" xfId="9341"/>
    <cellStyle name="常规 3 2 5 2 3 2 6" xfId="3442"/>
    <cellStyle name="常规 3 2 5 2 3 2 6 2" xfId="25760"/>
    <cellStyle name="常规 3 2 5 2 3 2 7" xfId="25762"/>
    <cellStyle name="常规 3 2 5 2 3 2 7 2" xfId="25764"/>
    <cellStyle name="常规 3 2 5 2 3 2 8" xfId="25766"/>
    <cellStyle name="常规 3 2 5 2 3 2 9" xfId="27351"/>
    <cellStyle name="常规 3 2 5 2 3 3" xfId="27352"/>
    <cellStyle name="常规 3 2 5 2 3 3 2" xfId="25780"/>
    <cellStyle name="常规 3 2 5 2 3 3 2 2" xfId="16925"/>
    <cellStyle name="常规 3 2 5 2 3 3 2 2 2" xfId="25782"/>
    <cellStyle name="常规 3 2 5 2 3 3 2 2 2 2" xfId="25971"/>
    <cellStyle name="常规 3 2 5 2 3 3 2 2 3" xfId="27353"/>
    <cellStyle name="常规 3 2 5 2 3 3 2 2 4" xfId="27357"/>
    <cellStyle name="常规 3 2 5 2 3 3 2 3" xfId="25785"/>
    <cellStyle name="常规 3 2 5 2 3 3 2 3 2" xfId="27359"/>
    <cellStyle name="常规 3 2 5 2 3 3 2 4" xfId="25787"/>
    <cellStyle name="常规 3 2 5 2 3 3 2 5" xfId="27361"/>
    <cellStyle name="常规 3 2 5 2 3 3 3" xfId="10285"/>
    <cellStyle name="常规 3 2 5 2 3 3 3 2" xfId="9375"/>
    <cellStyle name="常规 3 2 5 2 3 3 3 2 2" xfId="9378"/>
    <cellStyle name="常规 3 2 5 2 3 3 3 3" xfId="9382"/>
    <cellStyle name="常规 3 2 5 2 3 3 3 4" xfId="9386"/>
    <cellStyle name="常规 3 2 5 2 3 3 4" xfId="10288"/>
    <cellStyle name="常规 3 2 5 2 3 3 4 2" xfId="9398"/>
    <cellStyle name="常规 3 2 5 2 3 3 4 2 2" xfId="9400"/>
    <cellStyle name="常规 3 2 5 2 3 3 4 3" xfId="9402"/>
    <cellStyle name="常规 3 2 5 2 3 3 4 4" xfId="9404"/>
    <cellStyle name="常规 3 2 5 2 3 3 5" xfId="3453"/>
    <cellStyle name="常规 3 2 5 2 3 3 5 2" xfId="27362"/>
    <cellStyle name="常规 3 2 5 2 3 3 6" xfId="10291"/>
    <cellStyle name="常规 3 2 5 2 3 3 7" xfId="25789"/>
    <cellStyle name="常规 3 2 5 2 3 3 8" xfId="27363"/>
    <cellStyle name="常规 3 2 5 2 3 4" xfId="27364"/>
    <cellStyle name="常规 3 2 5 2 3 4 2" xfId="15950"/>
    <cellStyle name="常规 3 2 5 2 3 4 2 2" xfId="25794"/>
    <cellStyle name="常规 3 2 5 2 3 4 2 2 2" xfId="27365"/>
    <cellStyle name="常规 3 2 5 2 3 4 2 3" xfId="8814"/>
    <cellStyle name="常规 3 2 5 2 3 4 2 4" xfId="27367"/>
    <cellStyle name="常规 3 2 5 2 3 4 3" xfId="10296"/>
    <cellStyle name="常规 3 2 5 2 3 4 3 2" xfId="27368"/>
    <cellStyle name="常规 3 2 5 2 3 4 4" xfId="3719"/>
    <cellStyle name="常规 3 2 5 2 3 4 5" xfId="3459"/>
    <cellStyle name="常规 3 2 5 2 3 4 6" xfId="27369"/>
    <cellStyle name="常规 3 2 5 2 3 5" xfId="23814"/>
    <cellStyle name="常规 3 2 5 2 3 5 2" xfId="15961"/>
    <cellStyle name="常规 3 2 5 2 3 5 2 2" xfId="23816"/>
    <cellStyle name="常规 3 2 5 2 3 5 3" xfId="10302"/>
    <cellStyle name="常规 3 2 5 2 3 5 4" xfId="23832"/>
    <cellStyle name="常规 3 2 5 2 3 6" xfId="23847"/>
    <cellStyle name="常规 3 2 5 2 3 6 2" xfId="15971"/>
    <cellStyle name="常规 3 2 5 2 3 6 2 2" xfId="12025"/>
    <cellStyle name="常规 3 2 5 2 3 6 3" xfId="23851"/>
    <cellStyle name="常规 3 2 5 2 3 6 4" xfId="23853"/>
    <cellStyle name="常规 3 2 5 2 3 7" xfId="23856"/>
    <cellStyle name="常规 3 2 5 2 3 7 2" xfId="23858"/>
    <cellStyle name="常规 3 2 5 2 3 8" xfId="23862"/>
    <cellStyle name="常规 3 2 5 2 3 8 2" xfId="23864"/>
    <cellStyle name="常规 3 2 5 2 3 9" xfId="23870"/>
    <cellStyle name="常规 3 2 5 2 4" xfId="20944"/>
    <cellStyle name="常规 3 2 5 2 4 2" xfId="11969"/>
    <cellStyle name="常规 3 2 5 2 4 2 2" xfId="20947"/>
    <cellStyle name="常规 3 2 5 2 4 2 2 2" xfId="16236"/>
    <cellStyle name="常规 3 2 5 2 4 2 2 2 2" xfId="25847"/>
    <cellStyle name="常规 3 2 5 2 4 2 2 3" xfId="16242"/>
    <cellStyle name="常规 3 2 5 2 4 2 2 4" xfId="25849"/>
    <cellStyle name="常规 3 2 5 2 4 2 3" xfId="25851"/>
    <cellStyle name="常规 3 2 5 2 4 2 3 2" xfId="17021"/>
    <cellStyle name="常规 3 2 5 2 4 2 4" xfId="25856"/>
    <cellStyle name="常规 3 2 5 2 4 2 5" xfId="3464"/>
    <cellStyle name="常规 3 2 5 2 4 3" xfId="20951"/>
    <cellStyle name="常规 3 2 5 2 4 3 2" xfId="25870"/>
    <cellStyle name="常规 3 2 5 2 4 3 2 2" xfId="25873"/>
    <cellStyle name="常规 3 2 5 2 4 3 3" xfId="10312"/>
    <cellStyle name="常规 3 2 5 2 4 3 4" xfId="25875"/>
    <cellStyle name="常规 3 2 5 2 4 4" xfId="20953"/>
    <cellStyle name="常规 3 2 5 2 4 4 2" xfId="15988"/>
    <cellStyle name="常规 3 2 5 2 4 4 2 2" xfId="27370"/>
    <cellStyle name="常规 3 2 5 2 4 4 3" xfId="10318"/>
    <cellStyle name="常规 3 2 5 2 4 4 4" xfId="6583"/>
    <cellStyle name="常规 3 2 5 2 4 5" xfId="23878"/>
    <cellStyle name="常规 3 2 5 2 4 5 2" xfId="23883"/>
    <cellStyle name="常规 3 2 5 2 4 6" xfId="23912"/>
    <cellStyle name="常规 3 2 5 2 4 7" xfId="23926"/>
    <cellStyle name="常规 3 2 5 2 4 8" xfId="23930"/>
    <cellStyle name="常规 3 2 5 2 5" xfId="20955"/>
    <cellStyle name="常规 3 2 5 2 5 2" xfId="12644"/>
    <cellStyle name="常规 3 2 5 2 5 2 2" xfId="8208"/>
    <cellStyle name="常规 3 2 5 2 5 2 2 2" xfId="8212"/>
    <cellStyle name="常规 3 2 5 2 5 2 3" xfId="8216"/>
    <cellStyle name="常规 3 2 5 2 5 2 4" xfId="8220"/>
    <cellStyle name="常规 3 2 5 2 5 3" xfId="17095"/>
    <cellStyle name="常规 3 2 5 2 5 3 2" xfId="17098"/>
    <cellStyle name="常规 3 2 5 2 5 4" xfId="17106"/>
    <cellStyle name="常规 3 2 5 2 5 5" xfId="17109"/>
    <cellStyle name="常规 3 2 5 2 5 6" xfId="17112"/>
    <cellStyle name="常规 3 2 5 2 6" xfId="12502"/>
    <cellStyle name="常规 3 2 5 2 6 2" xfId="17122"/>
    <cellStyle name="常规 3 2 5 2 6 2 2" xfId="3861"/>
    <cellStyle name="常规 3 2 5 2 6 3" xfId="17125"/>
    <cellStyle name="常规 3 2 5 2 6 4" xfId="17128"/>
    <cellStyle name="常规 3 2 5 2 7" xfId="20957"/>
    <cellStyle name="常规 3 2 5 2 7 2" xfId="17137"/>
    <cellStyle name="常规 3 2 5 2 7 2 2" xfId="27371"/>
    <cellStyle name="常规 3 2 5 2 7 3" xfId="17139"/>
    <cellStyle name="常规 3 2 5 2 7 4" xfId="27372"/>
    <cellStyle name="常规 3 2 5 2 8" xfId="20960"/>
    <cellStyle name="常规 3 2 5 2 8 2" xfId="17144"/>
    <cellStyle name="常规 3 2 5 2 9" xfId="25565"/>
    <cellStyle name="常规 3 2 5 2 9 2" xfId="27373"/>
    <cellStyle name="常规 3 2 5 3" xfId="14403"/>
    <cellStyle name="常规 3 2 5 3 10" xfId="27374"/>
    <cellStyle name="常规 3 2 5 3 11" xfId="27375"/>
    <cellStyle name="常规 3 2 5 3 2" xfId="14407"/>
    <cellStyle name="常规 3 2 5 3 2 10" xfId="27376"/>
    <cellStyle name="常规 3 2 5 3 2 2" xfId="14409"/>
    <cellStyle name="常规 3 2 5 3 2 2 2" xfId="27377"/>
    <cellStyle name="常规 3 2 5 3 2 2 2 2" xfId="11228"/>
    <cellStyle name="常规 3 2 5 3 2 2 2 2 2" xfId="11231"/>
    <cellStyle name="常规 3 2 5 3 2 2 2 2 2 2" xfId="13965"/>
    <cellStyle name="常规 3 2 5 3 2 2 2 2 3" xfId="27379"/>
    <cellStyle name="常规 3 2 5 3 2 2 2 2 4" xfId="27380"/>
    <cellStyle name="常规 3 2 5 3 2 2 2 3" xfId="11235"/>
    <cellStyle name="常规 3 2 5 3 2 2 2 3 2" xfId="27381"/>
    <cellStyle name="常规 3 2 5 3 2 2 2 4" xfId="11239"/>
    <cellStyle name="常规 3 2 5 3 2 2 2 5" xfId="27382"/>
    <cellStyle name="常规 3 2 5 3 2 2 3" xfId="19502"/>
    <cellStyle name="常规 3 2 5 3 2 2 3 2" xfId="19506"/>
    <cellStyle name="常规 3 2 5 3 2 2 3 2 2" xfId="27383"/>
    <cellStyle name="常规 3 2 5 3 2 2 3 3" xfId="22085"/>
    <cellStyle name="常规 3 2 5 3 2 2 3 4" xfId="27384"/>
    <cellStyle name="常规 3 2 5 3 2 2 4" xfId="19509"/>
    <cellStyle name="常规 3 2 5 3 2 2 4 2" xfId="15822"/>
    <cellStyle name="常规 3 2 5 3 2 2 4 2 2" xfId="27385"/>
    <cellStyle name="常规 3 2 5 3 2 2 4 3" xfId="15825"/>
    <cellStyle name="常规 3 2 5 3 2 2 4 4" xfId="27386"/>
    <cellStyle name="常规 3 2 5 3 2 2 5" xfId="13259"/>
    <cellStyle name="常规 3 2 5 3 2 2 5 2" xfId="27387"/>
    <cellStyle name="常规 3 2 5 3 2 2 6" xfId="2297"/>
    <cellStyle name="常规 3 2 5 3 2 2 7" xfId="27388"/>
    <cellStyle name="常规 3 2 5 3 2 2 8" xfId="27389"/>
    <cellStyle name="常规 3 2 5 3 2 3" xfId="14411"/>
    <cellStyle name="常规 3 2 5 3 2 3 2" xfId="27390"/>
    <cellStyle name="常规 3 2 5 3 2 3 2 2" xfId="22225"/>
    <cellStyle name="常规 3 2 5 3 2 3 2 2 2" xfId="27392"/>
    <cellStyle name="常规 3 2 5 3 2 3 2 3" xfId="6082"/>
    <cellStyle name="常规 3 2 5 3 2 3 2 4" xfId="27394"/>
    <cellStyle name="常规 3 2 5 3 2 3 3" xfId="19512"/>
    <cellStyle name="常规 3 2 5 3 2 3 3 2" xfId="1813"/>
    <cellStyle name="常规 3 2 5 3 2 3 4" xfId="27395"/>
    <cellStyle name="常规 3 2 5 3 2 3 5" xfId="13263"/>
    <cellStyle name="常规 3 2 5 3 2 3 6" xfId="2313"/>
    <cellStyle name="常规 3 2 5 3 2 4" xfId="26734"/>
    <cellStyle name="常规 3 2 5 3 2 4 2" xfId="26735"/>
    <cellStyle name="常规 3 2 5 3 2 4 2 2" xfId="27397"/>
    <cellStyle name="常规 3 2 5 3 2 4 3" xfId="27398"/>
    <cellStyle name="常规 3 2 5 3 2 4 4" xfId="2920"/>
    <cellStyle name="常规 3 2 5 3 2 5" xfId="26739"/>
    <cellStyle name="常规 3 2 5 3 2 5 2" xfId="27399"/>
    <cellStyle name="常规 3 2 5 3 2 5 2 2" xfId="27400"/>
    <cellStyle name="常规 3 2 5 3 2 5 3" xfId="27401"/>
    <cellStyle name="常规 3 2 5 3 2 5 4" xfId="27403"/>
    <cellStyle name="常规 3 2 5 3 2 6" xfId="26742"/>
    <cellStyle name="常规 3 2 5 3 2 6 2" xfId="27404"/>
    <cellStyle name="常规 3 2 5 3 2 7" xfId="26842"/>
    <cellStyle name="常规 3 2 5 3 2 7 2" xfId="27405"/>
    <cellStyle name="常规 3 2 5 3 2 8" xfId="27406"/>
    <cellStyle name="常规 3 2 5 3 2 9" xfId="27407"/>
    <cellStyle name="常规 3 2 5 3 3" xfId="14413"/>
    <cellStyle name="常规 3 2 5 3 3 2" xfId="3931"/>
    <cellStyle name="常规 3 2 5 3 3 2 2" xfId="27408"/>
    <cellStyle name="常规 3 2 5 3 3 2 2 2" xfId="22482"/>
    <cellStyle name="常规 3 2 5 3 3 2 2 2 2" xfId="21277"/>
    <cellStyle name="常规 3 2 5 3 3 2 2 3" xfId="22484"/>
    <cellStyle name="常规 3 2 5 3 3 2 2 4" xfId="27410"/>
    <cellStyle name="常规 3 2 5 3 3 2 3" xfId="21824"/>
    <cellStyle name="常规 3 2 5 3 3 2 3 2" xfId="9461"/>
    <cellStyle name="常规 3 2 5 3 3 2 4" xfId="27411"/>
    <cellStyle name="常规 3 2 5 3 3 2 5" xfId="2857"/>
    <cellStyle name="常规 3 2 5 3 3 3" xfId="27412"/>
    <cellStyle name="常规 3 2 5 3 3 3 2" xfId="9891"/>
    <cellStyle name="常规 3 2 5 3 3 3 2 2" xfId="22612"/>
    <cellStyle name="常规 3 2 5 3 3 3 3" xfId="27413"/>
    <cellStyle name="常规 3 2 5 3 3 3 4" xfId="27414"/>
    <cellStyle name="常规 3 2 5 3 3 4" xfId="26746"/>
    <cellStyle name="常规 3 2 5 3 3 4 2" xfId="16061"/>
    <cellStyle name="常规 3 2 5 3 3 4 2 2" xfId="16063"/>
    <cellStyle name="常规 3 2 5 3 3 4 3" xfId="16067"/>
    <cellStyle name="常规 3 2 5 3 3 4 4" xfId="16070"/>
    <cellStyle name="常规 3 2 5 3 3 5" xfId="23969"/>
    <cellStyle name="常规 3 2 5 3 3 5 2" xfId="16083"/>
    <cellStyle name="常规 3 2 5 3 3 6" xfId="23995"/>
    <cellStyle name="常规 3 2 5 3 3 7" xfId="24007"/>
    <cellStyle name="常规 3 2 5 3 3 8" xfId="24011"/>
    <cellStyle name="常规 3 2 5 3 4" xfId="14416"/>
    <cellStyle name="常规 3 2 5 3 4 2" xfId="20963"/>
    <cellStyle name="常规 3 2 5 3 4 2 2" xfId="27415"/>
    <cellStyle name="常规 3 2 5 3 4 2 2 2" xfId="22893"/>
    <cellStyle name="常规 3 2 5 3 4 2 3" xfId="27417"/>
    <cellStyle name="常规 3 2 5 3 4 2 4" xfId="27419"/>
    <cellStyle name="常规 3 2 5 3 4 3" xfId="27421"/>
    <cellStyle name="常规 3 2 5 3 4 3 2" xfId="9927"/>
    <cellStyle name="常规 3 2 5 3 4 4" xfId="17590"/>
    <cellStyle name="常规 3 2 5 3 4 5" xfId="24030"/>
    <cellStyle name="常规 3 2 5 3 4 6" xfId="24033"/>
    <cellStyle name="常规 3 2 5 3 5" xfId="14419"/>
    <cellStyle name="常规 3 2 5 3 5 2" xfId="17155"/>
    <cellStyle name="常规 3 2 5 3 5 2 2" xfId="17157"/>
    <cellStyle name="常规 3 2 5 3 5 3" xfId="17161"/>
    <cellStyle name="常规 3 2 5 3 5 4" xfId="17163"/>
    <cellStyle name="常规 3 2 5 3 6" xfId="20965"/>
    <cellStyle name="常规 3 2 5 3 6 2" xfId="17167"/>
    <cellStyle name="常规 3 2 5 3 6 2 2" xfId="6998"/>
    <cellStyle name="常规 3 2 5 3 6 3" xfId="17169"/>
    <cellStyle name="常规 3 2 5 3 6 4" xfId="27178"/>
    <cellStyle name="常规 3 2 5 3 7" xfId="27422"/>
    <cellStyle name="常规 3 2 5 3 7 2" xfId="17174"/>
    <cellStyle name="常规 3 2 5 3 8" xfId="12575"/>
    <cellStyle name="常规 3 2 5 3 8 2" xfId="17065"/>
    <cellStyle name="常规 3 2 5 3 9" xfId="17067"/>
    <cellStyle name="常规 3 2 5 4" xfId="14423"/>
    <cellStyle name="常规 3 2 5 4 2" xfId="14425"/>
    <cellStyle name="常规 3 2 5 4 2 2" xfId="3577"/>
    <cellStyle name="常规 3 2 5 4 2 2 2" xfId="27423"/>
    <cellStyle name="常规 3 2 5 4 2 2 2 2" xfId="27425"/>
    <cellStyle name="常规 3 2 5 4 2 2 3" xfId="27427"/>
    <cellStyle name="常规 3 2 5 4 2 2 4" xfId="27429"/>
    <cellStyle name="常规 3 2 5 4 2 3" xfId="27431"/>
    <cellStyle name="常规 3 2 5 4 2 3 2" xfId="27434"/>
    <cellStyle name="常规 3 2 5 4 2 4" xfId="4072"/>
    <cellStyle name="常规 3 2 5 4 2 5" xfId="1061"/>
    <cellStyle name="常规 3 2 5 4 3" xfId="14427"/>
    <cellStyle name="常规 3 2 5 4 3 2" xfId="27437"/>
    <cellStyle name="常规 3 2 5 4 3 2 2" xfId="27438"/>
    <cellStyle name="常规 3 2 5 4 3 3" xfId="27440"/>
    <cellStyle name="常规 3 2 5 4 3 4" xfId="2517"/>
    <cellStyle name="常规 3 2 5 4 4" xfId="14430"/>
    <cellStyle name="常规 3 2 5 4 4 2" xfId="20968"/>
    <cellStyle name="常规 3 2 5 4 4 2 2" xfId="27441"/>
    <cellStyle name="常规 3 2 5 4 4 3" xfId="27443"/>
    <cellStyle name="常规 3 2 5 4 4 4" xfId="4194"/>
    <cellStyle name="常规 3 2 5 4 5" xfId="20970"/>
    <cellStyle name="常规 3 2 5 4 5 2" xfId="17187"/>
    <cellStyle name="常规 3 2 5 4 6" xfId="20972"/>
    <cellStyle name="常规 3 2 5 4 7" xfId="27444"/>
    <cellStyle name="常规 3 2 5 4 8" xfId="17070"/>
    <cellStyle name="常规 3 2 5 5" xfId="14433"/>
    <cellStyle name="常规 3 2 5 5 2" xfId="14435"/>
    <cellStyle name="常规 3 2 5 5 2 2" xfId="27445"/>
    <cellStyle name="常规 3 2 5 5 2 2 2" xfId="27446"/>
    <cellStyle name="常规 3 2 5 5 2 3" xfId="27448"/>
    <cellStyle name="常规 3 2 5 5 2 4" xfId="4233"/>
    <cellStyle name="常规 3 2 5 5 3" xfId="27449"/>
    <cellStyle name="常规 3 2 5 5 3 2" xfId="27450"/>
    <cellStyle name="常规 3 2 5 5 4" xfId="20976"/>
    <cellStyle name="常规 3 2 5 5 5" xfId="27452"/>
    <cellStyle name="常规 3 2 5 5 6" xfId="27453"/>
    <cellStyle name="常规 3 2 5 6" xfId="14437"/>
    <cellStyle name="常规 3 2 5 6 2" xfId="27454"/>
    <cellStyle name="常规 3 2 5 6 2 2" xfId="27455"/>
    <cellStyle name="常规 3 2 5 6 3" xfId="27456"/>
    <cellStyle name="常规 3 2 5 6 4" xfId="20979"/>
    <cellStyle name="常规 3 2 5 7" xfId="14440"/>
    <cellStyle name="常规 3 2 5 7 2" xfId="27457"/>
    <cellStyle name="常规 3 2 5 7 2 2" xfId="27458"/>
    <cellStyle name="常规 3 2 5 7 3" xfId="27459"/>
    <cellStyle name="常规 3 2 5 7 4" xfId="27460"/>
    <cellStyle name="常规 3 2 5 8" xfId="3736"/>
    <cellStyle name="常规 3 2 5 8 2" xfId="3740"/>
    <cellStyle name="常规 3 2 5 9" xfId="3765"/>
    <cellStyle name="常规 3 2 5 9 2" xfId="3769"/>
    <cellStyle name="常规 3 2 6" xfId="4297"/>
    <cellStyle name="常规 3 2 6 10" xfId="27461"/>
    <cellStyle name="常规 3 2 6 11" xfId="26165"/>
    <cellStyle name="常规 3 2 6 12" xfId="26178"/>
    <cellStyle name="常规 3 2 6 2" xfId="14946"/>
    <cellStyle name="常规 3 2 6 2 10" xfId="27462"/>
    <cellStyle name="常规 3 2 6 2 11" xfId="27463"/>
    <cellStyle name="常规 3 2 6 2 12" xfId="7295"/>
    <cellStyle name="常规 3 2 6 2 2" xfId="27464"/>
    <cellStyle name="常规 3 2 6 2 2 10" xfId="27465"/>
    <cellStyle name="常规 3 2 6 2 2 2" xfId="6720"/>
    <cellStyle name="常规 3 2 6 2 2 2 2" xfId="19876"/>
    <cellStyle name="常规 3 2 6 2 2 2 2 2" xfId="18217"/>
    <cellStyle name="常规 3 2 6 2 2 2 2 2 2" xfId="27466"/>
    <cellStyle name="常规 3 2 6 2 2 2 2 2 2 2" xfId="23351"/>
    <cellStyle name="常规 3 2 6 2 2 2 2 2 3" xfId="27468"/>
    <cellStyle name="常规 3 2 6 2 2 2 2 2 4" xfId="27470"/>
    <cellStyle name="常规 3 2 6 2 2 2 2 3" xfId="18220"/>
    <cellStyle name="常规 3 2 6 2 2 2 2 3 2" xfId="27472"/>
    <cellStyle name="常规 3 2 6 2 2 2 2 4" xfId="22021"/>
    <cellStyle name="常规 3 2 6 2 2 2 2 5" xfId="22027"/>
    <cellStyle name="常规 3 2 6 2 2 2 3" xfId="27473"/>
    <cellStyle name="常规 3 2 6 2 2 2 3 2" xfId="27475"/>
    <cellStyle name="常规 3 2 6 2 2 2 3 2 2" xfId="27477"/>
    <cellStyle name="常规 3 2 6 2 2 2 3 3" xfId="27478"/>
    <cellStyle name="常规 3 2 6 2 2 2 3 4" xfId="22033"/>
    <cellStyle name="常规 3 2 6 2 2 2 4" xfId="27479"/>
    <cellStyle name="常规 3 2 6 2 2 2 4 2" xfId="25517"/>
    <cellStyle name="常规 3 2 6 2 2 2 4 2 2" xfId="27481"/>
    <cellStyle name="常规 3 2 6 2 2 2 4 3" xfId="10072"/>
    <cellStyle name="常规 3 2 6 2 2 2 4 4" xfId="27482"/>
    <cellStyle name="常规 3 2 6 2 2 2 5" xfId="27483"/>
    <cellStyle name="常规 3 2 6 2 2 2 5 2" xfId="27485"/>
    <cellStyle name="常规 3 2 6 2 2 2 6" xfId="27486"/>
    <cellStyle name="常规 3 2 6 2 2 2 7" xfId="2884"/>
    <cellStyle name="常规 3 2 6 2 2 2 8" xfId="27487"/>
    <cellStyle name="常规 3 2 6 2 2 3" xfId="5738"/>
    <cellStyle name="常规 3 2 6 2 2 3 2" xfId="27488"/>
    <cellStyle name="常规 3 2 6 2 2 3 2 2" xfId="27491"/>
    <cellStyle name="常规 3 2 6 2 2 3 2 2 2" xfId="27493"/>
    <cellStyle name="常规 3 2 6 2 2 3 2 3" xfId="27151"/>
    <cellStyle name="常规 3 2 6 2 2 3 2 4" xfId="22044"/>
    <cellStyle name="常规 3 2 6 2 2 3 3" xfId="27496"/>
    <cellStyle name="常规 3 2 6 2 2 3 3 2" xfId="27499"/>
    <cellStyle name="常规 3 2 6 2 2 3 4" xfId="27501"/>
    <cellStyle name="常规 3 2 6 2 2 3 5" xfId="27504"/>
    <cellStyle name="常规 3 2 6 2 2 3 6" xfId="27507"/>
    <cellStyle name="常规 3 2 6 2 2 4" xfId="19878"/>
    <cellStyle name="常规 3 2 6 2 2 4 2" xfId="27510"/>
    <cellStyle name="常规 3 2 6 2 2 4 2 2" xfId="27513"/>
    <cellStyle name="常规 3 2 6 2 2 4 3" xfId="27515"/>
    <cellStyle name="常规 3 2 6 2 2 4 4" xfId="27517"/>
    <cellStyle name="常规 3 2 6 2 2 5" xfId="19881"/>
    <cellStyle name="常规 3 2 6 2 2 5 2" xfId="27519"/>
    <cellStyle name="常规 3 2 6 2 2 5 2 2" xfId="27521"/>
    <cellStyle name="常规 3 2 6 2 2 5 3" xfId="26168"/>
    <cellStyle name="常规 3 2 6 2 2 5 4" xfId="26174"/>
    <cellStyle name="常规 3 2 6 2 2 6" xfId="27523"/>
    <cellStyle name="常规 3 2 6 2 2 6 2" xfId="27525"/>
    <cellStyle name="常规 3 2 6 2 2 7" xfId="27527"/>
    <cellStyle name="常规 3 2 6 2 2 7 2" xfId="27529"/>
    <cellStyle name="常规 3 2 6 2 2 8" xfId="27531"/>
    <cellStyle name="常规 3 2 6 2 2 9" xfId="25460"/>
    <cellStyle name="常规 3 2 6 2 3" xfId="27533"/>
    <cellStyle name="常规 3 2 6 2 3 10" xfId="17581"/>
    <cellStyle name="常规 3 2 6 2 3 11" xfId="27534"/>
    <cellStyle name="常规 3 2 6 2 3 2" xfId="19892"/>
    <cellStyle name="常规 3 2 6 2 3 2 10" xfId="27535"/>
    <cellStyle name="常规 3 2 6 2 3 2 2" xfId="27537"/>
    <cellStyle name="常规 3 2 6 2 3 2 2 2" xfId="27540"/>
    <cellStyle name="常规 3 2 6 2 3 2 2 2 2" xfId="25506"/>
    <cellStyle name="常规 3 2 6 2 3 2 2 2 2 2" xfId="25509"/>
    <cellStyle name="常规 3 2 6 2 3 2 2 2 2 2 2" xfId="18225"/>
    <cellStyle name="常规 3 2 6 2 3 2 2 2 2 3" xfId="20925"/>
    <cellStyle name="常规 3 2 6 2 3 2 2 2 2 4" xfId="10852"/>
    <cellStyle name="常规 3 2 6 2 3 2 2 2 3" xfId="25534"/>
    <cellStyle name="常规 3 2 6 2 3 2 2 2 3 2" xfId="25538"/>
    <cellStyle name="常规 3 2 6 2 3 2 2 2 4" xfId="25546"/>
    <cellStyle name="常规 3 2 6 2 3 2 2 2 5" xfId="25549"/>
    <cellStyle name="常规 3 2 6 2 3 2 2 3" xfId="15336"/>
    <cellStyle name="常规 3 2 6 2 3 2 2 3 2" xfId="25567"/>
    <cellStyle name="常规 3 2 6 2 3 2 2 3 2 2" xfId="25570"/>
    <cellStyle name="常规 3 2 6 2 3 2 2 3 3" xfId="25576"/>
    <cellStyle name="常规 3 2 6 2 3 2 2 3 4" xfId="25582"/>
    <cellStyle name="常规 3 2 6 2 3 2 2 4" xfId="22074"/>
    <cellStyle name="常规 3 2 6 2 3 2 2 4 2" xfId="25595"/>
    <cellStyle name="常规 3 2 6 2 3 2 2 4 2 2" xfId="6195"/>
    <cellStyle name="常规 3 2 6 2 3 2 2 4 3" xfId="25598"/>
    <cellStyle name="常规 3 2 6 2 3 2 2 4 4" xfId="25601"/>
    <cellStyle name="常规 3 2 6 2 3 2 2 5" xfId="27542"/>
    <cellStyle name="常规 3 2 6 2 3 2 2 5 2" xfId="25608"/>
    <cellStyle name="常规 3 2 6 2 3 2 2 6" xfId="27546"/>
    <cellStyle name="常规 3 2 6 2 3 2 2 7" xfId="27549"/>
    <cellStyle name="常规 3 2 6 2 3 2 2 8" xfId="27551"/>
    <cellStyle name="常规 3 2 6 2 3 2 3" xfId="27553"/>
    <cellStyle name="常规 3 2 6 2 3 2 3 2" xfId="27556"/>
    <cellStyle name="常规 3 2 6 2 3 2 3 2 2" xfId="25836"/>
    <cellStyle name="常规 3 2 6 2 3 2 3 2 2 2" xfId="15315"/>
    <cellStyle name="常规 3 2 6 2 3 2 3 2 3" xfId="25861"/>
    <cellStyle name="常规 3 2 6 2 3 2 3 2 4" xfId="25877"/>
    <cellStyle name="常规 3 2 6 2 3 2 3 3" xfId="27558"/>
    <cellStyle name="常规 3 2 6 2 3 2 3 3 2" xfId="25891"/>
    <cellStyle name="常规 3 2 6 2 3 2 3 4" xfId="27560"/>
    <cellStyle name="常规 3 2 6 2 3 2 3 5" xfId="27562"/>
    <cellStyle name="常规 3 2 6 2 3 2 3 6" xfId="27565"/>
    <cellStyle name="常规 3 2 6 2 3 2 4" xfId="27567"/>
    <cellStyle name="常规 3 2 6 2 3 2 4 2" xfId="27570"/>
    <cellStyle name="常规 3 2 6 2 3 2 4 2 2" xfId="27572"/>
    <cellStyle name="常规 3 2 6 2 3 2 4 3" xfId="27574"/>
    <cellStyle name="常规 3 2 6 2 3 2 4 4" xfId="27576"/>
    <cellStyle name="常规 3 2 6 2 3 2 5" xfId="3557"/>
    <cellStyle name="常规 3 2 6 2 3 2 5 2" xfId="3560"/>
    <cellStyle name="常规 3 2 6 2 3 2 5 2 2" xfId="3567"/>
    <cellStyle name="常规 3 2 6 2 3 2 5 3" xfId="3576"/>
    <cellStyle name="常规 3 2 6 2 3 2 5 4" xfId="27432"/>
    <cellStyle name="常规 3 2 6 2 3 2 6" xfId="3585"/>
    <cellStyle name="常规 3 2 6 2 3 2 6 2" xfId="3590"/>
    <cellStyle name="常规 3 2 6 2 3 2 7" xfId="2895"/>
    <cellStyle name="常规 3 2 6 2 3 2 7 2" xfId="3594"/>
    <cellStyle name="常规 3 2 6 2 3 2 8" xfId="3598"/>
    <cellStyle name="常规 3 2 6 2 3 2 9" xfId="6132"/>
    <cellStyle name="常规 3 2 6 2 3 3" xfId="19893"/>
    <cellStyle name="常规 3 2 6 2 3 3 2" xfId="27578"/>
    <cellStyle name="常规 3 2 6 2 3 3 2 2" xfId="27582"/>
    <cellStyle name="常规 3 2 6 2 3 3 2 2 2" xfId="27585"/>
    <cellStyle name="常规 3 2 6 2 3 3 2 2 2 2" xfId="27590"/>
    <cellStyle name="常规 3 2 6 2 3 3 2 2 3" xfId="27593"/>
    <cellStyle name="常规 3 2 6 2 3 3 2 2 4" xfId="27597"/>
    <cellStyle name="常规 3 2 6 2 3 3 2 3" xfId="15346"/>
    <cellStyle name="常规 3 2 6 2 3 3 2 3 2" xfId="27600"/>
    <cellStyle name="常规 3 2 6 2 3 3 2 4" xfId="27603"/>
    <cellStyle name="常规 3 2 6 2 3 3 2 5" xfId="27606"/>
    <cellStyle name="常规 3 2 6 2 3 3 3" xfId="27607"/>
    <cellStyle name="常规 3 2 6 2 3 3 3 2" xfId="27610"/>
    <cellStyle name="常规 3 2 6 2 3 3 3 2 2" xfId="27613"/>
    <cellStyle name="常规 3 2 6 2 3 3 3 3" xfId="27617"/>
    <cellStyle name="常规 3 2 6 2 3 3 3 4" xfId="27619"/>
    <cellStyle name="常规 3 2 6 2 3 3 4" xfId="27621"/>
    <cellStyle name="常规 3 2 6 2 3 3 4 2" xfId="27624"/>
    <cellStyle name="常规 3 2 6 2 3 3 4 2 2" xfId="27626"/>
    <cellStyle name="常规 3 2 6 2 3 3 4 3" xfId="27627"/>
    <cellStyle name="常规 3 2 6 2 3 3 4 4" xfId="27628"/>
    <cellStyle name="常规 3 2 6 2 3 3 5" xfId="3606"/>
    <cellStyle name="常规 3 2 6 2 3 3 5 2" xfId="2843"/>
    <cellStyle name="常规 3 2 6 2 3 3 6" xfId="3609"/>
    <cellStyle name="常规 3 2 6 2 3 3 7" xfId="7161"/>
    <cellStyle name="常规 3 2 6 2 3 3 8" xfId="17196"/>
    <cellStyle name="常规 3 2 6 2 3 4" xfId="27629"/>
    <cellStyle name="常规 3 2 6 2 3 4 2" xfId="16323"/>
    <cellStyle name="常规 3 2 6 2 3 4 2 2" xfId="27631"/>
    <cellStyle name="常规 3 2 6 2 3 4 2 2 2" xfId="27634"/>
    <cellStyle name="常规 3 2 6 2 3 4 2 3" xfId="27637"/>
    <cellStyle name="常规 3 2 6 2 3 4 2 4" xfId="27638"/>
    <cellStyle name="常规 3 2 6 2 3 4 3" xfId="16327"/>
    <cellStyle name="常规 3 2 6 2 3 4 3 2" xfId="27639"/>
    <cellStyle name="常规 3 2 6 2 3 4 4" xfId="27640"/>
    <cellStyle name="常规 3 2 6 2 3 4 5" xfId="3614"/>
    <cellStyle name="常规 3 2 6 2 3 4 6" xfId="3615"/>
    <cellStyle name="常规 3 2 6 2 3 5" xfId="24131"/>
    <cellStyle name="常规 3 2 6 2 3 5 2" xfId="16340"/>
    <cellStyle name="常规 3 2 6 2 3 5 2 2" xfId="24134"/>
    <cellStyle name="常规 3 2 6 2 3 5 3" xfId="24149"/>
    <cellStyle name="常规 3 2 6 2 3 5 4" xfId="24159"/>
    <cellStyle name="常规 3 2 6 2 3 6" xfId="24170"/>
    <cellStyle name="常规 3 2 6 2 3 6 2" xfId="16350"/>
    <cellStyle name="常规 3 2 6 2 3 6 2 2" xfId="24173"/>
    <cellStyle name="常规 3 2 6 2 3 6 3" xfId="24179"/>
    <cellStyle name="常规 3 2 6 2 3 6 4" xfId="24184"/>
    <cellStyle name="常规 3 2 6 2 3 7" xfId="24186"/>
    <cellStyle name="常规 3 2 6 2 3 7 2" xfId="24189"/>
    <cellStyle name="常规 3 2 6 2 3 8" xfId="24193"/>
    <cellStyle name="常规 3 2 6 2 3 8 2" xfId="7340"/>
    <cellStyle name="常规 3 2 6 2 3 9" xfId="24196"/>
    <cellStyle name="常规 3 2 6 2 4" xfId="21092"/>
    <cellStyle name="常规 3 2 6 2 4 2" xfId="12064"/>
    <cellStyle name="常规 3 2 6 2 4 2 2" xfId="12066"/>
    <cellStyle name="常规 3 2 6 2 4 2 2 2" xfId="12070"/>
    <cellStyle name="常规 3 2 6 2 4 2 2 2 2" xfId="27643"/>
    <cellStyle name="常规 3 2 6 2 4 2 2 3" xfId="27645"/>
    <cellStyle name="常规 3 2 6 2 4 2 2 4" xfId="11183"/>
    <cellStyle name="常规 3 2 6 2 4 2 3" xfId="12073"/>
    <cellStyle name="常规 3 2 6 2 4 2 3 2" xfId="27647"/>
    <cellStyle name="常规 3 2 6 2 4 2 4" xfId="27649"/>
    <cellStyle name="常规 3 2 6 2 4 2 5" xfId="3638"/>
    <cellStyle name="常规 3 2 6 2 4 3" xfId="12076"/>
    <cellStyle name="常规 3 2 6 2 4 3 2" xfId="12079"/>
    <cellStyle name="常规 3 2 6 2 4 3 2 2" xfId="27651"/>
    <cellStyle name="常规 3 2 6 2 4 3 3" xfId="27655"/>
    <cellStyle name="常规 3 2 6 2 4 3 4" xfId="27658"/>
    <cellStyle name="常规 3 2 6 2 4 4" xfId="12083"/>
    <cellStyle name="常规 3 2 6 2 4 4 2" xfId="16365"/>
    <cellStyle name="常规 3 2 6 2 4 4 2 2" xfId="27661"/>
    <cellStyle name="常规 3 2 6 2 4 4 3" xfId="27662"/>
    <cellStyle name="常规 3 2 6 2 4 4 4" xfId="27664"/>
    <cellStyle name="常规 3 2 6 2 4 5" xfId="12087"/>
    <cellStyle name="常规 3 2 6 2 4 5 2" xfId="24203"/>
    <cellStyle name="常规 3 2 6 2 4 6" xfId="24252"/>
    <cellStyle name="常规 3 2 6 2 4 7" xfId="24283"/>
    <cellStyle name="常规 3 2 6 2 4 8" xfId="24292"/>
    <cellStyle name="常规 3 2 6 2 5" xfId="21094"/>
    <cellStyle name="常规 3 2 6 2 5 2" xfId="12106"/>
    <cellStyle name="常规 3 2 6 2 5 2 2" xfId="27665"/>
    <cellStyle name="常规 3 2 6 2 5 2 2 2" xfId="14220"/>
    <cellStyle name="常规 3 2 6 2 5 2 3" xfId="23888"/>
    <cellStyle name="常规 3 2 6 2 5 2 4" xfId="27667"/>
    <cellStyle name="常规 3 2 6 2 5 3" xfId="27668"/>
    <cellStyle name="常规 3 2 6 2 5 3 2" xfId="27670"/>
    <cellStyle name="常规 3 2 6 2 5 4" xfId="27673"/>
    <cellStyle name="常规 3 2 6 2 5 5" xfId="24306"/>
    <cellStyle name="常规 3 2 6 2 5 6" xfId="6"/>
    <cellStyle name="常规 3 2 6 2 6" xfId="21096"/>
    <cellStyle name="常规 3 2 6 2 6 2" xfId="27675"/>
    <cellStyle name="常规 3 2 6 2 6 2 2" xfId="27676"/>
    <cellStyle name="常规 3 2 6 2 6 3" xfId="19976"/>
    <cellStyle name="常规 3 2 6 2 6 4" xfId="27677"/>
    <cellStyle name="常规 3 2 6 2 7" xfId="27680"/>
    <cellStyle name="常规 3 2 6 2 7 2" xfId="27681"/>
    <cellStyle name="常规 3 2 6 2 7 2 2" xfId="27682"/>
    <cellStyle name="常规 3 2 6 2 7 3" xfId="27683"/>
    <cellStyle name="常规 3 2 6 2 7 4" xfId="27686"/>
    <cellStyle name="常规 3 2 6 2 8" xfId="25575"/>
    <cellStyle name="常规 3 2 6 2 8 2" xfId="27688"/>
    <cellStyle name="常规 3 2 6 2 9" xfId="27689"/>
    <cellStyle name="常规 3 2 6 2 9 2" xfId="27690"/>
    <cellStyle name="常规 3 2 6 3" xfId="14442"/>
    <cellStyle name="常规 3 2 6 3 10" xfId="24737"/>
    <cellStyle name="常规 3 2 6 3 11" xfId="24739"/>
    <cellStyle name="常规 3 2 6 3 2" xfId="14446"/>
    <cellStyle name="常规 3 2 6 3 2 10" xfId="27691"/>
    <cellStyle name="常规 3 2 6 3 2 2" xfId="14449"/>
    <cellStyle name="常规 3 2 6 3 2 2 2" xfId="19973"/>
    <cellStyle name="常规 3 2 6 3 2 2 2 2" xfId="19977"/>
    <cellStyle name="常规 3 2 6 3 2 2 2 2 2" xfId="27692"/>
    <cellStyle name="常规 3 2 6 3 2 2 2 2 2 2" xfId="27694"/>
    <cellStyle name="常规 3 2 6 3 2 2 2 2 3" xfId="27695"/>
    <cellStyle name="常规 3 2 6 3 2 2 2 2 4" xfId="27696"/>
    <cellStyle name="常规 3 2 6 3 2 2 2 3" xfId="27678"/>
    <cellStyle name="常规 3 2 6 3 2 2 2 3 2" xfId="27697"/>
    <cellStyle name="常规 3 2 6 3 2 2 2 4" xfId="22198"/>
    <cellStyle name="常规 3 2 6 3 2 2 2 5" xfId="24347"/>
    <cellStyle name="常规 3 2 6 3 2 2 3" xfId="19980"/>
    <cellStyle name="常规 3 2 6 3 2 2 3 2" xfId="27684"/>
    <cellStyle name="常规 3 2 6 3 2 2 3 2 2" xfId="27698"/>
    <cellStyle name="常规 3 2 6 3 2 2 3 3" xfId="27687"/>
    <cellStyle name="常规 3 2 6 3 2 2 3 4" xfId="24354"/>
    <cellStyle name="常规 3 2 6 3 2 2 4" xfId="19983"/>
    <cellStyle name="常规 3 2 6 3 2 2 4 2" xfId="27699"/>
    <cellStyle name="常规 3 2 6 3 2 2 4 2 2" xfId="27701"/>
    <cellStyle name="常规 3 2 6 3 2 2 4 3" xfId="27702"/>
    <cellStyle name="常规 3 2 6 3 2 2 4 4" xfId="24359"/>
    <cellStyle name="常规 3 2 6 3 2 2 5" xfId="27703"/>
    <cellStyle name="常规 3 2 6 3 2 2 5 2" xfId="27705"/>
    <cellStyle name="常规 3 2 6 3 2 2 6" xfId="27706"/>
    <cellStyle name="常规 3 2 6 3 2 2 7" xfId="27707"/>
    <cellStyle name="常规 3 2 6 3 2 2 8" xfId="27708"/>
    <cellStyle name="常规 3 2 6 3 2 3" xfId="19985"/>
    <cellStyle name="常规 3 2 6 3 2 3 2" xfId="19989"/>
    <cellStyle name="常规 3 2 6 3 2 3 2 2" xfId="27709"/>
    <cellStyle name="常规 3 2 6 3 2 3 2 2 2" xfId="27712"/>
    <cellStyle name="常规 3 2 6 3 2 3 2 3" xfId="27714"/>
    <cellStyle name="常规 3 2 6 3 2 3 2 4" xfId="24450"/>
    <cellStyle name="常规 3 2 6 3 2 3 3" xfId="27716"/>
    <cellStyle name="常规 3 2 6 3 2 3 3 2" xfId="27719"/>
    <cellStyle name="常规 3 2 6 3 2 3 4" xfId="27720"/>
    <cellStyle name="常规 3 2 6 3 2 3 5" xfId="27723"/>
    <cellStyle name="常规 3 2 6 3 2 3 6" xfId="27724"/>
    <cellStyle name="常规 3 2 6 3 2 4" xfId="19995"/>
    <cellStyle name="常规 3 2 6 3 2 4 2" xfId="20000"/>
    <cellStyle name="常规 3 2 6 3 2 4 2 2" xfId="27725"/>
    <cellStyle name="常规 3 2 6 3 2 4 3" xfId="27726"/>
    <cellStyle name="常规 3 2 6 3 2 4 4" xfId="27727"/>
    <cellStyle name="常规 3 2 6 3 2 5" xfId="20005"/>
    <cellStyle name="常规 3 2 6 3 2 5 2" xfId="27728"/>
    <cellStyle name="常规 3 2 6 3 2 5 2 2" xfId="27729"/>
    <cellStyle name="常规 3 2 6 3 2 5 3" xfId="26206"/>
    <cellStyle name="常规 3 2 6 3 2 5 4" xfId="27730"/>
    <cellStyle name="常规 3 2 6 3 2 6" xfId="20010"/>
    <cellStyle name="常规 3 2 6 3 2 6 2" xfId="27732"/>
    <cellStyle name="常规 3 2 6 3 2 7" xfId="27733"/>
    <cellStyle name="常规 3 2 6 3 2 7 2" xfId="27734"/>
    <cellStyle name="常规 3 2 6 3 2 8" xfId="27735"/>
    <cellStyle name="常规 3 2 6 3 2 9" xfId="25465"/>
    <cellStyle name="常规 3 2 6 3 3" xfId="14450"/>
    <cellStyle name="常规 3 2 6 3 3 2" xfId="20039"/>
    <cellStyle name="常规 3 2 6 3 3 2 2" xfId="20043"/>
    <cellStyle name="常规 3 2 6 3 3 2 2 2" xfId="27736"/>
    <cellStyle name="常规 3 2 6 3 3 2 2 2 2" xfId="21588"/>
    <cellStyle name="常规 3 2 6 3 3 2 2 3" xfId="15440"/>
    <cellStyle name="常规 3 2 6 3 3 2 2 4" xfId="15445"/>
    <cellStyle name="常规 3 2 6 3 3 2 3" xfId="27738"/>
    <cellStyle name="常规 3 2 6 3 3 2 3 2" xfId="27740"/>
    <cellStyle name="常规 3 2 6 3 3 2 4" xfId="27742"/>
    <cellStyle name="常规 3 2 6 3 3 2 5" xfId="3680"/>
    <cellStyle name="常规 3 2 6 3 3 3" xfId="20045"/>
    <cellStyle name="常规 3 2 6 3 3 3 2" xfId="27744"/>
    <cellStyle name="常规 3 2 6 3 3 3 2 2" xfId="27747"/>
    <cellStyle name="常规 3 2 6 3 3 3 3" xfId="27749"/>
    <cellStyle name="常规 3 2 6 3 3 3 4" xfId="27750"/>
    <cellStyle name="常规 3 2 6 3 3 4" xfId="20049"/>
    <cellStyle name="常规 3 2 6 3 3 4 2" xfId="16411"/>
    <cellStyle name="常规 3 2 6 3 3 4 2 2" xfId="27751"/>
    <cellStyle name="常规 3 2 6 3 3 4 3" xfId="27752"/>
    <cellStyle name="常规 3 2 6 3 3 4 4" xfId="27753"/>
    <cellStyle name="常规 3 2 6 3 3 5" xfId="20054"/>
    <cellStyle name="常规 3 2 6 3 3 5 2" xfId="24368"/>
    <cellStyle name="常规 3 2 6 3 3 6" xfId="24391"/>
    <cellStyle name="常规 3 2 6 3 3 7" xfId="24402"/>
    <cellStyle name="常规 3 2 6 3 3 8" xfId="24408"/>
    <cellStyle name="常规 3 2 6 3 4" xfId="14454"/>
    <cellStyle name="常规 3 2 6 3 4 2" xfId="12136"/>
    <cellStyle name="常规 3 2 6 3 4 2 2" xfId="27754"/>
    <cellStyle name="常规 3 2 6 3 4 2 2 2" xfId="27755"/>
    <cellStyle name="常规 3 2 6 3 4 2 3" xfId="27757"/>
    <cellStyle name="常规 3 2 6 3 4 2 4" xfId="27758"/>
    <cellStyle name="常规 3 2 6 3 4 3" xfId="20064"/>
    <cellStyle name="常规 3 2 6 3 4 3 2" xfId="15210"/>
    <cellStyle name="常规 3 2 6 3 4 4" xfId="27759"/>
    <cellStyle name="常规 3 2 6 3 4 5" xfId="24423"/>
    <cellStyle name="常规 3 2 6 3 4 6" xfId="24426"/>
    <cellStyle name="常规 3 2 6 3 5" xfId="21099"/>
    <cellStyle name="常规 3 2 6 3 5 2" xfId="27762"/>
    <cellStyle name="常规 3 2 6 3 5 2 2" xfId="27763"/>
    <cellStyle name="常规 3 2 6 3 5 3" xfId="27764"/>
    <cellStyle name="常规 3 2 6 3 5 4" xfId="6220"/>
    <cellStyle name="常规 3 2 6 3 6" xfId="21102"/>
    <cellStyle name="常规 3 2 6 3 6 2" xfId="27766"/>
    <cellStyle name="常规 3 2 6 3 6 2 2" xfId="27767"/>
    <cellStyle name="常规 3 2 6 3 6 3" xfId="27710"/>
    <cellStyle name="常规 3 2 6 3 6 4" xfId="27715"/>
    <cellStyle name="常规 3 2 6 3 7" xfId="27768"/>
    <cellStyle name="常规 3 2 6 3 7 2" xfId="27769"/>
    <cellStyle name="常规 3 2 6 3 8" xfId="12592"/>
    <cellStyle name="常规 3 2 6 3 8 2" xfId="27770"/>
    <cellStyle name="常规 3 2 6 3 9" xfId="27771"/>
    <cellStyle name="常规 3 2 6 4" xfId="14458"/>
    <cellStyle name="常规 3 2 6 4 2" xfId="14460"/>
    <cellStyle name="常规 3 2 6 4 2 2" xfId="14463"/>
    <cellStyle name="常规 3 2 6 4 2 2 2" xfId="27773"/>
    <cellStyle name="常规 3 2 6 4 2 2 2 2" xfId="17686"/>
    <cellStyle name="常规 3 2 6 4 2 2 3" xfId="27775"/>
    <cellStyle name="常规 3 2 6 4 2 2 4" xfId="27777"/>
    <cellStyle name="常规 3 2 6 4 2 3" xfId="27779"/>
    <cellStyle name="常规 3 2 6 4 2 3 2" xfId="27782"/>
    <cellStyle name="常规 3 2 6 4 2 4" xfId="4351"/>
    <cellStyle name="常规 3 2 6 4 2 5" xfId="2658"/>
    <cellStyle name="常规 3 2 6 4 3" xfId="14464"/>
    <cellStyle name="常规 3 2 6 4 3 2" xfId="27786"/>
    <cellStyle name="常规 3 2 6 4 3 2 2" xfId="27787"/>
    <cellStyle name="常规 3 2 6 4 3 3" xfId="27789"/>
    <cellStyle name="常规 3 2 6 4 3 4" xfId="4405"/>
    <cellStyle name="常规 3 2 6 4 4" xfId="14469"/>
    <cellStyle name="常规 3 2 6 4 4 2" xfId="27791"/>
    <cellStyle name="常规 3 2 6 4 4 2 2" xfId="27792"/>
    <cellStyle name="常规 3 2 6 4 4 3" xfId="27793"/>
    <cellStyle name="常规 3 2 6 4 4 4" xfId="5304"/>
    <cellStyle name="常规 3 2 6 4 5" xfId="27794"/>
    <cellStyle name="常规 3 2 6 4 5 2" xfId="27795"/>
    <cellStyle name="常规 3 2 6 4 6" xfId="27796"/>
    <cellStyle name="常规 3 2 6 4 7" xfId="27797"/>
    <cellStyle name="常规 3 2 6 4 8" xfId="27798"/>
    <cellStyle name="常规 3 2 6 5" xfId="14470"/>
    <cellStyle name="常规 3 2 6 5 2" xfId="14474"/>
    <cellStyle name="常规 3 2 6 5 2 2" xfId="27799"/>
    <cellStyle name="常规 3 2 6 5 2 2 2" xfId="27801"/>
    <cellStyle name="常规 3 2 6 5 2 3" xfId="27804"/>
    <cellStyle name="常规 3 2 6 5 2 4" xfId="4454"/>
    <cellStyle name="常规 3 2 6 5 3" xfId="24311"/>
    <cellStyle name="常规 3 2 6 5 3 2" xfId="24315"/>
    <cellStyle name="常规 3 2 6 5 4" xfId="21107"/>
    <cellStyle name="常规 3 2 6 5 5" xfId="24317"/>
    <cellStyle name="常规 3 2 6 5 6" xfId="27808"/>
    <cellStyle name="常规 3 2 6 6" xfId="14477"/>
    <cellStyle name="常规 3 2 6 6 2" xfId="27809"/>
    <cellStyle name="常规 3 2 6 6 2 2" xfId="27811"/>
    <cellStyle name="常规 3 2 6 6 3" xfId="24322"/>
    <cellStyle name="常规 3 2 6 6 4" xfId="27812"/>
    <cellStyle name="常规 3 2 6 7" xfId="14480"/>
    <cellStyle name="常规 3 2 6 7 2" xfId="27813"/>
    <cellStyle name="常规 3 2 6 7 2 2" xfId="24245"/>
    <cellStyle name="常规 3 2 6 7 3" xfId="27815"/>
    <cellStyle name="常规 3 2 6 7 4" xfId="27817"/>
    <cellStyle name="常规 3 2 6 8" xfId="3807"/>
    <cellStyle name="常规 3 2 6 8 2" xfId="3812"/>
    <cellStyle name="常规 3 2 6 9" xfId="3830"/>
    <cellStyle name="常规 3 2 6 9 2" xfId="3838"/>
    <cellStyle name="常规 3 2 7" xfId="24294"/>
    <cellStyle name="常规 3 2 7 10" xfId="7522"/>
    <cellStyle name="常规 3 2 7 11" xfId="27818"/>
    <cellStyle name="常规 3 2 7 12" xfId="27820"/>
    <cellStyle name="常规 3 2 7 2" xfId="25139"/>
    <cellStyle name="常规 3 2 7 2 10" xfId="27821"/>
    <cellStyle name="常规 3 2 7 2 11" xfId="27823"/>
    <cellStyle name="常规 3 2 7 2 12" xfId="27827"/>
    <cellStyle name="常规 3 2 7 2 2" xfId="27830"/>
    <cellStyle name="常规 3 2 7 2 2 10" xfId="27833"/>
    <cellStyle name="常规 3 2 7 2 2 2" xfId="13650"/>
    <cellStyle name="常规 3 2 7 2 2 2 2" xfId="20174"/>
    <cellStyle name="常规 3 2 7 2 2 2 2 2" xfId="16161"/>
    <cellStyle name="常规 3 2 7 2 2 2 2 2 2" xfId="3155"/>
    <cellStyle name="常规 3 2 7 2 2 2 2 2 2 2" xfId="7657"/>
    <cellStyle name="常规 3 2 7 2 2 2 2 2 3" xfId="27835"/>
    <cellStyle name="常规 3 2 7 2 2 2 2 2 4" xfId="24055"/>
    <cellStyle name="常规 3 2 7 2 2 2 2 3" xfId="16164"/>
    <cellStyle name="常规 3 2 7 2 2 2 2 3 2" xfId="27837"/>
    <cellStyle name="常规 3 2 7 2 2 2 2 4" xfId="22425"/>
    <cellStyle name="常规 3 2 7 2 2 2 2 5" xfId="22428"/>
    <cellStyle name="常规 3 2 7 2 2 2 3" xfId="27838"/>
    <cellStyle name="常规 3 2 7 2 2 2 3 2" xfId="16169"/>
    <cellStyle name="常规 3 2 7 2 2 2 3 2 2" xfId="27840"/>
    <cellStyle name="常规 3 2 7 2 2 2 3 3" xfId="16171"/>
    <cellStyle name="常规 3 2 7 2 2 2 3 4" xfId="22435"/>
    <cellStyle name="常规 3 2 7 2 2 2 4" xfId="27841"/>
    <cellStyle name="常规 3 2 7 2 2 2 4 2" xfId="25842"/>
    <cellStyle name="常规 3 2 7 2 2 2 4 2 2" xfId="27844"/>
    <cellStyle name="常规 3 2 7 2 2 2 4 3" xfId="25844"/>
    <cellStyle name="常规 3 2 7 2 2 2 4 4" xfId="27845"/>
    <cellStyle name="常规 3 2 7 2 2 2 5" xfId="27846"/>
    <cellStyle name="常规 3 2 7 2 2 2 5 2" xfId="18507"/>
    <cellStyle name="常规 3 2 7 2 2 2 6" xfId="27847"/>
    <cellStyle name="常规 3 2 7 2 2 2 7" xfId="27848"/>
    <cellStyle name="常规 3 2 7 2 2 2 8" xfId="27849"/>
    <cellStyle name="常规 3 2 7 2 2 3" xfId="20177"/>
    <cellStyle name="常规 3 2 7 2 2 3 2" xfId="27850"/>
    <cellStyle name="常规 3 2 7 2 2 3 2 2" xfId="27853"/>
    <cellStyle name="常规 3 2 7 2 2 3 2 2 2" xfId="6806"/>
    <cellStyle name="常规 3 2 7 2 2 3 2 3" xfId="27855"/>
    <cellStyle name="常规 3 2 7 2 2 3 2 4" xfId="22443"/>
    <cellStyle name="常规 3 2 7 2 2 3 3" xfId="27856"/>
    <cellStyle name="常规 3 2 7 2 2 3 3 2" xfId="27858"/>
    <cellStyle name="常规 3 2 7 2 2 3 4" xfId="27859"/>
    <cellStyle name="常规 3 2 7 2 2 3 5" xfId="27862"/>
    <cellStyle name="常规 3 2 7 2 2 3 6" xfId="27863"/>
    <cellStyle name="常规 3 2 7 2 2 4" xfId="20180"/>
    <cellStyle name="常规 3 2 7 2 2 4 2" xfId="27864"/>
    <cellStyle name="常规 3 2 7 2 2 4 2 2" xfId="9698"/>
    <cellStyle name="常规 3 2 7 2 2 4 3" xfId="27866"/>
    <cellStyle name="常规 3 2 7 2 2 4 4" xfId="27867"/>
    <cellStyle name="常规 3 2 7 2 2 5" xfId="9679"/>
    <cellStyle name="常规 3 2 7 2 2 5 2" xfId="27868"/>
    <cellStyle name="常规 3 2 7 2 2 5 2 2" xfId="27869"/>
    <cellStyle name="常规 3 2 7 2 2 5 3" xfId="26249"/>
    <cellStyle name="常规 3 2 7 2 2 5 4" xfId="27870"/>
    <cellStyle name="常规 3 2 7 2 2 6" xfId="27871"/>
    <cellStyle name="常规 3 2 7 2 2 6 2" xfId="27873"/>
    <cellStyle name="常规 3 2 7 2 2 7" xfId="27874"/>
    <cellStyle name="常规 3 2 7 2 2 7 2" xfId="27876"/>
    <cellStyle name="常规 3 2 7 2 2 8" xfId="1655"/>
    <cellStyle name="常规 3 2 7 2 2 9" xfId="2591"/>
    <cellStyle name="常规 3 2 7 2 3" xfId="27877"/>
    <cellStyle name="常规 3 2 7 2 3 10" xfId="27878"/>
    <cellStyle name="常规 3 2 7 2 3 11" xfId="27879"/>
    <cellStyle name="常规 3 2 7 2 3 2" xfId="20192"/>
    <cellStyle name="常规 3 2 7 2 3 2 10" xfId="27880"/>
    <cellStyle name="常规 3 2 7 2 3 2 2" xfId="27881"/>
    <cellStyle name="常规 3 2 7 2 3 2 2 2" xfId="27883"/>
    <cellStyle name="常规 3 2 7 2 3 2 2 2 2" xfId="27885"/>
    <cellStyle name="常规 3 2 7 2 3 2 2 2 2 2" xfId="5140"/>
    <cellStyle name="常规 3 2 7 2 3 2 2 2 2 2 2" xfId="4712"/>
    <cellStyle name="常规 3 2 7 2 3 2 2 2 2 3" xfId="6578"/>
    <cellStyle name="常规 3 2 7 2 3 2 2 2 2 4" xfId="6588"/>
    <cellStyle name="常规 3 2 7 2 3 2 2 2 3" xfId="27887"/>
    <cellStyle name="常规 3 2 7 2 3 2 2 2 3 2" xfId="6621"/>
    <cellStyle name="常规 3 2 7 2 3 2 2 2 4" xfId="24452"/>
    <cellStyle name="常规 3 2 7 2 3 2 2 2 5" xfId="27890"/>
    <cellStyle name="常规 3 2 7 2 3 2 2 3" xfId="27892"/>
    <cellStyle name="常规 3 2 7 2 3 2 2 3 2" xfId="27894"/>
    <cellStyle name="常规 3 2 7 2 3 2 2 3 2 2" xfId="27896"/>
    <cellStyle name="常规 3 2 7 2 3 2 2 3 3" xfId="27898"/>
    <cellStyle name="常规 3 2 7 2 3 2 2 3 4" xfId="26524"/>
    <cellStyle name="常规 3 2 7 2 3 2 2 4" xfId="22460"/>
    <cellStyle name="常规 3 2 7 2 3 2 2 4 2" xfId="27900"/>
    <cellStyle name="常规 3 2 7 2 3 2 2 4 2 2" xfId="27903"/>
    <cellStyle name="常规 3 2 7 2 3 2 2 4 3" xfId="27907"/>
    <cellStyle name="常规 3 2 7 2 3 2 2 4 4" xfId="14984"/>
    <cellStyle name="常规 3 2 7 2 3 2 2 5" xfId="27909"/>
    <cellStyle name="常规 3 2 7 2 3 2 2 5 2" xfId="27911"/>
    <cellStyle name="常规 3 2 7 2 3 2 2 6" xfId="12855"/>
    <cellStyle name="常规 3 2 7 2 3 2 2 7" xfId="12898"/>
    <cellStyle name="常规 3 2 7 2 3 2 2 8" xfId="12909"/>
    <cellStyle name="常规 3 2 7 2 3 2 3" xfId="9723"/>
    <cellStyle name="常规 3 2 7 2 3 2 3 2" xfId="9726"/>
    <cellStyle name="常规 3 2 7 2 3 2 3 2 2" xfId="9729"/>
    <cellStyle name="常规 3 2 7 2 3 2 3 2 2 2" xfId="6987"/>
    <cellStyle name="常规 3 2 7 2 3 2 3 2 3" xfId="9733"/>
    <cellStyle name="常规 3 2 7 2 3 2 3 2 4" xfId="9740"/>
    <cellStyle name="常规 3 2 7 2 3 2 3 3" xfId="4089"/>
    <cellStyle name="常规 3 2 7 2 3 2 3 3 2" xfId="9745"/>
    <cellStyle name="常规 3 2 7 2 3 2 3 4" xfId="9752"/>
    <cellStyle name="常规 3 2 7 2 3 2 3 5" xfId="3630"/>
    <cellStyle name="常规 3 2 7 2 3 2 3 6" xfId="9763"/>
    <cellStyle name="常规 3 2 7 2 3 2 4" xfId="9766"/>
    <cellStyle name="常规 3 2 7 2 3 2 4 2" xfId="9769"/>
    <cellStyle name="常规 3 2 7 2 3 2 4 2 2" xfId="9772"/>
    <cellStyle name="常规 3 2 7 2 3 2 4 3" xfId="9783"/>
    <cellStyle name="常规 3 2 7 2 3 2 4 4" xfId="9800"/>
    <cellStyle name="常规 3 2 7 2 3 2 5" xfId="3752"/>
    <cellStyle name="常规 3 2 7 2 3 2 5 2" xfId="9825"/>
    <cellStyle name="常规 3 2 7 2 3 2 5 2 2" xfId="9828"/>
    <cellStyle name="常规 3 2 7 2 3 2 5 3" xfId="9835"/>
    <cellStyle name="常规 3 2 7 2 3 2 5 4" xfId="9845"/>
    <cellStyle name="常规 3 2 7 2 3 2 6" xfId="6835"/>
    <cellStyle name="常规 3 2 7 2 3 2 6 2" xfId="9849"/>
    <cellStyle name="常规 3 2 7 2 3 2 7" xfId="9856"/>
    <cellStyle name="常规 3 2 7 2 3 2 7 2" xfId="9859"/>
    <cellStyle name="常规 3 2 7 2 3 2 8" xfId="9865"/>
    <cellStyle name="常规 3 2 7 2 3 2 9" xfId="9870"/>
    <cellStyle name="常规 3 2 7 2 3 3" xfId="20193"/>
    <cellStyle name="常规 3 2 7 2 3 3 2" xfId="27913"/>
    <cellStyle name="常规 3 2 7 2 3 3 2 2" xfId="14552"/>
    <cellStyle name="常规 3 2 7 2 3 3 2 2 2" xfId="27917"/>
    <cellStyle name="常规 3 2 7 2 3 3 2 2 2 2" xfId="27920"/>
    <cellStyle name="常规 3 2 7 2 3 3 2 2 3" xfId="27922"/>
    <cellStyle name="常规 3 2 7 2 3 3 2 2 4" xfId="27925"/>
    <cellStyle name="常规 3 2 7 2 3 3 2 3" xfId="27927"/>
    <cellStyle name="常规 3 2 7 2 3 3 2 3 2" xfId="27929"/>
    <cellStyle name="常规 3 2 7 2 3 3 2 4" xfId="27931"/>
    <cellStyle name="常规 3 2 7 2 3 3 2 5" xfId="27933"/>
    <cellStyle name="常规 3 2 7 2 3 3 3" xfId="27934"/>
    <cellStyle name="常规 3 2 7 2 3 3 3 2" xfId="27936"/>
    <cellStyle name="常规 3 2 7 2 3 3 3 2 2" xfId="27938"/>
    <cellStyle name="常规 3 2 7 2 3 3 3 3" xfId="27941"/>
    <cellStyle name="常规 3 2 7 2 3 3 3 4" xfId="27943"/>
    <cellStyle name="常规 3 2 7 2 3 3 4" xfId="27945"/>
    <cellStyle name="常规 3 2 7 2 3 3 4 2" xfId="27947"/>
    <cellStyle name="常规 3 2 7 2 3 3 4 2 2" xfId="27949"/>
    <cellStyle name="常规 3 2 7 2 3 3 4 3" xfId="27950"/>
    <cellStyle name="常规 3 2 7 2 3 3 4 4" xfId="27951"/>
    <cellStyle name="常规 3 2 7 2 3 3 5" xfId="27952"/>
    <cellStyle name="常规 3 2 7 2 3 3 5 2" xfId="21154"/>
    <cellStyle name="常规 3 2 7 2 3 3 6" xfId="6844"/>
    <cellStyle name="常规 3 2 7 2 3 3 7" xfId="27954"/>
    <cellStyle name="常规 3 2 7 2 3 3 8" xfId="27956"/>
    <cellStyle name="常规 3 2 7 2 3 4" xfId="27958"/>
    <cellStyle name="常规 3 2 7 2 3 4 2" xfId="532"/>
    <cellStyle name="常规 3 2 7 2 3 4 2 2" xfId="27960"/>
    <cellStyle name="常规 3 2 7 2 3 4 2 2 2" xfId="27962"/>
    <cellStyle name="常规 3 2 7 2 3 4 2 3" xfId="27965"/>
    <cellStyle name="常规 3 2 7 2 3 4 2 4" xfId="27966"/>
    <cellStyle name="常规 3 2 7 2 3 4 3" xfId="27967"/>
    <cellStyle name="常规 3 2 7 2 3 4 3 2" xfId="27969"/>
    <cellStyle name="常规 3 2 7 2 3 4 4" xfId="27970"/>
    <cellStyle name="常规 3 2 7 2 3 4 5" xfId="23072"/>
    <cellStyle name="常规 3 2 7 2 3 4 6" xfId="27972"/>
    <cellStyle name="常规 3 2 7 2 3 5" xfId="24538"/>
    <cellStyle name="常规 3 2 7 2 3 5 2" xfId="24541"/>
    <cellStyle name="常规 3 2 7 2 3 5 2 2" xfId="24544"/>
    <cellStyle name="常规 3 2 7 2 3 5 3" xfId="24558"/>
    <cellStyle name="常规 3 2 7 2 3 5 4" xfId="24564"/>
    <cellStyle name="常规 3 2 7 2 3 6" xfId="24579"/>
    <cellStyle name="常规 3 2 7 2 3 6 2" xfId="24581"/>
    <cellStyle name="常规 3 2 7 2 3 6 2 2" xfId="24584"/>
    <cellStyle name="常规 3 2 7 2 3 6 3" xfId="19404"/>
    <cellStyle name="常规 3 2 7 2 3 6 4" xfId="24589"/>
    <cellStyle name="常规 3 2 7 2 3 7" xfId="24594"/>
    <cellStyle name="常规 3 2 7 2 3 7 2" xfId="24596"/>
    <cellStyle name="常规 3 2 7 2 3 8" xfId="2597"/>
    <cellStyle name="常规 3 2 7 2 3 8 2" xfId="2603"/>
    <cellStyle name="常规 3 2 7 2 3 9" xfId="3389"/>
    <cellStyle name="常规 3 2 7 2 4" xfId="27973"/>
    <cellStyle name="常规 3 2 7 2 4 2" xfId="27974"/>
    <cellStyle name="常规 3 2 7 2 4 2 2" xfId="27975"/>
    <cellStyle name="常规 3 2 7 2 4 2 2 2" xfId="21615"/>
    <cellStyle name="常规 3 2 7 2 4 2 2 2 2" xfId="27977"/>
    <cellStyle name="常规 3 2 7 2 4 2 2 3" xfId="6213"/>
    <cellStyle name="常规 3 2 7 2 4 2 2 4" xfId="990"/>
    <cellStyle name="常规 3 2 7 2 4 2 3" xfId="27978"/>
    <cellStyle name="常规 3 2 7 2 4 2 3 2" xfId="27980"/>
    <cellStyle name="常规 3 2 7 2 4 2 4" xfId="27981"/>
    <cellStyle name="常规 3 2 7 2 4 2 5" xfId="27983"/>
    <cellStyle name="常规 3 2 7 2 4 3" xfId="27985"/>
    <cellStyle name="常规 3 2 7 2 4 3 2" xfId="27987"/>
    <cellStyle name="常规 3 2 7 2 4 3 2 2" xfId="27991"/>
    <cellStyle name="常规 3 2 7 2 4 3 3" xfId="27992"/>
    <cellStyle name="常规 3 2 7 2 4 3 4" xfId="27994"/>
    <cellStyle name="常规 3 2 7 2 4 4" xfId="27995"/>
    <cellStyle name="常规 3 2 7 2 4 4 2" xfId="27997"/>
    <cellStyle name="常规 3 2 7 2 4 4 2 2" xfId="27999"/>
    <cellStyle name="常规 3 2 7 2 4 4 3" xfId="28000"/>
    <cellStyle name="常规 3 2 7 2 4 4 4" xfId="28002"/>
    <cellStyle name="常规 3 2 7 2 4 5" xfId="24607"/>
    <cellStyle name="常规 3 2 7 2 4 5 2" xfId="24612"/>
    <cellStyle name="常规 3 2 7 2 4 6" xfId="24670"/>
    <cellStyle name="常规 3 2 7 2 4 7" xfId="16790"/>
    <cellStyle name="常规 3 2 7 2 4 8" xfId="3398"/>
    <cellStyle name="常规 3 2 7 2 5" xfId="28003"/>
    <cellStyle name="常规 3 2 7 2 5 2" xfId="28004"/>
    <cellStyle name="常规 3 2 7 2 5 2 2" xfId="28005"/>
    <cellStyle name="常规 3 2 7 2 5 2 2 2" xfId="16872"/>
    <cellStyle name="常规 3 2 7 2 5 2 3" xfId="28007"/>
    <cellStyle name="常规 3 2 7 2 5 2 4" xfId="5887"/>
    <cellStyle name="常规 3 2 7 2 5 3" xfId="28009"/>
    <cellStyle name="常规 3 2 7 2 5 3 2" xfId="28011"/>
    <cellStyle name="常规 3 2 7 2 5 4" xfId="28013"/>
    <cellStyle name="常规 3 2 7 2 5 5" xfId="24709"/>
    <cellStyle name="常规 3 2 7 2 5 6" xfId="24727"/>
    <cellStyle name="常规 3 2 7 2 6" xfId="28014"/>
    <cellStyle name="常规 3 2 7 2 6 2" xfId="28015"/>
    <cellStyle name="常规 3 2 7 2 6 2 2" xfId="28016"/>
    <cellStyle name="常规 3 2 7 2 6 3" xfId="27737"/>
    <cellStyle name="常规 3 2 7 2 6 4" xfId="15441"/>
    <cellStyle name="常规 3 2 7 2 7" xfId="9868"/>
    <cellStyle name="常规 3 2 7 2 7 2" xfId="28018"/>
    <cellStyle name="常规 3 2 7 2 7 2 2" xfId="17046"/>
    <cellStyle name="常规 3 2 7 2 7 3" xfId="27741"/>
    <cellStyle name="常规 3 2 7 2 7 4" xfId="15448"/>
    <cellStyle name="常规 3 2 7 2 8" xfId="25581"/>
    <cellStyle name="常规 3 2 7 2 8 2" xfId="17315"/>
    <cellStyle name="常规 3 2 7 2 9" xfId="28019"/>
    <cellStyle name="常规 3 2 7 2 9 2" xfId="28020"/>
    <cellStyle name="常规 3 2 7 3" xfId="14490"/>
    <cellStyle name="常规 3 2 7 3 10" xfId="28021"/>
    <cellStyle name="常规 3 2 7 3 11" xfId="20723"/>
    <cellStyle name="常规 3 2 7 3 2" xfId="14493"/>
    <cellStyle name="常规 3 2 7 3 2 10" xfId="28022"/>
    <cellStyle name="常规 3 2 7 3 2 2" xfId="13995"/>
    <cellStyle name="常规 3 2 7 3 2 2 2" xfId="28023"/>
    <cellStyle name="常规 3 2 7 3 2 2 2 2" xfId="28025"/>
    <cellStyle name="常规 3 2 7 3 2 2 2 2 2" xfId="1693"/>
    <cellStyle name="常规 3 2 7 3 2 2 2 2 2 2" xfId="1695"/>
    <cellStyle name="常规 3 2 7 3 2 2 2 2 3" xfId="44"/>
    <cellStyle name="常规 3 2 7 3 2 2 2 2 4" xfId="1719"/>
    <cellStyle name="常规 3 2 7 3 2 2 2 3" xfId="28026"/>
    <cellStyle name="常规 3 2 7 3 2 2 2 3 2" xfId="170"/>
    <cellStyle name="常规 3 2 7 3 2 2 2 4" xfId="22587"/>
    <cellStyle name="常规 3 2 7 3 2 2 2 5" xfId="28027"/>
    <cellStyle name="常规 3 2 7 3 2 2 3" xfId="28028"/>
    <cellStyle name="常规 3 2 7 3 2 2 3 2" xfId="28030"/>
    <cellStyle name="常规 3 2 7 3 2 2 3 2 2" xfId="1401"/>
    <cellStyle name="常规 3 2 7 3 2 2 3 3" xfId="28031"/>
    <cellStyle name="常规 3 2 7 3 2 2 3 4" xfId="28032"/>
    <cellStyle name="常规 3 2 7 3 2 2 4" xfId="28033"/>
    <cellStyle name="常规 3 2 7 3 2 2 4 2" xfId="28035"/>
    <cellStyle name="常规 3 2 7 3 2 2 4 2 2" xfId="1985"/>
    <cellStyle name="常规 3 2 7 3 2 2 4 3" xfId="28036"/>
    <cellStyle name="常规 3 2 7 3 2 2 4 4" xfId="28037"/>
    <cellStyle name="常规 3 2 7 3 2 2 5" xfId="28038"/>
    <cellStyle name="常规 3 2 7 3 2 2 5 2" xfId="23533"/>
    <cellStyle name="常规 3 2 7 3 2 2 6" xfId="28039"/>
    <cellStyle name="常规 3 2 7 3 2 2 7" xfId="28040"/>
    <cellStyle name="常规 3 2 7 3 2 2 8" xfId="10842"/>
    <cellStyle name="常规 3 2 7 3 2 3" xfId="1458"/>
    <cellStyle name="常规 3 2 7 3 2 3 2" xfId="1463"/>
    <cellStyle name="常规 3 2 7 3 2 3 2 2" xfId="26955"/>
    <cellStyle name="常规 3 2 7 3 2 3 2 2 2" xfId="2130"/>
    <cellStyle name="常规 3 2 7 3 2 3 2 3" xfId="6039"/>
    <cellStyle name="常规 3 2 7 3 2 3 2 4" xfId="28041"/>
    <cellStyle name="常规 3 2 7 3 2 3 3" xfId="28042"/>
    <cellStyle name="常规 3 2 7 3 2 3 3 2" xfId="28043"/>
    <cellStyle name="常规 3 2 7 3 2 3 4" xfId="28044"/>
    <cellStyle name="常规 3 2 7 3 2 3 5" xfId="28045"/>
    <cellStyle name="常规 3 2 7 3 2 3 6" xfId="28046"/>
    <cellStyle name="常规 3 2 7 3 2 4" xfId="1470"/>
    <cellStyle name="常规 3 2 7 3 2 4 2" xfId="28047"/>
    <cellStyle name="常规 3 2 7 3 2 4 2 2" xfId="28049"/>
    <cellStyle name="常规 3 2 7 3 2 4 3" xfId="28050"/>
    <cellStyle name="常规 3 2 7 3 2 4 4" xfId="28051"/>
    <cellStyle name="常规 3 2 7 3 2 5" xfId="28052"/>
    <cellStyle name="常规 3 2 7 3 2 5 2" xfId="28055"/>
    <cellStyle name="常规 3 2 7 3 2 5 2 2" xfId="742"/>
    <cellStyle name="常规 3 2 7 3 2 5 3" xfId="28056"/>
    <cellStyle name="常规 3 2 7 3 2 5 4" xfId="28057"/>
    <cellStyle name="常规 3 2 7 3 2 6" xfId="8115"/>
    <cellStyle name="常规 3 2 7 3 2 6 2" xfId="18435"/>
    <cellStyle name="常规 3 2 7 3 2 7" xfId="28058"/>
    <cellStyle name="常规 3 2 7 3 2 7 2" xfId="28060"/>
    <cellStyle name="常规 3 2 7 3 2 8" xfId="28062"/>
    <cellStyle name="常规 3 2 7 3 2 9" xfId="28064"/>
    <cellStyle name="常规 3 2 7 3 3" xfId="28066"/>
    <cellStyle name="常规 3 2 7 3 3 2" xfId="28068"/>
    <cellStyle name="常规 3 2 7 3 3 2 2" xfId="28069"/>
    <cellStyle name="常规 3 2 7 3 3 2 2 2" xfId="28071"/>
    <cellStyle name="常规 3 2 7 3 3 2 2 2 2" xfId="21997"/>
    <cellStyle name="常规 3 2 7 3 3 2 2 3" xfId="28072"/>
    <cellStyle name="常规 3 2 7 3 3 2 2 4" xfId="28073"/>
    <cellStyle name="常规 3 2 7 3 3 2 3" xfId="28074"/>
    <cellStyle name="常规 3 2 7 3 3 2 3 2" xfId="28075"/>
    <cellStyle name="常规 3 2 7 3 3 2 4" xfId="28076"/>
    <cellStyle name="常规 3 2 7 3 3 2 5" xfId="28077"/>
    <cellStyle name="常规 3 2 7 3 3 3" xfId="1485"/>
    <cellStyle name="常规 3 2 7 3 3 3 2" xfId="28078"/>
    <cellStyle name="常规 3 2 7 3 3 3 2 2" xfId="28080"/>
    <cellStyle name="常规 3 2 7 3 3 3 3" xfId="28082"/>
    <cellStyle name="常规 3 2 7 3 3 3 4" xfId="28083"/>
    <cellStyle name="常规 3 2 7 3 3 4" xfId="28084"/>
    <cellStyle name="常规 3 2 7 3 3 4 2" xfId="16528"/>
    <cellStyle name="常规 3 2 7 3 3 4 2 2" xfId="28085"/>
    <cellStyle name="常规 3 2 7 3 3 4 3" xfId="28086"/>
    <cellStyle name="常规 3 2 7 3 3 4 4" xfId="28087"/>
    <cellStyle name="常规 3 2 7 3 3 5" xfId="24757"/>
    <cellStyle name="常规 3 2 7 3 3 5 2" xfId="24759"/>
    <cellStyle name="常规 3 2 7 3 3 6" xfId="8119"/>
    <cellStyle name="常规 3 2 7 3 3 7" xfId="24797"/>
    <cellStyle name="常规 3 2 7 3 3 8" xfId="24804"/>
    <cellStyle name="常规 3 2 7 3 4" xfId="28088"/>
    <cellStyle name="常规 3 2 7 3 4 2" xfId="28089"/>
    <cellStyle name="常规 3 2 7 3 4 2 2" xfId="28090"/>
    <cellStyle name="常规 3 2 7 3 4 2 2 2" xfId="28091"/>
    <cellStyle name="常规 3 2 7 3 4 2 3" xfId="28092"/>
    <cellStyle name="常规 3 2 7 3 4 2 4" xfId="28093"/>
    <cellStyle name="常规 3 2 7 3 4 3" xfId="1492"/>
    <cellStyle name="常规 3 2 7 3 4 3 2" xfId="28094"/>
    <cellStyle name="常规 3 2 7 3 4 4" xfId="28095"/>
    <cellStyle name="常规 3 2 7 3 4 5" xfId="24818"/>
    <cellStyle name="常规 3 2 7 3 4 6" xfId="20827"/>
    <cellStyle name="常规 3 2 7 3 5" xfId="28096"/>
    <cellStyle name="常规 3 2 7 3 5 2" xfId="28097"/>
    <cellStyle name="常规 3 2 7 3 5 2 2" xfId="28098"/>
    <cellStyle name="常规 3 2 7 3 5 3" xfId="28099"/>
    <cellStyle name="常规 3 2 7 3 5 4" xfId="28100"/>
    <cellStyle name="常规 3 2 7 3 6" xfId="28101"/>
    <cellStyle name="常规 3 2 7 3 6 2" xfId="28102"/>
    <cellStyle name="常规 3 2 7 3 6 2 2" xfId="28103"/>
    <cellStyle name="常规 3 2 7 3 6 3" xfId="27748"/>
    <cellStyle name="常规 3 2 7 3 6 4" xfId="15460"/>
    <cellStyle name="常规 3 2 7 3 7" xfId="9873"/>
    <cellStyle name="常规 3 2 7 3 7 2" xfId="28104"/>
    <cellStyle name="常规 3 2 7 3 8" xfId="28105"/>
    <cellStyle name="常规 3 2 7 3 8 2" xfId="28106"/>
    <cellStyle name="常规 3 2 7 3 9" xfId="28107"/>
    <cellStyle name="常规 3 2 7 4" xfId="14496"/>
    <cellStyle name="常规 3 2 7 4 2" xfId="28108"/>
    <cellStyle name="常规 3 2 7 4 2 2" xfId="838"/>
    <cellStyle name="常规 3 2 7 4 2 2 2" xfId="3469"/>
    <cellStyle name="常规 3 2 7 4 2 2 2 2" xfId="3476"/>
    <cellStyle name="常规 3 2 7 4 2 2 3" xfId="3482"/>
    <cellStyle name="常规 3 2 7 4 2 2 4" xfId="28109"/>
    <cellStyle name="常规 3 2 7 4 2 3" xfId="870"/>
    <cellStyle name="常规 3 2 7 4 2 3 2" xfId="3488"/>
    <cellStyle name="常规 3 2 7 4 2 4" xfId="3499"/>
    <cellStyle name="常规 3 2 7 4 2 5" xfId="3510"/>
    <cellStyle name="常规 3 2 7 4 3" xfId="28110"/>
    <cellStyle name="常规 3 2 7 4 3 2" xfId="3527"/>
    <cellStyle name="常规 3 2 7 4 3 2 2" xfId="28111"/>
    <cellStyle name="常规 3 2 7 4 3 3" xfId="28112"/>
    <cellStyle name="常规 3 2 7 4 3 4" xfId="5390"/>
    <cellStyle name="常规 3 2 7 4 4" xfId="28113"/>
    <cellStyle name="常规 3 2 7 4 4 2" xfId="28114"/>
    <cellStyle name="常规 3 2 7 4 4 2 2" xfId="28115"/>
    <cellStyle name="常规 3 2 7 4 4 3" xfId="16408"/>
    <cellStyle name="常规 3 2 7 4 4 4" xfId="5402"/>
    <cellStyle name="常规 3 2 7 4 5" xfId="28116"/>
    <cellStyle name="常规 3 2 7 4 5 2" xfId="28117"/>
    <cellStyle name="常规 3 2 7 4 6" xfId="28118"/>
    <cellStyle name="常规 3 2 7 4 7" xfId="28119"/>
    <cellStyle name="常规 3 2 7 4 8" xfId="27346"/>
    <cellStyle name="常规 3 2 7 5" xfId="14498"/>
    <cellStyle name="常规 3 2 7 5 2" xfId="28120"/>
    <cellStyle name="常规 3 2 7 5 2 2" xfId="3650"/>
    <cellStyle name="常规 3 2 7 5 2 2 2" xfId="3657"/>
    <cellStyle name="常规 3 2 7 5 2 3" xfId="3431"/>
    <cellStyle name="常规 3 2 7 5 2 4" xfId="3445"/>
    <cellStyle name="常规 3 2 7 5 3" xfId="24329"/>
    <cellStyle name="常规 3 2 7 5 3 2" xfId="3697"/>
    <cellStyle name="常规 3 2 7 5 4" xfId="28122"/>
    <cellStyle name="常规 3 2 7 5 5" xfId="6098"/>
    <cellStyle name="常规 3 2 7 5 6" xfId="6105"/>
    <cellStyle name="常规 3 2 7 6" xfId="28123"/>
    <cellStyle name="常规 3 2 7 6 2" xfId="28125"/>
    <cellStyle name="常规 3 2 7 6 2 2" xfId="3761"/>
    <cellStyle name="常规 3 2 7 6 3" xfId="28126"/>
    <cellStyle name="常规 3 2 7 6 4" xfId="28127"/>
    <cellStyle name="常规 3 2 7 7" xfId="22272"/>
    <cellStyle name="常规 3 2 7 7 2" xfId="22275"/>
    <cellStyle name="常规 3 2 7 7 2 2" xfId="22277"/>
    <cellStyle name="常规 3 2 7 7 3" xfId="4737"/>
    <cellStyle name="常规 3 2 7 7 4" xfId="6593"/>
    <cellStyle name="常规 3 2 7 8" xfId="3849"/>
    <cellStyle name="常规 3 2 7 8 2" xfId="3855"/>
    <cellStyle name="常规 3 2 7 9" xfId="3866"/>
    <cellStyle name="常规 3 2 7 9 2" xfId="22285"/>
    <cellStyle name="常规 3 2 8" xfId="21356"/>
    <cellStyle name="常规 3 2 8 10" xfId="22195"/>
    <cellStyle name="常规 3 2 8 11" xfId="22202"/>
    <cellStyle name="常规 3 2 8 12" xfId="22205"/>
    <cellStyle name="常规 3 2 8 2" xfId="21360"/>
    <cellStyle name="常规 3 2 8 2 10" xfId="28128"/>
    <cellStyle name="常规 3 2 8 2 11" xfId="11278"/>
    <cellStyle name="常规 3 2 8 2 12" xfId="11288"/>
    <cellStyle name="常规 3 2 8 2 2" xfId="5986"/>
    <cellStyle name="常规 3 2 8 2 2 10" xfId="28129"/>
    <cellStyle name="常规 3 2 8 2 2 2" xfId="5987"/>
    <cellStyle name="常规 3 2 8 2 2 2 2" xfId="4928"/>
    <cellStyle name="常规 3 2 8 2 2 2 2 2" xfId="4931"/>
    <cellStyle name="常规 3 2 8 2 2 2 2 2 2" xfId="28130"/>
    <cellStyle name="常规 3 2 8 2 2 2 2 2 2 2" xfId="28131"/>
    <cellStyle name="常规 3 2 8 2 2 2 2 2 3" xfId="28133"/>
    <cellStyle name="常规 3 2 8 2 2 2 2 2 4" xfId="28135"/>
    <cellStyle name="常规 3 2 8 2 2 2 2 3" xfId="28136"/>
    <cellStyle name="常规 3 2 8 2 2 2 2 3 2" xfId="28137"/>
    <cellStyle name="常规 3 2 8 2 2 2 2 4" xfId="22807"/>
    <cellStyle name="常规 3 2 8 2 2 2 2 5" xfId="5346"/>
    <cellStyle name="常规 3 2 8 2 2 2 3" xfId="2360"/>
    <cellStyle name="常规 3 2 8 2 2 2 3 2" xfId="22876"/>
    <cellStyle name="常规 3 2 8 2 2 2 3 2 2" xfId="21966"/>
    <cellStyle name="常规 3 2 8 2 2 2 3 3" xfId="22881"/>
    <cellStyle name="常规 3 2 8 2 2 2 3 4" xfId="22816"/>
    <cellStyle name="常规 3 2 8 2 2 2 4" xfId="1898"/>
    <cellStyle name="常规 3 2 8 2 2 2 4 2" xfId="28138"/>
    <cellStyle name="常规 3 2 8 2 2 2 4 2 2" xfId="28139"/>
    <cellStyle name="常规 3 2 8 2 2 2 4 3" xfId="28140"/>
    <cellStyle name="常规 3 2 8 2 2 2 4 4" xfId="26755"/>
    <cellStyle name="常规 3 2 8 2 2 2 5" xfId="28141"/>
    <cellStyle name="常规 3 2 8 2 2 2 5 2" xfId="13850"/>
    <cellStyle name="常规 3 2 8 2 2 2 6" xfId="28143"/>
    <cellStyle name="常规 3 2 8 2 2 2 7" xfId="22945"/>
    <cellStyle name="常规 3 2 8 2 2 2 8" xfId="28144"/>
    <cellStyle name="常规 3 2 8 2 2 3" xfId="28145"/>
    <cellStyle name="常规 3 2 8 2 2 3 2" xfId="28148"/>
    <cellStyle name="常规 3 2 8 2 2 3 2 2" xfId="28150"/>
    <cellStyle name="常规 3 2 8 2 2 3 2 2 2" xfId="28151"/>
    <cellStyle name="常规 3 2 8 2 2 3 2 3" xfId="28152"/>
    <cellStyle name="常规 3 2 8 2 2 3 2 4" xfId="22828"/>
    <cellStyle name="常规 3 2 8 2 2 3 3" xfId="28153"/>
    <cellStyle name="常规 3 2 8 2 2 3 3 2" xfId="28155"/>
    <cellStyle name="常规 3 2 8 2 2 3 4" xfId="28157"/>
    <cellStyle name="常规 3 2 8 2 2 3 5" xfId="28159"/>
    <cellStyle name="常规 3 2 8 2 2 3 6" xfId="28161"/>
    <cellStyle name="常规 3 2 8 2 2 4" xfId="28162"/>
    <cellStyle name="常规 3 2 8 2 2 4 2" xfId="28164"/>
    <cellStyle name="常规 3 2 8 2 2 4 2 2" xfId="28166"/>
    <cellStyle name="常规 3 2 8 2 2 4 3" xfId="28167"/>
    <cellStyle name="常规 3 2 8 2 2 4 4" xfId="28169"/>
    <cellStyle name="常规 3 2 8 2 2 5" xfId="28170"/>
    <cellStyle name="常规 3 2 8 2 2 5 2" xfId="28172"/>
    <cellStyle name="常规 3 2 8 2 2 5 2 2" xfId="28173"/>
    <cellStyle name="常规 3 2 8 2 2 5 3" xfId="28174"/>
    <cellStyle name="常规 3 2 8 2 2 5 4" xfId="28175"/>
    <cellStyle name="常规 3 2 8 2 2 6" xfId="28177"/>
    <cellStyle name="常规 3 2 8 2 2 6 2" xfId="28179"/>
    <cellStyle name="常规 3 2 8 2 2 7" xfId="28180"/>
    <cellStyle name="常规 3 2 8 2 2 7 2" xfId="28181"/>
    <cellStyle name="常规 3 2 8 2 2 8" xfId="28182"/>
    <cellStyle name="常规 3 2 8 2 2 9" xfId="28184"/>
    <cellStyle name="常规 3 2 8 2 3" xfId="28186"/>
    <cellStyle name="常规 3 2 8 2 3 10" xfId="28187"/>
    <cellStyle name="常规 3 2 8 2 3 11" xfId="28190"/>
    <cellStyle name="常规 3 2 8 2 3 2" xfId="28192"/>
    <cellStyle name="常规 3 2 8 2 3 2 10" xfId="28195"/>
    <cellStyle name="常规 3 2 8 2 3 2 2" xfId="28196"/>
    <cellStyle name="常规 3 2 8 2 3 2 2 2" xfId="28198"/>
    <cellStyle name="常规 3 2 8 2 3 2 2 2 2" xfId="28200"/>
    <cellStyle name="常规 3 2 8 2 3 2 2 2 2 2" xfId="28202"/>
    <cellStyle name="常规 3 2 8 2 3 2 2 2 2 2 2" xfId="28204"/>
    <cellStyle name="常规 3 2 8 2 3 2 2 2 2 3" xfId="28206"/>
    <cellStyle name="常规 3 2 8 2 3 2 2 2 2 4" xfId="9757"/>
    <cellStyle name="常规 3 2 8 2 3 2 2 2 3" xfId="2152"/>
    <cellStyle name="常规 3 2 8 2 3 2 2 2 3 2" xfId="2155"/>
    <cellStyle name="常规 3 2 8 2 3 2 2 2 4" xfId="2161"/>
    <cellStyle name="常规 3 2 8 2 3 2 2 2 5" xfId="28208"/>
    <cellStyle name="常规 3 2 8 2 3 2 2 3" xfId="15728"/>
    <cellStyle name="常规 3 2 8 2 3 2 2 3 2" xfId="28209"/>
    <cellStyle name="常规 3 2 8 2 3 2 2 3 2 2" xfId="21556"/>
    <cellStyle name="常规 3 2 8 2 3 2 2 3 3" xfId="62"/>
    <cellStyle name="常规 3 2 8 2 3 2 2 3 4" xfId="28210"/>
    <cellStyle name="常规 3 2 8 2 3 2 2 4" xfId="13698"/>
    <cellStyle name="常规 3 2 8 2 3 2 2 4 2" xfId="13701"/>
    <cellStyle name="常规 3 2 8 2 3 2 2 4 2 2" xfId="21758"/>
    <cellStyle name="常规 3 2 8 2 3 2 2 4 3" xfId="2175"/>
    <cellStyle name="常规 3 2 8 2 3 2 2 4 4" xfId="18146"/>
    <cellStyle name="常规 3 2 8 2 3 2 2 5" xfId="1359"/>
    <cellStyle name="常规 3 2 8 2 3 2 2 5 2" xfId="3352"/>
    <cellStyle name="常规 3 2 8 2 3 2 2 6" xfId="5923"/>
    <cellStyle name="常规 3 2 8 2 3 2 2 7" xfId="5954"/>
    <cellStyle name="常规 3 2 8 2 3 2 2 8" xfId="2699"/>
    <cellStyle name="常规 3 2 8 2 3 2 3" xfId="28211"/>
    <cellStyle name="常规 3 2 8 2 3 2 3 2" xfId="28214"/>
    <cellStyle name="常规 3 2 8 2 3 2 3 2 2" xfId="28216"/>
    <cellStyle name="常规 3 2 8 2 3 2 3 2 2 2" xfId="28219"/>
    <cellStyle name="常规 3 2 8 2 3 2 3 2 3" xfId="28222"/>
    <cellStyle name="常规 3 2 8 2 3 2 3 2 4" xfId="28225"/>
    <cellStyle name="常规 3 2 8 2 3 2 3 3" xfId="28227"/>
    <cellStyle name="常规 3 2 8 2 3 2 3 3 2" xfId="28229"/>
    <cellStyle name="常规 3 2 8 2 3 2 3 4" xfId="13704"/>
    <cellStyle name="常规 3 2 8 2 3 2 3 5" xfId="5993"/>
    <cellStyle name="常规 3 2 8 2 3 2 3 6" xfId="5999"/>
    <cellStyle name="常规 3 2 8 2 3 2 4" xfId="28231"/>
    <cellStyle name="常规 3 2 8 2 3 2 4 2" xfId="28233"/>
    <cellStyle name="常规 3 2 8 2 3 2 4 2 2" xfId="13130"/>
    <cellStyle name="常规 3 2 8 2 3 2 4 3" xfId="28235"/>
    <cellStyle name="常规 3 2 8 2 3 2 4 4" xfId="26895"/>
    <cellStyle name="常规 3 2 8 2 3 2 5" xfId="28237"/>
    <cellStyle name="常规 3 2 8 2 3 2 5 2" xfId="14171"/>
    <cellStyle name="常规 3 2 8 2 3 2 5 2 2" xfId="28239"/>
    <cellStyle name="常规 3 2 8 2 3 2 5 3" xfId="1338"/>
    <cellStyle name="常规 3 2 8 2 3 2 5 4" xfId="26899"/>
    <cellStyle name="常规 3 2 8 2 3 2 6" xfId="7324"/>
    <cellStyle name="常规 3 2 8 2 3 2 6 2" xfId="7328"/>
    <cellStyle name="常规 3 2 8 2 3 2 7" xfId="7281"/>
    <cellStyle name="常规 3 2 8 2 3 2 7 2" xfId="17531"/>
    <cellStyle name="常规 3 2 8 2 3 2 8" xfId="21463"/>
    <cellStyle name="常规 3 2 8 2 3 2 9" xfId="21491"/>
    <cellStyle name="常规 3 2 8 2 3 3" xfId="28240"/>
    <cellStyle name="常规 3 2 8 2 3 3 2" xfId="28243"/>
    <cellStyle name="常规 3 2 8 2 3 3 2 2" xfId="27122"/>
    <cellStyle name="常规 3 2 8 2 3 3 2 2 2" xfId="28244"/>
    <cellStyle name="常规 3 2 8 2 3 3 2 2 2 2" xfId="13302"/>
    <cellStyle name="常规 3 2 8 2 3 3 2 2 3" xfId="2346"/>
    <cellStyle name="常规 3 2 8 2 3 3 2 2 4" xfId="2363"/>
    <cellStyle name="常规 3 2 8 2 3 3 2 3" xfId="15734"/>
    <cellStyle name="常规 3 2 8 2 3 3 2 3 2" xfId="28245"/>
    <cellStyle name="常规 3 2 8 2 3 3 2 4" xfId="26909"/>
    <cellStyle name="常规 3 2 8 2 3 3 2 5" xfId="20368"/>
    <cellStyle name="常规 3 2 8 2 3 3 3" xfId="28246"/>
    <cellStyle name="常规 3 2 8 2 3 3 3 2" xfId="28248"/>
    <cellStyle name="常规 3 2 8 2 3 3 3 2 2" xfId="28251"/>
    <cellStyle name="常规 3 2 8 2 3 3 3 3" xfId="28252"/>
    <cellStyle name="常规 3 2 8 2 3 3 3 4" xfId="26915"/>
    <cellStyle name="常规 3 2 8 2 3 3 4" xfId="28253"/>
    <cellStyle name="常规 3 2 8 2 3 3 4 2" xfId="28255"/>
    <cellStyle name="常规 3 2 8 2 3 3 4 2 2" xfId="28256"/>
    <cellStyle name="常规 3 2 8 2 3 3 4 3" xfId="28257"/>
    <cellStyle name="常规 3 2 8 2 3 3 4 4" xfId="28258"/>
    <cellStyle name="常规 3 2 8 2 3 3 5" xfId="28259"/>
    <cellStyle name="常规 3 2 8 2 3 3 5 2" xfId="28261"/>
    <cellStyle name="常规 3 2 8 2 3 3 6" xfId="7331"/>
    <cellStyle name="常规 3 2 8 2 3 3 7" xfId="7336"/>
    <cellStyle name="常规 3 2 8 2 3 3 8" xfId="21821"/>
    <cellStyle name="常规 3 2 8 2 3 4" xfId="28262"/>
    <cellStyle name="常规 3 2 8 2 3 4 2" xfId="28264"/>
    <cellStyle name="常规 3 2 8 2 3 4 2 2" xfId="28265"/>
    <cellStyle name="常规 3 2 8 2 3 4 2 2 2" xfId="28266"/>
    <cellStyle name="常规 3 2 8 2 3 4 2 3" xfId="28267"/>
    <cellStyle name="常规 3 2 8 2 3 4 2 4" xfId="28268"/>
    <cellStyle name="常规 3 2 8 2 3 4 3" xfId="28269"/>
    <cellStyle name="常规 3 2 8 2 3 4 3 2" xfId="28271"/>
    <cellStyle name="常规 3 2 8 2 3 4 4" xfId="28273"/>
    <cellStyle name="常规 3 2 8 2 3 4 5" xfId="23143"/>
    <cellStyle name="常规 3 2 8 2 3 4 6" xfId="7345"/>
    <cellStyle name="常规 3 2 8 2 3 5" xfId="24911"/>
    <cellStyle name="常规 3 2 8 2 3 5 2" xfId="24914"/>
    <cellStyle name="常规 3 2 8 2 3 5 2 2" xfId="24916"/>
    <cellStyle name="常规 3 2 8 2 3 5 3" xfId="24928"/>
    <cellStyle name="常规 3 2 8 2 3 5 4" xfId="24934"/>
    <cellStyle name="常规 3 2 8 2 3 6" xfId="24943"/>
    <cellStyle name="常规 3 2 8 2 3 6 2" xfId="24945"/>
    <cellStyle name="常规 3 2 8 2 3 6 2 2" xfId="24947"/>
    <cellStyle name="常规 3 2 8 2 3 6 3" xfId="13632"/>
    <cellStyle name="常规 3 2 8 2 3 6 4" xfId="24952"/>
    <cellStyle name="常规 3 2 8 2 3 7" xfId="24955"/>
    <cellStyle name="常规 3 2 8 2 3 7 2" xfId="24957"/>
    <cellStyle name="常规 3 2 8 2 3 8" xfId="24962"/>
    <cellStyle name="常规 3 2 8 2 3 8 2" xfId="24965"/>
    <cellStyle name="常规 3 2 8 2 3 9" xfId="24970"/>
    <cellStyle name="常规 3 2 8 2 4" xfId="18975"/>
    <cellStyle name="常规 3 2 8 2 4 2" xfId="28275"/>
    <cellStyle name="常规 3 2 8 2 4 2 2" xfId="28277"/>
    <cellStyle name="常规 3 2 8 2 4 2 2 2" xfId="22029"/>
    <cellStyle name="常规 3 2 8 2 4 2 2 2 2" xfId="28278"/>
    <cellStyle name="常规 3 2 8 2 4 2 2 3" xfId="28279"/>
    <cellStyle name="常规 3 2 8 2 4 2 2 4" xfId="13843"/>
    <cellStyle name="常规 3 2 8 2 4 2 3" xfId="28280"/>
    <cellStyle name="常规 3 2 8 2 4 2 3 2" xfId="28282"/>
    <cellStyle name="常规 3 2 8 2 4 2 4" xfId="28284"/>
    <cellStyle name="常规 3 2 8 2 4 2 5" xfId="28286"/>
    <cellStyle name="常规 3 2 8 2 4 3" xfId="28288"/>
    <cellStyle name="常规 3 2 8 2 4 3 2" xfId="28290"/>
    <cellStyle name="常规 3 2 8 2 4 3 2 2" xfId="28291"/>
    <cellStyle name="常规 3 2 8 2 4 3 3" xfId="28292"/>
    <cellStyle name="常规 3 2 8 2 4 3 4" xfId="28294"/>
    <cellStyle name="常规 3 2 8 2 4 4" xfId="28296"/>
    <cellStyle name="常规 3 2 8 2 4 4 2" xfId="28297"/>
    <cellStyle name="常规 3 2 8 2 4 4 2 2" xfId="28298"/>
    <cellStyle name="常规 3 2 8 2 4 4 3" xfId="28299"/>
    <cellStyle name="常规 3 2 8 2 4 4 4" xfId="17790"/>
    <cellStyle name="常规 3 2 8 2 4 5" xfId="24978"/>
    <cellStyle name="常规 3 2 8 2 4 5 2" xfId="24982"/>
    <cellStyle name="常规 3 2 8 2 4 6" xfId="25037"/>
    <cellStyle name="常规 3 2 8 2 4 7" xfId="25062"/>
    <cellStyle name="常规 3 2 8 2 4 8" xfId="25067"/>
    <cellStyle name="常规 3 2 8 2 5" xfId="18977"/>
    <cellStyle name="常规 3 2 8 2 5 2" xfId="28301"/>
    <cellStyle name="常规 3 2 8 2 5 2 2" xfId="25635"/>
    <cellStyle name="常规 3 2 8 2 5 2 2 2" xfId="27544"/>
    <cellStyle name="常规 3 2 8 2 5 2 3" xfId="28302"/>
    <cellStyle name="常规 3 2 8 2 5 2 4" xfId="707"/>
    <cellStyle name="常规 3 2 8 2 5 3" xfId="28304"/>
    <cellStyle name="常规 3 2 8 2 5 3 2" xfId="25642"/>
    <cellStyle name="常规 3 2 8 2 5 4" xfId="28305"/>
    <cellStyle name="常规 3 2 8 2 5 5" xfId="25078"/>
    <cellStyle name="常规 3 2 8 2 5 6" xfId="25080"/>
    <cellStyle name="常规 3 2 8 2 6" xfId="28306"/>
    <cellStyle name="常规 3 2 8 2 6 2" xfId="27227"/>
    <cellStyle name="常规 3 2 8 2 6 2 2" xfId="28307"/>
    <cellStyle name="常规 3 2 8 2 6 3" xfId="27756"/>
    <cellStyle name="常规 3 2 8 2 6 4" xfId="15486"/>
    <cellStyle name="常规 3 2 8 2 7" xfId="28308"/>
    <cellStyle name="常规 3 2 8 2 7 2" xfId="28309"/>
    <cellStyle name="常规 3 2 8 2 7 2 2" xfId="28310"/>
    <cellStyle name="常规 3 2 8 2 7 3" xfId="28311"/>
    <cellStyle name="常规 3 2 8 2 7 4" xfId="28312"/>
    <cellStyle name="常规 3 2 8 2 8" xfId="28313"/>
    <cellStyle name="常规 3 2 8 2 8 2" xfId="28314"/>
    <cellStyle name="常规 3 2 8 2 9" xfId="28315"/>
    <cellStyle name="常规 3 2 8 2 9 2" xfId="20572"/>
    <cellStyle name="常规 3 2 8 3" xfId="14505"/>
    <cellStyle name="常规 3 2 8 3 10" xfId="1840"/>
    <cellStyle name="常规 3 2 8 3 11" xfId="1847"/>
    <cellStyle name="常规 3 2 8 3 2" xfId="14508"/>
    <cellStyle name="常规 3 2 8 3 2 10" xfId="1042"/>
    <cellStyle name="常规 3 2 8 3 2 2" xfId="28316"/>
    <cellStyle name="常规 3 2 8 3 2 2 2" xfId="5513"/>
    <cellStyle name="常规 3 2 8 3 2 2 2 2" xfId="5516"/>
    <cellStyle name="常规 3 2 8 3 2 2 2 2 2" xfId="16499"/>
    <cellStyle name="常规 3 2 8 3 2 2 2 2 2 2" xfId="16501"/>
    <cellStyle name="常规 3 2 8 3 2 2 2 2 3" xfId="16506"/>
    <cellStyle name="常规 3 2 8 3 2 2 2 2 4" xfId="16514"/>
    <cellStyle name="常规 3 2 8 3 2 2 2 3" xfId="23552"/>
    <cellStyle name="常规 3 2 8 3 2 2 2 3 2" xfId="16535"/>
    <cellStyle name="常规 3 2 8 3 2 2 2 4" xfId="22982"/>
    <cellStyle name="常规 3 2 8 3 2 2 2 5" xfId="26932"/>
    <cellStyle name="常规 3 2 8 3 2 2 3" xfId="2417"/>
    <cellStyle name="常规 3 2 8 3 2 2 3 2" xfId="23253"/>
    <cellStyle name="常规 3 2 8 3 2 2 3 2 2" xfId="16583"/>
    <cellStyle name="常规 3 2 8 3 2 2 3 3" xfId="23255"/>
    <cellStyle name="常规 3 2 8 3 2 2 3 4" xfId="26934"/>
    <cellStyle name="常规 3 2 8 3 2 2 4" xfId="5518"/>
    <cellStyle name="常规 3 2 8 3 2 2 4 2" xfId="23559"/>
    <cellStyle name="常规 3 2 8 3 2 2 4 2 2" xfId="28320"/>
    <cellStyle name="常规 3 2 8 3 2 2 4 3" xfId="28321"/>
    <cellStyle name="常规 3 2 8 3 2 2 4 4" xfId="26939"/>
    <cellStyle name="常规 3 2 8 3 2 2 5" xfId="28322"/>
    <cellStyle name="常规 3 2 8 3 2 2 5 2" xfId="28323"/>
    <cellStyle name="常规 3 2 8 3 2 2 6" xfId="28325"/>
    <cellStyle name="常规 3 2 8 3 2 2 7" xfId="19116"/>
    <cellStyle name="常规 3 2 8 3 2 2 8" xfId="19121"/>
    <cellStyle name="常规 3 2 8 3 2 3" xfId="1541"/>
    <cellStyle name="常规 3 2 8 3 2 3 2" xfId="14558"/>
    <cellStyle name="常规 3 2 8 3 2 3 2 2" xfId="14561"/>
    <cellStyle name="常规 3 2 8 3 2 3 2 2 2" xfId="14563"/>
    <cellStyle name="常规 3 2 8 3 2 3 2 3" xfId="14574"/>
    <cellStyle name="常规 3 2 8 3 2 3 2 4" xfId="14581"/>
    <cellStyle name="常规 3 2 8 3 2 3 3" xfId="14606"/>
    <cellStyle name="常规 3 2 8 3 2 3 3 2" xfId="14609"/>
    <cellStyle name="常规 3 2 8 3 2 3 4" xfId="14626"/>
    <cellStyle name="常规 3 2 8 3 2 3 5" xfId="14634"/>
    <cellStyle name="常规 3 2 8 3 2 3 6" xfId="14642"/>
    <cellStyle name="常规 3 2 8 3 2 4" xfId="14656"/>
    <cellStyle name="常规 3 2 8 3 2 4 2" xfId="14662"/>
    <cellStyle name="常规 3 2 8 3 2 4 2 2" xfId="14665"/>
    <cellStyle name="常规 3 2 8 3 2 4 3" xfId="14739"/>
    <cellStyle name="常规 3 2 8 3 2 4 4" xfId="14783"/>
    <cellStyle name="常规 3 2 8 3 2 5" xfId="14823"/>
    <cellStyle name="常规 3 2 8 3 2 5 2" xfId="14825"/>
    <cellStyle name="常规 3 2 8 3 2 5 2 2" xfId="14827"/>
    <cellStyle name="常规 3 2 8 3 2 5 3" xfId="14837"/>
    <cellStyle name="常规 3 2 8 3 2 5 4" xfId="14844"/>
    <cellStyle name="常规 3 2 8 3 2 6" xfId="14863"/>
    <cellStyle name="常规 3 2 8 3 2 6 2" xfId="14865"/>
    <cellStyle name="常规 3 2 8 3 2 7" xfId="14876"/>
    <cellStyle name="常规 3 2 8 3 2 7 2" xfId="14880"/>
    <cellStyle name="常规 3 2 8 3 2 8" xfId="14885"/>
    <cellStyle name="常规 3 2 8 3 2 9" xfId="14892"/>
    <cellStyle name="常规 3 2 8 3 3" xfId="28326"/>
    <cellStyle name="常规 3 2 8 3 3 2" xfId="28329"/>
    <cellStyle name="常规 3 2 8 3 3 2 2" xfId="28330"/>
    <cellStyle name="常规 3 2 8 3 3 2 2 2" xfId="23951"/>
    <cellStyle name="常规 3 2 8 3 3 2 2 2 2" xfId="22406"/>
    <cellStyle name="常规 3 2 8 3 3 2 2 3" xfId="23953"/>
    <cellStyle name="常规 3 2 8 3 3 2 2 4" xfId="14060"/>
    <cellStyle name="常规 3 2 8 3 3 2 3" xfId="28331"/>
    <cellStyle name="常规 3 2 8 3 3 2 3 2" xfId="23957"/>
    <cellStyle name="常规 3 2 8 3 3 2 4" xfId="28332"/>
    <cellStyle name="常规 3 2 8 3 3 2 5" xfId="28333"/>
    <cellStyle name="常规 3 2 8 3 3 3" xfId="14898"/>
    <cellStyle name="常规 3 2 8 3 3 3 2" xfId="14900"/>
    <cellStyle name="常规 3 2 8 3 3 3 2 2" xfId="14903"/>
    <cellStyle name="常规 3 2 8 3 3 3 3" xfId="14915"/>
    <cellStyle name="常规 3 2 8 3 3 3 4" xfId="14921"/>
    <cellStyle name="常规 3 2 8 3 3 4" xfId="14930"/>
    <cellStyle name="常规 3 2 8 3 3 4 2" xfId="14932"/>
    <cellStyle name="常规 3 2 8 3 3 4 2 2" xfId="6153"/>
    <cellStyle name="常规 3 2 8 3 3 4 3" xfId="14938"/>
    <cellStyle name="常规 3 2 8 3 3 4 4" xfId="14941"/>
    <cellStyle name="常规 3 2 8 3 3 5" xfId="14949"/>
    <cellStyle name="常规 3 2 8 3 3 5 2" xfId="14952"/>
    <cellStyle name="常规 3 2 8 3 3 6" xfId="14961"/>
    <cellStyle name="常规 3 2 8 3 3 7" xfId="10589"/>
    <cellStyle name="常规 3 2 8 3 3 8" xfId="10604"/>
    <cellStyle name="常规 3 2 8 3 4" xfId="28334"/>
    <cellStyle name="常规 3 2 8 3 4 2" xfId="28337"/>
    <cellStyle name="常规 3 2 8 3 4 2 2" xfId="28338"/>
    <cellStyle name="常规 3 2 8 3 4 2 2 2" xfId="24350"/>
    <cellStyle name="常规 3 2 8 3 4 2 3" xfId="28340"/>
    <cellStyle name="常规 3 2 8 3 4 2 4" xfId="28342"/>
    <cellStyle name="常规 3 2 8 3 4 3" xfId="14976"/>
    <cellStyle name="常规 3 2 8 3 4 3 2" xfId="14978"/>
    <cellStyle name="常规 3 2 8 3 4 4" xfId="15065"/>
    <cellStyle name="常规 3 2 8 3 4 5" xfId="15115"/>
    <cellStyle name="常规 3 2 8 3 4 6" xfId="15151"/>
    <cellStyle name="常规 3 2 8 3 5" xfId="28343"/>
    <cellStyle name="常规 3 2 8 3 5 2" xfId="28344"/>
    <cellStyle name="常规 3 2 8 3 5 2 2" xfId="16796"/>
    <cellStyle name="常规 3 2 8 3 5 3" xfId="15169"/>
    <cellStyle name="常规 3 2 8 3 5 4" xfId="15192"/>
    <cellStyle name="常规 3 2 8 3 6" xfId="28345"/>
    <cellStyle name="常规 3 2 8 3 6 2" xfId="28346"/>
    <cellStyle name="常规 3 2 8 3 6 2 2" xfId="25734"/>
    <cellStyle name="常规 3 2 8 3 6 3" xfId="15213"/>
    <cellStyle name="常规 3 2 8 3 6 4" xfId="15227"/>
    <cellStyle name="常规 3 2 8 3 7" xfId="28347"/>
    <cellStyle name="常规 3 2 8 3 7 2" xfId="28348"/>
    <cellStyle name="常规 3 2 8 3 8" xfId="28349"/>
    <cellStyle name="常规 3 2 8 3 8 2" xfId="28350"/>
    <cellStyle name="常规 3 2 8 3 9" xfId="28351"/>
    <cellStyle name="常规 3 2 8 4" xfId="14511"/>
    <cellStyle name="常规 3 2 8 4 2" xfId="15387"/>
    <cellStyle name="常规 3 2 8 4 2 2" xfId="2703"/>
    <cellStyle name="常规 3 2 8 4 2 2 2" xfId="2712"/>
    <cellStyle name="常规 3 2 8 4 2 2 2 2" xfId="4749"/>
    <cellStyle name="常规 3 2 8 4 2 2 3" xfId="4762"/>
    <cellStyle name="常规 3 2 8 4 2 2 4" xfId="4771"/>
    <cellStyle name="常规 3 2 8 4 2 3" xfId="2716"/>
    <cellStyle name="常规 3 2 8 4 2 3 2" xfId="15320"/>
    <cellStyle name="常规 3 2 8 4 2 4" xfId="2301"/>
    <cellStyle name="常规 3 2 8 4 2 5" xfId="4795"/>
    <cellStyle name="常规 3 2 8 4 3" xfId="15391"/>
    <cellStyle name="常规 3 2 8 4 3 2" xfId="15393"/>
    <cellStyle name="常规 3 2 8 4 3 2 2" xfId="28352"/>
    <cellStyle name="常规 3 2 8 4 3 3" xfId="15628"/>
    <cellStyle name="常规 3 2 8 4 3 4" xfId="2316"/>
    <cellStyle name="常规 3 2 8 4 4" xfId="15395"/>
    <cellStyle name="常规 3 2 8 4 4 2" xfId="15397"/>
    <cellStyle name="常规 3 2 8 4 4 2 2" xfId="28353"/>
    <cellStyle name="常规 3 2 8 4 4 3" xfId="15703"/>
    <cellStyle name="常规 3 2 8 4 4 4" xfId="15779"/>
    <cellStyle name="常规 3 2 8 4 5" xfId="15399"/>
    <cellStyle name="常规 3 2 8 4 5 2" xfId="28354"/>
    <cellStyle name="常规 3 2 8 4 6" xfId="15401"/>
    <cellStyle name="常规 3 2 8 4 7" xfId="28355"/>
    <cellStyle name="常规 3 2 8 4 8" xfId="28356"/>
    <cellStyle name="常规 3 2 8 5" xfId="14513"/>
    <cellStyle name="常规 3 2 8 5 2" xfId="15525"/>
    <cellStyle name="常规 3 2 8 5 2 2" xfId="15528"/>
    <cellStyle name="常规 3 2 8 5 2 2 2" xfId="15530"/>
    <cellStyle name="常规 3 2 8 5 2 3" xfId="15533"/>
    <cellStyle name="常规 3 2 8 5 2 4" xfId="4852"/>
    <cellStyle name="常规 3 2 8 5 3" xfId="15536"/>
    <cellStyle name="常规 3 2 8 5 3 2" xfId="15538"/>
    <cellStyle name="常规 3 2 8 5 4" xfId="15546"/>
    <cellStyle name="常规 3 2 8 5 5" xfId="244"/>
    <cellStyle name="常规 3 2 8 5 6" xfId="15551"/>
    <cellStyle name="常规 3 2 8 6" xfId="23195"/>
    <cellStyle name="常规 3 2 8 6 2" xfId="15581"/>
    <cellStyle name="常规 3 2 8 6 2 2" xfId="15583"/>
    <cellStyle name="常规 3 2 8 6 3" xfId="15586"/>
    <cellStyle name="常规 3 2 8 6 4" xfId="15588"/>
    <cellStyle name="常规 3 2 8 7" xfId="22302"/>
    <cellStyle name="常规 3 2 8 7 2" xfId="15609"/>
    <cellStyle name="常规 3 2 8 7 2 2" xfId="22306"/>
    <cellStyle name="常规 3 2 8 7 3" xfId="15612"/>
    <cellStyle name="常规 3 2 8 7 4" xfId="22308"/>
    <cellStyle name="常规 3 2 8 8" xfId="3873"/>
    <cellStyle name="常规 3 2 8 8 2" xfId="3880"/>
    <cellStyle name="常规 3 2 8 9" xfId="1875"/>
    <cellStyle name="常规 3 2 8 9 2" xfId="28357"/>
    <cellStyle name="常规 3 2 9" xfId="21363"/>
    <cellStyle name="常规 3 2 9 10" xfId="28358"/>
    <cellStyle name="常规 3 2 9 11" xfId="28359"/>
    <cellStyle name="常规 3 2 9 12" xfId="28360"/>
    <cellStyle name="常规 3 2 9 2" xfId="28361"/>
    <cellStyle name="常规 3 2 9 2 10" xfId="26730"/>
    <cellStyle name="常规 3 2 9 2 11" xfId="11596"/>
    <cellStyle name="常规 3 2 9 2 12" xfId="22804"/>
    <cellStyle name="常规 3 2 9 2 2" xfId="22735"/>
    <cellStyle name="常规 3 2 9 2 2 10" xfId="28362"/>
    <cellStyle name="常规 3 2 9 2 2 2" xfId="28363"/>
    <cellStyle name="常规 3 2 9 2 2 2 2" xfId="14501"/>
    <cellStyle name="常规 3 2 9 2 2 2 2 2" xfId="14506"/>
    <cellStyle name="常规 3 2 9 2 2 2 2 2 2" xfId="14509"/>
    <cellStyle name="常规 3 2 9 2 2 2 2 2 2 2" xfId="28317"/>
    <cellStyle name="常规 3 2 9 2 2 2 2 2 3" xfId="28327"/>
    <cellStyle name="常规 3 2 9 2 2 2 2 2 4" xfId="28336"/>
    <cellStyle name="常规 3 2 9 2 2 2 2 3" xfId="14512"/>
    <cellStyle name="常规 3 2 9 2 2 2 2 3 2" xfId="15389"/>
    <cellStyle name="常规 3 2 9 2 2 2 2 4" xfId="14515"/>
    <cellStyle name="常规 3 2 9 2 2 2 2 5" xfId="23197"/>
    <cellStyle name="常规 3 2 9 2 2 2 3" xfId="14519"/>
    <cellStyle name="常规 3 2 9 2 2 2 3 2" xfId="14521"/>
    <cellStyle name="常规 3 2 9 2 2 2 3 2 2" xfId="28366"/>
    <cellStyle name="常规 3 2 9 2 2 2 3 3" xfId="28368"/>
    <cellStyle name="常规 3 2 9 2 2 2 3 4" xfId="23202"/>
    <cellStyle name="常规 3 2 9 2 2 2 4" xfId="14524"/>
    <cellStyle name="常规 3 2 9 2 2 2 4 2" xfId="14526"/>
    <cellStyle name="常规 3 2 9 2 2 2 4 2 2" xfId="28370"/>
    <cellStyle name="常规 3 2 9 2 2 2 4 3" xfId="28372"/>
    <cellStyle name="常规 3 2 9 2 2 2 4 4" xfId="28373"/>
    <cellStyle name="常规 3 2 9 2 2 2 5" xfId="7137"/>
    <cellStyle name="常规 3 2 9 2 2 2 5 2" xfId="28375"/>
    <cellStyle name="常规 3 2 9 2 2 2 6" xfId="28377"/>
    <cellStyle name="常规 3 2 9 2 2 2 7" xfId="28379"/>
    <cellStyle name="常规 3 2 9 2 2 2 8" xfId="28380"/>
    <cellStyle name="常规 3 2 9 2 2 3" xfId="11820"/>
    <cellStyle name="常规 3 2 9 2 2 3 2" xfId="28381"/>
    <cellStyle name="常规 3 2 9 2 2 3 2 2" xfId="28383"/>
    <cellStyle name="常规 3 2 9 2 2 3 2 2 2" xfId="28385"/>
    <cellStyle name="常规 3 2 9 2 2 3 2 3" xfId="28386"/>
    <cellStyle name="常规 3 2 9 2 2 3 2 4" xfId="23218"/>
    <cellStyle name="常规 3 2 9 2 2 3 3" xfId="28388"/>
    <cellStyle name="常规 3 2 9 2 2 3 3 2" xfId="28389"/>
    <cellStyle name="常规 3 2 9 2 2 3 4" xfId="28391"/>
    <cellStyle name="常规 3 2 9 2 2 3 5" xfId="28392"/>
    <cellStyle name="常规 3 2 9 2 2 3 6" xfId="28393"/>
    <cellStyle name="常规 3 2 9 2 2 4" xfId="28394"/>
    <cellStyle name="常规 3 2 9 2 2 4 2" xfId="28396"/>
    <cellStyle name="常规 3 2 9 2 2 4 2 2" xfId="28397"/>
    <cellStyle name="常规 3 2 9 2 2 4 3" xfId="28398"/>
    <cellStyle name="常规 3 2 9 2 2 4 4" xfId="28399"/>
    <cellStyle name="常规 3 2 9 2 2 5" xfId="28400"/>
    <cellStyle name="常规 3 2 9 2 2 5 2" xfId="28402"/>
    <cellStyle name="常规 3 2 9 2 2 5 2 2" xfId="11462"/>
    <cellStyle name="常规 3 2 9 2 2 5 3" xfId="28403"/>
    <cellStyle name="常规 3 2 9 2 2 5 4" xfId="28404"/>
    <cellStyle name="常规 3 2 9 2 2 6" xfId="28406"/>
    <cellStyle name="常规 3 2 9 2 2 6 2" xfId="28407"/>
    <cellStyle name="常规 3 2 9 2 2 7" xfId="28408"/>
    <cellStyle name="常规 3 2 9 2 2 7 2" xfId="26462"/>
    <cellStyle name="常规 3 2 9 2 2 8" xfId="23657"/>
    <cellStyle name="常规 3 2 9 2 2 9" xfId="28409"/>
    <cellStyle name="常规 3 2 9 2 3" xfId="5616"/>
    <cellStyle name="常规 3 2 9 2 3 10" xfId="28410"/>
    <cellStyle name="常规 3 2 9 2 3 11" xfId="28411"/>
    <cellStyle name="常规 3 2 9 2 3 2" xfId="28412"/>
    <cellStyle name="常规 3 2 9 2 3 2 10" xfId="19636"/>
    <cellStyle name="常规 3 2 9 2 3 2 2" xfId="28414"/>
    <cellStyle name="常规 3 2 9 2 3 2 2 2" xfId="28416"/>
    <cellStyle name="常规 3 2 9 2 3 2 2 2 2" xfId="28421"/>
    <cellStyle name="常规 3 2 9 2 3 2 2 2 2 2" xfId="22159"/>
    <cellStyle name="常规 3 2 9 2 3 2 2 2 2 2 2" xfId="22163"/>
    <cellStyle name="常规 3 2 9 2 3 2 2 2 2 3" xfId="22166"/>
    <cellStyle name="常规 3 2 9 2 3 2 2 2 2 4" xfId="22172"/>
    <cellStyle name="常规 3 2 9 2 3 2 2 2 3" xfId="28425"/>
    <cellStyle name="常规 3 2 9 2 3 2 2 2 3 2" xfId="22211"/>
    <cellStyle name="常规 3 2 9 2 3 2 2 2 4" xfId="14584"/>
    <cellStyle name="常规 3 2 9 2 3 2 2 2 5" xfId="14591"/>
    <cellStyle name="常规 3 2 9 2 3 2 2 3" xfId="28427"/>
    <cellStyle name="常规 3 2 9 2 3 2 2 3 2" xfId="28431"/>
    <cellStyle name="常规 3 2 9 2 3 2 2 3 2 2" xfId="3497"/>
    <cellStyle name="常规 3 2 9 2 3 2 2 3 3" xfId="28433"/>
    <cellStyle name="常规 3 2 9 2 3 2 2 3 4" xfId="14596"/>
    <cellStyle name="常规 3 2 9 2 3 2 2 4" xfId="23237"/>
    <cellStyle name="常规 3 2 9 2 3 2 2 4 2" xfId="11955"/>
    <cellStyle name="常规 3 2 9 2 3 2 2 4 2 2" xfId="28435"/>
    <cellStyle name="常规 3 2 9 2 3 2 2 4 3" xfId="28436"/>
    <cellStyle name="常规 3 2 9 2 3 2 2 4 4" xfId="28437"/>
    <cellStyle name="常规 3 2 9 2 3 2 2 5" xfId="20619"/>
    <cellStyle name="常规 3 2 9 2 3 2 2 5 2" xfId="20622"/>
    <cellStyle name="常规 3 2 9 2 3 2 2 6" xfId="20625"/>
    <cellStyle name="常规 3 2 9 2 3 2 2 7" xfId="20629"/>
    <cellStyle name="常规 3 2 9 2 3 2 2 8" xfId="22533"/>
    <cellStyle name="常规 3 2 9 2 3 2 3" xfId="22291"/>
    <cellStyle name="常规 3 2 9 2 3 2 3 2" xfId="28438"/>
    <cellStyle name="常规 3 2 9 2 3 2 3 2 2" xfId="20879"/>
    <cellStyle name="常规 3 2 9 2 3 2 3 2 2 2" xfId="22551"/>
    <cellStyle name="常规 3 2 9 2 3 2 3 2 3" xfId="28442"/>
    <cellStyle name="常规 3 2 9 2 3 2 3 2 4" xfId="17222"/>
    <cellStyle name="常规 3 2 9 2 3 2 3 3" xfId="28444"/>
    <cellStyle name="常规 3 2 9 2 3 2 3 3 2" xfId="20919"/>
    <cellStyle name="常规 3 2 9 2 3 2 3 4" xfId="28447"/>
    <cellStyle name="常规 3 2 9 2 3 2 3 5" xfId="20632"/>
    <cellStyle name="常规 3 2 9 2 3 2 3 6" xfId="22538"/>
    <cellStyle name="常规 3 2 9 2 3 2 4" xfId="28449"/>
    <cellStyle name="常规 3 2 9 2 3 2 4 2" xfId="28451"/>
    <cellStyle name="常规 3 2 9 2 3 2 4 2 2" xfId="21043"/>
    <cellStyle name="常规 3 2 9 2 3 2 4 3" xfId="28453"/>
    <cellStyle name="常规 3 2 9 2 3 2 4 4" xfId="28454"/>
    <cellStyle name="常规 3 2 9 2 3 2 5" xfId="28456"/>
    <cellStyle name="常规 3 2 9 2 3 2 5 2" xfId="13079"/>
    <cellStyle name="常规 3 2 9 2 3 2 5 2 2" xfId="1273"/>
    <cellStyle name="常规 3 2 9 2 3 2 5 3" xfId="12271"/>
    <cellStyle name="常规 3 2 9 2 3 2 5 4" xfId="12284"/>
    <cellStyle name="常规 3 2 9 2 3 2 6" xfId="28458"/>
    <cellStyle name="常规 3 2 9 2 3 2 6 2" xfId="28460"/>
    <cellStyle name="常规 3 2 9 2 3 2 7" xfId="28461"/>
    <cellStyle name="常规 3 2 9 2 3 2 7 2" xfId="18068"/>
    <cellStyle name="常规 3 2 9 2 3 2 8" xfId="28462"/>
    <cellStyle name="常规 3 2 9 2 3 2 9" xfId="28463"/>
    <cellStyle name="常规 3 2 9 2 3 3" xfId="28464"/>
    <cellStyle name="常规 3 2 9 2 3 3 2" xfId="28466"/>
    <cellStyle name="常规 3 2 9 2 3 3 2 2" xfId="8319"/>
    <cellStyle name="常规 3 2 9 2 3 3 2 2 2" xfId="28468"/>
    <cellStyle name="常规 3 2 9 2 3 3 2 2 2 2" xfId="28469"/>
    <cellStyle name="常规 3 2 9 2 3 3 2 2 3" xfId="27904"/>
    <cellStyle name="常规 3 2 9 2 3 3 2 2 4" xfId="14713"/>
    <cellStyle name="常规 3 2 9 2 3 3 2 3" xfId="28472"/>
    <cellStyle name="常规 3 2 9 2 3 3 2 3 2" xfId="28475"/>
    <cellStyle name="常规 3 2 9 2 3 3 2 4" xfId="28476"/>
    <cellStyle name="常规 3 2 9 2 3 3 2 5" xfId="20639"/>
    <cellStyle name="常规 3 2 9 2 3 3 3" xfId="28478"/>
    <cellStyle name="常规 3 2 9 2 3 3 3 2" xfId="8330"/>
    <cellStyle name="常规 3 2 9 2 3 3 3 2 2" xfId="21246"/>
    <cellStyle name="常规 3 2 9 2 3 3 3 3" xfId="28480"/>
    <cellStyle name="常规 3 2 9 2 3 3 3 4" xfId="28481"/>
    <cellStyle name="常规 3 2 9 2 3 3 4" xfId="28483"/>
    <cellStyle name="常规 3 2 9 2 3 3 4 2" xfId="28485"/>
    <cellStyle name="常规 3 2 9 2 3 3 4 2 2" xfId="21413"/>
    <cellStyle name="常规 3 2 9 2 3 3 4 3" xfId="28486"/>
    <cellStyle name="常规 3 2 9 2 3 3 4 4" xfId="28487"/>
    <cellStyle name="常规 3 2 9 2 3 3 5" xfId="28488"/>
    <cellStyle name="常规 3 2 9 2 3 3 5 2" xfId="28489"/>
    <cellStyle name="常规 3 2 9 2 3 3 6" xfId="28490"/>
    <cellStyle name="常规 3 2 9 2 3 3 7" xfId="28491"/>
    <cellStyle name="常规 3 2 9 2 3 3 8" xfId="28492"/>
    <cellStyle name="常规 3 2 9 2 3 4" xfId="28493"/>
    <cellStyle name="常规 3 2 9 2 3 4 2" xfId="28495"/>
    <cellStyle name="常规 3 2 9 2 3 4 2 2" xfId="28497"/>
    <cellStyle name="常规 3 2 9 2 3 4 2 2 2" xfId="28207"/>
    <cellStyle name="常规 3 2 9 2 3 4 2 3" xfId="28500"/>
    <cellStyle name="常规 3 2 9 2 3 4 2 4" xfId="28502"/>
    <cellStyle name="常规 3 2 9 2 3 4 3" xfId="28503"/>
    <cellStyle name="常规 3 2 9 2 3 4 3 2" xfId="28505"/>
    <cellStyle name="常规 3 2 9 2 3 4 4" xfId="12862"/>
    <cellStyle name="常规 3 2 9 2 3 4 5" xfId="28506"/>
    <cellStyle name="常规 3 2 9 2 3 4 6" xfId="24411"/>
    <cellStyle name="常规 3 2 9 2 3 5" xfId="25229"/>
    <cellStyle name="常规 3 2 9 2 3 5 2" xfId="25232"/>
    <cellStyle name="常规 3 2 9 2 3 5 2 2" xfId="7454"/>
    <cellStyle name="常规 3 2 9 2 3 5 3" xfId="25243"/>
    <cellStyle name="常规 3 2 9 2 3 5 4" xfId="25248"/>
    <cellStyle name="常规 3 2 9 2 3 6" xfId="25260"/>
    <cellStyle name="常规 3 2 9 2 3 6 2" xfId="25263"/>
    <cellStyle name="常规 3 2 9 2 3 6 2 2" xfId="13656"/>
    <cellStyle name="常规 3 2 9 2 3 6 3" xfId="13960"/>
    <cellStyle name="常规 3 2 9 2 3 6 4" xfId="25268"/>
    <cellStyle name="常规 3 2 9 2 3 7" xfId="25273"/>
    <cellStyle name="常规 3 2 9 2 3 7 2" xfId="25277"/>
    <cellStyle name="常规 3 2 9 2 3 8" xfId="25286"/>
    <cellStyle name="常规 3 2 9 2 3 8 2" xfId="25290"/>
    <cellStyle name="常规 3 2 9 2 3 9" xfId="25299"/>
    <cellStyle name="常规 3 2 9 2 4" xfId="28507"/>
    <cellStyle name="常规 3 2 9 2 4 2" xfId="17663"/>
    <cellStyle name="常规 3 2 9 2 4 2 2" xfId="28509"/>
    <cellStyle name="常规 3 2 9 2 4 2 2 2" xfId="22431"/>
    <cellStyle name="常规 3 2 9 2 4 2 2 2 2" xfId="28511"/>
    <cellStyle name="常规 3 2 9 2 4 2 2 3" xfId="1357"/>
    <cellStyle name="常规 3 2 9 2 4 2 2 4" xfId="28512"/>
    <cellStyle name="常规 3 2 9 2 4 2 3" xfId="28514"/>
    <cellStyle name="常规 3 2 9 2 4 2 3 2" xfId="28516"/>
    <cellStyle name="常规 3 2 9 2 4 2 4" xfId="28517"/>
    <cellStyle name="常规 3 2 9 2 4 2 5" xfId="28519"/>
    <cellStyle name="常规 3 2 9 2 4 3" xfId="17666"/>
    <cellStyle name="常规 3 2 9 2 4 3 2" xfId="16304"/>
    <cellStyle name="常规 3 2 9 2 4 3 2 2" xfId="28520"/>
    <cellStyle name="常规 3 2 9 2 4 3 3" xfId="16307"/>
    <cellStyle name="常规 3 2 9 2 4 3 4" xfId="28521"/>
    <cellStyle name="常规 3 2 9 2 4 4" xfId="28522"/>
    <cellStyle name="常规 3 2 9 2 4 4 2" xfId="28524"/>
    <cellStyle name="常规 3 2 9 2 4 4 2 2" xfId="28525"/>
    <cellStyle name="常规 3 2 9 2 4 4 3" xfId="28526"/>
    <cellStyle name="常规 3 2 9 2 4 4 4" xfId="18037"/>
    <cellStyle name="常规 3 2 9 2 4 5" xfId="25308"/>
    <cellStyle name="常规 3 2 9 2 4 5 2" xfId="25311"/>
    <cellStyle name="常规 3 2 9 2 4 6" xfId="25347"/>
    <cellStyle name="常规 3 2 9 2 4 7" xfId="25380"/>
    <cellStyle name="常规 3 2 9 2 4 8" xfId="25387"/>
    <cellStyle name="常规 3 2 9 2 5" xfId="28527"/>
    <cellStyle name="常规 3 2 9 2 5 2" xfId="28529"/>
    <cellStyle name="常规 3 2 9 2 5 2 2" xfId="12851"/>
    <cellStyle name="常规 3 2 9 2 5 2 2 2" xfId="12856"/>
    <cellStyle name="常规 3 2 9 2 5 2 3" xfId="12933"/>
    <cellStyle name="常规 3 2 9 2 5 2 4" xfId="12980"/>
    <cellStyle name="常规 3 2 9 2 5 3" xfId="28532"/>
    <cellStyle name="常规 3 2 9 2 5 3 2" xfId="25813"/>
    <cellStyle name="常规 3 2 9 2 5 4" xfId="28534"/>
    <cellStyle name="常规 3 2 9 2 5 5" xfId="25396"/>
    <cellStyle name="常规 3 2 9 2 5 6" xfId="25409"/>
    <cellStyle name="常规 3 2 9 2 6" xfId="28536"/>
    <cellStyle name="常规 3 2 9 2 6 2" xfId="10892"/>
    <cellStyle name="常规 3 2 9 2 6 2 2" xfId="28538"/>
    <cellStyle name="常规 3 2 9 2 6 3" xfId="28541"/>
    <cellStyle name="常规 3 2 9 2 6 4" xfId="28543"/>
    <cellStyle name="常规 3 2 9 2 7" xfId="28545"/>
    <cellStyle name="常规 3 2 9 2 7 2" xfId="28547"/>
    <cellStyle name="常规 3 2 9 2 7 2 2" xfId="28550"/>
    <cellStyle name="常规 3 2 9 2 7 3" xfId="2066"/>
    <cellStyle name="常规 3 2 9 2 7 4" xfId="2081"/>
    <cellStyle name="常规 3 2 9 2 8" xfId="28551"/>
    <cellStyle name="常规 3 2 9 2 8 2" xfId="28553"/>
    <cellStyle name="常规 3 2 9 2 9" xfId="18377"/>
    <cellStyle name="常规 3 2 9 2 9 2" xfId="18381"/>
    <cellStyle name="常规 3 2 9 3" xfId="14522"/>
    <cellStyle name="常规 3 2 9 3 10" xfId="26886"/>
    <cellStyle name="常规 3 2 9 3 11" xfId="26889"/>
    <cellStyle name="常规 3 2 9 3 2" xfId="28365"/>
    <cellStyle name="常规 3 2 9 3 2 10" xfId="28555"/>
    <cellStyle name="常规 3 2 9 3 2 2" xfId="28557"/>
    <cellStyle name="常规 3 2 9 3 2 2 2" xfId="28559"/>
    <cellStyle name="常规 3 2 9 3 2 2 2 2" xfId="294"/>
    <cellStyle name="常规 3 2 9 3 2 2 2 2 2" xfId="28561"/>
    <cellStyle name="常规 3 2 9 3 2 2 2 2 2 2" xfId="28562"/>
    <cellStyle name="常规 3 2 9 3 2 2 2 2 3" xfId="28563"/>
    <cellStyle name="常规 3 2 9 3 2 2 2 2 4" xfId="28565"/>
    <cellStyle name="常规 3 2 9 3 2 2 2 3" xfId="269"/>
    <cellStyle name="常规 3 2 9 3 2 2 2 3 2" xfId="28566"/>
    <cellStyle name="常规 3 2 9 3 2 2 2 4" xfId="23333"/>
    <cellStyle name="常规 3 2 9 3 2 2 2 5" xfId="28567"/>
    <cellStyle name="常规 3 2 9 3 2 2 3" xfId="28569"/>
    <cellStyle name="常规 3 2 9 3 2 2 3 2" xfId="28571"/>
    <cellStyle name="常规 3 2 9 3 2 2 3 2 2" xfId="28572"/>
    <cellStyle name="常规 3 2 9 3 2 2 3 3" xfId="28573"/>
    <cellStyle name="常规 3 2 9 3 2 2 3 4" xfId="28574"/>
    <cellStyle name="常规 3 2 9 3 2 2 4" xfId="28576"/>
    <cellStyle name="常规 3 2 9 3 2 2 4 2" xfId="28578"/>
    <cellStyle name="常规 3 2 9 3 2 2 4 2 2" xfId="28579"/>
    <cellStyle name="常规 3 2 9 3 2 2 4 3" xfId="28580"/>
    <cellStyle name="常规 3 2 9 3 2 2 4 4" xfId="28581"/>
    <cellStyle name="常规 3 2 9 3 2 2 5" xfId="28582"/>
    <cellStyle name="常规 3 2 9 3 2 2 5 2" xfId="28583"/>
    <cellStyle name="常规 3 2 9 3 2 2 6" xfId="16552"/>
    <cellStyle name="常规 3 2 9 3 2 2 7" xfId="16556"/>
    <cellStyle name="常规 3 2 9 3 2 2 8" xfId="16558"/>
    <cellStyle name="常规 3 2 9 3 2 3" xfId="28585"/>
    <cellStyle name="常规 3 2 9 3 2 3 2" xfId="28587"/>
    <cellStyle name="常规 3 2 9 3 2 3 2 2" xfId="28589"/>
    <cellStyle name="常规 3 2 9 3 2 3 2 2 2" xfId="21518"/>
    <cellStyle name="常规 3 2 9 3 2 3 2 3" xfId="28590"/>
    <cellStyle name="常规 3 2 9 3 2 3 2 4" xfId="28591"/>
    <cellStyle name="常规 3 2 9 3 2 3 3" xfId="6452"/>
    <cellStyle name="常规 3 2 9 3 2 3 3 2" xfId="28592"/>
    <cellStyle name="常规 3 2 9 3 2 3 4" xfId="28593"/>
    <cellStyle name="常规 3 2 9 3 2 3 5" xfId="28594"/>
    <cellStyle name="常规 3 2 9 3 2 3 6" xfId="16562"/>
    <cellStyle name="常规 3 2 9 3 2 4" xfId="27251"/>
    <cellStyle name="常规 3 2 9 3 2 4 2" xfId="28595"/>
    <cellStyle name="常规 3 2 9 3 2 4 2 2" xfId="12667"/>
    <cellStyle name="常规 3 2 9 3 2 4 3" xfId="28596"/>
    <cellStyle name="常规 3 2 9 3 2 4 4" xfId="28597"/>
    <cellStyle name="常规 3 2 9 3 2 5" xfId="28598"/>
    <cellStyle name="常规 3 2 9 3 2 5 2" xfId="28600"/>
    <cellStyle name="常规 3 2 9 3 2 5 2 2" xfId="28601"/>
    <cellStyle name="常规 3 2 9 3 2 5 3" xfId="28602"/>
    <cellStyle name="常规 3 2 9 3 2 5 4" xfId="28603"/>
    <cellStyle name="常规 3 2 9 3 2 6" xfId="28604"/>
    <cellStyle name="常规 3 2 9 3 2 6 2" xfId="28606"/>
    <cellStyle name="常规 3 2 9 3 2 7" xfId="28607"/>
    <cellStyle name="常规 3 2 9 3 2 7 2" xfId="28608"/>
    <cellStyle name="常规 3 2 9 3 2 8" xfId="23662"/>
    <cellStyle name="常规 3 2 9 3 2 9" xfId="28609"/>
    <cellStyle name="常规 3 2 9 3 3" xfId="28610"/>
    <cellStyle name="常规 3 2 9 3 3 2" xfId="28613"/>
    <cellStyle name="常规 3 2 9 3 3 2 2" xfId="17445"/>
    <cellStyle name="常规 3 2 9 3 3 2 2 2" xfId="17449"/>
    <cellStyle name="常规 3 2 9 3 3 2 2 2 2" xfId="17454"/>
    <cellStyle name="常规 3 2 9 3 3 2 2 3" xfId="17457"/>
    <cellStyle name="常规 3 2 9 3 3 2 2 4" xfId="17460"/>
    <cellStyle name="常规 3 2 9 3 3 2 3" xfId="17464"/>
    <cellStyle name="常规 3 2 9 3 3 2 3 2" xfId="17468"/>
    <cellStyle name="常规 3 2 9 3 3 2 4" xfId="17479"/>
    <cellStyle name="常规 3 2 9 3 3 2 5" xfId="17485"/>
    <cellStyle name="常规 3 2 9 3 3 3" xfId="28616"/>
    <cellStyle name="常规 3 2 9 3 3 3 2" xfId="17608"/>
    <cellStyle name="常规 3 2 9 3 3 3 2 2" xfId="17611"/>
    <cellStyle name="常规 3 2 9 3 3 3 3" xfId="17621"/>
    <cellStyle name="常规 3 2 9 3 3 3 4" xfId="17626"/>
    <cellStyle name="常规 3 2 9 3 3 4" xfId="28619"/>
    <cellStyle name="常规 3 2 9 3 3 4 2" xfId="17652"/>
    <cellStyle name="常规 3 2 9 3 3 4 2 2" xfId="28622"/>
    <cellStyle name="常规 3 2 9 3 3 4 3" xfId="17656"/>
    <cellStyle name="常规 3 2 9 3 3 4 4" xfId="28624"/>
    <cellStyle name="常规 3 2 9 3 3 5" xfId="25445"/>
    <cellStyle name="常规 3 2 9 3 3 5 2" xfId="17709"/>
    <cellStyle name="常规 3 2 9 3 3 6" xfId="25476"/>
    <cellStyle name="常规 3 2 9 3 3 7" xfId="25487"/>
    <cellStyle name="常规 3 2 9 3 3 8" xfId="25493"/>
    <cellStyle name="常规 3 2 9 3 4" xfId="28626"/>
    <cellStyle name="常规 3 2 9 3 4 2" xfId="28629"/>
    <cellStyle name="常规 3 2 9 3 4 2 2" xfId="14779"/>
    <cellStyle name="常规 3 2 9 3 4 2 2 2" xfId="18010"/>
    <cellStyle name="常规 3 2 9 3 4 2 3" xfId="18020"/>
    <cellStyle name="常规 3 2 9 3 4 2 4" xfId="18024"/>
    <cellStyle name="常规 3 2 9 3 4 3" xfId="28632"/>
    <cellStyle name="常规 3 2 9 3 4 3 2" xfId="18141"/>
    <cellStyle name="常规 3 2 9 3 4 4" xfId="28635"/>
    <cellStyle name="常规 3 2 9 3 4 5" xfId="25511"/>
    <cellStyle name="常规 3 2 9 3 4 6" xfId="20927"/>
    <cellStyle name="常规 3 2 9 3 5" xfId="28638"/>
    <cellStyle name="常规 3 2 9 3 5 2" xfId="28641"/>
    <cellStyle name="常规 3 2 9 3 5 2 2" xfId="18518"/>
    <cellStyle name="常规 3 2 9 3 5 3" xfId="28644"/>
    <cellStyle name="常规 3 2 9 3 5 4" xfId="28646"/>
    <cellStyle name="常规 3 2 9 3 6" xfId="28648"/>
    <cellStyle name="常规 3 2 9 3 6 2" xfId="28651"/>
    <cellStyle name="常规 3 2 9 3 6 2 2" xfId="18961"/>
    <cellStyle name="常规 3 2 9 3 6 3" xfId="28654"/>
    <cellStyle name="常规 3 2 9 3 6 4" xfId="23492"/>
    <cellStyle name="常规 3 2 9 3 7" xfId="28656"/>
    <cellStyle name="常规 3 2 9 3 7 2" xfId="28659"/>
    <cellStyle name="常规 3 2 9 3 8" xfId="28661"/>
    <cellStyle name="常规 3 2 9 3 8 2" xfId="28664"/>
    <cellStyle name="常规 3 2 9 3 9" xfId="18384"/>
    <cellStyle name="常规 3 2 9 4" xfId="28369"/>
    <cellStyle name="常规 3 2 9 4 2" xfId="15650"/>
    <cellStyle name="常规 3 2 9 4 2 2" xfId="1735"/>
    <cellStyle name="常规 3 2 9 4 2 2 2" xfId="4000"/>
    <cellStyle name="常规 3 2 9 4 2 2 2 2" xfId="4004"/>
    <cellStyle name="常规 3 2 9 4 2 2 3" xfId="4008"/>
    <cellStyle name="常规 3 2 9 4 2 2 4" xfId="28666"/>
    <cellStyle name="常规 3 2 9 4 2 3" xfId="4013"/>
    <cellStyle name="常规 3 2 9 4 2 3 2" xfId="4018"/>
    <cellStyle name="常规 3 2 9 4 2 4" xfId="4024"/>
    <cellStyle name="常规 3 2 9 4 2 5" xfId="4031"/>
    <cellStyle name="常规 3 2 9 4 3" xfId="15653"/>
    <cellStyle name="常规 3 2 9 4 3 2" xfId="4063"/>
    <cellStyle name="常规 3 2 9 4 3 2 2" xfId="20869"/>
    <cellStyle name="常规 3 2 9 4 3 3" xfId="28668"/>
    <cellStyle name="常规 3 2 9 4 3 4" xfId="23588"/>
    <cellStyle name="常规 3 2 9 4 4" xfId="15657"/>
    <cellStyle name="常规 3 2 9 4 4 2" xfId="28672"/>
    <cellStyle name="常规 3 2 9 4 4 2 2" xfId="21035"/>
    <cellStyle name="常规 3 2 9 4 4 3" xfId="28675"/>
    <cellStyle name="常规 3 2 9 4 4 4" xfId="23599"/>
    <cellStyle name="常规 3 2 9 4 5" xfId="15661"/>
    <cellStyle name="常规 3 2 9 4 5 2" xfId="28678"/>
    <cellStyle name="常规 3 2 9 4 6" xfId="28681"/>
    <cellStyle name="常规 3 2 9 4 7" xfId="28684"/>
    <cellStyle name="常规 3 2 9 4 8" xfId="28687"/>
    <cellStyle name="常规 3 2 9 5" xfId="23203"/>
    <cellStyle name="常规 3 2 9 5 2" xfId="15672"/>
    <cellStyle name="常规 3 2 9 5 2 2" xfId="4121"/>
    <cellStyle name="常规 3 2 9 5 2 2 2" xfId="4125"/>
    <cellStyle name="常规 3 2 9 5 2 3" xfId="4128"/>
    <cellStyle name="常规 3 2 9 5 2 4" xfId="23613"/>
    <cellStyle name="常规 3 2 9 5 3" xfId="15675"/>
    <cellStyle name="常规 3 2 9 5 3 2" xfId="1923"/>
    <cellStyle name="常规 3 2 9 5 4" xfId="28689"/>
    <cellStyle name="常规 3 2 9 5 5" xfId="4985"/>
    <cellStyle name="常规 3 2 9 5 6" xfId="19794"/>
    <cellStyle name="常规 3 2 9 6" xfId="28692"/>
    <cellStyle name="常规 3 2 9 6 2" xfId="28693"/>
    <cellStyle name="常规 3 2 9 6 2 2" xfId="28695"/>
    <cellStyle name="常规 3 2 9 6 3" xfId="28697"/>
    <cellStyle name="常规 3 2 9 6 4" xfId="28701"/>
    <cellStyle name="常规 3 2 9 7" xfId="22316"/>
    <cellStyle name="常规 3 2 9 7 2" xfId="16980"/>
    <cellStyle name="常规 3 2 9 7 2 2" xfId="3990"/>
    <cellStyle name="常规 3 2 9 7 3" xfId="28705"/>
    <cellStyle name="常规 3 2 9 7 4" xfId="28417"/>
    <cellStyle name="常规 3 2 9 8" xfId="2354"/>
    <cellStyle name="常规 3 2 9 8 2" xfId="10750"/>
    <cellStyle name="常规 3 2 9 9" xfId="22319"/>
    <cellStyle name="常规 3 2 9 9 2" xfId="25808"/>
    <cellStyle name="常规 3 20" xfId="26453"/>
    <cellStyle name="常规 3 21" xfId="26459"/>
    <cellStyle name="常规 3 3" xfId="28708"/>
    <cellStyle name="常规 3 3 10" xfId="19272"/>
    <cellStyle name="常规 3 3 10 2" xfId="21774"/>
    <cellStyle name="常规 3 3 11" xfId="19274"/>
    <cellStyle name="常规 3 3 11 2" xfId="21779"/>
    <cellStyle name="常规 3 3 12" xfId="28709"/>
    <cellStyle name="常规 3 3 13" xfId="28711"/>
    <cellStyle name="常规 3 3 14" xfId="28712"/>
    <cellStyle name="常规 3 3 2" xfId="5785"/>
    <cellStyle name="常规 3 3 2 10" xfId="1752"/>
    <cellStyle name="常规 3 3 2 10 2" xfId="1757"/>
    <cellStyle name="常规 3 3 2 11" xfId="1774"/>
    <cellStyle name="常规 3 3 2 12" xfId="1796"/>
    <cellStyle name="常规 3 3 2 13" xfId="1782"/>
    <cellStyle name="常规 3 3 2 2" xfId="5788"/>
    <cellStyle name="常规 3 3 2 2 10" xfId="28713"/>
    <cellStyle name="常规 3 3 2 2 2" xfId="28715"/>
    <cellStyle name="常规 3 3 2 2 2 2" xfId="28717"/>
    <cellStyle name="常规 3 3 2 2 2 2 2" xfId="14472"/>
    <cellStyle name="常规 3 3 2 2 2 2 2 2" xfId="14476"/>
    <cellStyle name="常规 3 3 2 2 2 2 2 2 2" xfId="27800"/>
    <cellStyle name="常规 3 3 2 2 2 2 2 3" xfId="24312"/>
    <cellStyle name="常规 3 3 2 2 2 2 2 4" xfId="21108"/>
    <cellStyle name="常规 3 3 2 2 2 2 3" xfId="14479"/>
    <cellStyle name="常规 3 3 2 2 2 2 3 2" xfId="27810"/>
    <cellStyle name="常规 3 3 2 2 2 2 4" xfId="14482"/>
    <cellStyle name="常规 3 3 2 2 2 2 5" xfId="3804"/>
    <cellStyle name="常规 3 3 2 2 2 3" xfId="28718"/>
    <cellStyle name="常规 3 3 2 2 2 3 2" xfId="14500"/>
    <cellStyle name="常规 3 3 2 2 2 3 2 2" xfId="28121"/>
    <cellStyle name="常规 3 3 2 2 2 3 3" xfId="28124"/>
    <cellStyle name="常规 3 3 2 2 2 3 4" xfId="22271"/>
    <cellStyle name="常规 3 3 2 2 2 4" xfId="23194"/>
    <cellStyle name="常规 3 3 2 2 2 4 2" xfId="14517"/>
    <cellStyle name="常规 3 3 2 2 2 4 2 2" xfId="15526"/>
    <cellStyle name="常规 3 3 2 2 2 4 3" xfId="23198"/>
    <cellStyle name="常规 3 3 2 2 2 4 4" xfId="22303"/>
    <cellStyle name="常规 3 3 2 2 2 5" xfId="23200"/>
    <cellStyle name="常规 3 3 2 2 2 5 2" xfId="23204"/>
    <cellStyle name="常规 3 3 2 2 2 6" xfId="23206"/>
    <cellStyle name="常规 3 3 2 2 2 7" xfId="23209"/>
    <cellStyle name="常规 3 3 2 2 2 8" xfId="23212"/>
    <cellStyle name="常规 3 3 2 2 3" xfId="28719"/>
    <cellStyle name="常规 3 3 2 2 3 2" xfId="28721"/>
    <cellStyle name="常规 3 3 2 2 3 2 2" xfId="17895"/>
    <cellStyle name="常规 3 3 2 2 3 2 2 2" xfId="23464"/>
    <cellStyle name="常规 3 3 2 2 3 2 3" xfId="17898"/>
    <cellStyle name="常规 3 3 2 2 3 2 4" xfId="28722"/>
    <cellStyle name="常规 3 3 2 2 3 3" xfId="28724"/>
    <cellStyle name="常规 3 3 2 2 3 3 2" xfId="28725"/>
    <cellStyle name="常规 3 3 2 2 3 4" xfId="23216"/>
    <cellStyle name="常规 3 3 2 2 3 5" xfId="23220"/>
    <cellStyle name="常规 3 3 2 2 3 6" xfId="23222"/>
    <cellStyle name="常规 3 3 2 2 4" xfId="5996"/>
    <cellStyle name="常规 3 3 2 2 4 2" xfId="3515"/>
    <cellStyle name="常规 3 3 2 2 4 2 2" xfId="5370"/>
    <cellStyle name="常规 3 3 2 2 4 3" xfId="5373"/>
    <cellStyle name="常规 3 3 2 2 4 4" xfId="13026"/>
    <cellStyle name="常规 3 3 2 2 5" xfId="4575"/>
    <cellStyle name="常规 3 3 2 2 5 2" xfId="4579"/>
    <cellStyle name="常规 3 3 2 2 5 2 2" xfId="11335"/>
    <cellStyle name="常规 3 3 2 2 5 3" xfId="2786"/>
    <cellStyle name="常规 3 3 2 2 5 4" xfId="13046"/>
    <cellStyle name="常规 3 3 2 2 6" xfId="4586"/>
    <cellStyle name="常规 3 3 2 2 6 2" xfId="28727"/>
    <cellStyle name="常规 3 3 2 2 7" xfId="28728"/>
    <cellStyle name="常规 3 3 2 2 7 2" xfId="28729"/>
    <cellStyle name="常规 3 3 2 2 8" xfId="6748"/>
    <cellStyle name="常规 3 3 2 2 9" xfId="5190"/>
    <cellStyle name="常规 3 3 2 3" xfId="19787"/>
    <cellStyle name="常规 3 3 2 3 10" xfId="28730"/>
    <cellStyle name="常规 3 3 2 3 11" xfId="28732"/>
    <cellStyle name="常规 3 3 2 3 2" xfId="19790"/>
    <cellStyle name="常规 3 3 2 3 2 10" xfId="14859"/>
    <cellStyle name="常规 3 3 2 3 2 2" xfId="19793"/>
    <cellStyle name="常规 3 3 2 3 2 2 2" xfId="19795"/>
    <cellStyle name="常规 3 3 2 3 2 2 2 2" xfId="5041"/>
    <cellStyle name="常规 3 3 2 3 2 2 2 2 2" xfId="4230"/>
    <cellStyle name="常规 3 3 2 3 2 2 2 2 2 2" xfId="5049"/>
    <cellStyle name="常规 3 3 2 3 2 2 2 2 3" xfId="5073"/>
    <cellStyle name="常规 3 3 2 3 2 2 2 2 4" xfId="5082"/>
    <cellStyle name="常规 3 3 2 3 2 2 2 3" xfId="2538"/>
    <cellStyle name="常规 3 3 2 3 2 2 2 3 2" xfId="5101"/>
    <cellStyle name="常规 3 3 2 3 2 2 2 4" xfId="5207"/>
    <cellStyle name="常规 3 3 2 3 2 2 2 5" xfId="5224"/>
    <cellStyle name="常规 3 3 2 3 2 2 3" xfId="28733"/>
    <cellStyle name="常规 3 3 2 3 2 2 3 2" xfId="421"/>
    <cellStyle name="常规 3 3 2 3 2 2 3 2 2" xfId="430"/>
    <cellStyle name="常规 3 3 2 3 2 2 3 3" xfId="445"/>
    <cellStyle name="常规 3 3 2 3 2 2 3 4" xfId="465"/>
    <cellStyle name="常规 3 3 2 3 2 2 4" xfId="28736"/>
    <cellStyle name="常规 3 3 2 3 2 2 4 2" xfId="28738"/>
    <cellStyle name="常规 3 3 2 3 2 2 4 2 2" xfId="24653"/>
    <cellStyle name="常规 3 3 2 3 2 2 4 3" xfId="28739"/>
    <cellStyle name="常规 3 3 2 3 2 2 4 4" xfId="26975"/>
    <cellStyle name="常规 3 3 2 3 2 2 5" xfId="28741"/>
    <cellStyle name="常规 3 3 2 3 2 2 5 2" xfId="28744"/>
    <cellStyle name="常规 3 3 2 3 2 2 6" xfId="28745"/>
    <cellStyle name="常规 3 3 2 3 2 2 7" xfId="28747"/>
    <cellStyle name="常规 3 3 2 3 2 2 8" xfId="28748"/>
    <cellStyle name="常规 3 3 2 3 2 3" xfId="19800"/>
    <cellStyle name="常规 3 3 2 3 2 3 2" xfId="28749"/>
    <cellStyle name="常规 3 3 2 3 2 3 2 2" xfId="28752"/>
    <cellStyle name="常规 3 3 2 3 2 3 2 2 2" xfId="4457"/>
    <cellStyle name="常规 3 3 2 3 2 3 2 3" xfId="26517"/>
    <cellStyle name="常规 3 3 2 3 2 3 2 4" xfId="27006"/>
    <cellStyle name="常规 3 3 2 3 2 3 3" xfId="28753"/>
    <cellStyle name="常规 3 3 2 3 2 3 3 2" xfId="28756"/>
    <cellStyle name="常规 3 3 2 3 2 3 4" xfId="22495"/>
    <cellStyle name="常规 3 3 2 3 2 3 5" xfId="22507"/>
    <cellStyle name="常规 3 3 2 3 2 3 6" xfId="22514"/>
    <cellStyle name="常规 3 3 2 3 2 4" xfId="19803"/>
    <cellStyle name="常规 3 3 2 3 2 4 2" xfId="23238"/>
    <cellStyle name="常规 3 3 2 3 2 4 2 2" xfId="11956"/>
    <cellStyle name="常规 3 3 2 3 2 4 3" xfId="20620"/>
    <cellStyle name="常规 3 3 2 3 2 4 4" xfId="20626"/>
    <cellStyle name="常规 3 3 2 3 2 5" xfId="5497"/>
    <cellStyle name="常规 3 3 2 3 2 5 2" xfId="28448"/>
    <cellStyle name="常规 3 3 2 3 2 5 2 2" xfId="28758"/>
    <cellStyle name="常规 3 3 2 3 2 5 3" xfId="20633"/>
    <cellStyle name="常规 3 3 2 3 2 5 4" xfId="22539"/>
    <cellStyle name="常规 3 3 2 3 2 6" xfId="23241"/>
    <cellStyle name="常规 3 3 2 3 2 6 2" xfId="28455"/>
    <cellStyle name="常规 3 3 2 3 2 7" xfId="28759"/>
    <cellStyle name="常规 3 3 2 3 2 7 2" xfId="12285"/>
    <cellStyle name="常规 3 3 2 3 2 8" xfId="9634"/>
    <cellStyle name="常规 3 3 2 3 2 9" xfId="28760"/>
    <cellStyle name="常规 3 3 2 3 3" xfId="19805"/>
    <cellStyle name="常规 3 3 2 3 3 2" xfId="19807"/>
    <cellStyle name="常规 3 3 2 3 3 2 2" xfId="8285"/>
    <cellStyle name="常规 3 3 2 3 3 2 2 2" xfId="6730"/>
    <cellStyle name="常规 3 3 2 3 3 2 2 2 2" xfId="4907"/>
    <cellStyle name="常规 3 3 2 3 3 2 2 3" xfId="6733"/>
    <cellStyle name="常规 3 3 2 3 3 2 2 4" xfId="6738"/>
    <cellStyle name="常规 3 3 2 3 3 2 3" xfId="8288"/>
    <cellStyle name="常规 3 3 2 3 3 2 3 2" xfId="633"/>
    <cellStyle name="常规 3 3 2 3 3 2 4" xfId="8291"/>
    <cellStyle name="常规 3 3 2 3 3 2 5" xfId="8293"/>
    <cellStyle name="常规 3 3 2 3 3 3" xfId="28761"/>
    <cellStyle name="常规 3 3 2 3 3 3 2" xfId="28762"/>
    <cellStyle name="常规 3 3 2 3 3 3 2 2" xfId="28763"/>
    <cellStyle name="常规 3 3 2 3 3 3 3" xfId="28764"/>
    <cellStyle name="常规 3 3 2 3 3 3 4" xfId="22564"/>
    <cellStyle name="常规 3 3 2 3 3 4" xfId="23245"/>
    <cellStyle name="常规 3 3 2 3 3 4 2" xfId="28477"/>
    <cellStyle name="常规 3 3 2 3 3 4 2 2" xfId="28766"/>
    <cellStyle name="常规 3 3 2 3 3 4 3" xfId="20640"/>
    <cellStyle name="常规 3 3 2 3 3 4 4" xfId="22581"/>
    <cellStyle name="常规 3 3 2 3 3 5" xfId="28768"/>
    <cellStyle name="常规 3 3 2 3 3 5 2" xfId="28482"/>
    <cellStyle name="常规 3 3 2 3 3 6" xfId="28769"/>
    <cellStyle name="常规 3 3 2 3 3 7" xfId="28771"/>
    <cellStyle name="常规 3 3 2 3 3 8" xfId="9637"/>
    <cellStyle name="常规 3 3 2 3 4" xfId="6002"/>
    <cellStyle name="常规 3 3 2 3 4 2" xfId="5432"/>
    <cellStyle name="常规 3 3 2 3 4 2 2" xfId="28772"/>
    <cellStyle name="常规 3 3 2 3 4 2 2 2" xfId="7103"/>
    <cellStyle name="常规 3 3 2 3 4 2 3" xfId="28774"/>
    <cellStyle name="常规 3 3 2 3 4 2 4" xfId="11673"/>
    <cellStyle name="常规 3 3 2 3 4 3" xfId="28777"/>
    <cellStyle name="常规 3 3 2 3 4 3 2" xfId="28779"/>
    <cellStyle name="常规 3 3 2 3 4 4" xfId="13066"/>
    <cellStyle name="常规 3 3 2 3 4 5" xfId="19098"/>
    <cellStyle name="常规 3 3 2 3 4 6" xfId="19103"/>
    <cellStyle name="常规 3 3 2 3 5" xfId="4591"/>
    <cellStyle name="常规 3 3 2 3 5 2" xfId="28782"/>
    <cellStyle name="常规 3 3 2 3 5 2 2" xfId="28783"/>
    <cellStyle name="常规 3 3 2 3 5 3" xfId="28785"/>
    <cellStyle name="常规 3 3 2 3 5 4" xfId="28787"/>
    <cellStyle name="常规 3 3 2 3 6" xfId="27065"/>
    <cellStyle name="常规 3 3 2 3 6 2" xfId="27067"/>
    <cellStyle name="常规 3 3 2 3 6 2 2" xfId="27068"/>
    <cellStyle name="常规 3 3 2 3 6 3" xfId="27075"/>
    <cellStyle name="常规 3 3 2 3 6 4" xfId="21291"/>
    <cellStyle name="常规 3 3 2 3 7" xfId="27080"/>
    <cellStyle name="常规 3 3 2 3 7 2" xfId="27082"/>
    <cellStyle name="常规 3 3 2 3 8" xfId="6766"/>
    <cellStyle name="常规 3 3 2 3 8 2" xfId="6770"/>
    <cellStyle name="常规 3 3 2 3 9" xfId="5197"/>
    <cellStyle name="常规 3 3 2 4" xfId="19809"/>
    <cellStyle name="常规 3 3 2 4 2" xfId="19811"/>
    <cellStyle name="常规 3 3 2 4 2 2" xfId="19813"/>
    <cellStyle name="常规 3 3 2 4 2 2 2" xfId="275"/>
    <cellStyle name="常规 3 3 2 4 2 2 2 2" xfId="28788"/>
    <cellStyle name="常规 3 3 2 4 2 2 2 2 2" xfId="28789"/>
    <cellStyle name="常规 3 3 2 4 2 2 2 3" xfId="28790"/>
    <cellStyle name="常规 3 3 2 4 2 2 2 4" xfId="21527"/>
    <cellStyle name="常规 3 3 2 4 2 2 3" xfId="28791"/>
    <cellStyle name="常规 3 3 2 4 2 2 3 2" xfId="28792"/>
    <cellStyle name="常规 3 3 2 4 2 2 4" xfId="2648"/>
    <cellStyle name="常规 3 3 2 4 2 2 5" xfId="2660"/>
    <cellStyle name="常规 3 3 2 4 2 3" xfId="23562"/>
    <cellStyle name="常规 3 3 2 4 2 3 2" xfId="28793"/>
    <cellStyle name="常规 3 3 2 4 2 3 2 2" xfId="28794"/>
    <cellStyle name="常规 3 3 2 4 2 3 3" xfId="28795"/>
    <cellStyle name="常规 3 3 2 4 2 3 4" xfId="2671"/>
    <cellStyle name="常规 3 3 2 4 2 4" xfId="28796"/>
    <cellStyle name="常规 3 3 2 4 2 4 2" xfId="28513"/>
    <cellStyle name="常规 3 3 2 4 2 5" xfId="28324"/>
    <cellStyle name="常规 3 3 2 4 2 6" xfId="28797"/>
    <cellStyle name="常规 3 3 2 4 2 7" xfId="26941"/>
    <cellStyle name="常规 3 3 2 4 3" xfId="19815"/>
    <cellStyle name="常规 3 3 2 4 3 2" xfId="28799"/>
    <cellStyle name="常规 3 3 2 4 3 2 2" xfId="28800"/>
    <cellStyle name="常规 3 3 2 4 3 3" xfId="23565"/>
    <cellStyle name="常规 3 3 2 4 3 4" xfId="28801"/>
    <cellStyle name="常规 3 3 2 4 4" xfId="6006"/>
    <cellStyle name="常规 3 3 2 4 4 2" xfId="6008"/>
    <cellStyle name="常规 3 3 2 4 4 2 2" xfId="28802"/>
    <cellStyle name="常规 3 3 2 4 4 3" xfId="28803"/>
    <cellStyle name="常规 3 3 2 4 4 4" xfId="13076"/>
    <cellStyle name="常规 3 3 2 4 5" xfId="4594"/>
    <cellStyle name="常规 3 3 2 4 6" xfId="21976"/>
    <cellStyle name="常规 3 3 2 4 7" xfId="27095"/>
    <cellStyle name="常规 3 3 2 5" xfId="19818"/>
    <cellStyle name="常规 3 3 2 5 2" xfId="19820"/>
    <cellStyle name="常规 3 3 2 5 2 2" xfId="290"/>
    <cellStyle name="常规 3 3 2 5 2 2 2" xfId="12678"/>
    <cellStyle name="常规 3 3 2 5 2 2 2 2" xfId="12680"/>
    <cellStyle name="常规 3 3 2 5 2 2 3" xfId="12701"/>
    <cellStyle name="常规 3 3 2 5 2 2 4" xfId="603"/>
    <cellStyle name="常规 3 3 2 5 2 3" xfId="23644"/>
    <cellStyle name="常规 3 3 2 5 2 3 2" xfId="12826"/>
    <cellStyle name="常规 3 3 2 5 2 4" xfId="28805"/>
    <cellStyle name="常规 3 3 2 5 2 5" xfId="14636"/>
    <cellStyle name="常规 3 3 2 5 3" xfId="19822"/>
    <cellStyle name="常规 3 3 2 5 3 2" xfId="28806"/>
    <cellStyle name="常规 3 3 2 5 3 2 2" xfId="28807"/>
    <cellStyle name="常规 3 3 2 5 3 3" xfId="28808"/>
    <cellStyle name="常规 3 3 2 5 3 4" xfId="28809"/>
    <cellStyle name="常规 3 3 2 5 4" xfId="4750"/>
    <cellStyle name="常规 3 3 2 5 4 2" xfId="28810"/>
    <cellStyle name="常规 3 3 2 5 4 2 2" xfId="28811"/>
    <cellStyle name="常规 3 3 2 5 4 3" xfId="28813"/>
    <cellStyle name="常规 3 3 2 5 4 4" xfId="28815"/>
    <cellStyle name="常规 3 3 2 5 5" xfId="28816"/>
    <cellStyle name="常规 3 3 2 5 5 2" xfId="28817"/>
    <cellStyle name="常规 3 3 2 5 6" xfId="27100"/>
    <cellStyle name="常规 3 3 2 5 7" xfId="27104"/>
    <cellStyle name="常规 3 3 2 5 8" xfId="2113"/>
    <cellStyle name="常规 3 3 2 6" xfId="10549"/>
    <cellStyle name="常规 3 3 2 6 2" xfId="19824"/>
    <cellStyle name="常规 3 3 2 6 2 2" xfId="28818"/>
    <cellStyle name="常规 3 3 2 6 2 2 2" xfId="28819"/>
    <cellStyle name="常规 3 3 2 6 2 3" xfId="28820"/>
    <cellStyle name="常规 3 3 2 6 2 4" xfId="28821"/>
    <cellStyle name="常规 3 3 2 6 3" xfId="28822"/>
    <cellStyle name="常规 3 3 2 6 3 2" xfId="7047"/>
    <cellStyle name="常规 3 3 2 6 4" xfId="28823"/>
    <cellStyle name="常规 3 3 2 6 5" xfId="28824"/>
    <cellStyle name="常规 3 3 2 6 6" xfId="27106"/>
    <cellStyle name="常规 3 3 2 7" xfId="19826"/>
    <cellStyle name="常规 3 3 2 7 2" xfId="28825"/>
    <cellStyle name="常规 3 3 2 7 2 2" xfId="28826"/>
    <cellStyle name="常规 3 3 2 7 3" xfId="28827"/>
    <cellStyle name="常规 3 3 2 7 4" xfId="28828"/>
    <cellStyle name="常规 3 3 2 8" xfId="11479"/>
    <cellStyle name="常规 3 3 2 8 2" xfId="11483"/>
    <cellStyle name="常规 3 3 2 8 2 2" xfId="48"/>
    <cellStyle name="常规 3 3 2 8 3" xfId="28829"/>
    <cellStyle name="常规 3 3 2 8 4" xfId="28318"/>
    <cellStyle name="常规 3 3 2 9" xfId="11487"/>
    <cellStyle name="常规 3 3 2 9 2" xfId="28831"/>
    <cellStyle name="常规 3 3 3" xfId="6552"/>
    <cellStyle name="常规 3 3 3 10" xfId="25791"/>
    <cellStyle name="常规 3 3 3 11" xfId="25796"/>
    <cellStyle name="常规 3 3 3 2" xfId="6555"/>
    <cellStyle name="常规 3 3 3 2 10" xfId="28833"/>
    <cellStyle name="常规 3 3 3 2 2" xfId="28834"/>
    <cellStyle name="常规 3 3 3 2 2 2" xfId="28835"/>
    <cellStyle name="常规 3 3 3 2 2 2 2" xfId="28836"/>
    <cellStyle name="常规 3 3 3 2 2 2 2 2" xfId="23824"/>
    <cellStyle name="常规 3 3 3 2 2 2 2 2 2" xfId="28837"/>
    <cellStyle name="常规 3 3 3 2 2 2 2 3" xfId="24714"/>
    <cellStyle name="常规 3 3 3 2 2 2 2 4" xfId="24718"/>
    <cellStyle name="常规 3 3 3 2 2 2 3" xfId="28838"/>
    <cellStyle name="常规 3 3 3 2 2 2 3 2" xfId="28839"/>
    <cellStyle name="常规 3 3 3 2 2 2 4" xfId="23907"/>
    <cellStyle name="常规 3 3 3 2 2 2 5" xfId="4632"/>
    <cellStyle name="常规 3 3 3 2 2 3" xfId="22114"/>
    <cellStyle name="常规 3 3 3 2 2 3 2" xfId="28840"/>
    <cellStyle name="常规 3 3 3 2 2 3 2 2" xfId="28841"/>
    <cellStyle name="常规 3 3 3 2 2 3 3" xfId="28842"/>
    <cellStyle name="常规 3 3 3 2 2 3 4" xfId="22681"/>
    <cellStyle name="常规 3 3 3 2 2 4" xfId="23331"/>
    <cellStyle name="常规 3 3 3 2 2 4 2" xfId="23334"/>
    <cellStyle name="常规 3 3 3 2 2 4 2 2" xfId="28843"/>
    <cellStyle name="常规 3 3 3 2 2 4 3" xfId="28568"/>
    <cellStyle name="常规 3 3 3 2 2 4 4" xfId="22702"/>
    <cellStyle name="常规 3 3 3 2 2 5" xfId="23336"/>
    <cellStyle name="常规 3 3 3 2 2 5 2" xfId="28575"/>
    <cellStyle name="常规 3 3 3 2 2 6" xfId="23338"/>
    <cellStyle name="常规 3 3 3 2 2 7" xfId="28845"/>
    <cellStyle name="常规 3 3 3 2 2 8" xfId="1949"/>
    <cellStyle name="常规 3 3 3 2 3" xfId="28846"/>
    <cellStyle name="常规 3 3 3 2 3 2" xfId="28847"/>
    <cellStyle name="常规 3 3 3 2 3 2 2" xfId="28848"/>
    <cellStyle name="常规 3 3 3 2 3 2 2 2" xfId="4534"/>
    <cellStyle name="常规 3 3 3 2 3 2 3" xfId="28849"/>
    <cellStyle name="常规 3 3 3 2 3 2 4" xfId="23924"/>
    <cellStyle name="常规 3 3 3 2 3 3" xfId="28850"/>
    <cellStyle name="常规 3 3 3 2 3 3 2" xfId="28851"/>
    <cellStyle name="常规 3 3 3 2 3 4" xfId="23342"/>
    <cellStyle name="常规 3 3 3 2 3 5" xfId="6533"/>
    <cellStyle name="常规 3 3 3 2 3 6" xfId="26758"/>
    <cellStyle name="常规 3 3 3 2 4" xfId="6012"/>
    <cellStyle name="常规 3 3 3 2 4 2" xfId="4803"/>
    <cellStyle name="常规 3 3 3 2 4 2 2" xfId="4805"/>
    <cellStyle name="常规 3 3 3 2 4 3" xfId="37"/>
    <cellStyle name="常规 3 3 3 2 4 4" xfId="4811"/>
    <cellStyle name="常规 3 3 3 2 5" xfId="4604"/>
    <cellStyle name="常规 3 3 3 2 5 2" xfId="28852"/>
    <cellStyle name="常规 3 3 3 2 5 2 2" xfId="12157"/>
    <cellStyle name="常规 3 3 3 2 5 3" xfId="28853"/>
    <cellStyle name="常规 3 3 3 2 5 4" xfId="28854"/>
    <cellStyle name="常规 3 3 3 2 6" xfId="28855"/>
    <cellStyle name="常规 3 3 3 2 6 2" xfId="17324"/>
    <cellStyle name="常规 3 3 3 2 7" xfId="28856"/>
    <cellStyle name="常规 3 3 3 2 7 2" xfId="17350"/>
    <cellStyle name="常规 3 3 3 2 8" xfId="28857"/>
    <cellStyle name="常规 3 3 3 2 9" xfId="28858"/>
    <cellStyle name="常规 3 3 3 3" xfId="19830"/>
    <cellStyle name="常规 3 3 3 3 2" xfId="19832"/>
    <cellStyle name="常规 3 3 3 3 2 2" xfId="19834"/>
    <cellStyle name="常规 3 3 3 3 2 2 2" xfId="17412"/>
    <cellStyle name="常规 3 3 3 3 2 2 2 2" xfId="17415"/>
    <cellStyle name="常规 3 3 3 3 2 2 3" xfId="17422"/>
    <cellStyle name="常规 3 3 3 3 2 2 4" xfId="17425"/>
    <cellStyle name="常规 3 3 3 3 2 3" xfId="28859"/>
    <cellStyle name="常规 3 3 3 3 2 3 2" xfId="17443"/>
    <cellStyle name="常规 3 3 3 3 2 4" xfId="28860"/>
    <cellStyle name="常规 3 3 3 3 2 5" xfId="28861"/>
    <cellStyle name="常规 3 3 3 3 3" xfId="19836"/>
    <cellStyle name="常规 3 3 3 3 3 2" xfId="28862"/>
    <cellStyle name="常规 3 3 3 3 3 2 2" xfId="17597"/>
    <cellStyle name="常规 3 3 3 3 3 3" xfId="28863"/>
    <cellStyle name="常规 3 3 3 3 3 4" xfId="28864"/>
    <cellStyle name="常规 3 3 3 3 4" xfId="6016"/>
    <cellStyle name="常规 3 3 3 3 4 2" xfId="28865"/>
    <cellStyle name="常规 3 3 3 3 4 2 2" xfId="13103"/>
    <cellStyle name="常规 3 3 3 3 4 3" xfId="28866"/>
    <cellStyle name="常规 3 3 3 3 4 4" xfId="13087"/>
    <cellStyle name="常规 3 3 3 3 5" xfId="28868"/>
    <cellStyle name="常规 3 3 3 3 5 2" xfId="28869"/>
    <cellStyle name="常规 3 3 3 3 6" xfId="27117"/>
    <cellStyle name="常规 3 3 3 3 7" xfId="27130"/>
    <cellStyle name="常规 3 3 3 3 8" xfId="27139"/>
    <cellStyle name="常规 3 3 3 4" xfId="19838"/>
    <cellStyle name="常规 3 3 3 4 2" xfId="19840"/>
    <cellStyle name="常规 3 3 3 4 2 2" xfId="28870"/>
    <cellStyle name="常规 3 3 3 4 2 2 2" xfId="17983"/>
    <cellStyle name="常规 3 3 3 4 2 3" xfId="23964"/>
    <cellStyle name="常规 3 3 3 4 2 4" xfId="28871"/>
    <cellStyle name="常规 3 3 3 4 3" xfId="28872"/>
    <cellStyle name="常规 3 3 3 4 3 2" xfId="28873"/>
    <cellStyle name="常规 3 3 3 4 4" xfId="28874"/>
    <cellStyle name="常规 3 3 3 4 5" xfId="28875"/>
    <cellStyle name="常规 3 3 3 4 6" xfId="27149"/>
    <cellStyle name="常规 3 3 3 5" xfId="19842"/>
    <cellStyle name="常规 3 3 3 5 2" xfId="28876"/>
    <cellStyle name="常规 3 3 3 5 2 2" xfId="28877"/>
    <cellStyle name="常规 3 3 3 5 3" xfId="28878"/>
    <cellStyle name="常规 3 3 3 5 4" xfId="150"/>
    <cellStyle name="常规 3 3 3 6" xfId="10553"/>
    <cellStyle name="常规 3 3 3 6 2" xfId="28879"/>
    <cellStyle name="常规 3 3 3 6 2 2" xfId="28880"/>
    <cellStyle name="常规 3 3 3 6 3" xfId="28881"/>
    <cellStyle name="常规 3 3 3 6 4" xfId="15361"/>
    <cellStyle name="常规 3 3 3 7" xfId="19844"/>
    <cellStyle name="常规 3 3 3 7 2" xfId="28882"/>
    <cellStyle name="常规 3 3 3 8" xfId="3896"/>
    <cellStyle name="常规 3 3 3 8 2" xfId="2670"/>
    <cellStyle name="常规 3 3 3 9" xfId="3899"/>
    <cellStyle name="常规 3 3 4" xfId="6559"/>
    <cellStyle name="常规 3 3 4 2" xfId="28883"/>
    <cellStyle name="常规 3 3 4 2 2" xfId="28884"/>
    <cellStyle name="常规 3 3 4 2 2 2" xfId="28885"/>
    <cellStyle name="常规 3 3 4 2 2 2 2" xfId="28886"/>
    <cellStyle name="常规 3 3 4 2 2 2 2 2" xfId="24146"/>
    <cellStyle name="常规 3 3 4 2 2 2 3" xfId="28887"/>
    <cellStyle name="常规 3 3 4 2 2 2 4" xfId="10191"/>
    <cellStyle name="常规 3 3 4 2 2 3" xfId="28888"/>
    <cellStyle name="常规 3 3 4 2 2 3 2" xfId="28889"/>
    <cellStyle name="常规 3 3 4 2 2 4" xfId="28890"/>
    <cellStyle name="常规 3 3 4 2 2 5" xfId="28891"/>
    <cellStyle name="常规 3 3 4 2 3" xfId="28892"/>
    <cellStyle name="常规 3 3 4 2 3 2" xfId="28894"/>
    <cellStyle name="常规 3 3 4 2 3 2 2" xfId="28896"/>
    <cellStyle name="常规 3 3 4 2 3 3" xfId="6888"/>
    <cellStyle name="常规 3 3 4 2 3 4" xfId="6892"/>
    <cellStyle name="常规 3 3 4 2 4" xfId="2"/>
    <cellStyle name="常规 3 3 4 2 4 2" xfId="28898"/>
    <cellStyle name="常规 3 3 4 2 5" xfId="28899"/>
    <cellStyle name="常规 3 3 4 2 6" xfId="28900"/>
    <cellStyle name="常规 3 3 4 2 7" xfId="28901"/>
    <cellStyle name="常规 3 3 4 3" xfId="19848"/>
    <cellStyle name="常规 3 3 4 3 2" xfId="19850"/>
    <cellStyle name="常规 3 3 4 3 2 2" xfId="28902"/>
    <cellStyle name="常规 3 3 4 3 3" xfId="28903"/>
    <cellStyle name="常规 3 3 4 3 4" xfId="28904"/>
    <cellStyle name="常规 3 3 4 4" xfId="19852"/>
    <cellStyle name="常规 3 3 4 4 2" xfId="28905"/>
    <cellStyle name="常规 3 3 4 4 2 2" xfId="28906"/>
    <cellStyle name="常规 3 3 4 4 3" xfId="28907"/>
    <cellStyle name="常规 3 3 4 4 4" xfId="28908"/>
    <cellStyle name="常规 3 3 4 5" xfId="19854"/>
    <cellStyle name="常规 3 3 4 6" xfId="28909"/>
    <cellStyle name="常规 3 3 4 7" xfId="28910"/>
    <cellStyle name="常规 3 3 5" xfId="4310"/>
    <cellStyle name="常规 3 3 5 2" xfId="15048"/>
    <cellStyle name="常规 3 3 5 2 2" xfId="15050"/>
    <cellStyle name="常规 3 3 5 2 2 2" xfId="28911"/>
    <cellStyle name="常规 3 3 5 2 2 2 2" xfId="28912"/>
    <cellStyle name="常规 3 3 5 2 2 2 2 2" xfId="24556"/>
    <cellStyle name="常规 3 3 5 2 2 2 3" xfId="28913"/>
    <cellStyle name="常规 3 3 5 2 2 2 4" xfId="28914"/>
    <cellStyle name="常规 3 3 5 2 2 3" xfId="28915"/>
    <cellStyle name="常规 3 3 5 2 2 3 2" xfId="28916"/>
    <cellStyle name="常规 3 3 5 2 2 4" xfId="28917"/>
    <cellStyle name="常规 3 3 5 2 2 5" xfId="28918"/>
    <cellStyle name="常规 3 3 5 2 3" xfId="28920"/>
    <cellStyle name="常规 3 3 5 2 3 2" xfId="28921"/>
    <cellStyle name="常规 3 3 5 2 3 2 2" xfId="28922"/>
    <cellStyle name="常规 3 3 5 2 3 3" xfId="4486"/>
    <cellStyle name="常规 3 3 5 2 3 4" xfId="28923"/>
    <cellStyle name="常规 3 3 5 2 4" xfId="4568"/>
    <cellStyle name="常规 3 3 5 2 4 2" xfId="21329"/>
    <cellStyle name="常规 3 3 5 2 5" xfId="21332"/>
    <cellStyle name="常规 3 3 5 2 6" xfId="21335"/>
    <cellStyle name="常规 3 3 5 2 7" xfId="21337"/>
    <cellStyle name="常规 3 3 5 3" xfId="15053"/>
    <cellStyle name="常规 3 3 5 3 2" xfId="15057"/>
    <cellStyle name="常规 3 3 5 3 2 2" xfId="15429"/>
    <cellStyle name="常规 3 3 5 3 3" xfId="15431"/>
    <cellStyle name="常规 3 3 5 3 4" xfId="15434"/>
    <cellStyle name="常规 3 3 5 4" xfId="15060"/>
    <cellStyle name="常规 3 3 5 4 2" xfId="15451"/>
    <cellStyle name="常规 3 3 5 4 2 2" xfId="28924"/>
    <cellStyle name="常规 3 3 5 4 3" xfId="15453"/>
    <cellStyle name="常规 3 3 5 4 4" xfId="21344"/>
    <cellStyle name="常规 3 3 5 5" xfId="15063"/>
    <cellStyle name="常规 3 3 5 6" xfId="28925"/>
    <cellStyle name="常规 3 3 5 7" xfId="28926"/>
    <cellStyle name="常规 3 3 6" xfId="14155"/>
    <cellStyle name="常规 3 3 6 2" xfId="15103"/>
    <cellStyle name="常规 3 3 6 2 2" xfId="17888"/>
    <cellStyle name="常规 3 3 6 2 2 2" xfId="7091"/>
    <cellStyle name="常规 3 3 6 2 2 2 2" xfId="20374"/>
    <cellStyle name="常规 3 3 6 2 2 2 2 2" xfId="24926"/>
    <cellStyle name="常规 3 3 6 2 2 2 3" xfId="28927"/>
    <cellStyle name="常规 3 3 6 2 2 2 4" xfId="28928"/>
    <cellStyle name="常规 3 3 6 2 2 3" xfId="7093"/>
    <cellStyle name="常规 3 3 6 2 2 3 2" xfId="28929"/>
    <cellStyle name="常规 3 3 6 2 2 4" xfId="20375"/>
    <cellStyle name="常规 3 3 6 2 2 5" xfId="20378"/>
    <cellStyle name="常规 3 3 6 2 3" xfId="17890"/>
    <cellStyle name="常规 3 3 6 2 3 2" xfId="5649"/>
    <cellStyle name="常规 3 3 6 2 3 2 2" xfId="2941"/>
    <cellStyle name="常规 3 3 6 2 3 3" xfId="5651"/>
    <cellStyle name="常规 3 3 6 2 3 4" xfId="28931"/>
    <cellStyle name="常规 3 3 6 2 4" xfId="17893"/>
    <cellStyle name="常规 3 3 6 2 4 2" xfId="21445"/>
    <cellStyle name="常规 3 3 6 2 4 2 2" xfId="18061"/>
    <cellStyle name="常规 3 3 6 2 4 3" xfId="28933"/>
    <cellStyle name="常规 3 3 6 2 4 4" xfId="28935"/>
    <cellStyle name="常规 3 3 6 2 5" xfId="21447"/>
    <cellStyle name="常规 3 3 6 2 6" xfId="21449"/>
    <cellStyle name="常规 3 3 6 2 7" xfId="28937"/>
    <cellStyle name="常规 3 3 6 3" xfId="15107"/>
    <cellStyle name="常规 3 3 6 3 2" xfId="15482"/>
    <cellStyle name="常规 3 3 6 3 2 2" xfId="20453"/>
    <cellStyle name="常规 3 3 6 3 2 2 2" xfId="20456"/>
    <cellStyle name="常规 3 3 6 3 2 2 2 2" xfId="20459"/>
    <cellStyle name="常规 3 3 6 3 2 2 3" xfId="20461"/>
    <cellStyle name="常规 3 3 6 3 2 2 4" xfId="20463"/>
    <cellStyle name="常规 3 3 6 3 2 3" xfId="20464"/>
    <cellStyle name="常规 3 3 6 3 2 3 2" xfId="20469"/>
    <cellStyle name="常规 3 3 6 3 2 4" xfId="20475"/>
    <cellStyle name="常规 3 3 6 3 2 5" xfId="20486"/>
    <cellStyle name="常规 3 3 6 3 3" xfId="28938"/>
    <cellStyle name="常规 3 3 6 3 3 2" xfId="7233"/>
    <cellStyle name="常规 3 3 6 3 3 2 2" xfId="20521"/>
    <cellStyle name="常规 3 3 6 3 3 3" xfId="20522"/>
    <cellStyle name="常规 3 3 6 3 3 4" xfId="20527"/>
    <cellStyle name="常规 3 3 6 3 4" xfId="21452"/>
    <cellStyle name="常规 3 3 6 3 4 2" xfId="20543"/>
    <cellStyle name="常规 3 3 6 3 5" xfId="21454"/>
    <cellStyle name="常规 3 3 6 3 6" xfId="21458"/>
    <cellStyle name="常规 3 3 6 3 7" xfId="28940"/>
    <cellStyle name="常规 3 3 6 4" xfId="15112"/>
    <cellStyle name="常规 3 3 6 4 2" xfId="28941"/>
    <cellStyle name="常规 3 3 6 4 2 2" xfId="20577"/>
    <cellStyle name="常规 3 3 6 4 3" xfId="28942"/>
    <cellStyle name="常规 3 3 6 4 4" xfId="21461"/>
    <cellStyle name="常规 3 3 6 5" xfId="17896"/>
    <cellStyle name="常规 3 3 6 5 2" xfId="23465"/>
    <cellStyle name="常规 3 3 6 5 2 2" xfId="15302"/>
    <cellStyle name="常规 3 3 6 5 3" xfId="23468"/>
    <cellStyle name="常规 3 3 6 5 4" xfId="15597"/>
    <cellStyle name="常规 3 3 6 6" xfId="17899"/>
    <cellStyle name="常规 3 3 6 7" xfId="28723"/>
    <cellStyle name="常规 3 3 6 8" xfId="3945"/>
    <cellStyle name="常规 3 3 7" xfId="24297"/>
    <cellStyle name="常规 3 3 7 2" xfId="15146"/>
    <cellStyle name="常规 3 3 7 2 2" xfId="28943"/>
    <cellStyle name="常规 3 3 7 2 2 2" xfId="18368"/>
    <cellStyle name="常规 3 3 7 2 3" xfId="28944"/>
    <cellStyle name="常规 3 3 7 2 4" xfId="21487"/>
    <cellStyle name="常规 3 3 7 3" xfId="17909"/>
    <cellStyle name="常规 3 3 7 3 2" xfId="28945"/>
    <cellStyle name="常规 3 3 7 3 2 2" xfId="20697"/>
    <cellStyle name="常规 3 3 7 3 3" xfId="28946"/>
    <cellStyle name="常规 3 3 7 3 4" xfId="28947"/>
    <cellStyle name="常规 3 3 7 4" xfId="17911"/>
    <cellStyle name="常规 3 3 7 4 2" xfId="28948"/>
    <cellStyle name="常规 3 3 7 5" xfId="28726"/>
    <cellStyle name="常规 3 3 7 6" xfId="28949"/>
    <cellStyle name="常规 3 3 7 7" xfId="22340"/>
    <cellStyle name="常规 3 3 8" xfId="21371"/>
    <cellStyle name="常规 3 3 8 2" xfId="17918"/>
    <cellStyle name="常规 3 3 8 2 2" xfId="28950"/>
    <cellStyle name="常规 3 3 8 3" xfId="28384"/>
    <cellStyle name="常规 3 3 8 4" xfId="28387"/>
    <cellStyle name="常规 3 3 9" xfId="28951"/>
    <cellStyle name="常规 3 3 9 2" xfId="10658"/>
    <cellStyle name="常规 3 3 9 2 2" xfId="28953"/>
    <cellStyle name="常规 3 3 9 3" xfId="28390"/>
    <cellStyle name="常规 3 3 9 4" xfId="28954"/>
    <cellStyle name="常规 3 3_4.利通区2016年度第二批小农水项目扁担沟镇高效节水灌溉工程概算" xfId="28378"/>
    <cellStyle name="常规 3 4" xfId="28955"/>
    <cellStyle name="常规 3 4 10" xfId="28956"/>
    <cellStyle name="常规 3 4 11" xfId="28958"/>
    <cellStyle name="常规 3 4 12" xfId="28960"/>
    <cellStyle name="常规 3 4 2" xfId="28962"/>
    <cellStyle name="常规 3 4 2 10" xfId="28963"/>
    <cellStyle name="常规 3 4 2 11" xfId="9548"/>
    <cellStyle name="常规 3 4 2 12" xfId="28964"/>
    <cellStyle name="常规 3 4 2 2" xfId="28965"/>
    <cellStyle name="常规 3 4 2 2 10" xfId="28967"/>
    <cellStyle name="常规 3 4 2 2 2" xfId="28968"/>
    <cellStyle name="常规 3 4 2 2 2 2" xfId="28970"/>
    <cellStyle name="常规 3 4 2 2 2 2 2" xfId="3799"/>
    <cellStyle name="常规 3 4 2 2 2 2 2 2" xfId="3803"/>
    <cellStyle name="常规 3 4 2 2 2 2 2 2 2" xfId="3811"/>
    <cellStyle name="常规 3 4 2 2 2 2 2 3" xfId="3831"/>
    <cellStyle name="常规 3 4 2 2 2 2 2 4" xfId="1658"/>
    <cellStyle name="常规 3 4 2 2 2 2 3" xfId="3844"/>
    <cellStyle name="常规 3 4 2 2 2 2 3 2" xfId="3848"/>
    <cellStyle name="常规 3 4 2 2 2 2 4" xfId="3871"/>
    <cellStyle name="常规 3 4 2 2 2 2 5" xfId="2349"/>
    <cellStyle name="常规 3 4 2 2 2 3" xfId="10522"/>
    <cellStyle name="常规 3 4 2 2 2 3 2" xfId="3941"/>
    <cellStyle name="常规 3 4 2 2 2 3 2 2" xfId="3944"/>
    <cellStyle name="常规 3 4 2 2 2 3 3" xfId="3950"/>
    <cellStyle name="常规 3 4 2 2 2 3 4" xfId="3954"/>
    <cellStyle name="常规 3 4 2 2 2 4" xfId="19654"/>
    <cellStyle name="常规 3 4 2 2 2 4 2" xfId="4198"/>
    <cellStyle name="常规 3 4 2 2 2 4 2 2" xfId="4202"/>
    <cellStyle name="常规 3 4 2 2 2 4 3" xfId="4206"/>
    <cellStyle name="常规 3 4 2 2 2 4 4" xfId="1755"/>
    <cellStyle name="常规 3 4 2 2 2 5" xfId="19656"/>
    <cellStyle name="常规 3 4 2 2 2 5 2" xfId="4260"/>
    <cellStyle name="常规 3 4 2 2 2 6" xfId="28971"/>
    <cellStyle name="常规 3 4 2 2 2 7" xfId="28973"/>
    <cellStyle name="常规 3 4 2 2 2 8" xfId="28975"/>
    <cellStyle name="常规 3 4 2 2 3" xfId="28977"/>
    <cellStyle name="常规 3 4 2 2 3 2" xfId="28978"/>
    <cellStyle name="常规 3 4 2 2 3 2 2" xfId="18389"/>
    <cellStyle name="常规 3 4 2 2 3 2 2 2" xfId="28742"/>
    <cellStyle name="常规 3 4 2 2 3 2 3" xfId="18391"/>
    <cellStyle name="常规 3 4 2 2 3 2 4" xfId="28979"/>
    <cellStyle name="常规 3 4 2 2 3 3" xfId="19658"/>
    <cellStyle name="常规 3 4 2 2 3 3 2" xfId="28980"/>
    <cellStyle name="常规 3 4 2 2 3 4" xfId="28981"/>
    <cellStyle name="常规 3 4 2 2 3 5" xfId="28982"/>
    <cellStyle name="常规 3 4 2 2 3 6" xfId="28983"/>
    <cellStyle name="常规 3 4 2 2 4" xfId="28985"/>
    <cellStyle name="常规 3 4 2 2 4 2" xfId="28986"/>
    <cellStyle name="常规 3 4 2 2 4 2 2" xfId="28987"/>
    <cellStyle name="常规 3 4 2 2 4 3" xfId="19661"/>
    <cellStyle name="常规 3 4 2 2 4 4" xfId="28988"/>
    <cellStyle name="常规 3 4 2 2 5" xfId="28989"/>
    <cellStyle name="常规 3 4 2 2 5 2" xfId="28990"/>
    <cellStyle name="常规 3 4 2 2 5 2 2" xfId="24792"/>
    <cellStyle name="常规 3 4 2 2 5 3" xfId="28991"/>
    <cellStyle name="常规 3 4 2 2 5 4" xfId="28992"/>
    <cellStyle name="常规 3 4 2 2 6" xfId="28993"/>
    <cellStyle name="常规 3 4 2 2 6 2" xfId="28994"/>
    <cellStyle name="常规 3 4 2 2 7" xfId="19443"/>
    <cellStyle name="常规 3 4 2 2 7 2" xfId="28995"/>
    <cellStyle name="常规 3 4 2 2 8" xfId="7121"/>
    <cellStyle name="常规 3 4 2 2 9" xfId="7126"/>
    <cellStyle name="常规 3 4 2 3" xfId="20263"/>
    <cellStyle name="常规 3 4 2 3 10" xfId="28997"/>
    <cellStyle name="常规 3 4 2 3 11" xfId="28999"/>
    <cellStyle name="常规 3 4 2 3 2" xfId="20266"/>
    <cellStyle name="常规 3 4 2 3 2 10" xfId="29001"/>
    <cellStyle name="常规 3 4 2 3 2 2" xfId="20268"/>
    <cellStyle name="常规 3 4 2 3 2 2 2" xfId="4629"/>
    <cellStyle name="常规 3 4 2 3 2 2 2 2" xfId="4633"/>
    <cellStyle name="常规 3 4 2 3 2 2 2 2 2" xfId="2423"/>
    <cellStyle name="常规 3 4 2 3 2 2 2 2 2 2" xfId="4562"/>
    <cellStyle name="常规 3 4 2 3 2 2 2 2 3" xfId="305"/>
    <cellStyle name="常规 3 4 2 3 2 2 2 2 4" xfId="22499"/>
    <cellStyle name="常规 3 4 2 3 2 2 2 3" xfId="4636"/>
    <cellStyle name="常规 3 4 2 3 2 2 2 3 2" xfId="4639"/>
    <cellStyle name="常规 3 4 2 3 2 2 2 4" xfId="4644"/>
    <cellStyle name="常规 3 4 2 3 2 2 2 5" xfId="29002"/>
    <cellStyle name="常规 3 4 2 3 2 2 3" xfId="3808"/>
    <cellStyle name="常规 3 4 2 3 2 2 3 2" xfId="3814"/>
    <cellStyle name="常规 3 4 2 3 2 2 3 2 2" xfId="3821"/>
    <cellStyle name="常规 3 4 2 3 2 2 3 3" xfId="3825"/>
    <cellStyle name="常规 3 4 2 3 2 2 3 4" xfId="4733"/>
    <cellStyle name="常规 3 4 2 3 2 2 4" xfId="3833"/>
    <cellStyle name="常规 3 4 2 3 2 2 4 2" xfId="3841"/>
    <cellStyle name="常规 3 4 2 3 2 2 4 2 2" xfId="4648"/>
    <cellStyle name="常规 3 4 2 3 2 2 4 3" xfId="4651"/>
    <cellStyle name="常规 3 4 2 3 2 2 4 4" xfId="22710"/>
    <cellStyle name="常规 3 4 2 3 2 2 5" xfId="1661"/>
    <cellStyle name="常规 3 4 2 3 2 2 5 2" xfId="1665"/>
    <cellStyle name="常规 3 4 2 3 2 2 6" xfId="1670"/>
    <cellStyle name="常规 3 4 2 3 2 2 7" xfId="29003"/>
    <cellStyle name="常规 3 4 2 3 2 2 8" xfId="29004"/>
    <cellStyle name="常规 3 4 2 3 2 3" xfId="19780"/>
    <cellStyle name="常规 3 4 2 3 2 3 2" xfId="4726"/>
    <cellStyle name="常规 3 4 2 3 2 3 2 2" xfId="4730"/>
    <cellStyle name="常规 3 4 2 3 2 3 2 2 2" xfId="4734"/>
    <cellStyle name="常规 3 4 2 3 2 3 2 3" xfId="4740"/>
    <cellStyle name="常规 3 4 2 3 2 3 2 4" xfId="22741"/>
    <cellStyle name="常规 3 4 2 3 2 3 3" xfId="3852"/>
    <cellStyle name="常规 3 4 2 3 2 3 3 2" xfId="3858"/>
    <cellStyle name="常规 3 4 2 3 2 3 4" xfId="3869"/>
    <cellStyle name="常规 3 4 2 3 2 3 5" xfId="29005"/>
    <cellStyle name="常规 3 4 2 3 2 3 6" xfId="29006"/>
    <cellStyle name="常规 3 4 2 3 2 4" xfId="20271"/>
    <cellStyle name="常规 3 4 2 3 2 4 2" xfId="4881"/>
    <cellStyle name="常规 3 4 2 3 2 4 2 2" xfId="4884"/>
    <cellStyle name="常规 3 4 2 3 2 4 3" xfId="3879"/>
    <cellStyle name="常规 3 4 2 3 2 4 4" xfId="1881"/>
    <cellStyle name="常规 3 4 2 3 2 5" xfId="5989"/>
    <cellStyle name="常规 3 4 2 3 2 5 2" xfId="4929"/>
    <cellStyle name="常规 3 4 2 3 2 5 2 2" xfId="4932"/>
    <cellStyle name="常规 3 4 2 3 2 5 3" xfId="2359"/>
    <cellStyle name="常规 3 4 2 3 2 5 4" xfId="1897"/>
    <cellStyle name="常规 3 4 2 3 2 6" xfId="28146"/>
    <cellStyle name="常规 3 4 2 3 2 6 2" xfId="28149"/>
    <cellStyle name="常规 3 4 2 3 2 7" xfId="28163"/>
    <cellStyle name="常规 3 4 2 3 2 7 2" xfId="28165"/>
    <cellStyle name="常规 3 4 2 3 2 8" xfId="28171"/>
    <cellStyle name="常规 3 4 2 3 2 9" xfId="28178"/>
    <cellStyle name="常规 3 4 2 3 3" xfId="20273"/>
    <cellStyle name="常规 3 4 2 3 3 2" xfId="20275"/>
    <cellStyle name="常规 3 4 2 3 3 2 2" xfId="29007"/>
    <cellStyle name="常规 3 4 2 3 3 2 2 2" xfId="17427"/>
    <cellStyle name="常规 3 4 2 3 3 2 2 2 2" xfId="29008"/>
    <cellStyle name="常规 3 4 2 3 3 2 2 3" xfId="17429"/>
    <cellStyle name="常规 3 4 2 3 3 2 2 4" xfId="29009"/>
    <cellStyle name="常规 3 4 2 3 3 2 3" xfId="22647"/>
    <cellStyle name="常规 3 4 2 3 3 2 3 2" xfId="22650"/>
    <cellStyle name="常规 3 4 2 3 3 2 4" xfId="22652"/>
    <cellStyle name="常规 3 4 2 3 3 2 5" xfId="22654"/>
    <cellStyle name="常规 3 4 2 3 3 3" xfId="19783"/>
    <cellStyle name="常规 3 4 2 3 3 3 2" xfId="29010"/>
    <cellStyle name="常规 3 4 2 3 3 3 2 2" xfId="21871"/>
    <cellStyle name="常规 3 4 2 3 3 3 3" xfId="22658"/>
    <cellStyle name="常规 3 4 2 3 3 3 4" xfId="29011"/>
    <cellStyle name="常规 3 4 2 3 3 4" xfId="29012"/>
    <cellStyle name="常规 3 4 2 3 3 4 2" xfId="29013"/>
    <cellStyle name="常规 3 4 2 3 3 4 2 2" xfId="21894"/>
    <cellStyle name="常规 3 4 2 3 3 4 3" xfId="22662"/>
    <cellStyle name="常规 3 4 2 3 3 4 4" xfId="29014"/>
    <cellStyle name="常规 3 4 2 3 3 5" xfId="28193"/>
    <cellStyle name="常规 3 4 2 3 3 5 2" xfId="28197"/>
    <cellStyle name="常规 3 4 2 3 3 6" xfId="28241"/>
    <cellStyle name="常规 3 4 2 3 3 7" xfId="28263"/>
    <cellStyle name="常规 3 4 2 3 3 8" xfId="24912"/>
    <cellStyle name="常规 3 4 2 3 4" xfId="20277"/>
    <cellStyle name="常规 3 4 2 3 4 2" xfId="29018"/>
    <cellStyle name="常规 3 4 2 3 4 2 2" xfId="29019"/>
    <cellStyle name="常规 3 4 2 3 4 2 2 2" xfId="17997"/>
    <cellStyle name="常规 3 4 2 3 4 2 3" xfId="23051"/>
    <cellStyle name="常规 3 4 2 3 4 2 4" xfId="23054"/>
    <cellStyle name="常规 3 4 2 3 4 3" xfId="12222"/>
    <cellStyle name="常规 3 4 2 3 4 3 2" xfId="29020"/>
    <cellStyle name="常规 3 4 2 3 4 4" xfId="29021"/>
    <cellStyle name="常规 3 4 2 3 4 5" xfId="28276"/>
    <cellStyle name="常规 3 4 2 3 4 6" xfId="28289"/>
    <cellStyle name="常规 3 4 2 3 5" xfId="20279"/>
    <cellStyle name="常规 3 4 2 3 5 2" xfId="29022"/>
    <cellStyle name="常规 3 4 2 3 5 2 2" xfId="16632"/>
    <cellStyle name="常规 3 4 2 3 5 3" xfId="29023"/>
    <cellStyle name="常规 3 4 2 3 5 4" xfId="29024"/>
    <cellStyle name="常规 3 4 2 3 6" xfId="14271"/>
    <cellStyle name="常规 3 4 2 3 6 2" xfId="14275"/>
    <cellStyle name="常规 3 4 2 3 6 2 2" xfId="16677"/>
    <cellStyle name="常规 3 4 2 3 6 3" xfId="27224"/>
    <cellStyle name="常规 3 4 2 3 6 4" xfId="21430"/>
    <cellStyle name="常规 3 4 2 3 7" xfId="14278"/>
    <cellStyle name="常规 3 4 2 3 7 2" xfId="27229"/>
    <cellStyle name="常规 3 4 2 3 8" xfId="749"/>
    <cellStyle name="常规 3 4 2 3 8 2" xfId="1444"/>
    <cellStyle name="常规 3 4 2 3 9" xfId="1584"/>
    <cellStyle name="常规 3 4 2 4" xfId="20282"/>
    <cellStyle name="常规 3 4 2 4 2" xfId="20285"/>
    <cellStyle name="常规 3 4 2 4 2 2" xfId="20287"/>
    <cellStyle name="常规 3 4 2 4 2 2 2" xfId="485"/>
    <cellStyle name="常规 3 4 2 4 2 2 2 2" xfId="489"/>
    <cellStyle name="常规 3 4 2 4 2 2 3" xfId="505"/>
    <cellStyle name="常规 3 4 2 4 2 2 4" xfId="516"/>
    <cellStyle name="常规 3 4 2 4 2 3" xfId="11484"/>
    <cellStyle name="常规 3 4 2 4 2 3 2" xfId="49"/>
    <cellStyle name="常规 3 4 2 4 2 4" xfId="28830"/>
    <cellStyle name="常规 3 4 2 4 2 5" xfId="28319"/>
    <cellStyle name="常规 3 4 2 4 3" xfId="20289"/>
    <cellStyle name="常规 3 4 2 4 3 2" xfId="29025"/>
    <cellStyle name="常规 3 4 2 4 3 2 2" xfId="26803"/>
    <cellStyle name="常规 3 4 2 4 3 3" xfId="28832"/>
    <cellStyle name="常规 3 4 2 4 3 4" xfId="29026"/>
    <cellStyle name="常规 3 4 2 4 4" xfId="20291"/>
    <cellStyle name="常规 3 4 2 4 4 2" xfId="29027"/>
    <cellStyle name="常规 3 4 2 4 4 2 2" xfId="29028"/>
    <cellStyle name="常规 3 4 2 4 4 3" xfId="29029"/>
    <cellStyle name="常规 3 4 2 4 4 4" xfId="29030"/>
    <cellStyle name="常规 3 4 2 4 5" xfId="29031"/>
    <cellStyle name="常规 3 4 2 4 5 2" xfId="29032"/>
    <cellStyle name="常规 3 4 2 4 6" xfId="14285"/>
    <cellStyle name="常规 3 4 2 4 7" xfId="19237"/>
    <cellStyle name="常规 3 4 2 4 8" xfId="2609"/>
    <cellStyle name="常规 3 4 2 5" xfId="3474"/>
    <cellStyle name="常规 3 4 2 5 2" xfId="3479"/>
    <cellStyle name="常规 3 4 2 5 2 2" xfId="2645"/>
    <cellStyle name="常规 3 4 2 5 2 2 2" xfId="2650"/>
    <cellStyle name="常规 3 4 2 5 2 3" xfId="2668"/>
    <cellStyle name="常规 3 4 2 5 2 4" xfId="2695"/>
    <cellStyle name="常规 3 4 2 5 3" xfId="20293"/>
    <cellStyle name="常规 3 4 2 5 3 2" xfId="29033"/>
    <cellStyle name="常规 3 4 2 5 4" xfId="20295"/>
    <cellStyle name="常规 3 4 2 5 5" xfId="29034"/>
    <cellStyle name="常规 3 4 2 5 6" xfId="27241"/>
    <cellStyle name="常规 3 4 2 6" xfId="3486"/>
    <cellStyle name="常规 3 4 2 6 2" xfId="20297"/>
    <cellStyle name="常规 3 4 2 6 2 2" xfId="29035"/>
    <cellStyle name="常规 3 4 2 6 3" xfId="7512"/>
    <cellStyle name="常规 3 4 2 6 4" xfId="29036"/>
    <cellStyle name="常规 3 4 2 7" xfId="20299"/>
    <cellStyle name="常规 3 4 2 7 2" xfId="29037"/>
    <cellStyle name="常规 3 4 2 7 2 2" xfId="29038"/>
    <cellStyle name="常规 3 4 2 7 3" xfId="29039"/>
    <cellStyle name="常规 3 4 2 7 4" xfId="29040"/>
    <cellStyle name="常规 3 4 2 8" xfId="11496"/>
    <cellStyle name="常规 3 4 2 8 2" xfId="29042"/>
    <cellStyle name="常规 3 4 2 9" xfId="20301"/>
    <cellStyle name="常规 3 4 2 9 2" xfId="29044"/>
    <cellStyle name="常规 3 4 3" xfId="25"/>
    <cellStyle name="常规 3 4 3 10" xfId="14698"/>
    <cellStyle name="常规 3 4 3 11" xfId="14701"/>
    <cellStyle name="常规 3 4 3 2" xfId="6092"/>
    <cellStyle name="常规 3 4 3 2 10" xfId="29045"/>
    <cellStyle name="常规 3 4 3 2 2" xfId="26776"/>
    <cellStyle name="常规 3 4 3 2 2 2" xfId="29046"/>
    <cellStyle name="常规 3 4 3 2 2 2 2" xfId="29047"/>
    <cellStyle name="常规 3 4 3 2 2 2 2 2" xfId="2348"/>
    <cellStyle name="常规 3 4 3 2 2 2 2 2 2" xfId="2353"/>
    <cellStyle name="常规 3 4 3 2 2 2 2 3" xfId="2367"/>
    <cellStyle name="常规 3 4 3 2 2 2 2 4" xfId="29048"/>
    <cellStyle name="常规 3 4 3 2 2 2 3" xfId="29050"/>
    <cellStyle name="常规 3 4 3 2 2 2 3 2" xfId="29051"/>
    <cellStyle name="常规 3 4 3 2 2 2 4" xfId="24235"/>
    <cellStyle name="常规 3 4 3 2 2 2 5" xfId="24237"/>
    <cellStyle name="常规 3 4 3 2 2 3" xfId="20119"/>
    <cellStyle name="常规 3 4 3 2 2 3 2" xfId="20121"/>
    <cellStyle name="常规 3 4 3 2 2 3 2 2" xfId="29052"/>
    <cellStyle name="常规 3 4 3 2 2 3 3" xfId="29053"/>
    <cellStyle name="常规 3 4 3 2 2 3 4" xfId="24242"/>
    <cellStyle name="常规 3 4 3 2 2 4" xfId="7488"/>
    <cellStyle name="常规 3 4 3 2 2 4 2" xfId="7490"/>
    <cellStyle name="常规 3 4 3 2 2 4 2 2" xfId="29054"/>
    <cellStyle name="常规 3 4 3 2 2 4 3" xfId="29055"/>
    <cellStyle name="常规 3 4 3 2 2 4 4" xfId="8522"/>
    <cellStyle name="常规 3 4 3 2 2 5" xfId="7493"/>
    <cellStyle name="常规 3 4 3 2 2 5 2" xfId="29056"/>
    <cellStyle name="常规 3 4 3 2 2 6" xfId="11811"/>
    <cellStyle name="常规 3 4 3 2 2 7" xfId="29057"/>
    <cellStyle name="常规 3 4 3 2 2 8" xfId="29058"/>
    <cellStyle name="常规 3 4 3 2 3" xfId="26779"/>
    <cellStyle name="常规 3 4 3 2 3 2" xfId="29059"/>
    <cellStyle name="常规 3 4 3 2 3 2 2" xfId="29060"/>
    <cellStyle name="常规 3 4 3 2 3 2 2 2" xfId="1660"/>
    <cellStyle name="常规 3 4 3 2 3 2 3" xfId="29061"/>
    <cellStyle name="常规 3 4 3 2 3 2 4" xfId="24273"/>
    <cellStyle name="常规 3 4 3 2 3 3" xfId="20124"/>
    <cellStyle name="常规 3 4 3 2 3 3 2" xfId="29062"/>
    <cellStyle name="常规 3 4 3 2 3 4" xfId="7496"/>
    <cellStyle name="常规 3 4 3 2 3 5" xfId="29063"/>
    <cellStyle name="常规 3 4 3 2 3 6" xfId="29065"/>
    <cellStyle name="常规 3 4 3 2 4" xfId="29067"/>
    <cellStyle name="常规 3 4 3 2 4 2" xfId="29068"/>
    <cellStyle name="常规 3 4 3 2 4 2 2" xfId="14873"/>
    <cellStyle name="常规 3 4 3 2 4 3" xfId="20128"/>
    <cellStyle name="常规 3 4 3 2 4 4" xfId="1159"/>
    <cellStyle name="常规 3 4 3 2 5" xfId="29070"/>
    <cellStyle name="常规 3 4 3 2 5 2" xfId="29071"/>
    <cellStyle name="常规 3 4 3 2 5 2 2" xfId="14970"/>
    <cellStyle name="常规 3 4 3 2 5 3" xfId="29072"/>
    <cellStyle name="常规 3 4 3 2 5 4" xfId="29073"/>
    <cellStyle name="常规 3 4 3 2 6" xfId="29074"/>
    <cellStyle name="常规 3 4 3 2 6 2" xfId="17913"/>
    <cellStyle name="常规 3 4 3 2 7" xfId="29075"/>
    <cellStyle name="常规 3 4 3 2 7 2" xfId="17936"/>
    <cellStyle name="常规 3 4 3 2 8" xfId="29076"/>
    <cellStyle name="常规 3 4 3 2 9" xfId="29077"/>
    <cellStyle name="常规 3 4 3 3" xfId="20303"/>
    <cellStyle name="常规 3 4 3 3 2" xfId="20310"/>
    <cellStyle name="常规 3 4 3 3 2 2" xfId="20312"/>
    <cellStyle name="常规 3 4 3 3 2 2 2" xfId="23444"/>
    <cellStyle name="常规 3 4 3 3 2 2 2 2" xfId="24238"/>
    <cellStyle name="常规 3 4 3 3 2 2 3" xfId="27814"/>
    <cellStyle name="常规 3 4 3 3 2 2 4" xfId="27816"/>
    <cellStyle name="常规 3 4 3 3 2 3" xfId="20257"/>
    <cellStyle name="常规 3 4 3 3 2 3 2" xfId="29078"/>
    <cellStyle name="常规 3 4 3 3 2 4" xfId="29079"/>
    <cellStyle name="常规 3 4 3 3 2 5" xfId="28364"/>
    <cellStyle name="常规 3 4 3 3 3" xfId="20316"/>
    <cellStyle name="常规 3 4 3 3 3 2" xfId="29080"/>
    <cellStyle name="常规 3 4 3 3 3 2 2" xfId="29081"/>
    <cellStyle name="常规 3 4 3 3 3 3" xfId="20260"/>
    <cellStyle name="常规 3 4 3 3 3 4" xfId="29082"/>
    <cellStyle name="常规 3 4 3 3 4" xfId="20318"/>
    <cellStyle name="常规 3 4 3 3 4 2" xfId="29083"/>
    <cellStyle name="常规 3 4 3 3 4 2 2" xfId="15606"/>
    <cellStyle name="常规 3 4 3 3 4 3" xfId="26728"/>
    <cellStyle name="常规 3 4 3 3 4 4" xfId="2956"/>
    <cellStyle name="常规 3 4 3 3 5" xfId="29084"/>
    <cellStyle name="常规 3 4 3 3 5 2" xfId="13776"/>
    <cellStyle name="常规 3 4 3 3 6" xfId="14298"/>
    <cellStyle name="常规 3 4 3 3 7" xfId="21693"/>
    <cellStyle name="常规 3 4 3 3 8" xfId="21700"/>
    <cellStyle name="常规 3 4 3 4" xfId="20321"/>
    <cellStyle name="常规 3 4 3 4 2" xfId="20324"/>
    <cellStyle name="常规 3 4 3 4 2 2" xfId="29085"/>
    <cellStyle name="常规 3 4 3 4 2 2 2" xfId="20150"/>
    <cellStyle name="常规 3 4 3 4 2 3" xfId="29043"/>
    <cellStyle name="常规 3 4 3 4 2 4" xfId="29086"/>
    <cellStyle name="常规 3 4 3 4 3" xfId="29087"/>
    <cellStyle name="常规 3 4 3 4 3 2" xfId="29088"/>
    <cellStyle name="常规 3 4 3 4 4" xfId="29089"/>
    <cellStyle name="常规 3 4 3 4 5" xfId="29090"/>
    <cellStyle name="常规 3 4 3 4 6" xfId="27257"/>
    <cellStyle name="常规 3 4 3 5" xfId="3490"/>
    <cellStyle name="常规 3 4 3 5 2" xfId="29091"/>
    <cellStyle name="常规 3 4 3 5 2 2" xfId="1718"/>
    <cellStyle name="常规 3 4 3 5 3" xfId="29092"/>
    <cellStyle name="常规 3 4 3 5 4" xfId="15631"/>
    <cellStyle name="常规 3 4 3 6" xfId="20327"/>
    <cellStyle name="常规 3 4 3 6 2" xfId="29093"/>
    <cellStyle name="常规 3 4 3 6 2 2" xfId="1850"/>
    <cellStyle name="常规 3 4 3 6 3" xfId="7517"/>
    <cellStyle name="常规 3 4 3 6 4" xfId="6061"/>
    <cellStyle name="常规 3 4 3 7" xfId="20330"/>
    <cellStyle name="常规 3 4 3 7 2" xfId="29094"/>
    <cellStyle name="常规 3 4 3 8" xfId="3579"/>
    <cellStyle name="常规 3 4 3 8 2" xfId="343"/>
    <cellStyle name="常规 3 4 3 9" xfId="4038"/>
    <cellStyle name="常规 3 4 4" xfId="6600"/>
    <cellStyle name="常规 3 4 4 2" xfId="29096"/>
    <cellStyle name="常规 3 4 4 2 2" xfId="29099"/>
    <cellStyle name="常规 3 4 4 2 2 2" xfId="29100"/>
    <cellStyle name="常规 3 4 4 2 2 2 2" xfId="29101"/>
    <cellStyle name="常规 3 4 4 2 2 3" xfId="20605"/>
    <cellStyle name="常规 3 4 4 2 2 4" xfId="7573"/>
    <cellStyle name="常规 3 4 4 2 3" xfId="29103"/>
    <cellStyle name="常规 3 4 4 2 3 2" xfId="29104"/>
    <cellStyle name="常规 3 4 4 2 4" xfId="29105"/>
    <cellStyle name="常规 3 4 4 2 5" xfId="29106"/>
    <cellStyle name="常规 3 4 4 3" xfId="20338"/>
    <cellStyle name="常规 3 4 4 3 2" xfId="20342"/>
    <cellStyle name="常规 3 4 4 3 2 2" xfId="29107"/>
    <cellStyle name="常规 3 4 4 3 3" xfId="29108"/>
    <cellStyle name="常规 3 4 4 3 4" xfId="29109"/>
    <cellStyle name="常规 3 4 4 4" xfId="20345"/>
    <cellStyle name="常规 3 4 4 4 2" xfId="29110"/>
    <cellStyle name="常规 3 4 4 4 2 2" xfId="29111"/>
    <cellStyle name="常规 3 4 4 4 3" xfId="29112"/>
    <cellStyle name="常规 3 4 4 4 4" xfId="29113"/>
    <cellStyle name="常规 3 4 4 5" xfId="3502"/>
    <cellStyle name="常规 3 4 4 5 2" xfId="29114"/>
    <cellStyle name="常规 3 4 4 6" xfId="29116"/>
    <cellStyle name="常规 3 4 4 7" xfId="29117"/>
    <cellStyle name="常规 3 4 4 8" xfId="4114"/>
    <cellStyle name="常规 3 4 5" xfId="29118"/>
    <cellStyle name="常规 3 4 5 2" xfId="10913"/>
    <cellStyle name="常规 3 4 5 2 2" xfId="10915"/>
    <cellStyle name="常规 3 4 5 2 2 2" xfId="10917"/>
    <cellStyle name="常规 3 4 5 2 3" xfId="10919"/>
    <cellStyle name="常规 3 4 5 2 4" xfId="21665"/>
    <cellStyle name="常规 3 4 5 3" xfId="10924"/>
    <cellStyle name="常规 3 4 5 3 2" xfId="10927"/>
    <cellStyle name="常规 3 4 5 4" xfId="10934"/>
    <cellStyle name="常规 3 4 5 5" xfId="10940"/>
    <cellStyle name="常规 3 4 5 6" xfId="10943"/>
    <cellStyle name="常规 3 4 6" xfId="24300"/>
    <cellStyle name="常规 3 4 6 2" xfId="10959"/>
    <cellStyle name="常规 3 4 6 2 2" xfId="10961"/>
    <cellStyle name="常规 3 4 6 3" xfId="10965"/>
    <cellStyle name="常规 3 4 6 4" xfId="26039"/>
    <cellStyle name="常规 3 4 7" xfId="29120"/>
    <cellStyle name="常规 3 4 7 2" xfId="9356"/>
    <cellStyle name="常规 3 4 7 2 2" xfId="29122"/>
    <cellStyle name="常规 3 4 7 3" xfId="9360"/>
    <cellStyle name="常规 3 4 7 4" xfId="29123"/>
    <cellStyle name="常规 3 4 8" xfId="29124"/>
    <cellStyle name="常规 3 4 8 2" xfId="9420"/>
    <cellStyle name="常规 3 4 9" xfId="29126"/>
    <cellStyle name="常规 3 4 9 2" xfId="29128"/>
    <cellStyle name="常规 3 5" xfId="25527"/>
    <cellStyle name="常规 3 5 10" xfId="29129"/>
    <cellStyle name="常规 3 5 11" xfId="29131"/>
    <cellStyle name="常规 3 5 12" xfId="29132"/>
    <cellStyle name="常规 3 5 2" xfId="29134"/>
    <cellStyle name="常规 3 5 2 10" xfId="5228"/>
    <cellStyle name="常规 3 5 2 11" xfId="5230"/>
    <cellStyle name="常规 3 5 2 12" xfId="5232"/>
    <cellStyle name="常规 3 5 2 2" xfId="29135"/>
    <cellStyle name="常规 3 5 2 2 10" xfId="26509"/>
    <cellStyle name="常规 3 5 2 2 2" xfId="29137"/>
    <cellStyle name="常规 3 5 2 2 2 2" xfId="29139"/>
    <cellStyle name="常规 3 5 2 2 2 2 2" xfId="8924"/>
    <cellStyle name="常规 3 5 2 2 2 2 2 2" xfId="20166"/>
    <cellStyle name="常规 3 5 2 2 2 2 2 2 2" xfId="29141"/>
    <cellStyle name="常规 3 5 2 2 2 2 2 3" xfId="20169"/>
    <cellStyle name="常规 3 5 2 2 2 2 2 4" xfId="29142"/>
    <cellStyle name="常规 3 5 2 2 2 2 3" xfId="29144"/>
    <cellStyle name="常规 3 5 2 2 2 2 3 2" xfId="27839"/>
    <cellStyle name="常规 3 5 2 2 2 2 4" xfId="29145"/>
    <cellStyle name="常规 3 5 2 2 2 2 5" xfId="29146"/>
    <cellStyle name="常规 3 5 2 2 2 3" xfId="29147"/>
    <cellStyle name="常规 3 5 2 2 2 3 2" xfId="29149"/>
    <cellStyle name="常规 3 5 2 2 2 3 2 2" xfId="29150"/>
    <cellStyle name="常规 3 5 2 2 2 3 3" xfId="57"/>
    <cellStyle name="常规 3 5 2 2 2 3 4" xfId="29152"/>
    <cellStyle name="常规 3 5 2 2 2 4" xfId="29153"/>
    <cellStyle name="常规 3 5 2 2 2 4 2" xfId="29155"/>
    <cellStyle name="常规 3 5 2 2 2 4 2 2" xfId="29156"/>
    <cellStyle name="常规 3 5 2 2 2 4 3" xfId="29158"/>
    <cellStyle name="常规 3 5 2 2 2 4 4" xfId="29159"/>
    <cellStyle name="常规 3 5 2 2 2 5" xfId="29161"/>
    <cellStyle name="常规 3 5 2 2 2 5 2" xfId="29162"/>
    <cellStyle name="常规 3 5 2 2 2 6" xfId="29163"/>
    <cellStyle name="常规 3 5 2 2 2 7" xfId="29165"/>
    <cellStyle name="常规 3 5 2 2 2 8" xfId="29167"/>
    <cellStyle name="常规 3 5 2 2 3" xfId="29169"/>
    <cellStyle name="常规 3 5 2 2 3 2" xfId="29171"/>
    <cellStyle name="常规 3 5 2 2 3 2 2" xfId="18816"/>
    <cellStyle name="常规 3 5 2 2 3 2 2 2" xfId="29173"/>
    <cellStyle name="常规 3 5 2 2 3 2 3" xfId="18818"/>
    <cellStyle name="常规 3 5 2 2 3 2 4" xfId="29175"/>
    <cellStyle name="常规 3 5 2 2 3 3" xfId="5757"/>
    <cellStyle name="常规 3 5 2 2 3 3 2" xfId="28556"/>
    <cellStyle name="常规 3 5 2 2 3 4" xfId="29176"/>
    <cellStyle name="常规 3 5 2 2 3 5" xfId="29177"/>
    <cellStyle name="常规 3 5 2 2 3 6" xfId="29178"/>
    <cellStyle name="常规 3 5 2 2 4" xfId="29180"/>
    <cellStyle name="常规 3 5 2 2 4 2" xfId="29182"/>
    <cellStyle name="常规 3 5 2 2 4 2 2" xfId="29183"/>
    <cellStyle name="常规 3 5 2 2 4 3" xfId="29184"/>
    <cellStyle name="常规 3 5 2 2 4 4" xfId="29185"/>
    <cellStyle name="常规 3 5 2 2 5" xfId="29186"/>
    <cellStyle name="常规 3 5 2 2 5 2" xfId="7772"/>
    <cellStyle name="常规 3 5 2 2 5 2 2" xfId="7774"/>
    <cellStyle name="常规 3 5 2 2 5 3" xfId="7777"/>
    <cellStyle name="常规 3 5 2 2 5 4" xfId="7782"/>
    <cellStyle name="常规 3 5 2 2 6" xfId="29188"/>
    <cellStyle name="常规 3 5 2 2 6 2" xfId="29190"/>
    <cellStyle name="常规 3 5 2 2 7" xfId="7284"/>
    <cellStyle name="常规 3 5 2 2 7 2" xfId="29192"/>
    <cellStyle name="常规 3 5 2 2 8" xfId="7400"/>
    <cellStyle name="常规 3 5 2 2 9" xfId="7405"/>
    <cellStyle name="常规 3 5 2 3" xfId="20733"/>
    <cellStyle name="常规 3 5 2 3 10" xfId="16426"/>
    <cellStyle name="常规 3 5 2 3 11" xfId="16429"/>
    <cellStyle name="常规 3 5 2 3 2" xfId="20736"/>
    <cellStyle name="常规 3 5 2 3 2 10" xfId="29193"/>
    <cellStyle name="常规 3 5 2 3 2 2" xfId="20739"/>
    <cellStyle name="常规 3 5 2 3 2 2 2" xfId="20742"/>
    <cellStyle name="常规 3 5 2 3 2 2 2 2" xfId="3876"/>
    <cellStyle name="常规 3 5 2 3 2 2 2 2 2" xfId="3883"/>
    <cellStyle name="常规 3 5 2 3 2 2 2 2 2 2" xfId="4889"/>
    <cellStyle name="常规 3 5 2 3 2 2 2 2 3" xfId="4892"/>
    <cellStyle name="常规 3 5 2 3 2 2 2 2 4" xfId="21687"/>
    <cellStyle name="常规 3 5 2 3 2 2 2 3" xfId="1879"/>
    <cellStyle name="常规 3 5 2 3 2 2 2 3 2" xfId="1883"/>
    <cellStyle name="常规 3 5 2 3 2 2 2 4" xfId="1889"/>
    <cellStyle name="常规 3 5 2 3 2 2 2 5" xfId="29194"/>
    <cellStyle name="常规 3 5 2 3 2 2 3" xfId="23835"/>
    <cellStyle name="常规 3 5 2 3 2 2 3 2" xfId="2357"/>
    <cellStyle name="常规 3 5 2 3 2 2 3 2 2" xfId="22878"/>
    <cellStyle name="常规 3 5 2 3 2 2 3 3" xfId="1895"/>
    <cellStyle name="常规 3 5 2 3 2 2 3 4" xfId="28142"/>
    <cellStyle name="常规 3 5 2 3 2 2 4" xfId="29195"/>
    <cellStyle name="常规 3 5 2 3 2 2 4 2" xfId="28154"/>
    <cellStyle name="常规 3 5 2 3 2 2 4 2 2" xfId="28156"/>
    <cellStyle name="常规 3 5 2 3 2 2 4 3" xfId="28158"/>
    <cellStyle name="常规 3 5 2 3 2 2 4 4" xfId="28160"/>
    <cellStyle name="常规 3 5 2 3 2 2 5" xfId="29196"/>
    <cellStyle name="常规 3 5 2 3 2 2 5 2" xfId="28168"/>
    <cellStyle name="常规 3 5 2 3 2 2 6" xfId="26286"/>
    <cellStyle name="常规 3 5 2 3 2 2 7" xfId="13620"/>
    <cellStyle name="常规 3 5 2 3 2 2 8" xfId="13623"/>
    <cellStyle name="常规 3 5 2 3 2 3" xfId="18400"/>
    <cellStyle name="常规 3 5 2 3 2 3 2" xfId="22660"/>
    <cellStyle name="常规 3 5 2 3 2 3 2 2" xfId="22664"/>
    <cellStyle name="常规 3 5 2 3 2 3 2 2 2" xfId="22997"/>
    <cellStyle name="常规 3 5 2 3 2 3 2 3" xfId="29015"/>
    <cellStyle name="常规 3 5 2 3 2 3 2 4" xfId="29197"/>
    <cellStyle name="常规 3 5 2 3 2 3 3" xfId="29198"/>
    <cellStyle name="常规 3 5 2 3 2 3 3 2" xfId="28212"/>
    <cellStyle name="常规 3 5 2 3 2 3 4" xfId="29200"/>
    <cellStyle name="常规 3 5 2 3 2 3 5" xfId="29202"/>
    <cellStyle name="常规 3 5 2 3 2 3 6" xfId="29204"/>
    <cellStyle name="常规 3 5 2 3 2 4" xfId="20744"/>
    <cellStyle name="常规 3 5 2 3 2 4 2" xfId="23060"/>
    <cellStyle name="常规 3 5 2 3 2 4 2 2" xfId="23063"/>
    <cellStyle name="常规 3 5 2 3 2 4 3" xfId="29206"/>
    <cellStyle name="常规 3 5 2 3 2 4 4" xfId="29209"/>
    <cellStyle name="常规 3 5 2 3 2 5" xfId="29211"/>
    <cellStyle name="常规 3 5 2 3 2 5 2" xfId="23408"/>
    <cellStyle name="常规 3 5 2 3 2 5 2 2" xfId="23411"/>
    <cellStyle name="常规 3 5 2 3 2 5 3" xfId="29212"/>
    <cellStyle name="常规 3 5 2 3 2 5 4" xfId="29214"/>
    <cellStyle name="常规 3 5 2 3 2 6" xfId="29216"/>
    <cellStyle name="常规 3 5 2 3 2 6 2" xfId="29218"/>
    <cellStyle name="常规 3 5 2 3 2 7" xfId="29219"/>
    <cellStyle name="常规 3 5 2 3 2 7 2" xfId="29220"/>
    <cellStyle name="常规 3 5 2 3 2 8" xfId="29221"/>
    <cellStyle name="常规 3 5 2 3 2 9" xfId="1681"/>
    <cellStyle name="常规 3 5 2 3 3" xfId="20746"/>
    <cellStyle name="常规 3 5 2 3 3 2" xfId="20749"/>
    <cellStyle name="常规 3 5 2 3 3 2 2" xfId="29222"/>
    <cellStyle name="常规 3 5 2 3 3 2 2 2" xfId="5475"/>
    <cellStyle name="常规 3 5 2 3 3 2 2 2 2" xfId="5479"/>
    <cellStyle name="常规 3 5 2 3 3 2 2 3" xfId="1934"/>
    <cellStyle name="常规 3 5 2 3 3 2 2 4" xfId="5491"/>
    <cellStyle name="常规 3 5 2 3 3 2 3" xfId="29223"/>
    <cellStyle name="常规 3 5 2 3 3 2 3 2" xfId="2415"/>
    <cellStyle name="常规 3 5 2 3 3 2 4" xfId="29224"/>
    <cellStyle name="常规 3 5 2 3 3 2 5" xfId="29225"/>
    <cellStyle name="常规 3 5 2 3 3 3" xfId="29226"/>
    <cellStyle name="常规 3 5 2 3 3 3 2" xfId="29227"/>
    <cellStyle name="常规 3 5 2 3 3 3 2 2" xfId="29228"/>
    <cellStyle name="常规 3 5 2 3 3 3 3" xfId="29229"/>
    <cellStyle name="常规 3 5 2 3 3 3 4" xfId="29230"/>
    <cellStyle name="常规 3 5 2 3 3 4" xfId="29231"/>
    <cellStyle name="常规 3 5 2 3 3 4 2" xfId="29232"/>
    <cellStyle name="常规 3 5 2 3 3 4 2 2" xfId="29233"/>
    <cellStyle name="常规 3 5 2 3 3 4 3" xfId="29235"/>
    <cellStyle name="常规 3 5 2 3 3 4 4" xfId="29236"/>
    <cellStyle name="常规 3 5 2 3 3 5" xfId="29238"/>
    <cellStyle name="常规 3 5 2 3 3 5 2" xfId="29240"/>
    <cellStyle name="常规 3 5 2 3 3 6" xfId="29241"/>
    <cellStyle name="常规 3 5 2 3 3 7" xfId="29242"/>
    <cellStyle name="常规 3 5 2 3 3 8" xfId="29243"/>
    <cellStyle name="常规 3 5 2 3 4" xfId="20751"/>
    <cellStyle name="常规 3 5 2 3 4 2" xfId="29245"/>
    <cellStyle name="常规 3 5 2 3 4 2 2" xfId="29246"/>
    <cellStyle name="常规 3 5 2 3 4 2 2 2" xfId="5976"/>
    <cellStyle name="常规 3 5 2 3 4 2 3" xfId="29247"/>
    <cellStyle name="常规 3 5 2 3 4 2 4" xfId="29249"/>
    <cellStyle name="常规 3 5 2 3 4 3" xfId="29251"/>
    <cellStyle name="常规 3 5 2 3 4 3 2" xfId="29252"/>
    <cellStyle name="常规 3 5 2 3 4 4" xfId="29253"/>
    <cellStyle name="常规 3 5 2 3 4 5" xfId="29254"/>
    <cellStyle name="常规 3 5 2 3 4 6" xfId="29255"/>
    <cellStyle name="常规 3 5 2 3 5" xfId="20754"/>
    <cellStyle name="常规 3 5 2 3 5 2" xfId="7812"/>
    <cellStyle name="常规 3 5 2 3 5 2 2" xfId="29256"/>
    <cellStyle name="常规 3 5 2 3 5 3" xfId="29257"/>
    <cellStyle name="常规 3 5 2 3 5 4" xfId="29258"/>
    <cellStyle name="常规 3 5 2 3 6" xfId="14333"/>
    <cellStyle name="常规 3 5 2 3 6 2" xfId="14336"/>
    <cellStyle name="常规 3 5 2 3 6 2 2" xfId="29259"/>
    <cellStyle name="常规 3 5 2 3 6 3" xfId="29260"/>
    <cellStyle name="常规 3 5 2 3 6 4" xfId="29261"/>
    <cellStyle name="常规 3 5 2 3 7" xfId="14339"/>
    <cellStyle name="常规 3 5 2 3 7 2" xfId="29262"/>
    <cellStyle name="常规 3 5 2 3 8" xfId="7415"/>
    <cellStyle name="常规 3 5 2 3 8 2" xfId="7417"/>
    <cellStyle name="常规 3 5 2 3 9" xfId="7420"/>
    <cellStyle name="常规 3 5 2 4" xfId="20756"/>
    <cellStyle name="常规 3 5 2 4 2" xfId="20758"/>
    <cellStyle name="常规 3 5 2 4 2 2" xfId="20761"/>
    <cellStyle name="常规 3 5 2 4 2 2 2" xfId="3829"/>
    <cellStyle name="常规 3 5 2 4 2 2 2 2" xfId="3837"/>
    <cellStyle name="常规 3 5 2 4 2 2 3" xfId="1657"/>
    <cellStyle name="常规 3 5 2 4 2 2 4" xfId="29263"/>
    <cellStyle name="常规 3 5 2 4 2 3" xfId="11522"/>
    <cellStyle name="常规 3 5 2 4 2 3 2" xfId="3865"/>
    <cellStyle name="常规 3 5 2 4 2 4" xfId="29264"/>
    <cellStyle name="常规 3 5 2 4 2 5" xfId="29266"/>
    <cellStyle name="常规 3 5 2 4 3" xfId="20763"/>
    <cellStyle name="常规 3 5 2 4 3 2" xfId="29267"/>
    <cellStyle name="常规 3 5 2 4 3 2 2" xfId="3948"/>
    <cellStyle name="常规 3 5 2 4 3 3" xfId="29268"/>
    <cellStyle name="常规 3 5 2 4 3 4" xfId="29270"/>
    <cellStyle name="常规 3 5 2 4 4" xfId="20765"/>
    <cellStyle name="常规 3 5 2 4 4 2" xfId="29271"/>
    <cellStyle name="常规 3 5 2 4 4 2 2" xfId="4204"/>
    <cellStyle name="常规 3 5 2 4 4 3" xfId="29272"/>
    <cellStyle name="常规 3 5 2 4 4 4" xfId="29273"/>
    <cellStyle name="常规 3 5 2 4 5" xfId="29274"/>
    <cellStyle name="常规 3 5 2 4 5 2" xfId="29275"/>
    <cellStyle name="常规 3 5 2 4 6" xfId="14344"/>
    <cellStyle name="常规 3 5 2 4 7" xfId="29276"/>
    <cellStyle name="常规 3 5 2 4 8" xfId="7425"/>
    <cellStyle name="常规 3 5 2 5" xfId="4661"/>
    <cellStyle name="常规 3 5 2 5 2" xfId="20767"/>
    <cellStyle name="常规 3 5 2 5 2 2" xfId="5755"/>
    <cellStyle name="常规 3 5 2 5 2 2 2" xfId="28746"/>
    <cellStyle name="常规 3 5 2 5 2 3" xfId="18794"/>
    <cellStyle name="常规 3 5 2 5 2 4" xfId="29277"/>
    <cellStyle name="常规 3 5 2 5 3" xfId="20770"/>
    <cellStyle name="常规 3 5 2 5 3 2" xfId="29278"/>
    <cellStyle name="常规 3 5 2 5 4" xfId="20772"/>
    <cellStyle name="常规 3 5 2 5 5" xfId="29279"/>
    <cellStyle name="常规 3 5 2 5 6" xfId="29280"/>
    <cellStyle name="常规 3 5 2 6" xfId="20774"/>
    <cellStyle name="常规 3 5 2 6 2" xfId="20776"/>
    <cellStyle name="常规 3 5 2 6 2 2" xfId="29281"/>
    <cellStyle name="常规 3 5 2 6 3" xfId="7625"/>
    <cellStyle name="常规 3 5 2 6 4" xfId="7629"/>
    <cellStyle name="常规 3 5 2 7" xfId="20778"/>
    <cellStyle name="常规 3 5 2 7 2" xfId="29282"/>
    <cellStyle name="常规 3 5 2 7 2 2" xfId="29283"/>
    <cellStyle name="常规 3 5 2 7 3" xfId="7631"/>
    <cellStyle name="常规 3 5 2 7 4" xfId="29284"/>
    <cellStyle name="常规 3 5 2 8" xfId="11505"/>
    <cellStyle name="常规 3 5 2 8 2" xfId="29286"/>
    <cellStyle name="常规 3 5 2 9" xfId="20780"/>
    <cellStyle name="常规 3 5 2 9 2" xfId="29287"/>
    <cellStyle name="常规 3 5 3" xfId="5160"/>
    <cellStyle name="常规 3 5 3 10" xfId="29288"/>
    <cellStyle name="常规 3 5 3 11" xfId="29289"/>
    <cellStyle name="常规 3 5 3 2" xfId="29290"/>
    <cellStyle name="常规 3 5 3 2 10" xfId="29293"/>
    <cellStyle name="常规 3 5 3 2 2" xfId="20531"/>
    <cellStyle name="常规 3 5 3 2 2 2" xfId="29294"/>
    <cellStyle name="常规 3 5 3 2 2 2 2" xfId="29295"/>
    <cellStyle name="常规 3 5 3 2 2 2 2 2" xfId="20648"/>
    <cellStyle name="常规 3 5 3 2 2 2 2 2 2" xfId="29296"/>
    <cellStyle name="常规 3 5 3 2 2 2 2 3" xfId="20651"/>
    <cellStyle name="常规 3 5 3 2 2 2 2 4" xfId="29297"/>
    <cellStyle name="常规 3 5 3 2 2 2 3" xfId="29299"/>
    <cellStyle name="常规 3 5 3 2 2 2 3 2" xfId="29300"/>
    <cellStyle name="常规 3 5 3 2 2 2 4" xfId="24641"/>
    <cellStyle name="常规 3 5 3 2 2 2 5" xfId="24645"/>
    <cellStyle name="常规 3 5 3 2 2 3" xfId="29301"/>
    <cellStyle name="常规 3 5 3 2 2 3 2" xfId="29302"/>
    <cellStyle name="常规 3 5 3 2 2 3 2 2" xfId="29303"/>
    <cellStyle name="常规 3 5 3 2 2 3 3" xfId="29304"/>
    <cellStyle name="常规 3 5 3 2 2 3 4" xfId="24650"/>
    <cellStyle name="常规 3 5 3 2 2 4" xfId="7711"/>
    <cellStyle name="常规 3 5 3 2 2 4 2" xfId="29305"/>
    <cellStyle name="常规 3 5 3 2 2 4 2 2" xfId="29306"/>
    <cellStyle name="常规 3 5 3 2 2 4 3" xfId="29307"/>
    <cellStyle name="常规 3 5 3 2 2 4 4" xfId="24658"/>
    <cellStyle name="常规 3 5 3 2 2 5" xfId="29308"/>
    <cellStyle name="常规 3 5 3 2 2 5 2" xfId="29309"/>
    <cellStyle name="常规 3 5 3 2 2 6" xfId="1380"/>
    <cellStyle name="常规 3 5 3 2 2 7" xfId="938"/>
    <cellStyle name="常规 3 5 3 2 2 8" xfId="1035"/>
    <cellStyle name="常规 3 5 3 2 3" xfId="29311"/>
    <cellStyle name="常规 3 5 3 2 3 2" xfId="29312"/>
    <cellStyle name="常规 3 5 3 2 3 2 2" xfId="11704"/>
    <cellStyle name="常规 3 5 3 2 3 2 2 2" xfId="21897"/>
    <cellStyle name="常规 3 5 3 2 3 2 3" xfId="29313"/>
    <cellStyle name="常规 3 5 3 2 3 2 4" xfId="24686"/>
    <cellStyle name="常规 3 5 3 2 3 3" xfId="29314"/>
    <cellStyle name="常规 3 5 3 2 3 3 2" xfId="29315"/>
    <cellStyle name="常规 3 5 3 2 3 4" xfId="29316"/>
    <cellStyle name="常规 3 5 3 2 3 5" xfId="29317"/>
    <cellStyle name="常规 3 5 3 2 3 6" xfId="1442"/>
    <cellStyle name="常规 3 5 3 2 4" xfId="29319"/>
    <cellStyle name="常规 3 5 3 2 4 2" xfId="29320"/>
    <cellStyle name="常规 3 5 3 2 4 2 2" xfId="24531"/>
    <cellStyle name="常规 3 5 3 2 4 3" xfId="29321"/>
    <cellStyle name="常规 3 5 3 2 4 4" xfId="29322"/>
    <cellStyle name="常规 3 5 3 2 5" xfId="29323"/>
    <cellStyle name="常规 3 5 3 2 5 2" xfId="29324"/>
    <cellStyle name="常规 3 5 3 2 5 2 2" xfId="29325"/>
    <cellStyle name="常规 3 5 3 2 5 3" xfId="29328"/>
    <cellStyle name="常规 3 5 3 2 5 4" xfId="29329"/>
    <cellStyle name="常规 3 5 3 2 6" xfId="29330"/>
    <cellStyle name="常规 3 5 3 2 6 2" xfId="18404"/>
    <cellStyle name="常规 3 5 3 2 7" xfId="29331"/>
    <cellStyle name="常规 3 5 3 2 7 2" xfId="18443"/>
    <cellStyle name="常规 3 5 3 2 8" xfId="29332"/>
    <cellStyle name="常规 3 5 3 2 9" xfId="29333"/>
    <cellStyle name="常规 3 5 3 3" xfId="20784"/>
    <cellStyle name="常规 3 5 3 3 2" xfId="20787"/>
    <cellStyle name="常规 3 5 3 3 2 2" xfId="20791"/>
    <cellStyle name="常规 3 5 3 3 2 2 2" xfId="23839"/>
    <cellStyle name="常规 3 5 3 3 2 2 2 2" xfId="29207"/>
    <cellStyle name="常规 3 5 3 3 2 2 3" xfId="23909"/>
    <cellStyle name="常规 3 5 3 3 2 2 4" xfId="29334"/>
    <cellStyle name="常规 3 5 3 3 2 3" xfId="29336"/>
    <cellStyle name="常规 3 5 3 3 2 3 2" xfId="29337"/>
    <cellStyle name="常规 3 5 3 3 2 4" xfId="29339"/>
    <cellStyle name="常规 3 5 3 3 2 5" xfId="29340"/>
    <cellStyle name="常规 3 5 3 3 3" xfId="20793"/>
    <cellStyle name="常规 3 5 3 3 3 2" xfId="29341"/>
    <cellStyle name="常规 3 5 3 3 3 2 2" xfId="29342"/>
    <cellStyle name="常规 3 5 3 3 3 3" xfId="29343"/>
    <cellStyle name="常规 3 5 3 3 3 4" xfId="29344"/>
    <cellStyle name="常规 3 5 3 3 4" xfId="20795"/>
    <cellStyle name="常规 3 5 3 3 4 2" xfId="29345"/>
    <cellStyle name="常规 3 5 3 3 4 2 2" xfId="29346"/>
    <cellStyle name="常规 3 5 3 3 4 3" xfId="27834"/>
    <cellStyle name="常规 3 5 3 3 4 4" xfId="17722"/>
    <cellStyle name="常规 3 5 3 3 5" xfId="29347"/>
    <cellStyle name="常规 3 5 3 3 5 2" xfId="29348"/>
    <cellStyle name="常规 3 5 3 3 6" xfId="14354"/>
    <cellStyle name="常规 3 5 3 3 7" xfId="21763"/>
    <cellStyle name="常规 3 5 3 3 8" xfId="21765"/>
    <cellStyle name="常规 3 5 3 4" xfId="20797"/>
    <cellStyle name="常规 3 5 3 4 2" xfId="20799"/>
    <cellStyle name="常规 3 5 3 4 2 2" xfId="29349"/>
    <cellStyle name="常规 3 5 3 4 2 2 2" xfId="4637"/>
    <cellStyle name="常规 3 5 3 4 2 3" xfId="29350"/>
    <cellStyle name="常规 3 5 3 4 2 4" xfId="29352"/>
    <cellStyle name="常规 3 5 3 4 3" xfId="26576"/>
    <cellStyle name="常规 3 5 3 4 3 2" xfId="29353"/>
    <cellStyle name="常规 3 5 3 4 4" xfId="29354"/>
    <cellStyle name="常规 3 5 3 4 5" xfId="19487"/>
    <cellStyle name="常规 3 5 3 4 6" xfId="19490"/>
    <cellStyle name="常规 3 5 3 5" xfId="20801"/>
    <cellStyle name="常规 3 5 3 5 2" xfId="29355"/>
    <cellStyle name="常规 3 5 3 5 2 2" xfId="29356"/>
    <cellStyle name="常规 3 5 3 5 3" xfId="29357"/>
    <cellStyle name="常规 3 5 3 5 4" xfId="15707"/>
    <cellStyle name="常规 3 5 3 6" xfId="20803"/>
    <cellStyle name="常规 3 5 3 6 2" xfId="29358"/>
    <cellStyle name="常规 3 5 3 6 2 2" xfId="29359"/>
    <cellStyle name="常规 3 5 3 6 3" xfId="7637"/>
    <cellStyle name="常规 3 5 3 6 4" xfId="15744"/>
    <cellStyle name="常规 3 5 3 7" xfId="20805"/>
    <cellStyle name="常规 3 5 3 7 2" xfId="29360"/>
    <cellStyle name="常规 3 5 3 8" xfId="4225"/>
    <cellStyle name="常规 3 5 3 8 2" xfId="3159"/>
    <cellStyle name="常规 3 5 3 9" xfId="4228"/>
    <cellStyle name="常规 3 5 4" xfId="29361"/>
    <cellStyle name="常规 3 5 4 2" xfId="29362"/>
    <cellStyle name="常规 3 5 4 2 2" xfId="29363"/>
    <cellStyle name="常规 3 5 4 2 2 2" xfId="29364"/>
    <cellStyle name="常规 3 5 4 2 2 2 2" xfId="29365"/>
    <cellStyle name="常规 3 5 4 2 2 3" xfId="29366"/>
    <cellStyle name="常规 3 5 4 2 2 4" xfId="29367"/>
    <cellStyle name="常规 3 5 4 2 3" xfId="29368"/>
    <cellStyle name="常规 3 5 4 2 3 2" xfId="29369"/>
    <cellStyle name="常规 3 5 4 2 4" xfId="29370"/>
    <cellStyle name="常规 3 5 4 2 5" xfId="29371"/>
    <cellStyle name="常规 3 5 4 3" xfId="20809"/>
    <cellStyle name="常规 3 5 4 3 2" xfId="20811"/>
    <cellStyle name="常规 3 5 4 3 2 2" xfId="29373"/>
    <cellStyle name="常规 3 5 4 3 3" xfId="29374"/>
    <cellStyle name="常规 3 5 4 3 4" xfId="29375"/>
    <cellStyle name="常规 3 5 4 4" xfId="20813"/>
    <cellStyle name="常规 3 5 4 4 2" xfId="29376"/>
    <cellStyle name="常规 3 5 4 4 2 2" xfId="29377"/>
    <cellStyle name="常规 3 5 4 4 3" xfId="29378"/>
    <cellStyle name="常规 3 5 4 4 4" xfId="29379"/>
    <cellStyle name="常规 3 5 4 5" xfId="20815"/>
    <cellStyle name="常规 3 5 4 5 2" xfId="29380"/>
    <cellStyle name="常规 3 5 4 6" xfId="29381"/>
    <cellStyle name="常规 3 5 4 7" xfId="29382"/>
    <cellStyle name="常规 3 5 4 8" xfId="4240"/>
    <cellStyle name="常规 3 5 5" xfId="26473"/>
    <cellStyle name="常规 3 5 5 2" xfId="11047"/>
    <cellStyle name="常规 3 5 5 2 2" xfId="11049"/>
    <cellStyle name="常规 3 5 5 2 2 2" xfId="11051"/>
    <cellStyle name="常规 3 5 5 2 3" xfId="11109"/>
    <cellStyle name="常规 3 5 5 2 4" xfId="11152"/>
    <cellStyle name="常规 3 5 5 3" xfId="11198"/>
    <cellStyle name="常规 3 5 5 3 2" xfId="11201"/>
    <cellStyle name="常规 3 5 5 4" xfId="11244"/>
    <cellStyle name="常规 3 5 5 5" xfId="11258"/>
    <cellStyle name="常规 3 5 5 6" xfId="11263"/>
    <cellStyle name="常规 3 5 6" xfId="24302"/>
    <cellStyle name="常规 3 5 6 2" xfId="11318"/>
    <cellStyle name="常规 3 5 6 2 2" xfId="11320"/>
    <cellStyle name="常规 3 5 6 3" xfId="11328"/>
    <cellStyle name="常规 3 5 6 4" xfId="11333"/>
    <cellStyle name="常规 3 5 7" xfId="29383"/>
    <cellStyle name="常规 3 5 7 2" xfId="11370"/>
    <cellStyle name="常规 3 5 7 2 2" xfId="11372"/>
    <cellStyle name="常规 3 5 7 3" xfId="11408"/>
    <cellStyle name="常规 3 5 7 4" xfId="11423"/>
    <cellStyle name="常规 3 5 8" xfId="29385"/>
    <cellStyle name="常规 3 5 8 2" xfId="11459"/>
    <cellStyle name="常规 3 5 9" xfId="29386"/>
    <cellStyle name="常规 3 5 9 2" xfId="11511"/>
    <cellStyle name="常规 3 6" xfId="29387"/>
    <cellStyle name="常规 3 6 10" xfId="29388"/>
    <cellStyle name="常规 3 6 11" xfId="29389"/>
    <cellStyle name="常规 3 6 12" xfId="29390"/>
    <cellStyle name="常规 3 6 2" xfId="29391"/>
    <cellStyle name="常规 3 6 2 10" xfId="16018"/>
    <cellStyle name="常规 3 6 2 11" xfId="16023"/>
    <cellStyle name="常规 3 6 2 12" xfId="16026"/>
    <cellStyle name="常规 3 6 2 2" xfId="29393"/>
    <cellStyle name="常规 3 6 2 2 10" xfId="6564"/>
    <cellStyle name="常规 3 6 2 2 2" xfId="29394"/>
    <cellStyle name="常规 3 6 2 2 2 2" xfId="29396"/>
    <cellStyle name="常规 3 6 2 2 2 2 2" xfId="1205"/>
    <cellStyle name="常规 3 6 2 2 2 2 2 2" xfId="2100"/>
    <cellStyle name="常规 3 6 2 2 2 2 2 2 2" xfId="18712"/>
    <cellStyle name="常规 3 6 2 2 2 2 2 3" xfId="20470"/>
    <cellStyle name="常规 3 6 2 2 2 2 2 4" xfId="29397"/>
    <cellStyle name="常规 3 6 2 2 2 2 3" xfId="29400"/>
    <cellStyle name="常规 3 6 2 2 2 2 3 2" xfId="29401"/>
    <cellStyle name="常规 3 6 2 2 2 2 4" xfId="29402"/>
    <cellStyle name="常规 3 6 2 2 2 2 5" xfId="29403"/>
    <cellStyle name="常规 3 6 2 2 2 3" xfId="29404"/>
    <cellStyle name="常规 3 6 2 2 2 3 2" xfId="29405"/>
    <cellStyle name="常规 3 6 2 2 2 3 2 2" xfId="21628"/>
    <cellStyle name="常规 3 6 2 2 2 3 3" xfId="29406"/>
    <cellStyle name="常规 3 6 2 2 2 3 4" xfId="29407"/>
    <cellStyle name="常规 3 6 2 2 2 4" xfId="29408"/>
    <cellStyle name="常规 3 6 2 2 2 4 2" xfId="29409"/>
    <cellStyle name="常规 3 6 2 2 2 4 2 2" xfId="29410"/>
    <cellStyle name="常规 3 6 2 2 2 4 3" xfId="29411"/>
    <cellStyle name="常规 3 6 2 2 2 4 4" xfId="29412"/>
    <cellStyle name="常规 3 6 2 2 2 5" xfId="29414"/>
    <cellStyle name="常规 3 6 2 2 2 5 2" xfId="29415"/>
    <cellStyle name="常规 3 6 2 2 2 6" xfId="29416"/>
    <cellStyle name="常规 3 6 2 2 2 7" xfId="29418"/>
    <cellStyle name="常规 3 6 2 2 2 8" xfId="29420"/>
    <cellStyle name="常规 3 6 2 2 3" xfId="29422"/>
    <cellStyle name="常规 3 6 2 2 3 2" xfId="29423"/>
    <cellStyle name="常规 3 6 2 2 3 2 2" xfId="19258"/>
    <cellStyle name="常规 3 6 2 2 3 2 2 2" xfId="21739"/>
    <cellStyle name="常规 3 6 2 2 3 2 3" xfId="19260"/>
    <cellStyle name="常规 3 6 2 2 3 2 4" xfId="29424"/>
    <cellStyle name="常规 3 6 2 2 3 3" xfId="19642"/>
    <cellStyle name="常规 3 6 2 2 3 3 2" xfId="28710"/>
    <cellStyle name="常规 3 6 2 2 3 4" xfId="29425"/>
    <cellStyle name="常规 3 6 2 2 3 5" xfId="29426"/>
    <cellStyle name="常规 3 6 2 2 3 6" xfId="29427"/>
    <cellStyle name="常规 3 6 2 2 4" xfId="29429"/>
    <cellStyle name="常规 3 6 2 2 4 2" xfId="29430"/>
    <cellStyle name="常规 3 6 2 2 4 2 2" xfId="10342"/>
    <cellStyle name="常规 3 6 2 2 4 3" xfId="29431"/>
    <cellStyle name="常规 3 6 2 2 4 4" xfId="29432"/>
    <cellStyle name="常规 3 6 2 2 5" xfId="29433"/>
    <cellStyle name="常规 3 6 2 2 5 2" xfId="29434"/>
    <cellStyle name="常规 3 6 2 2 5 2 2" xfId="29435"/>
    <cellStyle name="常规 3 6 2 2 5 3" xfId="29437"/>
    <cellStyle name="常规 3 6 2 2 5 4" xfId="29438"/>
    <cellStyle name="常规 3 6 2 2 6" xfId="29439"/>
    <cellStyle name="常规 3 6 2 2 6 2" xfId="29440"/>
    <cellStyle name="常规 3 6 2 2 7" xfId="29441"/>
    <cellStyle name="常规 3 6 2 2 7 2" xfId="29442"/>
    <cellStyle name="常规 3 6 2 2 8" xfId="7857"/>
    <cellStyle name="常规 3 6 2 2 9" xfId="7867"/>
    <cellStyle name="常规 3 6 2 3" xfId="29443"/>
    <cellStyle name="常规 3 6 2 3 10" xfId="29444"/>
    <cellStyle name="常规 3 6 2 3 11" xfId="21073"/>
    <cellStyle name="常规 3 6 2 3 2" xfId="29445"/>
    <cellStyle name="常规 3 6 2 3 2 10" xfId="19928"/>
    <cellStyle name="常规 3 6 2 3 2 2" xfId="29447"/>
    <cellStyle name="常规 3 6 2 3 2 2 2" xfId="2163"/>
    <cellStyle name="常规 3 6 2 3 2 2 2 2" xfId="3062"/>
    <cellStyle name="常规 3 6 2 3 2 2 2 2 2" xfId="27125"/>
    <cellStyle name="常规 3 6 2 3 2 2 2 2 2 2" xfId="29448"/>
    <cellStyle name="常规 3 6 2 3 2 2 2 2 3" xfId="23011"/>
    <cellStyle name="常规 3 6 2 3 2 2 2 2 4" xfId="28249"/>
    <cellStyle name="常规 3 6 2 3 2 2 2 3" xfId="21920"/>
    <cellStyle name="常规 3 6 2 3 2 2 2 3 2" xfId="27127"/>
    <cellStyle name="常规 3 6 2 3 2 2 2 4" xfId="24688"/>
    <cellStyle name="常规 3 6 2 3 2 2 2 5" xfId="29449"/>
    <cellStyle name="常规 3 6 2 3 2 2 3" xfId="23984"/>
    <cellStyle name="常规 3 6 2 3 2 2 3 2" xfId="29450"/>
    <cellStyle name="常规 3 6 2 3 2 2 3 2 2" xfId="29452"/>
    <cellStyle name="常规 3 6 2 3 2 2 3 3" xfId="29453"/>
    <cellStyle name="常规 3 6 2 3 2 2 3 4" xfId="29455"/>
    <cellStyle name="常规 3 6 2 3 2 2 4" xfId="8952"/>
    <cellStyle name="常规 3 6 2 3 2 2 4 2" xfId="29456"/>
    <cellStyle name="常规 3 6 2 3 2 2 4 2 2" xfId="29457"/>
    <cellStyle name="常规 3 6 2 3 2 2 4 3" xfId="29458"/>
    <cellStyle name="常规 3 6 2 3 2 2 4 4" xfId="29459"/>
    <cellStyle name="常规 3 6 2 3 2 2 5" xfId="25071"/>
    <cellStyle name="常规 3 6 2 3 2 2 5 2" xfId="18863"/>
    <cellStyle name="常规 3 6 2 3 2 2 6" xfId="29460"/>
    <cellStyle name="常规 3 6 2 3 2 2 7" xfId="29462"/>
    <cellStyle name="常规 3 6 2 3 2 2 8" xfId="29463"/>
    <cellStyle name="常规 3 6 2 3 2 3" xfId="29464"/>
    <cellStyle name="常规 3 6 2 3 2 3 2" xfId="29465"/>
    <cellStyle name="常规 3 6 2 3 2 3 2 2" xfId="22048"/>
    <cellStyle name="常规 3 6 2 3 2 3 2 2 2" xfId="29466"/>
    <cellStyle name="常规 3 6 2 3 2 3 2 3" xfId="22051"/>
    <cellStyle name="常规 3 6 2 3 2 3 2 4" xfId="29468"/>
    <cellStyle name="常规 3 6 2 3 2 3 3" xfId="29469"/>
    <cellStyle name="常规 3 6 2 3 2 3 3 2" xfId="4"/>
    <cellStyle name="常规 3 6 2 3 2 3 4" xfId="8955"/>
    <cellStyle name="常规 3 6 2 3 2 3 5" xfId="25074"/>
    <cellStyle name="常规 3 6 2 3 2 3 6" xfId="29470"/>
    <cellStyle name="常规 3 6 2 3 2 4" xfId="29471"/>
    <cellStyle name="常规 3 6 2 3 2 4 2" xfId="29472"/>
    <cellStyle name="常规 3 6 2 3 2 4 2 2" xfId="29474"/>
    <cellStyle name="常规 3 6 2 3 2 4 3" xfId="29475"/>
    <cellStyle name="常规 3 6 2 3 2 4 4" xfId="29476"/>
    <cellStyle name="常规 3 6 2 3 2 5" xfId="29477"/>
    <cellStyle name="常规 3 6 2 3 2 5 2" xfId="29478"/>
    <cellStyle name="常规 3 6 2 3 2 5 2 2" xfId="29479"/>
    <cellStyle name="常规 3 6 2 3 2 5 3" xfId="29481"/>
    <cellStyle name="常规 3 6 2 3 2 5 4" xfId="29482"/>
    <cellStyle name="常规 3 6 2 3 2 6" xfId="29483"/>
    <cellStyle name="常规 3 6 2 3 2 6 2" xfId="29485"/>
    <cellStyle name="常规 3 6 2 3 2 7" xfId="29486"/>
    <cellStyle name="常规 3 6 2 3 2 7 2" xfId="29487"/>
    <cellStyle name="常规 3 6 2 3 2 8" xfId="29488"/>
    <cellStyle name="常规 3 6 2 3 2 9" xfId="29489"/>
    <cellStyle name="常规 3 6 2 3 3" xfId="29490"/>
    <cellStyle name="常规 3 6 2 3 3 2" xfId="29491"/>
    <cellStyle name="常规 3 6 2 3 3 2 2" xfId="29492"/>
    <cellStyle name="常规 3 6 2 3 3 2 2 2" xfId="22154"/>
    <cellStyle name="常规 3 6 2 3 3 2 2 2 2" xfId="24058"/>
    <cellStyle name="常规 3 6 2 3 3 2 2 3" xfId="22157"/>
    <cellStyle name="常规 3 6 2 3 3 2 2 4" xfId="24062"/>
    <cellStyle name="常规 3 6 2 3 3 2 3" xfId="29493"/>
    <cellStyle name="常规 3 6 2 3 3 2 3 2" xfId="24085"/>
    <cellStyle name="常规 3 6 2 3 3 2 4" xfId="9038"/>
    <cellStyle name="常规 3 6 2 3 3 2 5" xfId="26713"/>
    <cellStyle name="常规 3 6 2 3 3 3" xfId="29494"/>
    <cellStyle name="常规 3 6 2 3 3 3 2" xfId="29495"/>
    <cellStyle name="常规 3 6 2 3 3 3 2 2" xfId="24457"/>
    <cellStyle name="常规 3 6 2 3 3 3 3" xfId="29496"/>
    <cellStyle name="常规 3 6 2 3 3 3 4" xfId="26716"/>
    <cellStyle name="常规 3 6 2 3 3 4" xfId="29497"/>
    <cellStyle name="常规 3 6 2 3 3 4 2" xfId="29498"/>
    <cellStyle name="常规 3 6 2 3 3 4 2 2" xfId="24847"/>
    <cellStyle name="常规 3 6 2 3 3 4 3" xfId="29500"/>
    <cellStyle name="常规 3 6 2 3 3 4 4" xfId="26718"/>
    <cellStyle name="常规 3 6 2 3 3 5" xfId="29502"/>
    <cellStyle name="常规 3 6 2 3 3 5 2" xfId="29503"/>
    <cellStyle name="常规 3 6 2 3 3 6" xfId="29504"/>
    <cellStyle name="常规 3 6 2 3 3 7" xfId="29505"/>
    <cellStyle name="常规 3 6 2 3 3 8" xfId="29506"/>
    <cellStyle name="常规 3 6 2 3 4" xfId="29509"/>
    <cellStyle name="常规 3 6 2 3 4 2" xfId="29510"/>
    <cellStyle name="常规 3 6 2 3 4 2 2" xfId="10568"/>
    <cellStyle name="常规 3 6 2 3 4 2 2 2" xfId="20328"/>
    <cellStyle name="常规 3 6 2 3 4 2 3" xfId="29511"/>
    <cellStyle name="常规 3 6 2 3 4 2 4" xfId="29512"/>
    <cellStyle name="常规 3 6 2 3 4 3" xfId="29513"/>
    <cellStyle name="常规 3 6 2 3 4 3 2" xfId="29514"/>
    <cellStyle name="常规 3 6 2 3 4 4" xfId="29515"/>
    <cellStyle name="常规 3 6 2 3 4 5" xfId="29516"/>
    <cellStyle name="常规 3 6 2 3 4 6" xfId="29517"/>
    <cellStyle name="常规 3 6 2 3 5" xfId="29518"/>
    <cellStyle name="常规 3 6 2 3 5 2" xfId="29519"/>
    <cellStyle name="常规 3 6 2 3 5 2 2" xfId="29520"/>
    <cellStyle name="常规 3 6 2 3 5 3" xfId="29522"/>
    <cellStyle name="常规 3 6 2 3 5 4" xfId="29523"/>
    <cellStyle name="常规 3 6 2 3 6" xfId="27269"/>
    <cellStyle name="常规 3 6 2 3 6 2" xfId="29524"/>
    <cellStyle name="常规 3 6 2 3 6 2 2" xfId="24698"/>
    <cellStyle name="常规 3 6 2 3 6 3" xfId="29525"/>
    <cellStyle name="常规 3 6 2 3 6 4" xfId="29526"/>
    <cellStyle name="常规 3 6 2 3 7" xfId="29527"/>
    <cellStyle name="常规 3 6 2 3 7 2" xfId="25953"/>
    <cellStyle name="常规 3 6 2 3 8" xfId="7883"/>
    <cellStyle name="常规 3 6 2 3 8 2" xfId="7885"/>
    <cellStyle name="常规 3 6 2 3 9" xfId="7888"/>
    <cellStyle name="常规 3 6 2 4" xfId="29528"/>
    <cellStyle name="常规 3 6 2 4 2" xfId="29529"/>
    <cellStyle name="常规 3 6 2 4 2 2" xfId="29530"/>
    <cellStyle name="常规 3 6 2 4 2 2 2" xfId="2366"/>
    <cellStyle name="常规 3 6 2 4 2 2 2 2" xfId="3886"/>
    <cellStyle name="常规 3 6 2 4 2 2 3" xfId="29049"/>
    <cellStyle name="常规 3 6 2 4 2 2 4" xfId="29531"/>
    <cellStyle name="常规 3 6 2 4 2 3" xfId="29532"/>
    <cellStyle name="常规 3 6 2 4 2 3 2" xfId="29534"/>
    <cellStyle name="常规 3 6 2 4 2 4" xfId="29535"/>
    <cellStyle name="常规 3 6 2 4 2 5" xfId="29537"/>
    <cellStyle name="常规 3 6 2 4 3" xfId="29538"/>
    <cellStyle name="常规 3 6 2 4 3 2" xfId="29539"/>
    <cellStyle name="常规 3 6 2 4 3 2 2" xfId="29540"/>
    <cellStyle name="常规 3 6 2 4 3 3" xfId="29541"/>
    <cellStyle name="常规 3 6 2 4 3 4" xfId="29543"/>
    <cellStyle name="常规 3 6 2 4 4" xfId="29544"/>
    <cellStyle name="常规 3 6 2 4 4 2" xfId="29546"/>
    <cellStyle name="常规 3 6 2 4 4 2 2" xfId="29547"/>
    <cellStyle name="常规 3 6 2 4 4 3" xfId="29548"/>
    <cellStyle name="常规 3 6 2 4 4 4" xfId="29549"/>
    <cellStyle name="常规 3 6 2 4 5" xfId="29550"/>
    <cellStyle name="常规 3 6 2 4 5 2" xfId="29551"/>
    <cellStyle name="常规 3 6 2 4 6" xfId="29552"/>
    <cellStyle name="常规 3 6 2 4 7" xfId="29553"/>
    <cellStyle name="常规 3 6 2 4 8" xfId="7895"/>
    <cellStyle name="常规 3 6 2 5" xfId="4679"/>
    <cellStyle name="常规 3 6 2 5 2" xfId="29555"/>
    <cellStyle name="常规 3 6 2 5 2 2" xfId="29556"/>
    <cellStyle name="常规 3 6 2 5 2 2 2" xfId="1669"/>
    <cellStyle name="常规 3 6 2 5 2 3" xfId="29557"/>
    <cellStyle name="常规 3 6 2 5 2 4" xfId="29559"/>
    <cellStyle name="常规 3 6 2 5 3" xfId="29560"/>
    <cellStyle name="常规 3 6 2 5 3 2" xfId="946"/>
    <cellStyle name="常规 3 6 2 5 4" xfId="29561"/>
    <cellStyle name="常规 3 6 2 5 5" xfId="29562"/>
    <cellStyle name="常规 3 6 2 5 6" xfId="29563"/>
    <cellStyle name="常规 3 6 2 6" xfId="2567"/>
    <cellStyle name="常规 3 6 2 6 2" xfId="2569"/>
    <cellStyle name="常规 3 6 2 6 2 2" xfId="29564"/>
    <cellStyle name="常规 3 6 2 6 3" xfId="7660"/>
    <cellStyle name="常规 3 6 2 6 4" xfId="29565"/>
    <cellStyle name="常规 3 6 2 7" xfId="2571"/>
    <cellStyle name="常规 3 6 2 7 2" xfId="29566"/>
    <cellStyle name="常规 3 6 2 7 2 2" xfId="29567"/>
    <cellStyle name="常规 3 6 2 7 3" xfId="29568"/>
    <cellStyle name="常规 3 6 2 7 4" xfId="29569"/>
    <cellStyle name="常规 3 6 2 8" xfId="29571"/>
    <cellStyle name="常规 3 6 2 8 2" xfId="29572"/>
    <cellStyle name="常规 3 6 2 9" xfId="29573"/>
    <cellStyle name="常规 3 6 2 9 2" xfId="29574"/>
    <cellStyle name="常规 3 6 3" xfId="6611"/>
    <cellStyle name="常规 3 6 3 10" xfId="18180"/>
    <cellStyle name="常规 3 6 3 11" xfId="18188"/>
    <cellStyle name="常规 3 6 3 2" xfId="29575"/>
    <cellStyle name="常规 3 6 3 2 10" xfId="20111"/>
    <cellStyle name="常规 3 6 3 2 2" xfId="29576"/>
    <cellStyle name="常规 3 6 3 2 2 2" xfId="29577"/>
    <cellStyle name="常规 3 6 3 2 2 2 2" xfId="29578"/>
    <cellStyle name="常规 3 6 3 2 2 2 2 2" xfId="29579"/>
    <cellStyle name="常规 3 6 3 2 2 2 2 2 2" xfId="25370"/>
    <cellStyle name="常规 3 6 3 2 2 2 2 3" xfId="26137"/>
    <cellStyle name="常规 3 6 3 2 2 2 2 4" xfId="984"/>
    <cellStyle name="常规 3 6 3 2 2 2 3" xfId="29581"/>
    <cellStyle name="常规 3 6 3 2 2 2 3 2" xfId="29582"/>
    <cellStyle name="常规 3 6 3 2 2 2 4" xfId="17812"/>
    <cellStyle name="常规 3 6 3 2 2 2 5" xfId="25028"/>
    <cellStyle name="常规 3 6 3 2 2 3" xfId="29583"/>
    <cellStyle name="常规 3 6 3 2 2 3 2" xfId="29584"/>
    <cellStyle name="常规 3 6 3 2 2 3 2 2" xfId="29585"/>
    <cellStyle name="常规 3 6 3 2 2 3 3" xfId="29587"/>
    <cellStyle name="常规 3 6 3 2 2 3 4" xfId="25032"/>
    <cellStyle name="常规 3 6 3 2 2 4" xfId="7766"/>
    <cellStyle name="常规 3 6 3 2 2 4 2" xfId="7768"/>
    <cellStyle name="常规 3 6 3 2 2 4 2 2" xfId="29588"/>
    <cellStyle name="常规 3 6 3 2 2 4 3" xfId="29590"/>
    <cellStyle name="常规 3 6 3 2 2 4 4" xfId="23750"/>
    <cellStyle name="常规 3 6 3 2 2 5" xfId="7770"/>
    <cellStyle name="常规 3 6 3 2 2 5 2" xfId="29591"/>
    <cellStyle name="常规 3 6 3 2 2 6" xfId="29592"/>
    <cellStyle name="常规 3 6 3 2 2 7" xfId="29594"/>
    <cellStyle name="常规 3 6 3 2 2 8" xfId="29595"/>
    <cellStyle name="常规 3 6 3 2 3" xfId="29596"/>
    <cellStyle name="常规 3 6 3 2 3 2" xfId="29599"/>
    <cellStyle name="常规 3 6 3 2 3 2 2" xfId="13481"/>
    <cellStyle name="常规 3 6 3 2 3 2 2 2" xfId="27505"/>
    <cellStyle name="常规 3 6 3 2 3 2 3" xfId="13483"/>
    <cellStyle name="常规 3 6 3 2 3 2 4" xfId="17825"/>
    <cellStyle name="常规 3 6 3 2 3 3" xfId="29600"/>
    <cellStyle name="常规 3 6 3 2 3 3 2" xfId="3601"/>
    <cellStyle name="常规 3 6 3 2 3 4" xfId="7775"/>
    <cellStyle name="常规 3 6 3 2 3 5" xfId="29602"/>
    <cellStyle name="常规 3 6 3 2 3 6" xfId="29604"/>
    <cellStyle name="常规 3 6 3 2 4" xfId="29605"/>
    <cellStyle name="常规 3 6 3 2 4 2" xfId="29606"/>
    <cellStyle name="常规 3 6 3 2 4 2 2" xfId="29607"/>
    <cellStyle name="常规 3 6 3 2 4 3" xfId="29608"/>
    <cellStyle name="常规 3 6 3 2 4 4" xfId="7779"/>
    <cellStyle name="常规 3 6 3 2 5" xfId="29609"/>
    <cellStyle name="常规 3 6 3 2 5 2" xfId="29610"/>
    <cellStyle name="常规 3 6 3 2 5 2 2" xfId="29611"/>
    <cellStyle name="常规 3 6 3 2 5 3" xfId="29613"/>
    <cellStyle name="常规 3 6 3 2 5 4" xfId="29614"/>
    <cellStyle name="常规 3 6 3 2 6" xfId="29615"/>
    <cellStyle name="常规 3 6 3 2 6 2" xfId="18832"/>
    <cellStyle name="常规 3 6 3 2 7" xfId="29616"/>
    <cellStyle name="常规 3 6 3 2 7 2" xfId="18871"/>
    <cellStyle name="常规 3 6 3 2 8" xfId="29617"/>
    <cellStyle name="常规 3 6 3 2 9" xfId="29618"/>
    <cellStyle name="常规 3 6 3 3" xfId="29619"/>
    <cellStyle name="常规 3 6 3 3 2" xfId="29620"/>
    <cellStyle name="常规 3 6 3 3 2 2" xfId="29621"/>
    <cellStyle name="常规 3 6 3 3 2 2 2" xfId="24167"/>
    <cellStyle name="常规 3 6 3 3 2 2 2 2" xfId="29622"/>
    <cellStyle name="常规 3 6 3 3 2 2 3" xfId="10193"/>
    <cellStyle name="常规 3 6 3 3 2 2 4" xfId="9167"/>
    <cellStyle name="常规 3 6 3 3 2 3" xfId="29625"/>
    <cellStyle name="常规 3 6 3 3 2 3 2" xfId="29626"/>
    <cellStyle name="常规 3 6 3 3 2 4" xfId="29627"/>
    <cellStyle name="常规 3 6 3 3 2 5" xfId="29628"/>
    <cellStyle name="常规 3 6 3 3 3" xfId="20984"/>
    <cellStyle name="常规 3 6 3 3 3 2" xfId="20986"/>
    <cellStyle name="常规 3 6 3 3 3 2 2" xfId="20988"/>
    <cellStyle name="常规 3 6 3 3 3 3" xfId="20990"/>
    <cellStyle name="常规 3 6 3 3 3 4" xfId="20992"/>
    <cellStyle name="常规 3 6 3 3 4" xfId="20994"/>
    <cellStyle name="常规 3 6 3 3 4 2" xfId="20996"/>
    <cellStyle name="常规 3 6 3 3 4 2 2" xfId="29629"/>
    <cellStyle name="常规 3 6 3 3 4 3" xfId="29630"/>
    <cellStyle name="常规 3 6 3 3 4 4" xfId="29631"/>
    <cellStyle name="常规 3 6 3 3 5" xfId="20998"/>
    <cellStyle name="常规 3 6 3 3 5 2" xfId="29632"/>
    <cellStyle name="常规 3 6 3 3 6" xfId="21000"/>
    <cellStyle name="常规 3 6 3 3 7" xfId="21793"/>
    <cellStyle name="常规 3 6 3 3 8" xfId="29633"/>
    <cellStyle name="常规 3 6 3 4" xfId="29634"/>
    <cellStyle name="常规 3 6 3 4 2" xfId="29636"/>
    <cellStyle name="常规 3 6 3 4 2 2" xfId="29638"/>
    <cellStyle name="常规 3 6 3 4 2 2 2" xfId="24240"/>
    <cellStyle name="常规 3 6 3 4 2 3" xfId="29639"/>
    <cellStyle name="常规 3 6 3 4 2 4" xfId="29641"/>
    <cellStyle name="常规 3 6 3 4 3" xfId="21004"/>
    <cellStyle name="常规 3 6 3 4 3 2" xfId="21006"/>
    <cellStyle name="常规 3 6 3 4 4" xfId="21008"/>
    <cellStyle name="常规 3 6 3 4 5" xfId="19526"/>
    <cellStyle name="常规 3 6 3 4 6" xfId="7755"/>
    <cellStyle name="常规 3 6 3 5" xfId="11366"/>
    <cellStyle name="常规 3 6 3 5 2" xfId="29642"/>
    <cellStyle name="常规 3 6 3 5 2 2" xfId="29643"/>
    <cellStyle name="常规 3 6 3 5 3" xfId="21011"/>
    <cellStyle name="常规 3 6 3 5 4" xfId="15868"/>
    <cellStyle name="常规 3 6 3 6" xfId="2577"/>
    <cellStyle name="常规 3 6 3 6 2" xfId="2580"/>
    <cellStyle name="常规 3 6 3 6 2 2" xfId="29644"/>
    <cellStyle name="常规 3 6 3 6 3" xfId="21013"/>
    <cellStyle name="常规 3 6 3 6 4" xfId="15875"/>
    <cellStyle name="常规 3 6 3 7" xfId="2582"/>
    <cellStyle name="常规 3 6 3 7 2" xfId="29645"/>
    <cellStyle name="常规 3 6 3 8" xfId="4267"/>
    <cellStyle name="常规 3 6 3 8 2" xfId="2307"/>
    <cellStyle name="常规 3 6 3 9" xfId="4269"/>
    <cellStyle name="常规 3 6 4" xfId="29646"/>
    <cellStyle name="常规 3 6 4 2" xfId="29647"/>
    <cellStyle name="常规 3 6 4 2 2" xfId="29648"/>
    <cellStyle name="常规 3 6 4 2 2 2" xfId="29649"/>
    <cellStyle name="常规 3 6 4 2 2 2 2" xfId="29650"/>
    <cellStyle name="常规 3 6 4 2 2 3" xfId="29651"/>
    <cellStyle name="常规 3 6 4 2 2 4" xfId="7810"/>
    <cellStyle name="常规 3 6 4 2 3" xfId="29652"/>
    <cellStyle name="常规 3 6 4 2 3 2" xfId="29653"/>
    <cellStyle name="常规 3 6 4 2 4" xfId="29654"/>
    <cellStyle name="常规 3 6 4 2 5" xfId="29655"/>
    <cellStyle name="常规 3 6 4 3" xfId="29657"/>
    <cellStyle name="常规 3 6 4 3 2" xfId="29658"/>
    <cellStyle name="常规 3 6 4 3 2 2" xfId="29659"/>
    <cellStyle name="常规 3 6 4 3 3" xfId="21019"/>
    <cellStyle name="常规 3 6 4 3 4" xfId="21022"/>
    <cellStyle name="常规 3 6 4 4" xfId="29660"/>
    <cellStyle name="常规 3 6 4 4 2" xfId="29662"/>
    <cellStyle name="常规 3 6 4 4 2 2" xfId="29663"/>
    <cellStyle name="常规 3 6 4 4 3" xfId="21027"/>
    <cellStyle name="常规 3 6 4 4 4" xfId="29664"/>
    <cellStyle name="常规 3 6 4 5" xfId="29665"/>
    <cellStyle name="常规 3 6 4 5 2" xfId="29666"/>
    <cellStyle name="常规 3 6 4 6" xfId="2588"/>
    <cellStyle name="常规 3 6 4 7" xfId="29667"/>
    <cellStyle name="常规 3 6 4 8" xfId="4275"/>
    <cellStyle name="常规 3 6 5" xfId="29668"/>
    <cellStyle name="常规 3 6 5 2" xfId="10260"/>
    <cellStyle name="常规 3 6 5 2 2" xfId="11634"/>
    <cellStyle name="常规 3 6 5 2 2 2" xfId="11269"/>
    <cellStyle name="常规 3 6 5 2 3" xfId="11636"/>
    <cellStyle name="常规 3 6 5 2 4" xfId="11639"/>
    <cellStyle name="常规 3 6 5 3" xfId="11641"/>
    <cellStyle name="常规 3 6 5 3 2" xfId="11643"/>
    <cellStyle name="常规 3 6 5 4" xfId="11650"/>
    <cellStyle name="常规 3 6 5 5" xfId="11658"/>
    <cellStyle name="常规 3 6 5 6" xfId="11661"/>
    <cellStyle name="常规 3 6 6" xfId="29669"/>
    <cellStyle name="常规 3 6 6 2" xfId="11678"/>
    <cellStyle name="常规 3 6 6 2 2" xfId="11680"/>
    <cellStyle name="常规 3 6 6 3" xfId="11683"/>
    <cellStyle name="常规 3 6 6 4" xfId="11690"/>
    <cellStyle name="常规 3 6 7" xfId="29670"/>
    <cellStyle name="常规 3 6 7 2" xfId="2752"/>
    <cellStyle name="常规 3 6 7 2 2" xfId="2755"/>
    <cellStyle name="常规 3 6 7 3" xfId="2761"/>
    <cellStyle name="常规 3 6 7 4" xfId="2765"/>
    <cellStyle name="常规 3 6 8" xfId="29671"/>
    <cellStyle name="常规 3 6 8 2" xfId="2928"/>
    <cellStyle name="常规 3 6 9" xfId="29672"/>
    <cellStyle name="常规 3 6 9 2" xfId="2994"/>
    <cellStyle name="常规 3 7" xfId="29673"/>
    <cellStyle name="常规 3 7 10" xfId="29674"/>
    <cellStyle name="常规 3 7 11" xfId="29676"/>
    <cellStyle name="常规 3 7 12" xfId="9240"/>
    <cellStyle name="常规 3 7 2" xfId="25984"/>
    <cellStyle name="常规 3 7 2 10" xfId="22094"/>
    <cellStyle name="常规 3 7 2 11" xfId="29678"/>
    <cellStyle name="常规 3 7 2 12" xfId="19372"/>
    <cellStyle name="常规 3 7 2 2" xfId="25986"/>
    <cellStyle name="常规 3 7 2 2 10" xfId="2433"/>
    <cellStyle name="常规 3 7 2 2 2" xfId="29244"/>
    <cellStyle name="常规 3 7 2 2 2 2" xfId="29679"/>
    <cellStyle name="常规 3 7 2 2 2 2 2" xfId="9313"/>
    <cellStyle name="常规 3 7 2 2 2 2 2 2" xfId="27338"/>
    <cellStyle name="常规 3 7 2 2 2 2 2 2 2" xfId="29680"/>
    <cellStyle name="常规 3 7 2 2 2 2 2 3" xfId="4690"/>
    <cellStyle name="常规 3 7 2 2 2 2 2 4" xfId="29681"/>
    <cellStyle name="常规 3 7 2 2 2 2 3" xfId="29682"/>
    <cellStyle name="常规 3 7 2 2 2 2 3 2" xfId="29683"/>
    <cellStyle name="常规 3 7 2 2 2 2 4" xfId="29684"/>
    <cellStyle name="常规 3 7 2 2 2 2 5" xfId="25990"/>
    <cellStyle name="常规 3 7 2 2 2 3" xfId="19134"/>
    <cellStyle name="常规 3 7 2 2 2 3 2" xfId="10298"/>
    <cellStyle name="常规 3 7 2 2 2 3 2 2" xfId="10303"/>
    <cellStyle name="常规 3 7 2 2 2 3 3" xfId="10305"/>
    <cellStyle name="常规 3 7 2 2 2 3 4" xfId="10307"/>
    <cellStyle name="常规 3 7 2 2 2 4" xfId="19136"/>
    <cellStyle name="常规 3 7 2 2 2 4 2" xfId="10321"/>
    <cellStyle name="常规 3 7 2 2 2 4 2 2" xfId="23899"/>
    <cellStyle name="常规 3 7 2 2 2 4 3" xfId="10324"/>
    <cellStyle name="常规 3 7 2 2 2 4 4" xfId="11710"/>
    <cellStyle name="常规 3 7 2 2 2 5" xfId="11443"/>
    <cellStyle name="常规 3 7 2 2 2 5 2" xfId="11446"/>
    <cellStyle name="常规 3 7 2 2 2 6" xfId="3073"/>
    <cellStyle name="常规 3 7 2 2 2 7" xfId="3110"/>
    <cellStyle name="常规 3 7 2 2 2 8" xfId="3117"/>
    <cellStyle name="常规 3 7 2 2 3" xfId="4818"/>
    <cellStyle name="常规 3 7 2 2 3 2" xfId="29685"/>
    <cellStyle name="常规 3 7 2 2 3 2 2" xfId="19517"/>
    <cellStyle name="常规 3 7 2 2 3 2 2 2" xfId="27402"/>
    <cellStyle name="常规 3 7 2 2 3 2 3" xfId="19519"/>
    <cellStyle name="常规 3 7 2 2 3 2 4" xfId="29686"/>
    <cellStyle name="常规 3 7 2 2 3 3" xfId="29687"/>
    <cellStyle name="常规 3 7 2 2 3 3 2" xfId="29688"/>
    <cellStyle name="常规 3 7 2 2 3 4" xfId="29689"/>
    <cellStyle name="常规 3 7 2 2 3 5" xfId="11454"/>
    <cellStyle name="常规 3 7 2 2 3 6" xfId="3133"/>
    <cellStyle name="常规 3 7 2 2 4" xfId="29690"/>
    <cellStyle name="常规 3 7 2 2 4 2" xfId="29692"/>
    <cellStyle name="常规 3 7 2 2 4 2 2" xfId="7536"/>
    <cellStyle name="常规 3 7 2 2 4 3" xfId="29693"/>
    <cellStyle name="常规 3 7 2 2 4 4" xfId="29694"/>
    <cellStyle name="常规 3 7 2 2 5" xfId="29695"/>
    <cellStyle name="常规 3 7 2 2 5 2" xfId="29696"/>
    <cellStyle name="常规 3 7 2 2 5 2 2" xfId="29697"/>
    <cellStyle name="常规 3 7 2 2 5 3" xfId="29699"/>
    <cellStyle name="常规 3 7 2 2 5 4" xfId="29700"/>
    <cellStyle name="常规 3 7 2 2 6" xfId="29701"/>
    <cellStyle name="常规 3 7 2 2 6 2" xfId="29703"/>
    <cellStyle name="常规 3 7 2 2 7" xfId="29705"/>
    <cellStyle name="常规 3 7 2 2 7 2" xfId="29707"/>
    <cellStyle name="常规 3 7 2 2 8" xfId="8639"/>
    <cellStyle name="常规 3 7 2 2 9" xfId="8657"/>
    <cellStyle name="常规 3 7 2 3" xfId="26155"/>
    <cellStyle name="常规 3 7 2 3 10" xfId="26158"/>
    <cellStyle name="常规 3 7 2 3 11" xfId="29709"/>
    <cellStyle name="常规 3 7 2 3 2" xfId="26161"/>
    <cellStyle name="常规 3 7 2 3 2 10" xfId="22786"/>
    <cellStyle name="常规 3 7 2 3 2 2" xfId="26163"/>
    <cellStyle name="常规 3 7 2 3 2 2 2" xfId="26166"/>
    <cellStyle name="常规 3 7 2 3 2 2 2 2" xfId="26169"/>
    <cellStyle name="常规 3 7 2 3 2 2 2 2 2" xfId="26172"/>
    <cellStyle name="常规 3 7 2 3 2 2 2 2 2 2" xfId="29711"/>
    <cellStyle name="常规 3 7 2 3 2 2 2 2 3" xfId="29712"/>
    <cellStyle name="常规 3 7 2 3 2 2 2 2 4" xfId="29713"/>
    <cellStyle name="常规 3 7 2 3 2 2 2 3" xfId="26175"/>
    <cellStyle name="常规 3 7 2 3 2 2 2 3 2" xfId="16608"/>
    <cellStyle name="常规 3 7 2 3 2 2 2 4" xfId="25056"/>
    <cellStyle name="常规 3 7 2 3 2 2 2 5" xfId="29714"/>
    <cellStyle name="常规 3 7 2 3 2 2 3" xfId="26179"/>
    <cellStyle name="常规 3 7 2 3 2 2 3 2" xfId="26181"/>
    <cellStyle name="常规 3 7 2 3 2 2 3 2 2" xfId="29715"/>
    <cellStyle name="常规 3 7 2 3 2 2 3 3" xfId="29716"/>
    <cellStyle name="常规 3 7 2 3 2 2 3 4" xfId="29718"/>
    <cellStyle name="常规 3 7 2 3 2 2 4" xfId="26184"/>
    <cellStyle name="常规 3 7 2 3 2 2 4 2" xfId="29719"/>
    <cellStyle name="常规 3 7 2 3 2 2 4 2 2" xfId="29720"/>
    <cellStyle name="常规 3 7 2 3 2 2 4 3" xfId="29721"/>
    <cellStyle name="常规 3 7 2 3 2 2 4 4" xfId="29722"/>
    <cellStyle name="常规 3 7 2 3 2 2 5" xfId="26187"/>
    <cellStyle name="常规 3 7 2 3 2 2 5 2" xfId="29723"/>
    <cellStyle name="常规 3 7 2 3 2 2 6" xfId="29725"/>
    <cellStyle name="常规 3 7 2 3 2 2 7" xfId="29728"/>
    <cellStyle name="常规 3 7 2 3 2 2 8" xfId="29730"/>
    <cellStyle name="常规 3 7 2 3 2 3" xfId="26191"/>
    <cellStyle name="常规 3 7 2 3 2 3 2" xfId="26193"/>
    <cellStyle name="常规 3 7 2 3 2 3 2 2" xfId="24150"/>
    <cellStyle name="常规 3 7 2 3 2 3 2 2 2" xfId="24154"/>
    <cellStyle name="常规 3 7 2 3 2 3 2 3" xfId="24160"/>
    <cellStyle name="常规 3 7 2 3 2 3 2 4" xfId="3620"/>
    <cellStyle name="常规 3 7 2 3 2 3 3" xfId="26195"/>
    <cellStyle name="常规 3 7 2 3 2 3 3 2" xfId="24180"/>
    <cellStyle name="常规 3 7 2 3 2 3 4" xfId="26198"/>
    <cellStyle name="常规 3 7 2 3 2 3 5" xfId="8687"/>
    <cellStyle name="常规 3 7 2 3 2 3 6" xfId="8691"/>
    <cellStyle name="常规 3 7 2 3 2 4" xfId="18294"/>
    <cellStyle name="常规 3 7 2 3 2 4 2" xfId="18297"/>
    <cellStyle name="常规 3 7 2 3 2 4 2 2" xfId="24223"/>
    <cellStyle name="常规 3 7 2 3 2 4 3" xfId="11207"/>
    <cellStyle name="常规 3 7 2 3 2 4 4" xfId="11785"/>
    <cellStyle name="常规 3 7 2 3 2 5" xfId="10875"/>
    <cellStyle name="常规 3 7 2 3 2 5 2" xfId="10878"/>
    <cellStyle name="常规 3 7 2 3 2 5 2 2" xfId="24319"/>
    <cellStyle name="常规 3 7 2 3 2 5 3" xfId="29732"/>
    <cellStyle name="常规 3 7 2 3 2 5 4" xfId="29733"/>
    <cellStyle name="常规 3 7 2 3 2 6" xfId="10883"/>
    <cellStyle name="常规 3 7 2 3 2 6 2" xfId="9721"/>
    <cellStyle name="常规 3 7 2 3 2 7" xfId="10887"/>
    <cellStyle name="常规 3 7 2 3 2 7 2" xfId="27819"/>
    <cellStyle name="常规 3 7 2 3 2 8" xfId="19386"/>
    <cellStyle name="常规 3 7 2 3 2 9" xfId="29734"/>
    <cellStyle name="常规 3 7 2 3 3" xfId="26200"/>
    <cellStyle name="常规 3 7 2 3 3 2" xfId="26202"/>
    <cellStyle name="常规 3 7 2 3 3 2 2" xfId="26204"/>
    <cellStyle name="常规 3 7 2 3 3 2 2 2" xfId="26207"/>
    <cellStyle name="常规 3 7 2 3 3 2 2 2 2" xfId="29735"/>
    <cellStyle name="常规 3 7 2 3 3 2 2 3" xfId="27731"/>
    <cellStyle name="常规 3 7 2 3 3 2 2 4" xfId="29736"/>
    <cellStyle name="常规 3 7 2 3 3 2 3" xfId="26209"/>
    <cellStyle name="常规 3 7 2 3 3 2 3 2" xfId="29737"/>
    <cellStyle name="常规 3 7 2 3 3 2 4" xfId="26211"/>
    <cellStyle name="常规 3 7 2 3 3 2 5" xfId="29739"/>
    <cellStyle name="常规 3 7 2 3 3 3" xfId="26213"/>
    <cellStyle name="常规 3 7 2 3 3 3 2" xfId="26215"/>
    <cellStyle name="常规 3 7 2 3 3 3 2 2" xfId="24375"/>
    <cellStyle name="常规 3 7 2 3 3 3 3" xfId="29741"/>
    <cellStyle name="常规 3 7 2 3 3 3 4" xfId="29742"/>
    <cellStyle name="常规 3 7 2 3 3 4" xfId="18302"/>
    <cellStyle name="常规 3 7 2 3 3 4 2" xfId="18304"/>
    <cellStyle name="常规 3 7 2 3 3 4 2 2" xfId="16285"/>
    <cellStyle name="常规 3 7 2 3 3 4 3" xfId="29743"/>
    <cellStyle name="常规 3 7 2 3 3 4 4" xfId="29744"/>
    <cellStyle name="常规 3 7 2 3 3 5" xfId="18307"/>
    <cellStyle name="常规 3 7 2 3 3 5 2" xfId="4430"/>
    <cellStyle name="常规 3 7 2 3 3 6" xfId="18311"/>
    <cellStyle name="常规 3 7 2 3 3 7" xfId="29745"/>
    <cellStyle name="常规 3 7 2 3 3 8" xfId="29746"/>
    <cellStyle name="常规 3 7 2 3 4" xfId="26217"/>
    <cellStyle name="常规 3 7 2 3 4 2" xfId="26219"/>
    <cellStyle name="常规 3 7 2 3 4 2 2" xfId="26221"/>
    <cellStyle name="常规 3 7 2 3 4 2 2 2" xfId="29749"/>
    <cellStyle name="常规 3 7 2 3 4 2 3" xfId="29750"/>
    <cellStyle name="常规 3 7 2 3 4 2 4" xfId="29751"/>
    <cellStyle name="常规 3 7 2 3 4 3" xfId="26223"/>
    <cellStyle name="常规 3 7 2 3 4 3 2" xfId="29752"/>
    <cellStyle name="常规 3 7 2 3 4 4" xfId="18315"/>
    <cellStyle name="常规 3 7 2 3 4 5" xfId="29753"/>
    <cellStyle name="常规 3 7 2 3 4 6" xfId="29754"/>
    <cellStyle name="常规 3 7 2 3 5" xfId="26225"/>
    <cellStyle name="常规 3 7 2 3 5 2" xfId="26227"/>
    <cellStyle name="常规 3 7 2 3 5 2 2" xfId="26229"/>
    <cellStyle name="常规 3 7 2 3 5 3" xfId="26231"/>
    <cellStyle name="常规 3 7 2 3 5 4" xfId="26233"/>
    <cellStyle name="常规 3 7 2 3 6" xfId="26235"/>
    <cellStyle name="常规 3 7 2 3 6 2" xfId="26238"/>
    <cellStyle name="常规 3 7 2 3 6 2 2" xfId="29507"/>
    <cellStyle name="常规 3 7 2 3 6 3" xfId="29755"/>
    <cellStyle name="常规 3 7 2 3 6 4" xfId="29757"/>
    <cellStyle name="常规 3 7 2 3 7" xfId="26241"/>
    <cellStyle name="常规 3 7 2 3 7 2" xfId="26188"/>
    <cellStyle name="常规 3 7 2 3 8" xfId="8684"/>
    <cellStyle name="常规 3 7 2 3 8 2" xfId="8688"/>
    <cellStyle name="常规 3 7 2 3 9" xfId="8695"/>
    <cellStyle name="常规 3 7 2 4" xfId="26245"/>
    <cellStyle name="常规 3 7 2 4 2" xfId="374"/>
    <cellStyle name="常规 3 7 2 4 2 2" xfId="380"/>
    <cellStyle name="常规 3 7 2 4 2 2 2" xfId="26247"/>
    <cellStyle name="常规 3 7 2 4 2 2 2 2" xfId="26250"/>
    <cellStyle name="常规 3 7 2 4 2 2 3" xfId="19394"/>
    <cellStyle name="常规 3 7 2 4 2 2 4" xfId="19398"/>
    <cellStyle name="常规 3 7 2 4 2 3" xfId="26252"/>
    <cellStyle name="常规 3 7 2 4 2 3 2" xfId="26254"/>
    <cellStyle name="常规 3 7 2 4 2 4" xfId="18329"/>
    <cellStyle name="常规 3 7 2 4 2 5" xfId="11468"/>
    <cellStyle name="常规 3 7 2 4 3" xfId="389"/>
    <cellStyle name="常规 3 7 2 4 3 2" xfId="26256"/>
    <cellStyle name="常规 3 7 2 4 3 2 2" xfId="26258"/>
    <cellStyle name="常规 3 7 2 4 3 3" xfId="26260"/>
    <cellStyle name="常规 3 7 2 4 3 4" xfId="26262"/>
    <cellStyle name="常规 3 7 2 4 4" xfId="403"/>
    <cellStyle name="常规 3 7 2 4 4 2" xfId="26264"/>
    <cellStyle name="常规 3 7 2 4 4 2 2" xfId="26266"/>
    <cellStyle name="常规 3 7 2 4 4 3" xfId="26268"/>
    <cellStyle name="常规 3 7 2 4 4 4" xfId="26270"/>
    <cellStyle name="常规 3 7 2 4 5" xfId="26272"/>
    <cellStyle name="常规 3 7 2 4 5 2" xfId="26274"/>
    <cellStyle name="常规 3 7 2 4 6" xfId="26276"/>
    <cellStyle name="常规 3 7 2 4 7" xfId="26279"/>
    <cellStyle name="常规 3 7 2 4 8" xfId="8703"/>
    <cellStyle name="常规 3 7 2 5" xfId="26284"/>
    <cellStyle name="常规 3 7 2 5 2" xfId="320"/>
    <cellStyle name="常规 3 7 2 5 2 2" xfId="280"/>
    <cellStyle name="常规 3 7 2 5 2 2 2" xfId="26288"/>
    <cellStyle name="常规 3 7 2 5 2 3" xfId="26290"/>
    <cellStyle name="常规 3 7 2 5 2 4" xfId="26292"/>
    <cellStyle name="常规 3 7 2 5 3" xfId="581"/>
    <cellStyle name="常规 3 7 2 5 3 2" xfId="592"/>
    <cellStyle name="常规 3 7 2 5 4" xfId="608"/>
    <cellStyle name="常规 3 7 2 5 5" xfId="621"/>
    <cellStyle name="常规 3 7 2 5 6" xfId="26294"/>
    <cellStyle name="常规 3 7 2 6" xfId="26298"/>
    <cellStyle name="常规 3 7 2 6 2" xfId="663"/>
    <cellStyle name="常规 3 7 2 6 2 2" xfId="26300"/>
    <cellStyle name="常规 3 7 2 6 3" xfId="26302"/>
    <cellStyle name="常规 3 7 2 6 4" xfId="26304"/>
    <cellStyle name="常规 3 7 2 7" xfId="26306"/>
    <cellStyle name="常规 3 7 2 7 2" xfId="1376"/>
    <cellStyle name="常规 3 7 2 7 2 2" xfId="26308"/>
    <cellStyle name="常规 3 7 2 7 3" xfId="26310"/>
    <cellStyle name="常规 3 7 2 7 4" xfId="26312"/>
    <cellStyle name="常规 3 7 2 8" xfId="19302"/>
    <cellStyle name="常规 3 7 2 8 2" xfId="26315"/>
    <cellStyle name="常规 3 7 2 9" xfId="26318"/>
    <cellStyle name="常规 3 7 2 9 2" xfId="7155"/>
    <cellStyle name="常规 3 7 3" xfId="25988"/>
    <cellStyle name="常规 3 7 3 10" xfId="3472"/>
    <cellStyle name="常规 3 7 3 11" xfId="3484"/>
    <cellStyle name="常规 3 7 3 2" xfId="25991"/>
    <cellStyle name="常规 3 7 3 2 10" xfId="3147"/>
    <cellStyle name="常规 3 7 3 2 2" xfId="29759"/>
    <cellStyle name="常规 3 7 3 2 2 2" xfId="11879"/>
    <cellStyle name="常规 3 7 3 2 2 2 2" xfId="29760"/>
    <cellStyle name="常规 3 7 3 2 2 2 2 2" xfId="29761"/>
    <cellStyle name="常规 3 7 3 2 2 2 2 2 2" xfId="3121"/>
    <cellStyle name="常规 3 7 3 2 2 2 2 3" xfId="5317"/>
    <cellStyle name="常规 3 7 3 2 2 2 2 4" xfId="5783"/>
    <cellStyle name="常规 3 7 3 2 2 2 3" xfId="29762"/>
    <cellStyle name="常规 3 7 3 2 2 2 3 2" xfId="29763"/>
    <cellStyle name="常规 3 7 3 2 2 2 4" xfId="18048"/>
    <cellStyle name="常规 3 7 3 2 2 2 5" xfId="25340"/>
    <cellStyle name="常规 3 7 3 2 2 3" xfId="29764"/>
    <cellStyle name="常规 3 7 3 2 2 3 2" xfId="10519"/>
    <cellStyle name="常规 3 7 3 2 2 3 2 2" xfId="10523"/>
    <cellStyle name="常规 3 7 3 2 2 3 3" xfId="10526"/>
    <cellStyle name="常规 3 7 3 2 2 3 4" xfId="10530"/>
    <cellStyle name="常规 3 7 3 2 2 4" xfId="29765"/>
    <cellStyle name="常规 3 7 3 2 2 4 2" xfId="10542"/>
    <cellStyle name="常规 3 7 3 2 2 4 2 2" xfId="19781"/>
    <cellStyle name="常规 3 7 3 2 2 4 3" xfId="10545"/>
    <cellStyle name="常规 3 7 3 2 2 4 4" xfId="12219"/>
    <cellStyle name="常规 3 7 3 2 2 5" xfId="11477"/>
    <cellStyle name="常规 3 7 3 2 2 5 2" xfId="11481"/>
    <cellStyle name="常规 3 7 3 2 2 6" xfId="3892"/>
    <cellStyle name="常规 3 7 3 2 2 7" xfId="3927"/>
    <cellStyle name="常规 3 7 3 2 2 8" xfId="3934"/>
    <cellStyle name="常规 3 7 3 2 3" xfId="29766"/>
    <cellStyle name="常规 3 7 3 2 3 2" xfId="29767"/>
    <cellStyle name="常规 3 7 3 2 3 2 2" xfId="29768"/>
    <cellStyle name="常规 3 7 3 2 3 2 2 2" xfId="29769"/>
    <cellStyle name="常规 3 7 3 2 3 2 3" xfId="29772"/>
    <cellStyle name="常规 3 7 3 2 3 2 4" xfId="18056"/>
    <cellStyle name="常规 3 7 3 2 3 3" xfId="29773"/>
    <cellStyle name="常规 3 7 3 2 3 3 2" xfId="20117"/>
    <cellStyle name="常规 3 7 3 2 3 4" xfId="29326"/>
    <cellStyle name="常规 3 7 3 2 3 5" xfId="11492"/>
    <cellStyle name="常规 3 7 3 2 3 6" xfId="3962"/>
    <cellStyle name="常规 3 7 3 2 4" xfId="29775"/>
    <cellStyle name="常规 3 7 3 2 4 2" xfId="29777"/>
    <cellStyle name="常规 3 7 3 2 4 2 2" xfId="29778"/>
    <cellStyle name="常规 3 7 3 2 4 3" xfId="29779"/>
    <cellStyle name="常规 3 7 3 2 4 4" xfId="29780"/>
    <cellStyle name="常规 3 7 3 2 5" xfId="29781"/>
    <cellStyle name="常规 3 7 3 2 5 2" xfId="29782"/>
    <cellStyle name="常规 3 7 3 2 5 2 2" xfId="2425"/>
    <cellStyle name="常规 3 7 3 2 5 3" xfId="29783"/>
    <cellStyle name="常规 3 7 3 2 5 4" xfId="29785"/>
    <cellStyle name="常规 3 7 3 2 6" xfId="29786"/>
    <cellStyle name="常规 3 7 3 2 6 2" xfId="19276"/>
    <cellStyle name="常规 3 7 3 2 7" xfId="29788"/>
    <cellStyle name="常规 3 7 3 2 7 2" xfId="19329"/>
    <cellStyle name="常规 3 7 3 2 8" xfId="29790"/>
    <cellStyle name="常规 3 7 3 2 9" xfId="29792"/>
    <cellStyle name="常规 3 7 3 3" xfId="26325"/>
    <cellStyle name="常规 3 7 3 3 2" xfId="26328"/>
    <cellStyle name="常规 3 7 3 3 2 2" xfId="26331"/>
    <cellStyle name="常规 3 7 3 3 2 2 2" xfId="24571"/>
    <cellStyle name="常规 3 7 3 3 2 2 2 2" xfId="26333"/>
    <cellStyle name="常规 3 7 3 3 2 2 3" xfId="26336"/>
    <cellStyle name="常规 3 7 3 3 2 2 4" xfId="26338"/>
    <cellStyle name="常规 3 7 3 3 2 3" xfId="26340"/>
    <cellStyle name="常规 3 7 3 3 2 3 2" xfId="26342"/>
    <cellStyle name="常规 3 7 3 3 2 4" xfId="18395"/>
    <cellStyle name="常规 3 7 3 3 2 5" xfId="11516"/>
    <cellStyle name="常规 3 7 3 3 3" xfId="21048"/>
    <cellStyle name="常规 3 7 3 3 3 2" xfId="21051"/>
    <cellStyle name="常规 3 7 3 3 3 2 2" xfId="26344"/>
    <cellStyle name="常规 3 7 3 3 3 3" xfId="26346"/>
    <cellStyle name="常规 3 7 3 3 3 4" xfId="18407"/>
    <cellStyle name="常规 3 7 3 3 4" xfId="21054"/>
    <cellStyle name="常规 3 7 3 3 4 2" xfId="26348"/>
    <cellStyle name="常规 3 7 3 3 4 2 2" xfId="29794"/>
    <cellStyle name="常规 3 7 3 3 4 3" xfId="29795"/>
    <cellStyle name="常规 3 7 3 3 4 4" xfId="18412"/>
    <cellStyle name="常规 3 7 3 3 5" xfId="21057"/>
    <cellStyle name="常规 3 7 3 3 5 2" xfId="29796"/>
    <cellStyle name="常规 3 7 3 3 6" xfId="26350"/>
    <cellStyle name="常规 3 7 3 3 7" xfId="26353"/>
    <cellStyle name="常规 3 7 3 3 8" xfId="29797"/>
    <cellStyle name="常规 3 7 3 4" xfId="26354"/>
    <cellStyle name="常规 3 7 3 4 2" xfId="755"/>
    <cellStyle name="常规 3 7 3 4 2 2" xfId="26359"/>
    <cellStyle name="常规 3 7 3 4 2 2 2" xfId="24647"/>
    <cellStyle name="常规 3 7 3 4 2 3" xfId="29798"/>
    <cellStyle name="常规 3 7 3 4 2 4" xfId="18438"/>
    <cellStyle name="常规 3 7 3 4 3" xfId="21060"/>
    <cellStyle name="常规 3 7 3 4 3 2" xfId="29799"/>
    <cellStyle name="常规 3 7 3 4 4" xfId="26361"/>
    <cellStyle name="常规 3 7 3 4 5" xfId="29800"/>
    <cellStyle name="常规 3 7 3 4 6" xfId="29801"/>
    <cellStyle name="常规 3 7 3 5" xfId="26363"/>
    <cellStyle name="常规 3 7 3 5 2" xfId="26366"/>
    <cellStyle name="常规 3 7 3 5 2 2" xfId="26368"/>
    <cellStyle name="常规 3 7 3 5 3" xfId="26370"/>
    <cellStyle name="常规 3 7 3 5 4" xfId="15905"/>
    <cellStyle name="常规 3 7 3 6" xfId="26372"/>
    <cellStyle name="常规 3 7 3 6 2" xfId="29802"/>
    <cellStyle name="常规 3 7 3 6 2 2" xfId="29803"/>
    <cellStyle name="常规 3 7 3 6 3" xfId="29804"/>
    <cellStyle name="常规 3 7 3 6 4" xfId="29805"/>
    <cellStyle name="常规 3 7 3 7" xfId="26374"/>
    <cellStyle name="常规 3 7 3 7 2" xfId="29806"/>
    <cellStyle name="常规 3 7 3 8" xfId="4285"/>
    <cellStyle name="常规 3 7 3 8 2" xfId="29807"/>
    <cellStyle name="常规 3 7 3 9" xfId="29809"/>
    <cellStyle name="常规 3 7 4" xfId="25993"/>
    <cellStyle name="常规 3 7 4 2" xfId="29811"/>
    <cellStyle name="常规 3 7 4 2 2" xfId="23866"/>
    <cellStyle name="常规 3 7 4 2 2 2" xfId="12434"/>
    <cellStyle name="常规 3 7 4 2 2 2 2" xfId="29812"/>
    <cellStyle name="常规 3 7 4 2 2 3" xfId="29813"/>
    <cellStyle name="常规 3 7 4 2 2 4" xfId="29814"/>
    <cellStyle name="常规 3 7 4 2 3" xfId="23868"/>
    <cellStyle name="常规 3 7 4 2 3 2" xfId="29815"/>
    <cellStyle name="常规 3 7 4 2 4" xfId="29816"/>
    <cellStyle name="常规 3 7 4 2 5" xfId="29817"/>
    <cellStyle name="常规 3 7 4 3" xfId="26378"/>
    <cellStyle name="常规 3 7 4 3 2" xfId="26381"/>
    <cellStyle name="常规 3 7 4 3 2 2" xfId="17241"/>
    <cellStyle name="常规 3 7 4 3 3" xfId="21067"/>
    <cellStyle name="常规 3 7 4 3 4" xfId="26390"/>
    <cellStyle name="常规 3 7 4 4" xfId="26400"/>
    <cellStyle name="常规 3 7 4 4 2" xfId="916"/>
    <cellStyle name="常规 3 7 4 4 2 2" xfId="920"/>
    <cellStyle name="常规 3 7 4 4 3" xfId="927"/>
    <cellStyle name="常规 3 7 4 4 4" xfId="934"/>
    <cellStyle name="常规 3 7 4 5" xfId="165"/>
    <cellStyle name="常规 3 7 4 5 2" xfId="250"/>
    <cellStyle name="常规 3 7 4 6" xfId="26421"/>
    <cellStyle name="常规 3 7 4 7" xfId="26427"/>
    <cellStyle name="常规 3 7 4 8" xfId="26429"/>
    <cellStyle name="常规 3 7 5" xfId="25995"/>
    <cellStyle name="常规 3 7 5 2" xfId="11715"/>
    <cellStyle name="常规 3 7 5 2 2" xfId="23934"/>
    <cellStyle name="常规 3 7 5 2 2 2" xfId="12121"/>
    <cellStyle name="常规 3 7 5 2 3" xfId="23936"/>
    <cellStyle name="常规 3 7 5 2 4" xfId="22872"/>
    <cellStyle name="常规 3 7 5 3" xfId="26436"/>
    <cellStyle name="常规 3 7 5 3 2" xfId="14026"/>
    <cellStyle name="常规 3 7 5 4" xfId="26438"/>
    <cellStyle name="常规 3 7 5 5" xfId="26442"/>
    <cellStyle name="常规 3 7 5 6" xfId="26446"/>
    <cellStyle name="常规 3 7 6" xfId="1856"/>
    <cellStyle name="常规 3 7 6 2" xfId="11722"/>
    <cellStyle name="常规 3 7 6 2 2" xfId="29819"/>
    <cellStyle name="常规 3 7 6 3" xfId="26456"/>
    <cellStyle name="常规 3 7 6 4" xfId="29820"/>
    <cellStyle name="常规 3 7 7" xfId="29821"/>
    <cellStyle name="常规 3 7 7 2" xfId="3093"/>
    <cellStyle name="常规 3 7 7 2 2" xfId="3095"/>
    <cellStyle name="常规 3 7 7 3" xfId="3097"/>
    <cellStyle name="常规 3 7 7 4" xfId="3104"/>
    <cellStyle name="常规 3 7 8" xfId="29822"/>
    <cellStyle name="常规 3 7 8 2" xfId="55"/>
    <cellStyle name="常规 3 7 9" xfId="29823"/>
    <cellStyle name="常规 3 7 9 2" xfId="29824"/>
    <cellStyle name="常规 3 8" xfId="29825"/>
    <cellStyle name="常规 3 8 10" xfId="29826"/>
    <cellStyle name="常规 3 8 11" xfId="29827"/>
    <cellStyle name="常规 3 8 12" xfId="29828"/>
    <cellStyle name="常规 3 8 2" xfId="26073"/>
    <cellStyle name="常规 3 8 2 10" xfId="1873"/>
    <cellStyle name="常规 3 8 2 11" xfId="1887"/>
    <cellStyle name="常规 3 8 2 12" xfId="29829"/>
    <cellStyle name="常规 3 8 2 2" xfId="26075"/>
    <cellStyle name="常规 3 8 2 2 10" xfId="29831"/>
    <cellStyle name="常规 3 8 2 2 2" xfId="26076"/>
    <cellStyle name="常规 3 8 2 2 2 2" xfId="29832"/>
    <cellStyle name="常规 3 8 2 2 2 2 2" xfId="9508"/>
    <cellStyle name="常规 3 8 2 2 2 2 2 2" xfId="22553"/>
    <cellStyle name="常规 3 8 2 2 2 2 2 2 2" xfId="22555"/>
    <cellStyle name="常规 3 8 2 2 2 2 2 3" xfId="22557"/>
    <cellStyle name="常规 3 8 2 2 2 2 2 4" xfId="22559"/>
    <cellStyle name="常规 3 8 2 2 2 2 3" xfId="29834"/>
    <cellStyle name="常规 3 8 2 2 2 2 3 2" xfId="18351"/>
    <cellStyle name="常规 3 8 2 2 2 2 4" xfId="29836"/>
    <cellStyle name="常规 3 8 2 2 2 2 5" xfId="29837"/>
    <cellStyle name="常规 3 8 2 2 2 3" xfId="29838"/>
    <cellStyle name="常规 3 8 2 2 2 3 2" xfId="29840"/>
    <cellStyle name="常规 3 8 2 2 2 3 2 2" xfId="4797"/>
    <cellStyle name="常规 3 8 2 2 2 3 3" xfId="29841"/>
    <cellStyle name="常规 3 8 2 2 2 3 4" xfId="29842"/>
    <cellStyle name="常规 3 8 2 2 2 4" xfId="29843"/>
    <cellStyle name="常规 3 8 2 2 2 4 2" xfId="29845"/>
    <cellStyle name="常规 3 8 2 2 2 4 2 2" xfId="4855"/>
    <cellStyle name="常规 3 8 2 2 2 4 3" xfId="29846"/>
    <cellStyle name="常规 3 8 2 2 2 4 4" xfId="29847"/>
    <cellStyle name="常规 3 8 2 2 2 5" xfId="2909"/>
    <cellStyle name="常规 3 8 2 2 2 5 2" xfId="2913"/>
    <cellStyle name="常规 3 8 2 2 2 6" xfId="2915"/>
    <cellStyle name="常规 3 8 2 2 2 7" xfId="29849"/>
    <cellStyle name="常规 3 8 2 2 2 8" xfId="29850"/>
    <cellStyle name="常规 3 8 2 2 3" xfId="29851"/>
    <cellStyle name="常规 3 8 2 2 3 2" xfId="29853"/>
    <cellStyle name="常规 3 8 2 2 3 2 2" xfId="19942"/>
    <cellStyle name="常规 3 8 2 2 3 2 2 2" xfId="22965"/>
    <cellStyle name="常规 3 8 2 2 3 2 3" xfId="19943"/>
    <cellStyle name="常规 3 8 2 2 3 2 4" xfId="21611"/>
    <cellStyle name="常规 3 8 2 2 3 3" xfId="28812"/>
    <cellStyle name="常规 3 8 2 2 3 3 2" xfId="29855"/>
    <cellStyle name="常规 3 8 2 2 3 4" xfId="29856"/>
    <cellStyle name="常规 3 8 2 2 3 5" xfId="2923"/>
    <cellStyle name="常规 3 8 2 2 3 6" xfId="29857"/>
    <cellStyle name="常规 3 8 2 2 4" xfId="29858"/>
    <cellStyle name="常规 3 8 2 2 4 2" xfId="29860"/>
    <cellStyle name="常规 3 8 2 2 4 2 2" xfId="29862"/>
    <cellStyle name="常规 3 8 2 2 4 3" xfId="29863"/>
    <cellStyle name="常规 3 8 2 2 4 4" xfId="29864"/>
    <cellStyle name="常规 3 8 2 2 5" xfId="29865"/>
    <cellStyle name="常规 3 8 2 2 5 2" xfId="23880"/>
    <cellStyle name="常规 3 8 2 2 5 2 2" xfId="29868"/>
    <cellStyle name="常规 3 8 2 2 5 3" xfId="29869"/>
    <cellStyle name="常规 3 8 2 2 5 4" xfId="29870"/>
    <cellStyle name="常规 3 8 2 2 6" xfId="29871"/>
    <cellStyle name="常规 3 8 2 2 6 2" xfId="29873"/>
    <cellStyle name="常规 3 8 2 2 7" xfId="29874"/>
    <cellStyle name="常规 3 8 2 2 7 2" xfId="29875"/>
    <cellStyle name="常规 3 8 2 2 8" xfId="12835"/>
    <cellStyle name="常规 3 8 2 2 9" xfId="12837"/>
    <cellStyle name="常规 3 8 2 3" xfId="26080"/>
    <cellStyle name="常规 3 8 2 3 10" xfId="29877"/>
    <cellStyle name="常规 3 8 2 3 11" xfId="29881"/>
    <cellStyle name="常规 3 8 2 3 2" xfId="29882"/>
    <cellStyle name="常规 3 8 2 3 2 10" xfId="8102"/>
    <cellStyle name="常规 3 8 2 3 2 2" xfId="13413"/>
    <cellStyle name="常规 3 8 2 3 2 2 2" xfId="29884"/>
    <cellStyle name="常规 3 8 2 3 2 2 2 2" xfId="29885"/>
    <cellStyle name="常规 3 8 2 3 2 2 2 2 2" xfId="28176"/>
    <cellStyle name="常规 3 8 2 3 2 2 2 2 2 2" xfId="29886"/>
    <cellStyle name="常规 3 8 2 3 2 2 2 2 3" xfId="23124"/>
    <cellStyle name="常规 3 8 2 3 2 2 2 2 4" xfId="23128"/>
    <cellStyle name="常规 3 8 2 3 2 2 2 3" xfId="29887"/>
    <cellStyle name="常规 3 8 2 3 2 2 2 3 2" xfId="29888"/>
    <cellStyle name="常规 3 8 2 3 2 2 2 4" xfId="25373"/>
    <cellStyle name="常规 3 8 2 3 2 2 2 5" xfId="5421"/>
    <cellStyle name="常规 3 8 2 3 2 2 3" xfId="29889"/>
    <cellStyle name="常规 3 8 2 3 2 2 3 2" xfId="20397"/>
    <cellStyle name="常规 3 8 2 3 2 2 3 2 2" xfId="24935"/>
    <cellStyle name="常规 3 8 2 3 2 2 3 3" xfId="20399"/>
    <cellStyle name="常规 3 8 2 3 2 2 3 4" xfId="29890"/>
    <cellStyle name="常规 3 8 2 3 2 2 4" xfId="29891"/>
    <cellStyle name="常规 3 8 2 3 2 2 4 2" xfId="17806"/>
    <cellStyle name="常规 3 8 2 3 2 2 4 2 2" xfId="17809"/>
    <cellStyle name="常规 3 8 2 3 2 2 4 3" xfId="17820"/>
    <cellStyle name="常规 3 8 2 3 2 2 4 4" xfId="17833"/>
    <cellStyle name="常规 3 8 2 3 2 2 5" xfId="29892"/>
    <cellStyle name="常规 3 8 2 3 2 2 5 2" xfId="17851"/>
    <cellStyle name="常规 3 8 2 3 2 2 6" xfId="29894"/>
    <cellStyle name="常规 3 8 2 3 2 2 7" xfId="29895"/>
    <cellStyle name="常规 3 8 2 3 2 2 8" xfId="29896"/>
    <cellStyle name="常规 3 8 2 3 2 3" xfId="29897"/>
    <cellStyle name="常规 3 8 2 3 2 3 2" xfId="29898"/>
    <cellStyle name="常规 3 8 2 3 2 3 2 2" xfId="29899"/>
    <cellStyle name="常规 3 8 2 3 2 3 2 2 2" xfId="14845"/>
    <cellStyle name="常规 3 8 2 3 2 3 2 3" xfId="29069"/>
    <cellStyle name="常规 3 8 2 3 2 3 2 4" xfId="20129"/>
    <cellStyle name="常规 3 8 2 3 2 3 3" xfId="29900"/>
    <cellStyle name="常规 3 8 2 3 2 3 3 2" xfId="29901"/>
    <cellStyle name="常规 3 8 2 3 2 3 4" xfId="29902"/>
    <cellStyle name="常规 3 8 2 3 2 3 5" xfId="29903"/>
    <cellStyle name="常规 3 8 2 3 2 3 6" xfId="167"/>
    <cellStyle name="常规 3 8 2 3 2 4" xfId="18553"/>
    <cellStyle name="常规 3 8 2 3 2 4 2" xfId="18555"/>
    <cellStyle name="常规 3 8 2 3 2 4 2 2" xfId="29905"/>
    <cellStyle name="常规 3 8 2 3 2 4 3" xfId="29906"/>
    <cellStyle name="常规 3 8 2 3 2 4 4" xfId="29907"/>
    <cellStyle name="常规 3 8 2 3 2 5" xfId="2932"/>
    <cellStyle name="常规 3 8 2 3 2 5 2" xfId="29908"/>
    <cellStyle name="常规 3 8 2 3 2 5 2 2" xfId="29909"/>
    <cellStyle name="常规 3 8 2 3 2 5 3" xfId="29910"/>
    <cellStyle name="常规 3 8 2 3 2 5 4" xfId="29911"/>
    <cellStyle name="常规 3 8 2 3 2 6" xfId="18558"/>
    <cellStyle name="常规 3 8 2 3 2 6 2" xfId="29912"/>
    <cellStyle name="常规 3 8 2 3 2 7" xfId="29913"/>
    <cellStyle name="常规 3 8 2 3 2 7 2" xfId="29914"/>
    <cellStyle name="常规 3 8 2 3 2 8" xfId="13612"/>
    <cellStyle name="常规 3 8 2 3 2 9" xfId="29915"/>
    <cellStyle name="常规 3 8 2 3 3" xfId="29916"/>
    <cellStyle name="常规 3 8 2 3 3 2" xfId="29918"/>
    <cellStyle name="常规 3 8 2 3 3 2 2" xfId="29919"/>
    <cellStyle name="常规 3 8 2 3 3 2 2 2" xfId="29920"/>
    <cellStyle name="常规 3 8 2 3 3 2 2 2 2" xfId="28405"/>
    <cellStyle name="常规 3 8 2 3 3 2 2 3" xfId="29921"/>
    <cellStyle name="常规 3 8 2 3 3 2 2 4" xfId="29922"/>
    <cellStyle name="常规 3 8 2 3 3 2 3" xfId="29923"/>
    <cellStyle name="常规 3 8 2 3 3 2 3 2" xfId="12866"/>
    <cellStyle name="常规 3 8 2 3 3 2 4" xfId="29925"/>
    <cellStyle name="常规 3 8 2 3 3 2 5" xfId="29926"/>
    <cellStyle name="常规 3 8 2 3 3 3" xfId="29927"/>
    <cellStyle name="常规 3 8 2 3 3 3 2" xfId="29928"/>
    <cellStyle name="常规 3 8 2 3 3 3 2 2" xfId="29929"/>
    <cellStyle name="常规 3 8 2 3 3 3 3" xfId="29930"/>
    <cellStyle name="常规 3 8 2 3 3 3 4" xfId="29931"/>
    <cellStyle name="常规 3 8 2 3 3 4" xfId="18561"/>
    <cellStyle name="常规 3 8 2 3 3 4 2" xfId="18563"/>
    <cellStyle name="常规 3 8 2 3 3 4 2 2" xfId="29932"/>
    <cellStyle name="常规 3 8 2 3 3 4 3" xfId="29934"/>
    <cellStyle name="常规 3 8 2 3 3 4 4" xfId="29935"/>
    <cellStyle name="常规 3 8 2 3 3 5" xfId="18565"/>
    <cellStyle name="常规 3 8 2 3 3 5 2" xfId="29936"/>
    <cellStyle name="常规 3 8 2 3 3 6" xfId="18567"/>
    <cellStyle name="常规 3 8 2 3 3 7" xfId="29937"/>
    <cellStyle name="常规 3 8 2 3 3 8" xfId="29940"/>
    <cellStyle name="常规 3 8 2 3 4" xfId="29941"/>
    <cellStyle name="常规 3 8 2 3 4 2" xfId="29943"/>
    <cellStyle name="常规 3 8 2 3 4 2 2" xfId="29944"/>
    <cellStyle name="常规 3 8 2 3 4 2 2 2" xfId="29945"/>
    <cellStyle name="常规 3 8 2 3 4 2 3" xfId="29946"/>
    <cellStyle name="常规 3 8 2 3 4 2 4" xfId="29947"/>
    <cellStyle name="常规 3 8 2 3 4 3" xfId="29948"/>
    <cellStyle name="常规 3 8 2 3 4 3 2" xfId="29949"/>
    <cellStyle name="常规 3 8 2 3 4 4" xfId="18571"/>
    <cellStyle name="常规 3 8 2 3 4 5" xfId="6436"/>
    <cellStyle name="常规 3 8 2 3 4 6" xfId="29950"/>
    <cellStyle name="常规 3 8 2 3 5" xfId="29951"/>
    <cellStyle name="常规 3 8 2 3 5 2" xfId="25402"/>
    <cellStyle name="常规 3 8 2 3 5 2 2" xfId="29953"/>
    <cellStyle name="常规 3 8 2 3 5 3" xfId="25404"/>
    <cellStyle name="常规 3 8 2 3 5 4" xfId="29954"/>
    <cellStyle name="常规 3 8 2 3 6" xfId="29955"/>
    <cellStyle name="常规 3 8 2 3 6 2" xfId="29956"/>
    <cellStyle name="常规 3 8 2 3 6 2 2" xfId="29957"/>
    <cellStyle name="常规 3 8 2 3 6 3" xfId="29959"/>
    <cellStyle name="常规 3 8 2 3 6 4" xfId="29960"/>
    <cellStyle name="常规 3 8 2 3 7" xfId="29961"/>
    <cellStyle name="常规 3 8 2 3 7 2" xfId="29962"/>
    <cellStyle name="常规 3 8 2 3 8" xfId="182"/>
    <cellStyle name="常规 3 8 2 3 8 2" xfId="12839"/>
    <cellStyle name="常规 3 8 2 3 9" xfId="12841"/>
    <cellStyle name="常规 3 8 2 4" xfId="26082"/>
    <cellStyle name="常规 3 8 2 4 2" xfId="1190"/>
    <cellStyle name="常规 3 8 2 4 2 2" xfId="29963"/>
    <cellStyle name="常规 3 8 2 4 2 2 2" xfId="29964"/>
    <cellStyle name="常规 3 8 2 4 2 2 2 2" xfId="29965"/>
    <cellStyle name="常规 3 8 2 4 2 2 3" xfId="29966"/>
    <cellStyle name="常规 3 8 2 4 2 2 4" xfId="29967"/>
    <cellStyle name="常规 3 8 2 4 2 3" xfId="29968"/>
    <cellStyle name="常规 3 8 2 4 2 3 2" xfId="25443"/>
    <cellStyle name="常规 3 8 2 4 2 4" xfId="18580"/>
    <cellStyle name="常规 3 8 2 4 2 5" xfId="2938"/>
    <cellStyle name="常规 3 8 2 4 3" xfId="29969"/>
    <cellStyle name="常规 3 8 2 4 3 2" xfId="29972"/>
    <cellStyle name="常规 3 8 2 4 3 2 2" xfId="29974"/>
    <cellStyle name="常规 3 8 2 4 3 3" xfId="29975"/>
    <cellStyle name="常规 3 8 2 4 3 4" xfId="29976"/>
    <cellStyle name="常规 3 8 2 4 4" xfId="29977"/>
    <cellStyle name="常规 3 8 2 4 4 2" xfId="29979"/>
    <cellStyle name="常规 3 8 2 4 4 2 2" xfId="25998"/>
    <cellStyle name="常规 3 8 2 4 4 3" xfId="29980"/>
    <cellStyle name="常规 3 8 2 4 4 4" xfId="29981"/>
    <cellStyle name="常规 3 8 2 4 5" xfId="29982"/>
    <cellStyle name="常规 3 8 2 4 5 2" xfId="29984"/>
    <cellStyle name="常规 3 8 2 4 6" xfId="29586"/>
    <cellStyle name="常规 3 8 2 4 7" xfId="29985"/>
    <cellStyle name="常规 3 8 2 4 8" xfId="12843"/>
    <cellStyle name="常规 3 8 2 5" xfId="26001"/>
    <cellStyle name="常规 3 8 2 5 2" xfId="29987"/>
    <cellStyle name="常规 3 8 2 5 2 2" xfId="29988"/>
    <cellStyle name="常规 3 8 2 5 2 2 2" xfId="29461"/>
    <cellStyle name="常规 3 8 2 5 2 3" xfId="29989"/>
    <cellStyle name="常规 3 8 2 5 2 4" xfId="29990"/>
    <cellStyle name="常规 3 8 2 5 3" xfId="29991"/>
    <cellStyle name="常规 3 8 2 5 3 2" xfId="29993"/>
    <cellStyle name="常规 3 8 2 5 4" xfId="29994"/>
    <cellStyle name="常规 3 8 2 5 5" xfId="29995"/>
    <cellStyle name="常规 3 8 2 5 6" xfId="29996"/>
    <cellStyle name="常规 3 8 2 6" xfId="29997"/>
    <cellStyle name="常规 3 8 2 6 2" xfId="29998"/>
    <cellStyle name="常规 3 8 2 6 2 2" xfId="29999"/>
    <cellStyle name="常规 3 8 2 6 3" xfId="30000"/>
    <cellStyle name="常规 3 8 2 6 4" xfId="30001"/>
    <cellStyle name="常规 3 8 2 7" xfId="30002"/>
    <cellStyle name="常规 3 8 2 7 2" xfId="30003"/>
    <cellStyle name="常规 3 8 2 7 2 2" xfId="30004"/>
    <cellStyle name="常规 3 8 2 7 3" xfId="30005"/>
    <cellStyle name="常规 3 8 2 7 4" xfId="30006"/>
    <cellStyle name="常规 3 8 2 8" xfId="30007"/>
    <cellStyle name="常规 3 8 2 8 2" xfId="30009"/>
    <cellStyle name="常规 3 8 2 9" xfId="30011"/>
    <cellStyle name="常规 3 8 2 9 2" xfId="6840"/>
    <cellStyle name="常规 3 8 3" xfId="26084"/>
    <cellStyle name="常规 3 8 3 10" xfId="30013"/>
    <cellStyle name="常规 3 8 3 11" xfId="30015"/>
    <cellStyle name="常规 3 8 3 2" xfId="26087"/>
    <cellStyle name="常规 3 8 3 2 10" xfId="30017"/>
    <cellStyle name="常规 3 8 3 2 2" xfId="30018"/>
    <cellStyle name="常规 3 8 3 2 2 2" xfId="26877"/>
    <cellStyle name="常规 3 8 3 2 2 2 2" xfId="30021"/>
    <cellStyle name="常规 3 8 3 2 2 2 2 2" xfId="28059"/>
    <cellStyle name="常规 3 8 3 2 2 2 2 2 2" xfId="28061"/>
    <cellStyle name="常规 3 8 3 2 2 2 2 3" xfId="28063"/>
    <cellStyle name="常规 3 8 3 2 2 2 2 4" xfId="28065"/>
    <cellStyle name="常规 3 8 3 2 2 2 3" xfId="30022"/>
    <cellStyle name="常规 3 8 3 2 2 2 3 2" xfId="24798"/>
    <cellStyle name="常规 3 8 3 2 2 2 4" xfId="16802"/>
    <cellStyle name="常规 3 8 3 2 2 2 5" xfId="25708"/>
    <cellStyle name="常规 3 8 3 2 2 3" xfId="30023"/>
    <cellStyle name="常规 3 8 3 2 2 3 2" xfId="30024"/>
    <cellStyle name="常规 3 8 3 2 2 3 2 2" xfId="5375"/>
    <cellStyle name="常规 3 8 3 2 2 3 3" xfId="30025"/>
    <cellStyle name="常规 3 8 3 2 2 3 4" xfId="16807"/>
    <cellStyle name="常规 3 8 3 2 2 4" xfId="30026"/>
    <cellStyle name="常规 3 8 3 2 2 4 2" xfId="30027"/>
    <cellStyle name="常规 3 8 3 2 2 4 2 2" xfId="4995"/>
    <cellStyle name="常规 3 8 3 2 2 4 3" xfId="1765"/>
    <cellStyle name="常规 3 8 3 2 2 4 4" xfId="25711"/>
    <cellStyle name="常规 3 8 3 2 2 5" xfId="2986"/>
    <cellStyle name="常规 3 8 3 2 2 5 2" xfId="30028"/>
    <cellStyle name="常规 3 8 3 2 2 6" xfId="30029"/>
    <cellStyle name="常规 3 8 3 2 2 7" xfId="30030"/>
    <cellStyle name="常规 3 8 3 2 2 8" xfId="30031"/>
    <cellStyle name="常规 3 8 3 2 3" xfId="30032"/>
    <cellStyle name="常规 3 8 3 2 3 2" xfId="30034"/>
    <cellStyle name="常规 3 8 3 2 3 2 2" xfId="30035"/>
    <cellStyle name="常规 3 8 3 2 3 2 2 2" xfId="14878"/>
    <cellStyle name="常规 3 8 3 2 3 2 3" xfId="10585"/>
    <cellStyle name="常规 3 8 3 2 3 2 4" xfId="10622"/>
    <cellStyle name="常规 3 8 3 2 3 3" xfId="30036"/>
    <cellStyle name="常规 3 8 3 2 3 3 2" xfId="30037"/>
    <cellStyle name="常规 3 8 3 2 3 4" xfId="30038"/>
    <cellStyle name="常规 3 8 3 2 3 5" xfId="30040"/>
    <cellStyle name="常规 3 8 3 2 3 6" xfId="30042"/>
    <cellStyle name="常规 3 8 3 2 4" xfId="30043"/>
    <cellStyle name="常规 3 8 3 2 4 2" xfId="30045"/>
    <cellStyle name="常规 3 8 3 2 4 2 2" xfId="30046"/>
    <cellStyle name="常规 3 8 3 2 4 3" xfId="30047"/>
    <cellStyle name="常规 3 8 3 2 4 4" xfId="30049"/>
    <cellStyle name="常规 3 8 3 2 5" xfId="30050"/>
    <cellStyle name="常规 3 8 3 2 5 2" xfId="30051"/>
    <cellStyle name="常规 3 8 3 2 5 2 2" xfId="30053"/>
    <cellStyle name="常规 3 8 3 2 5 3" xfId="30054"/>
    <cellStyle name="常规 3 8 3 2 5 4" xfId="30055"/>
    <cellStyle name="常规 3 8 3 2 6" xfId="30056"/>
    <cellStyle name="常规 3 8 3 2 6 2" xfId="19536"/>
    <cellStyle name="常规 3 8 3 2 7" xfId="30057"/>
    <cellStyle name="常规 3 8 3 2 7 2" xfId="19585"/>
    <cellStyle name="常规 3 8 3 2 8" xfId="12922"/>
    <cellStyle name="常规 3 8 3 2 9" xfId="12926"/>
    <cellStyle name="常规 3 8 3 3" xfId="27586"/>
    <cellStyle name="常规 3 8 3 3 2" xfId="27591"/>
    <cellStyle name="常规 3 8 3 3 2 2" xfId="30058"/>
    <cellStyle name="常规 3 8 3 3 2 2 2" xfId="24940"/>
    <cellStyle name="常规 3 8 3 3 2 2 2 2" xfId="30059"/>
    <cellStyle name="常规 3 8 3 3 2 2 3" xfId="30060"/>
    <cellStyle name="常规 3 8 3 3 2 2 4" xfId="30061"/>
    <cellStyle name="常规 3 8 3 3 2 3" xfId="30062"/>
    <cellStyle name="常规 3 8 3 3 2 3 2" xfId="30064"/>
    <cellStyle name="常规 3 8 3 3 2 4" xfId="18607"/>
    <cellStyle name="常规 3 8 3 3 2 5" xfId="30065"/>
    <cellStyle name="常规 3 8 3 3 3" xfId="21082"/>
    <cellStyle name="常规 3 8 3 3 3 2" xfId="30066"/>
    <cellStyle name="常规 3 8 3 3 3 2 2" xfId="30067"/>
    <cellStyle name="常规 3 8 3 3 3 3" xfId="30068"/>
    <cellStyle name="常规 3 8 3 3 3 4" xfId="30069"/>
    <cellStyle name="常规 3 8 3 3 4" xfId="30070"/>
    <cellStyle name="常规 3 8 3 3 4 2" xfId="30071"/>
    <cellStyle name="常规 3 8 3 3 4 2 2" xfId="30072"/>
    <cellStyle name="常规 3 8 3 3 4 3" xfId="30073"/>
    <cellStyle name="常规 3 8 3 3 4 4" xfId="30074"/>
    <cellStyle name="常规 3 8 3 3 5" xfId="30075"/>
    <cellStyle name="常规 3 8 3 3 5 2" xfId="24629"/>
    <cellStyle name="常规 3 8 3 3 6" xfId="30076"/>
    <cellStyle name="常规 3 8 3 3 7" xfId="30077"/>
    <cellStyle name="常规 3 8 3 3 8" xfId="1425"/>
    <cellStyle name="常规 3 8 3 4" xfId="27594"/>
    <cellStyle name="常规 3 8 3 4 2" xfId="1286"/>
    <cellStyle name="常规 3 8 3 4 2 2" xfId="1288"/>
    <cellStyle name="常规 3 8 3 4 2 2 2" xfId="25030"/>
    <cellStyle name="常规 3 8 3 4 2 3" xfId="30078"/>
    <cellStyle name="常规 3 8 3 4 2 4" xfId="30079"/>
    <cellStyle name="常规 3 8 3 4 3" xfId="1291"/>
    <cellStyle name="常规 3 8 3 4 3 2" xfId="30080"/>
    <cellStyle name="常规 3 8 3 4 4" xfId="861"/>
    <cellStyle name="常规 3 8 3 4 5" xfId="30081"/>
    <cellStyle name="常规 3 8 3 4 6" xfId="29589"/>
    <cellStyle name="常规 3 8 3 5" xfId="27598"/>
    <cellStyle name="常规 3 8 3 5 2" xfId="211"/>
    <cellStyle name="常规 3 8 3 5 2 2" xfId="30082"/>
    <cellStyle name="常规 3 8 3 5 3" xfId="30083"/>
    <cellStyle name="常规 3 8 3 5 4" xfId="30084"/>
    <cellStyle name="常规 3 8 3 6" xfId="30085"/>
    <cellStyle name="常规 3 8 3 6 2" xfId="30086"/>
    <cellStyle name="常规 3 8 3 6 2 2" xfId="30087"/>
    <cellStyle name="常规 3 8 3 6 3" xfId="30088"/>
    <cellStyle name="常规 3 8 3 6 4" xfId="18285"/>
    <cellStyle name="常规 3 8 3 7" xfId="30089"/>
    <cellStyle name="常规 3 8 3 7 2" xfId="30090"/>
    <cellStyle name="常规 3 8 3 8" xfId="3748"/>
    <cellStyle name="常规 3 8 3 8 2" xfId="30091"/>
    <cellStyle name="常规 3 8 3 9" xfId="30093"/>
    <cellStyle name="常规 3 8 4" xfId="24777"/>
    <cellStyle name="常规 3 8 4 2" xfId="26090"/>
    <cellStyle name="常规 3 8 4 2 2" xfId="24015"/>
    <cellStyle name="常规 3 8 4 2 2 2" xfId="18538"/>
    <cellStyle name="常规 3 8 4 2 2 2 2" xfId="14851"/>
    <cellStyle name="常规 3 8 4 2 2 3" xfId="18654"/>
    <cellStyle name="常规 3 8 4 2 2 4" xfId="18679"/>
    <cellStyle name="常规 3 8 4 2 3" xfId="24018"/>
    <cellStyle name="常规 3 8 4 2 3 2" xfId="18972"/>
    <cellStyle name="常规 3 8 4 2 4" xfId="30095"/>
    <cellStyle name="常规 3 8 4 2 5" xfId="30096"/>
    <cellStyle name="常规 3 8 4 3" xfId="27601"/>
    <cellStyle name="常规 3 8 4 3 2" xfId="30097"/>
    <cellStyle name="常规 3 8 4 3 2 2" xfId="17511"/>
    <cellStyle name="常规 3 8 4 3 3" xfId="30098"/>
    <cellStyle name="常规 3 8 4 3 4" xfId="30099"/>
    <cellStyle name="常规 3 8 4 4" xfId="30100"/>
    <cellStyle name="常规 3 8 4 4 2" xfId="30102"/>
    <cellStyle name="常规 3 8 4 4 2 2" xfId="21476"/>
    <cellStyle name="常规 3 8 4 4 3" xfId="30103"/>
    <cellStyle name="常规 3 8 4 4 4" xfId="30105"/>
    <cellStyle name="常规 3 8 4 5" xfId="30106"/>
    <cellStyle name="常规 3 8 4 5 2" xfId="30107"/>
    <cellStyle name="常规 3 8 4 6" xfId="30108"/>
    <cellStyle name="常规 3 8 4 7" xfId="30109"/>
    <cellStyle name="常规 3 8 4 8" xfId="30110"/>
    <cellStyle name="常规 3 8 5" xfId="26093"/>
    <cellStyle name="常规 3 8 5 2" xfId="30112"/>
    <cellStyle name="常规 3 8 5 2 2" xfId="30114"/>
    <cellStyle name="常规 3 8 5 2 2 2" xfId="23536"/>
    <cellStyle name="常规 3 8 5 2 3" xfId="30116"/>
    <cellStyle name="常规 3 8 5 2 4" xfId="23248"/>
    <cellStyle name="常规 3 8 5 3" xfId="30117"/>
    <cellStyle name="常规 3 8 5 3 2" xfId="27048"/>
    <cellStyle name="常规 3 8 5 4" xfId="30119"/>
    <cellStyle name="常规 3 8 5 5" xfId="30121"/>
    <cellStyle name="常规 3 8 5 6" xfId="30122"/>
    <cellStyle name="常规 3 8 6" xfId="30123"/>
    <cellStyle name="常规 3 8 6 2" xfId="30125"/>
    <cellStyle name="常规 3 8 6 2 2" xfId="30127"/>
    <cellStyle name="常规 3 8 6 3" xfId="30128"/>
    <cellStyle name="常规 3 8 6 4" xfId="30129"/>
    <cellStyle name="常规 3 8 7" xfId="30131"/>
    <cellStyle name="常规 3 8 7 2" xfId="337"/>
    <cellStyle name="常规 3 8 7 2 2" xfId="3194"/>
    <cellStyle name="常规 3 8 7 3" xfId="1094"/>
    <cellStyle name="常规 3 8 7 4" xfId="3203"/>
    <cellStyle name="常规 3 8 8" xfId="30133"/>
    <cellStyle name="常规 3 8 8 2" xfId="348"/>
    <cellStyle name="常规 3 8 9" xfId="11869"/>
    <cellStyle name="常规 3 8 9 2" xfId="11004"/>
    <cellStyle name="常规 3 9" xfId="30135"/>
    <cellStyle name="常规 3 9 10" xfId="30136"/>
    <cellStyle name="常规 3 9 11" xfId="24499"/>
    <cellStyle name="常规 3 9 12" xfId="30138"/>
    <cellStyle name="常规 3 9 2" xfId="26115"/>
    <cellStyle name="常规 3 9 2 10" xfId="30140"/>
    <cellStyle name="常规 3 9 2 11" xfId="30141"/>
    <cellStyle name="常规 3 9 2 12" xfId="30142"/>
    <cellStyle name="常规 3 9 2 2" xfId="30143"/>
    <cellStyle name="常规 3 9 2 2 10" xfId="30144"/>
    <cellStyle name="常规 3 9 2 2 2" xfId="30145"/>
    <cellStyle name="常规 3 9 2 2 2 2" xfId="18661"/>
    <cellStyle name="常规 3 9 2 2 2 2 2" xfId="9649"/>
    <cellStyle name="常规 3 9 2 2 2 2 2 2" xfId="30147"/>
    <cellStyle name="常规 3 9 2 2 2 2 2 2 2" xfId="12196"/>
    <cellStyle name="常规 3 9 2 2 2 2 2 3" xfId="30148"/>
    <cellStyle name="常规 3 9 2 2 2 2 2 4" xfId="30149"/>
    <cellStyle name="常规 3 9 2 2 2 2 3" xfId="30150"/>
    <cellStyle name="常规 3 9 2 2 2 2 3 2" xfId="30151"/>
    <cellStyle name="常规 3 9 2 2 2 2 4" xfId="11190"/>
    <cellStyle name="常规 3 9 2 2 2 2 5" xfId="29480"/>
    <cellStyle name="常规 3 9 2 2 2 3" xfId="18664"/>
    <cellStyle name="常规 3 9 2 2 2 3 2" xfId="30153"/>
    <cellStyle name="常规 3 9 2 2 2 3 2 2" xfId="17728"/>
    <cellStyle name="常规 3 9 2 2 2 3 3" xfId="30154"/>
    <cellStyle name="常规 3 9 2 2 2 3 4" xfId="11194"/>
    <cellStyle name="常规 3 9 2 2 2 4" xfId="30155"/>
    <cellStyle name="常规 3 9 2 2 2 4 2" xfId="30157"/>
    <cellStyle name="常规 3 9 2 2 2 4 2 2" xfId="18241"/>
    <cellStyle name="常规 3 9 2 2 2 4 3" xfId="30158"/>
    <cellStyle name="常规 3 9 2 2 2 4 4" xfId="30159"/>
    <cellStyle name="常规 3 9 2 2 2 5" xfId="30160"/>
    <cellStyle name="常规 3 9 2 2 2 5 2" xfId="30161"/>
    <cellStyle name="常规 3 9 2 2 2 6" xfId="25631"/>
    <cellStyle name="常规 3 9 2 2 2 7" xfId="30162"/>
    <cellStyle name="常规 3 9 2 2 2 8" xfId="30163"/>
    <cellStyle name="常规 3 9 2 2 3" xfId="30164"/>
    <cellStyle name="常规 3 9 2 2 3 2" xfId="18670"/>
    <cellStyle name="常规 3 9 2 2 3 2 2" xfId="20424"/>
    <cellStyle name="常规 3 9 2 2 3 2 2 2" xfId="14320"/>
    <cellStyle name="常规 3 9 2 2 3 2 3" xfId="20426"/>
    <cellStyle name="常规 3 9 2 2 3 2 4" xfId="30166"/>
    <cellStyle name="常规 3 9 2 2 3 3" xfId="15324"/>
    <cellStyle name="常规 3 9 2 2 3 3 2" xfId="15326"/>
    <cellStyle name="常规 3 9 2 2 3 4" xfId="11028"/>
    <cellStyle name="常规 3 9 2 2 3 5" xfId="15328"/>
    <cellStyle name="常规 3 9 2 2 3 6" xfId="30167"/>
    <cellStyle name="常规 3 9 2 2 4" xfId="30168"/>
    <cellStyle name="常规 3 9 2 2 4 2" xfId="30170"/>
    <cellStyle name="常规 3 9 2 2 4 2 2" xfId="30172"/>
    <cellStyle name="常规 3 9 2 2 4 3" xfId="15331"/>
    <cellStyle name="常规 3 9 2 2 4 4" xfId="30173"/>
    <cellStyle name="常规 3 9 2 2 5" xfId="30174"/>
    <cellStyle name="常规 3 9 2 2 5 2" xfId="30176"/>
    <cellStyle name="常规 3 9 2 2 5 2 2" xfId="30177"/>
    <cellStyle name="常规 3 9 2 2 5 3" xfId="30178"/>
    <cellStyle name="常规 3 9 2 2 5 4" xfId="30179"/>
    <cellStyle name="常规 3 9 2 2 6" xfId="30180"/>
    <cellStyle name="常规 3 9 2 2 6 2" xfId="30182"/>
    <cellStyle name="常规 3 9 2 2 7" xfId="7143"/>
    <cellStyle name="常规 3 9 2 2 7 2" xfId="7145"/>
    <cellStyle name="常规 3 9 2 2 8" xfId="6166"/>
    <cellStyle name="常规 3 9 2 2 9" xfId="4623"/>
    <cellStyle name="常规 3 9 2 3" xfId="30183"/>
    <cellStyle name="常规 3 9 2 3 10" xfId="30185"/>
    <cellStyle name="常规 3 9 2 3 11" xfId="30187"/>
    <cellStyle name="常规 3 9 2 3 2" xfId="30189"/>
    <cellStyle name="常规 3 9 2 3 2 10" xfId="30191"/>
    <cellStyle name="常规 3 9 2 3 2 2" xfId="30193"/>
    <cellStyle name="常规 3 9 2 3 2 2 2" xfId="25154"/>
    <cellStyle name="常规 3 9 2 3 2 2 2 2" xfId="15116"/>
    <cellStyle name="常规 3 9 2 3 2 2 2 2 2" xfId="15119"/>
    <cellStyle name="常规 3 9 2 3 2 2 2 2 2 2" xfId="15122"/>
    <cellStyle name="常规 3 9 2 3 2 2 2 2 3" xfId="15134"/>
    <cellStyle name="常规 3 9 2 3 2 2 2 2 4" xfId="15140"/>
    <cellStyle name="常规 3 9 2 3 2 2 2 3" xfId="15152"/>
    <cellStyle name="常规 3 9 2 3 2 2 2 3 2" xfId="15156"/>
    <cellStyle name="常规 3 9 2 3 2 2 2 4" xfId="10629"/>
    <cellStyle name="常规 3 9 2 3 2 2 2 5" xfId="10664"/>
    <cellStyle name="常规 3 9 2 3 2 2 3" xfId="25156"/>
    <cellStyle name="常规 3 9 2 3 2 2 3 2" xfId="15202"/>
    <cellStyle name="常规 3 9 2 3 2 2 3 2 2" xfId="9277"/>
    <cellStyle name="常规 3 9 2 3 2 2 3 3" xfId="15208"/>
    <cellStyle name="常规 3 9 2 3 2 2 3 4" xfId="10704"/>
    <cellStyle name="常规 3 9 2 3 2 2 4" xfId="25159"/>
    <cellStyle name="常规 3 9 2 3 2 2 4 2" xfId="15241"/>
    <cellStyle name="常规 3 9 2 3 2 2 4 2 2" xfId="10839"/>
    <cellStyle name="常规 3 9 2 3 2 2 4 3" xfId="15250"/>
    <cellStyle name="常规 3 9 2 3 2 2 4 4" xfId="10725"/>
    <cellStyle name="常规 3 9 2 3 2 2 5" xfId="25162"/>
    <cellStyle name="常规 3 9 2 3 2 2 5 2" xfId="15268"/>
    <cellStyle name="常规 3 9 2 3 2 2 6" xfId="25165"/>
    <cellStyle name="常规 3 9 2 3 2 2 7" xfId="25167"/>
    <cellStyle name="常规 3 9 2 3 2 2 8" xfId="7818"/>
    <cellStyle name="常规 3 9 2 3 2 3" xfId="30195"/>
    <cellStyle name="常规 3 9 2 3 2 3 2" xfId="25173"/>
    <cellStyle name="常规 3 9 2 3 2 3 2 2" xfId="15813"/>
    <cellStyle name="常规 3 9 2 3 2 3 2 2 2" xfId="15817"/>
    <cellStyle name="常规 3 9 2 3 2 3 2 3" xfId="15839"/>
    <cellStyle name="常规 3 9 2 3 2 3 2 4" xfId="10782"/>
    <cellStyle name="常规 3 9 2 3 2 3 3" xfId="25175"/>
    <cellStyle name="常规 3 9 2 3 2 3 3 2" xfId="15888"/>
    <cellStyle name="常规 3 9 2 3 2 3 4" xfId="25178"/>
    <cellStyle name="常规 3 9 2 3 2 3 5" xfId="25180"/>
    <cellStyle name="常规 3 9 2 3 2 3 6" xfId="25182"/>
    <cellStyle name="常规 3 9 2 3 2 4" xfId="30196"/>
    <cellStyle name="常规 3 9 2 3 2 4 2" xfId="25190"/>
    <cellStyle name="常规 3 9 2 3 2 4 2 2" xfId="16220"/>
    <cellStyle name="常规 3 9 2 3 2 4 3" xfId="25194"/>
    <cellStyle name="常规 3 9 2 3 2 4 4" xfId="25196"/>
    <cellStyle name="常规 3 9 2 3 2 5" xfId="30197"/>
    <cellStyle name="常规 3 9 2 3 2 5 2" xfId="25200"/>
    <cellStyle name="常规 3 9 2 3 2 5 2 2" xfId="16459"/>
    <cellStyle name="常规 3 9 2 3 2 5 3" xfId="25202"/>
    <cellStyle name="常规 3 9 2 3 2 5 4" xfId="30198"/>
    <cellStyle name="常规 3 9 2 3 2 6" xfId="30199"/>
    <cellStyle name="常规 3 9 2 3 2 6 2" xfId="25207"/>
    <cellStyle name="常规 3 9 2 3 2 7" xfId="30200"/>
    <cellStyle name="常规 3 9 2 3 2 7 2" xfId="30201"/>
    <cellStyle name="常规 3 9 2 3 2 8" xfId="13938"/>
    <cellStyle name="常规 3 9 2 3 2 9" xfId="30202"/>
    <cellStyle name="常规 3 9 2 3 3" xfId="27538"/>
    <cellStyle name="常规 3 9 2 3 3 2" xfId="27541"/>
    <cellStyle name="常规 3 9 2 3 3 2 2" xfId="25508"/>
    <cellStyle name="常规 3 9 2 3 3 2 2 2" xfId="25512"/>
    <cellStyle name="常规 3 9 2 3 3 2 2 2 2" xfId="18228"/>
    <cellStyle name="常规 3 9 2 3 3 2 2 3" xfId="20928"/>
    <cellStyle name="常规 3 9 2 3 3 2 2 4" xfId="10854"/>
    <cellStyle name="常规 3 9 2 3 3 2 3" xfId="25536"/>
    <cellStyle name="常规 3 9 2 3 3 2 3 2" xfId="25540"/>
    <cellStyle name="常规 3 9 2 3 3 2 4" xfId="25548"/>
    <cellStyle name="常规 3 9 2 3 3 2 5" xfId="25551"/>
    <cellStyle name="常规 3 9 2 3 3 3" xfId="15337"/>
    <cellStyle name="常规 3 9 2 3 3 3 2" xfId="25569"/>
    <cellStyle name="常规 3 9 2 3 3 3 2 2" xfId="25572"/>
    <cellStyle name="常规 3 9 2 3 3 3 3" xfId="25578"/>
    <cellStyle name="常规 3 9 2 3 3 3 4" xfId="25584"/>
    <cellStyle name="常规 3 9 2 3 3 4" xfId="22075"/>
    <cellStyle name="常规 3 9 2 3 3 4 2" xfId="25597"/>
    <cellStyle name="常规 3 9 2 3 3 4 2 2" xfId="6197"/>
    <cellStyle name="常规 3 9 2 3 3 4 3" xfId="25600"/>
    <cellStyle name="常规 3 9 2 3 3 4 4" xfId="25603"/>
    <cellStyle name="常规 3 9 2 3 3 5" xfId="27543"/>
    <cellStyle name="常规 3 9 2 3 3 5 2" xfId="25610"/>
    <cellStyle name="常规 3 9 2 3 3 6" xfId="27545"/>
    <cellStyle name="常规 3 9 2 3 3 7" xfId="27548"/>
    <cellStyle name="常规 3 9 2 3 3 8" xfId="27552"/>
    <cellStyle name="常规 3 9 2 3 4" xfId="27554"/>
    <cellStyle name="常规 3 9 2 3 4 2" xfId="27557"/>
    <cellStyle name="常规 3 9 2 3 4 2 2" xfId="25838"/>
    <cellStyle name="常规 3 9 2 3 4 2 2 2" xfId="15317"/>
    <cellStyle name="常规 3 9 2 3 4 2 3" xfId="25863"/>
    <cellStyle name="常规 3 9 2 3 4 2 4" xfId="25879"/>
    <cellStyle name="常规 3 9 2 3 4 3" xfId="27559"/>
    <cellStyle name="常规 3 9 2 3 4 3 2" xfId="25893"/>
    <cellStyle name="常规 3 9 2 3 4 4" xfId="27561"/>
    <cellStyle name="常规 3 9 2 3 4 5" xfId="27563"/>
    <cellStyle name="常规 3 9 2 3 4 6" xfId="27564"/>
    <cellStyle name="常规 3 9 2 3 5" xfId="27568"/>
    <cellStyle name="常规 3 9 2 3 5 2" xfId="27571"/>
    <cellStyle name="常规 3 9 2 3 5 2 2" xfId="27573"/>
    <cellStyle name="常规 3 9 2 3 5 3" xfId="27575"/>
    <cellStyle name="常规 3 9 2 3 5 4" xfId="27577"/>
    <cellStyle name="常规 3 9 2 3 6" xfId="3555"/>
    <cellStyle name="常规 3 9 2 3 6 2" xfId="3558"/>
    <cellStyle name="常规 3 9 2 3 6 2 2" xfId="3565"/>
    <cellStyle name="常规 3 9 2 3 6 3" xfId="3574"/>
    <cellStyle name="常规 3 9 2 3 6 4" xfId="27433"/>
    <cellStyle name="常规 3 9 2 3 7" xfId="3583"/>
    <cellStyle name="常规 3 9 2 3 7 2" xfId="3588"/>
    <cellStyle name="常规 3 9 2 3 8" xfId="2892"/>
    <cellStyle name="常规 3 9 2 3 8 2" xfId="3592"/>
    <cellStyle name="常规 3 9 2 3 9" xfId="3596"/>
    <cellStyle name="常规 3 9 2 4" xfId="30203"/>
    <cellStyle name="常规 3 9 2 4 2" xfId="30204"/>
    <cellStyle name="常规 3 9 2 4 2 2" xfId="26323"/>
    <cellStyle name="常规 3 9 2 4 2 2 2" xfId="26326"/>
    <cellStyle name="常规 3 9 2 4 2 2 2 2" xfId="26329"/>
    <cellStyle name="常规 3 9 2 4 2 2 3" xfId="26355"/>
    <cellStyle name="常规 3 9 2 4 2 2 4" xfId="26364"/>
    <cellStyle name="常规 3 9 2 4 2 3" xfId="26376"/>
    <cellStyle name="常规 3 9 2 4 2 3 2" xfId="26379"/>
    <cellStyle name="常规 3 9 2 4 2 4" xfId="26434"/>
    <cellStyle name="常规 3 9 2 4 2 5" xfId="26454"/>
    <cellStyle name="常规 3 9 2 4 3" xfId="27579"/>
    <cellStyle name="常规 3 9 2 4 3 2" xfId="27583"/>
    <cellStyle name="常规 3 9 2 4 3 2 2" xfId="27587"/>
    <cellStyle name="常规 3 9 2 4 3 3" xfId="15347"/>
    <cellStyle name="常规 3 9 2 4 3 4" xfId="27604"/>
    <cellStyle name="常规 3 9 2 4 4" xfId="27608"/>
    <cellStyle name="常规 3 9 2 4 4 2" xfId="27611"/>
    <cellStyle name="常规 3 9 2 4 4 2 2" xfId="27614"/>
    <cellStyle name="常规 3 9 2 4 4 3" xfId="27618"/>
    <cellStyle name="常规 3 9 2 4 4 4" xfId="27620"/>
    <cellStyle name="常规 3 9 2 4 5" xfId="27622"/>
    <cellStyle name="常规 3 9 2 4 5 2" xfId="27625"/>
    <cellStyle name="常规 3 9 2 4 6" xfId="3604"/>
    <cellStyle name="常规 3 9 2 4 7" xfId="3607"/>
    <cellStyle name="常规 3 9 2 4 8" xfId="7162"/>
    <cellStyle name="常规 3 9 2 5" xfId="30014"/>
    <cellStyle name="常规 3 9 2 5 2" xfId="16319"/>
    <cellStyle name="常规 3 9 2 5 2 2" xfId="16321"/>
    <cellStyle name="常规 3 9 2 5 2 2 2" xfId="29726"/>
    <cellStyle name="常规 3 9 2 5 2 3" xfId="30206"/>
    <cellStyle name="常规 3 9 2 5 2 4" xfId="30207"/>
    <cellStyle name="常规 3 9 2 5 3" xfId="16324"/>
    <cellStyle name="常规 3 9 2 5 3 2" xfId="27632"/>
    <cellStyle name="常规 3 9 2 5 4" xfId="16328"/>
    <cellStyle name="常规 3 9 2 5 5" xfId="27641"/>
    <cellStyle name="常规 3 9 2 5 6" xfId="3612"/>
    <cellStyle name="常规 3 9 2 6" xfId="30016"/>
    <cellStyle name="常规 3 9 2 6 2" xfId="16337"/>
    <cellStyle name="常规 3 9 2 6 2 2" xfId="30208"/>
    <cellStyle name="常规 3 9 2 6 3" xfId="16342"/>
    <cellStyle name="常规 3 9 2 6 4" xfId="24151"/>
    <cellStyle name="常规 3 9 2 7" xfId="30210"/>
    <cellStyle name="常规 3 9 2 7 2" xfId="16347"/>
    <cellStyle name="常规 3 9 2 7 2 2" xfId="30211"/>
    <cellStyle name="常规 3 9 2 7 3" xfId="16351"/>
    <cellStyle name="常规 3 9 2 7 4" xfId="24181"/>
    <cellStyle name="常规 3 9 2 8" xfId="30212"/>
    <cellStyle name="常规 3 9 2 8 2" xfId="30214"/>
    <cellStyle name="常规 3 9 2 9" xfId="30215"/>
    <cellStyle name="常规 3 9 2 9 2" xfId="6476"/>
    <cellStyle name="常规 3 9 3" xfId="26117"/>
    <cellStyle name="常规 3 9 3 10" xfId="14755"/>
    <cellStyle name="常规 3 9 3 11" xfId="30216"/>
    <cellStyle name="常规 3 9 3 2" xfId="30217"/>
    <cellStyle name="常规 3 9 3 2 10" xfId="11474"/>
    <cellStyle name="常规 3 9 3 2 2" xfId="30219"/>
    <cellStyle name="常规 3 9 3 2 2 2" xfId="19084"/>
    <cellStyle name="常规 3 9 3 2 2 2 2" xfId="11591"/>
    <cellStyle name="常规 3 9 3 2 2 2 2 2" xfId="30222"/>
    <cellStyle name="常规 3 9 3 2 2 2 2 2 2" xfId="30223"/>
    <cellStyle name="常规 3 9 3 2 2 2 2 3" xfId="30224"/>
    <cellStyle name="常规 3 9 3 2 2 2 2 4" xfId="30225"/>
    <cellStyle name="常规 3 9 3 2 2 2 3" xfId="30226"/>
    <cellStyle name="常规 3 9 3 2 2 2 3 2" xfId="30227"/>
    <cellStyle name="常规 3 9 3 2 2 2 4" xfId="30228"/>
    <cellStyle name="常规 3 9 3 2 2 2 5" xfId="30229"/>
    <cellStyle name="常规 3 9 3 2 2 3" xfId="19086"/>
    <cellStyle name="常规 3 9 3 2 2 3 2" xfId="30230"/>
    <cellStyle name="常规 3 9 3 2 2 3 2 2" xfId="26883"/>
    <cellStyle name="常规 3 9 3 2 2 3 3" xfId="30231"/>
    <cellStyle name="常规 3 9 3 2 2 3 4" xfId="30232"/>
    <cellStyle name="常规 3 9 3 2 2 4" xfId="30233"/>
    <cellStyle name="常规 3 9 3 2 2 4 2" xfId="30234"/>
    <cellStyle name="常规 3 9 3 2 2 4 2 2" xfId="26925"/>
    <cellStyle name="常规 3 9 3 2 2 4 3" xfId="30235"/>
    <cellStyle name="常规 3 9 3 2 2 4 4" xfId="30236"/>
    <cellStyle name="常规 3 9 3 2 2 5" xfId="30237"/>
    <cellStyle name="常规 3 9 3 2 2 5 2" xfId="30238"/>
    <cellStyle name="常规 3 9 3 2 2 6" xfId="30239"/>
    <cellStyle name="常规 3 9 3 2 2 7" xfId="30240"/>
    <cellStyle name="常规 3 9 3 2 2 8" xfId="30241"/>
    <cellStyle name="常规 3 9 3 2 3" xfId="12055"/>
    <cellStyle name="常规 3 9 3 2 3 2" xfId="12059"/>
    <cellStyle name="常规 3 9 3 2 3 2 2" xfId="30242"/>
    <cellStyle name="常规 3 9 3 2 3 2 2 2" xfId="30243"/>
    <cellStyle name="常规 3 9 3 2 3 2 3" xfId="30244"/>
    <cellStyle name="常规 3 9 3 2 3 2 4" xfId="30245"/>
    <cellStyle name="常规 3 9 3 2 3 3" xfId="15366"/>
    <cellStyle name="常规 3 9 3 2 3 3 2" xfId="30246"/>
    <cellStyle name="常规 3 9 3 2 3 4" xfId="11176"/>
    <cellStyle name="常规 3 9 3 2 3 5" xfId="30248"/>
    <cellStyle name="常规 3 9 3 2 3 6" xfId="30250"/>
    <cellStyle name="常规 3 9 3 2 4" xfId="12061"/>
    <cellStyle name="常规 3 9 3 2 4 2" xfId="21282"/>
    <cellStyle name="常规 3 9 3 2 4 2 2" xfId="6802"/>
    <cellStyle name="常规 3 9 3 2 4 3" xfId="30251"/>
    <cellStyle name="常规 3 9 3 2 4 4" xfId="30252"/>
    <cellStyle name="常规 3 9 3 2 5" xfId="30253"/>
    <cellStyle name="常规 3 9 3 2 5 2" xfId="21285"/>
    <cellStyle name="常规 3 9 3 2 5 2 2" xfId="26555"/>
    <cellStyle name="常规 3 9 3 2 5 3" xfId="30254"/>
    <cellStyle name="常规 3 9 3 2 5 4" xfId="30255"/>
    <cellStyle name="常规 3 9 3 2 6" xfId="30256"/>
    <cellStyle name="常规 3 9 3 2 6 2" xfId="19963"/>
    <cellStyle name="常规 3 9 3 2 7" xfId="7174"/>
    <cellStyle name="常规 3 9 3 2 7 2" xfId="7177"/>
    <cellStyle name="常规 3 9 3 2 8" xfId="7179"/>
    <cellStyle name="常规 3 9 3 2 9" xfId="30257"/>
    <cellStyle name="常规 3 9 3 3" xfId="27615"/>
    <cellStyle name="常规 3 9 3 3 2" xfId="30258"/>
    <cellStyle name="常规 3 9 3 3 2 2" xfId="30259"/>
    <cellStyle name="常规 3 9 3 3 2 2 2" xfId="25252"/>
    <cellStyle name="常规 3 9 3 3 2 2 2 2" xfId="30260"/>
    <cellStyle name="常规 3 9 3 3 2 2 3" xfId="30261"/>
    <cellStyle name="常规 3 9 3 3 2 2 4" xfId="30262"/>
    <cellStyle name="常规 3 9 3 3 2 3" xfId="30263"/>
    <cellStyle name="常规 3 9 3 3 2 3 2" xfId="2790"/>
    <cellStyle name="常规 3 9 3 3 2 4" xfId="30264"/>
    <cellStyle name="常规 3 9 3 3 2 5" xfId="30265"/>
    <cellStyle name="常规 3 9 3 3 3" xfId="12067"/>
    <cellStyle name="常规 3 9 3 3 3 2" xfId="12071"/>
    <cellStyle name="常规 3 9 3 3 3 2 2" xfId="27644"/>
    <cellStyle name="常规 3 9 3 3 3 3" xfId="27646"/>
    <cellStyle name="常规 3 9 3 3 3 4" xfId="11184"/>
    <cellStyle name="常规 3 9 3 3 4" xfId="12074"/>
    <cellStyle name="常规 3 9 3 3 4 2" xfId="27648"/>
    <cellStyle name="常规 3 9 3 3 4 2 2" xfId="6878"/>
    <cellStyle name="常规 3 9 3 3 4 3" xfId="30266"/>
    <cellStyle name="常规 3 9 3 3 4 4" xfId="30267"/>
    <cellStyle name="常规 3 9 3 3 5" xfId="27650"/>
    <cellStyle name="常规 3 9 3 3 5 2" xfId="30268"/>
    <cellStyle name="常规 3 9 3 3 6" xfId="3636"/>
    <cellStyle name="常规 3 9 3 3 7" xfId="3643"/>
    <cellStyle name="常规 3 9 3 3 8" xfId="30269"/>
    <cellStyle name="常规 3 9 3 4" xfId="30270"/>
    <cellStyle name="常规 3 9 3 4 2" xfId="30272"/>
    <cellStyle name="常规 3 9 3 4 2 2" xfId="30273"/>
    <cellStyle name="常规 3 9 3 4 2 2 2" xfId="25342"/>
    <cellStyle name="常规 3 9 3 4 2 3" xfId="30274"/>
    <cellStyle name="常规 3 9 3 4 2 4" xfId="30152"/>
    <cellStyle name="常规 3 9 3 4 3" xfId="12080"/>
    <cellStyle name="常规 3 9 3 4 3 2" xfId="27652"/>
    <cellStyle name="常规 3 9 3 4 4" xfId="27654"/>
    <cellStyle name="常规 3 9 3 4 5" xfId="27659"/>
    <cellStyle name="常规 3 9 3 4 6" xfId="3647"/>
    <cellStyle name="常规 3 9 3 5" xfId="30275"/>
    <cellStyle name="常规 3 9 3 5 2" xfId="16363"/>
    <cellStyle name="常规 3 9 3 5 2 2" xfId="30276"/>
    <cellStyle name="常规 3 9 3 5 3" xfId="16366"/>
    <cellStyle name="常规 3 9 3 5 4" xfId="27663"/>
    <cellStyle name="常规 3 9 3 6" xfId="30277"/>
    <cellStyle name="常规 3 9 3 6 2" xfId="30278"/>
    <cellStyle name="常规 3 9 3 6 2 2" xfId="30279"/>
    <cellStyle name="常规 3 9 3 6 3" xfId="24204"/>
    <cellStyle name="常规 3 9 3 6 4" xfId="24224"/>
    <cellStyle name="常规 3 9 3 7" xfId="30280"/>
    <cellStyle name="常规 3 9 3 7 2" xfId="30281"/>
    <cellStyle name="常规 3 9 3 8" xfId="30282"/>
    <cellStyle name="常规 3 9 3 8 2" xfId="30283"/>
    <cellStyle name="常规 3 9 3 9" xfId="30284"/>
    <cellStyle name="常规 3 9 4" xfId="26120"/>
    <cellStyle name="常规 3 9 4 2" xfId="30285"/>
    <cellStyle name="常规 3 9 4 2 2" xfId="30287"/>
    <cellStyle name="常规 3 9 4 2 2 2" xfId="13860"/>
    <cellStyle name="常规 3 9 4 2 2 2 2" xfId="13863"/>
    <cellStyle name="常规 3 9 4 2 2 3" xfId="13889"/>
    <cellStyle name="常规 3 9 4 2 2 4" xfId="13906"/>
    <cellStyle name="常规 3 9 4 2 3" xfId="12104"/>
    <cellStyle name="常规 3 9 4 2 3 2" xfId="13947"/>
    <cellStyle name="常规 3 9 4 2 4" xfId="30288"/>
    <cellStyle name="常规 3 9 4 2 5" xfId="30289"/>
    <cellStyle name="常规 3 9 4 3" xfId="30290"/>
    <cellStyle name="常规 3 9 4 3 2" xfId="30291"/>
    <cellStyle name="常规 3 9 4 3 2 2" xfId="14175"/>
    <cellStyle name="常规 3 9 4 3 3" xfId="27666"/>
    <cellStyle name="常规 3 9 4 3 4" xfId="23889"/>
    <cellStyle name="常规 3 9 4 4" xfId="30292"/>
    <cellStyle name="常规 3 9 4 4 2" xfId="30293"/>
    <cellStyle name="常规 3 9 4 4 2 2" xfId="10082"/>
    <cellStyle name="常规 3 9 4 4 3" xfId="27671"/>
    <cellStyle name="常规 3 9 4 4 4" xfId="30294"/>
    <cellStyle name="常规 3 9 4 5" xfId="30295"/>
    <cellStyle name="常规 3 9 4 5 2" xfId="30296"/>
    <cellStyle name="常规 3 9 4 6" xfId="30297"/>
    <cellStyle name="常规 3 9 4 7" xfId="30298"/>
    <cellStyle name="常规 3 9 4 8" xfId="30299"/>
    <cellStyle name="常规 3 9 5" xfId="30300"/>
    <cellStyle name="常规 3 9 5 2" xfId="30302"/>
    <cellStyle name="常规 3 9 5 2 2" xfId="30303"/>
    <cellStyle name="常规 3 9 5 2 2 2" xfId="19816"/>
    <cellStyle name="常规 3 9 5 2 3" xfId="30305"/>
    <cellStyle name="常规 3 9 5 2 4" xfId="30306"/>
    <cellStyle name="常规 3 9 5 3" xfId="30307"/>
    <cellStyle name="常规 3 9 5 3 2" xfId="30308"/>
    <cellStyle name="常规 3 9 5 4" xfId="30309"/>
    <cellStyle name="常规 3 9 5 5" xfId="30310"/>
    <cellStyle name="常规 3 9 5 6" xfId="18721"/>
    <cellStyle name="常规 3 9 6" xfId="30311"/>
    <cellStyle name="常规 3 9 6 2" xfId="30313"/>
    <cellStyle name="常规 3 9 6 2 2" xfId="30314"/>
    <cellStyle name="常规 3 9 6 3" xfId="30315"/>
    <cellStyle name="常规 3 9 6 4" xfId="30316"/>
    <cellStyle name="常规 3 9 7" xfId="30317"/>
    <cellStyle name="常规 3 9 7 2" xfId="30319"/>
    <cellStyle name="常规 3 9 7 2 2" xfId="30320"/>
    <cellStyle name="常规 3 9 7 3" xfId="26570"/>
    <cellStyle name="常规 3 9 7 4" xfId="26579"/>
    <cellStyle name="常规 3 9 8" xfId="30321"/>
    <cellStyle name="常规 3 9 8 2" xfId="30322"/>
    <cellStyle name="常规 3 9 9" xfId="30323"/>
    <cellStyle name="常规 3 9 9 2" xfId="11097"/>
    <cellStyle name="常规 30" xfId="12296"/>
    <cellStyle name="常规 30 2" xfId="5593"/>
    <cellStyle name="常规 31" xfId="12305"/>
    <cellStyle name="常规 32" xfId="12310"/>
    <cellStyle name="常规 33" xfId="12314"/>
    <cellStyle name="常规 34" xfId="25935"/>
    <cellStyle name="常规 35" xfId="30325"/>
    <cellStyle name="常规 36" xfId="28844"/>
    <cellStyle name="常规 37" xfId="8821"/>
    <cellStyle name="常规 4" xfId="30326"/>
    <cellStyle name="常规 4 10" xfId="30327"/>
    <cellStyle name="常规 4 10 10" xfId="13549"/>
    <cellStyle name="常规 4 10 11" xfId="145"/>
    <cellStyle name="常规 4 10 2" xfId="30328"/>
    <cellStyle name="常规 4 10 2 2" xfId="30329"/>
    <cellStyle name="常规 4 10 2 2 2" xfId="30331"/>
    <cellStyle name="常规 4 10 2 2 2 2" xfId="26415"/>
    <cellStyle name="常规 4 10 2 2 2 2 2" xfId="30333"/>
    <cellStyle name="常规 4 10 2 2 2 2 2 2" xfId="14889"/>
    <cellStyle name="常规 4 10 2 2 2 2 3" xfId="24175"/>
    <cellStyle name="常规 4 10 2 2 2 2 4" xfId="30334"/>
    <cellStyle name="常规 4 10 2 2 2 3" xfId="30335"/>
    <cellStyle name="常规 4 10 2 2 2 3 2" xfId="30336"/>
    <cellStyle name="常规 4 10 2 2 2 4" xfId="30337"/>
    <cellStyle name="常规 4 10 2 2 2 4 2" xfId="30338"/>
    <cellStyle name="常规 4 10 2 2 2 5" xfId="30340"/>
    <cellStyle name="常规 4 10 2 2 2 6" xfId="30342"/>
    <cellStyle name="常规 4 10 2 2 3" xfId="30343"/>
    <cellStyle name="常规 4 10 2 2 3 2" xfId="30345"/>
    <cellStyle name="常规 4 10 2 2 3 2 2" xfId="30346"/>
    <cellStyle name="常规 4 10 2 2 3 3" xfId="30347"/>
    <cellStyle name="常规 4 10 2 2 3 4" xfId="30348"/>
    <cellStyle name="常规 4 10 2 2 4" xfId="30349"/>
    <cellStyle name="常规 4 10 2 2 4 2" xfId="30352"/>
    <cellStyle name="常规 4 10 2 2 4 2 2" xfId="20171"/>
    <cellStyle name="常规 4 10 2 2 4 3" xfId="30354"/>
    <cellStyle name="常规 4 10 2 2 4 4" xfId="30356"/>
    <cellStyle name="常规 4 10 2 2 5" xfId="30358"/>
    <cellStyle name="常规 4 10 2 2 5 2" xfId="30360"/>
    <cellStyle name="常规 4 10 2 2 6" xfId="30362"/>
    <cellStyle name="常规 4 10 2 2 6 2" xfId="30364"/>
    <cellStyle name="常规 4 10 2 2 7" xfId="30366"/>
    <cellStyle name="常规 4 10 2 2 8" xfId="27435"/>
    <cellStyle name="常规 4 10 2 2 9" xfId="30368"/>
    <cellStyle name="常规 4 10 2 3" xfId="27802"/>
    <cellStyle name="常规 4 10 2 3 2" xfId="30370"/>
    <cellStyle name="常规 4 10 2 3 2 2" xfId="30372"/>
    <cellStyle name="常规 4 10 2 3 2 2 2" xfId="30374"/>
    <cellStyle name="常规 4 10 2 3 2 3" xfId="30375"/>
    <cellStyle name="常规 4 10 2 3 2 4" xfId="30376"/>
    <cellStyle name="常规 4 10 2 3 3" xfId="30377"/>
    <cellStyle name="常规 4 10 2 3 3 2" xfId="30379"/>
    <cellStyle name="常规 4 10 2 3 4" xfId="30380"/>
    <cellStyle name="常规 4 10 2 3 5" xfId="30383"/>
    <cellStyle name="常规 4 10 2 3 6" xfId="30385"/>
    <cellStyle name="常规 4 10 2 4" xfId="30387"/>
    <cellStyle name="常规 4 10 2 4 2" xfId="30389"/>
    <cellStyle name="常规 4 10 2 4 2 2" xfId="30391"/>
    <cellStyle name="常规 4 10 2 4 3" xfId="30392"/>
    <cellStyle name="常规 4 10 2 4 4" xfId="30393"/>
    <cellStyle name="常规 4 10 2 5" xfId="30395"/>
    <cellStyle name="常规 4 10 2 5 2" xfId="30397"/>
    <cellStyle name="常规 4 10 2 5 2 2" xfId="30399"/>
    <cellStyle name="常规 4 10 2 5 3" xfId="30400"/>
    <cellStyle name="常规 4 10 2 5 4" xfId="30401"/>
    <cellStyle name="常规 4 10 2 6" xfId="30403"/>
    <cellStyle name="常规 4 10 2 6 2" xfId="30405"/>
    <cellStyle name="常规 4 10 2 7" xfId="30406"/>
    <cellStyle name="常规 4 10 2 7 2" xfId="30408"/>
    <cellStyle name="常规 4 10 2 8" xfId="30409"/>
    <cellStyle name="常规 4 10 2 9" xfId="30410"/>
    <cellStyle name="常规 4 10 3" xfId="30411"/>
    <cellStyle name="常规 4 10 3 10" xfId="30412"/>
    <cellStyle name="常规 4 10 3 2" xfId="30413"/>
    <cellStyle name="常规 4 10 3 2 2" xfId="30415"/>
    <cellStyle name="常规 4 10 3 2 2 2" xfId="30417"/>
    <cellStyle name="常规 4 10 3 2 2 2 2" xfId="30418"/>
    <cellStyle name="常规 4 10 3 2 2 2 2 2" xfId="30419"/>
    <cellStyle name="常规 4 10 3 2 2 2 2 2 2" xfId="30420"/>
    <cellStyle name="常规 4 10 3 2 2 2 2 3" xfId="30422"/>
    <cellStyle name="常规 4 10 3 2 2 2 2 4" xfId="30423"/>
    <cellStyle name="常规 4 10 3 2 2 2 3" xfId="24257"/>
    <cellStyle name="常规 4 10 3 2 2 2 3 2" xfId="19171"/>
    <cellStyle name="常规 4 10 3 2 2 2 4" xfId="24259"/>
    <cellStyle name="常规 4 10 3 2 2 2 4 2" xfId="19195"/>
    <cellStyle name="常规 4 10 3 2 2 2 5" xfId="24261"/>
    <cellStyle name="常规 4 10 3 2 2 2 6" xfId="30424"/>
    <cellStyle name="常规 4 10 3 2 2 3" xfId="30425"/>
    <cellStyle name="常规 4 10 3 2 2 3 2" xfId="30426"/>
    <cellStyle name="常规 4 10 3 2 2 3 2 2" xfId="29784"/>
    <cellStyle name="常规 4 10 3 2 2 3 3" xfId="24263"/>
    <cellStyle name="常规 4 10 3 2 2 3 4" xfId="16334"/>
    <cellStyle name="常规 4 10 3 2 2 4" xfId="30427"/>
    <cellStyle name="常规 4 10 3 2 2 4 2" xfId="30428"/>
    <cellStyle name="常规 4 10 3 2 2 4 2 2" xfId="30429"/>
    <cellStyle name="常规 4 10 3 2 2 4 3" xfId="30430"/>
    <cellStyle name="常规 4 10 3 2 2 4 4" xfId="30209"/>
    <cellStyle name="常规 4 10 3 2 2 5" xfId="21241"/>
    <cellStyle name="常规 4 10 3 2 2 5 2" xfId="30432"/>
    <cellStyle name="常规 4 10 3 2 2 6" xfId="30434"/>
    <cellStyle name="常规 4 10 3 2 2 6 2" xfId="30436"/>
    <cellStyle name="常规 4 10 3 2 2 7" xfId="26770"/>
    <cellStyle name="常规 4 10 3 2 2 8" xfId="29771"/>
    <cellStyle name="常规 4 10 3 2 2 9" xfId="30438"/>
    <cellStyle name="常规 4 10 3 2 3" xfId="30439"/>
    <cellStyle name="常规 4 10 3 2 3 2" xfId="30440"/>
    <cellStyle name="常规 4 10 3 2 3 2 2" xfId="30441"/>
    <cellStyle name="常规 4 10 3 2 3 2 2 2" xfId="30442"/>
    <cellStyle name="常规 4 10 3 2 3 2 3" xfId="24269"/>
    <cellStyle name="常规 4 10 3 2 3 2 4" xfId="30443"/>
    <cellStyle name="常规 4 10 3 2 3 3" xfId="30444"/>
    <cellStyle name="常规 4 10 3 2 3 3 2" xfId="30445"/>
    <cellStyle name="常规 4 10 3 2 3 4" xfId="30446"/>
    <cellStyle name="常规 4 10 3 2 3 5" xfId="30448"/>
    <cellStyle name="常规 4 10 3 2 3 6" xfId="30450"/>
    <cellStyle name="常规 4 10 3 2 4" xfId="30451"/>
    <cellStyle name="常规 4 10 3 2 4 2" xfId="30453"/>
    <cellStyle name="常规 4 10 3 2 4 2 2" xfId="1878"/>
    <cellStyle name="常规 4 10 3 2 4 3" xfId="30455"/>
    <cellStyle name="常规 4 10 3 2 4 4" xfId="30456"/>
    <cellStyle name="常规 4 10 3 2 5" xfId="9978"/>
    <cellStyle name="常规 4 10 3 2 5 2" xfId="9981"/>
    <cellStyle name="常规 4 10 3 2 5 2 2" xfId="29017"/>
    <cellStyle name="常规 4 10 3 2 5 3" xfId="30457"/>
    <cellStyle name="常规 4 10 3 2 5 4" xfId="30458"/>
    <cellStyle name="常规 4 10 3 2 6" xfId="9983"/>
    <cellStyle name="常规 4 10 3 2 6 2" xfId="9986"/>
    <cellStyle name="常规 4 10 3 2 7" xfId="9989"/>
    <cellStyle name="常规 4 10 3 2 7 2" xfId="30459"/>
    <cellStyle name="常规 4 10 3 2 8" xfId="9991"/>
    <cellStyle name="常规 4 10 3 2 9" xfId="30460"/>
    <cellStyle name="常规 4 10 3 3" xfId="30461"/>
    <cellStyle name="常规 4 10 3 3 2" xfId="30463"/>
    <cellStyle name="常规 4 10 3 3 2 2" xfId="30464"/>
    <cellStyle name="常规 4 10 3 3 2 2 2" xfId="22758"/>
    <cellStyle name="常规 4 10 3 3 2 2 2 2" xfId="6305"/>
    <cellStyle name="常规 4 10 3 3 2 2 3" xfId="14806"/>
    <cellStyle name="常规 4 10 3 3 2 2 4" xfId="14808"/>
    <cellStyle name="常规 4 10 3 3 2 3" xfId="17783"/>
    <cellStyle name="常规 4 10 3 3 2 3 2" xfId="30465"/>
    <cellStyle name="常规 4 10 3 3 2 4" xfId="10061"/>
    <cellStyle name="常规 4 10 3 3 2 4 2" xfId="30466"/>
    <cellStyle name="常规 4 10 3 3 2 5" xfId="17787"/>
    <cellStyle name="常规 4 10 3 3 2 6" xfId="30468"/>
    <cellStyle name="常规 4 10 3 3 3" xfId="30469"/>
    <cellStyle name="常规 4 10 3 3 3 2" xfId="30470"/>
    <cellStyle name="常规 4 10 3 3 3 2 2" xfId="30471"/>
    <cellStyle name="常规 4 10 3 3 3 3" xfId="30472"/>
    <cellStyle name="常规 4 10 3 3 3 4" xfId="30473"/>
    <cellStyle name="常规 4 10 3 3 4" xfId="30474"/>
    <cellStyle name="常规 4 10 3 3 4 2" xfId="30476"/>
    <cellStyle name="常规 4 10 3 3 4 2 2" xfId="1933"/>
    <cellStyle name="常规 4 10 3 3 4 3" xfId="30478"/>
    <cellStyle name="常规 4 10 3 3 4 4" xfId="30479"/>
    <cellStyle name="常规 4 10 3 3 5" xfId="9994"/>
    <cellStyle name="常规 4 10 3 3 5 2" xfId="30480"/>
    <cellStyle name="常规 4 10 3 3 6" xfId="16190"/>
    <cellStyle name="常规 4 10 3 3 6 2" xfId="16193"/>
    <cellStyle name="常规 4 10 3 3 7" xfId="16195"/>
    <cellStyle name="常规 4 10 3 3 8" xfId="4136"/>
    <cellStyle name="常规 4 10 3 3 9" xfId="4144"/>
    <cellStyle name="常规 4 10 3 4" xfId="30481"/>
    <cellStyle name="常规 4 10 3 4 2" xfId="30483"/>
    <cellStyle name="常规 4 10 3 4 2 2" xfId="30484"/>
    <cellStyle name="常规 4 10 3 4 2 2 2" xfId="30485"/>
    <cellStyle name="常规 4 10 3 4 2 3" xfId="30486"/>
    <cellStyle name="常规 4 10 3 4 2 4" xfId="10118"/>
    <cellStyle name="常规 4 10 3 4 3" xfId="30487"/>
    <cellStyle name="常规 4 10 3 4 3 2" xfId="30488"/>
    <cellStyle name="常规 4 10 3 4 4" xfId="30489"/>
    <cellStyle name="常规 4 10 3 4 5" xfId="9997"/>
    <cellStyle name="常规 4 10 3 4 6" xfId="16198"/>
    <cellStyle name="常规 4 10 3 5" xfId="30491"/>
    <cellStyle name="常规 4 10 3 5 2" xfId="30493"/>
    <cellStyle name="常规 4 10 3 5 2 2" xfId="30494"/>
    <cellStyle name="常规 4 10 3 5 3" xfId="30495"/>
    <cellStyle name="常规 4 10 3 5 4" xfId="30496"/>
    <cellStyle name="常规 4 10 3 6" xfId="18835"/>
    <cellStyle name="常规 4 10 3 6 2" xfId="30498"/>
    <cellStyle name="常规 4 10 3 6 2 2" xfId="16723"/>
    <cellStyle name="常规 4 10 3 6 3" xfId="30499"/>
    <cellStyle name="常规 4 10 3 6 4" xfId="30500"/>
    <cellStyle name="常规 4 10 3 7" xfId="30501"/>
    <cellStyle name="常规 4 10 3 7 2" xfId="30502"/>
    <cellStyle name="常规 4 10 3 8" xfId="30503"/>
    <cellStyle name="常规 4 10 3 8 2" xfId="30504"/>
    <cellStyle name="常规 4 10 3 9" xfId="30505"/>
    <cellStyle name="常规 4 10 4" xfId="30506"/>
    <cellStyle name="常规 4 10 4 2" xfId="30507"/>
    <cellStyle name="常规 4 10 4 2 2" xfId="30509"/>
    <cellStyle name="常规 4 10 4 2 2 2" xfId="11952"/>
    <cellStyle name="常规 4 10 4 2 2 2 2" xfId="3690"/>
    <cellStyle name="常规 4 10 4 2 2 3" xfId="30510"/>
    <cellStyle name="常规 4 10 4 2 2 4" xfId="30511"/>
    <cellStyle name="常规 4 10 4 2 3" xfId="30512"/>
    <cellStyle name="常规 4 10 4 2 3 2" xfId="30513"/>
    <cellStyle name="常规 4 10 4 2 4" xfId="8537"/>
    <cellStyle name="常规 4 10 4 2 4 2" xfId="8540"/>
    <cellStyle name="常规 4 10 4 2 5" xfId="8544"/>
    <cellStyle name="常规 4 10 4 2 6" xfId="30514"/>
    <cellStyle name="常规 4 10 4 3" xfId="4460"/>
    <cellStyle name="常规 4 10 4 3 2" xfId="30516"/>
    <cellStyle name="常规 4 10 4 3 2 2" xfId="30517"/>
    <cellStyle name="常规 4 10 4 3 3" xfId="30518"/>
    <cellStyle name="常规 4 10 4 3 4" xfId="8549"/>
    <cellStyle name="常规 4 10 4 4" xfId="30519"/>
    <cellStyle name="常规 4 10 4 4 2" xfId="30520"/>
    <cellStyle name="常规 4 10 4 4 2 2" xfId="30521"/>
    <cellStyle name="常规 4 10 4 4 3" xfId="30522"/>
    <cellStyle name="常规 4 10 4 4 4" xfId="8559"/>
    <cellStyle name="常规 4 10 4 5" xfId="30523"/>
    <cellStyle name="常规 4 10 4 5 2" xfId="20394"/>
    <cellStyle name="常规 4 10 4 6" xfId="30524"/>
    <cellStyle name="常规 4 10 4 6 2" xfId="20561"/>
    <cellStyle name="常规 4 10 4 7" xfId="30525"/>
    <cellStyle name="常规 4 10 4 8" xfId="30526"/>
    <cellStyle name="常规 4 10 4 9" xfId="30527"/>
    <cellStyle name="常规 4 10 5" xfId="30528"/>
    <cellStyle name="常规 4 10 5 2" xfId="28957"/>
    <cellStyle name="常规 4 10 5 2 2" xfId="7254"/>
    <cellStyle name="常规 4 10 5 2 2 2" xfId="30529"/>
    <cellStyle name="常规 4 10 5 2 3" xfId="30530"/>
    <cellStyle name="常规 4 10 5 2 4" xfId="8586"/>
    <cellStyle name="常规 4 10 5 3" xfId="28959"/>
    <cellStyle name="常规 4 10 5 3 2" xfId="30531"/>
    <cellStyle name="常规 4 10 5 4" xfId="28961"/>
    <cellStyle name="常规 4 10 5 5" xfId="30532"/>
    <cellStyle name="常规 4 10 5 6" xfId="30533"/>
    <cellStyle name="常规 4 10 6" xfId="13442"/>
    <cellStyle name="常规 4 10 6 2" xfId="30534"/>
    <cellStyle name="常规 4 10 6 2 2" xfId="138"/>
    <cellStyle name="常规 4 10 6 3" xfId="30535"/>
    <cellStyle name="常规 4 10 6 4" xfId="30536"/>
    <cellStyle name="常规 4 10 7" xfId="13444"/>
    <cellStyle name="常规 4 10 7 2" xfId="30537"/>
    <cellStyle name="常规 4 10 7 2 2" xfId="30538"/>
    <cellStyle name="常规 4 10 7 3" xfId="30539"/>
    <cellStyle name="常规 4 10 7 4" xfId="30540"/>
    <cellStyle name="常规 4 10 8" xfId="7016"/>
    <cellStyle name="常规 4 10 8 2" xfId="30541"/>
    <cellStyle name="常规 4 10 9" xfId="30542"/>
    <cellStyle name="常规 4 10 9 2" xfId="30543"/>
    <cellStyle name="常规 4 11" xfId="30544"/>
    <cellStyle name="常规 4 11 2" xfId="30545"/>
    <cellStyle name="常规 4 11 2 2" xfId="30546"/>
    <cellStyle name="常规 4 11 2 2 2" xfId="30548"/>
    <cellStyle name="常规 4 11 2 2 2 2" xfId="30550"/>
    <cellStyle name="常规 4 11 2 2 2 2 2" xfId="30551"/>
    <cellStyle name="常规 4 11 2 2 2 3" xfId="30552"/>
    <cellStyle name="常规 4 11 2 2 2 4" xfId="30553"/>
    <cellStyle name="常规 4 11 2 2 3" xfId="30554"/>
    <cellStyle name="常规 4 11 2 2 3 2" xfId="30555"/>
    <cellStyle name="常规 4 11 2 2 4" xfId="30556"/>
    <cellStyle name="常规 4 11 2 2 4 2" xfId="30558"/>
    <cellStyle name="常规 4 11 2 2 5" xfId="30560"/>
    <cellStyle name="常规 4 11 2 2 6" xfId="30562"/>
    <cellStyle name="常规 4 11 2 3" xfId="30564"/>
    <cellStyle name="常规 4 11 2 3 2" xfId="30566"/>
    <cellStyle name="常规 4 11 2 3 2 2" xfId="30567"/>
    <cellStyle name="常规 4 11 2 3 3" xfId="30568"/>
    <cellStyle name="常规 4 11 2 3 4" xfId="30569"/>
    <cellStyle name="常规 4 11 2 4" xfId="30571"/>
    <cellStyle name="常规 4 11 2 4 2" xfId="30573"/>
    <cellStyle name="常规 4 11 2 4 2 2" xfId="30574"/>
    <cellStyle name="常规 4 11 2 4 3" xfId="30575"/>
    <cellStyle name="常规 4 11 2 4 4" xfId="59"/>
    <cellStyle name="常规 4 11 2 5" xfId="30576"/>
    <cellStyle name="常规 4 11 2 5 2" xfId="30578"/>
    <cellStyle name="常规 4 11 2 6" xfId="30579"/>
    <cellStyle name="常规 4 11 2 6 2" xfId="30580"/>
    <cellStyle name="常规 4 11 2 7" xfId="30582"/>
    <cellStyle name="常规 4 11 2 8" xfId="30583"/>
    <cellStyle name="常规 4 11 2 9" xfId="30584"/>
    <cellStyle name="常规 4 11 3" xfId="30585"/>
    <cellStyle name="常规 4 11 3 2" xfId="30586"/>
    <cellStyle name="常规 4 11 3 2 2" xfId="30588"/>
    <cellStyle name="常规 4 11 3 2 2 2" xfId="30589"/>
    <cellStyle name="常规 4 11 3 2 3" xfId="30590"/>
    <cellStyle name="常规 4 11 3 2 4" xfId="30591"/>
    <cellStyle name="常规 4 11 3 3" xfId="30593"/>
    <cellStyle name="常规 4 11 3 3 2" xfId="30595"/>
    <cellStyle name="常规 4 11 3 4" xfId="30596"/>
    <cellStyle name="常规 4 11 3 5" xfId="30597"/>
    <cellStyle name="常规 4 11 3 6" xfId="18842"/>
    <cellStyle name="常规 4 11 4" xfId="30598"/>
    <cellStyle name="常规 4 11 4 2" xfId="30599"/>
    <cellStyle name="常规 4 11 4 2 2" xfId="30600"/>
    <cellStyle name="常规 4 11 4 3" xfId="30601"/>
    <cellStyle name="常规 4 11 4 4" xfId="30602"/>
    <cellStyle name="常规 4 11 5" xfId="30603"/>
    <cellStyle name="常规 4 11 5 2" xfId="30137"/>
    <cellStyle name="常规 4 11 5 2 2" xfId="30604"/>
    <cellStyle name="常规 4 11 5 3" xfId="24500"/>
    <cellStyle name="常规 4 11 5 4" xfId="30139"/>
    <cellStyle name="常规 4 11 6" xfId="30605"/>
    <cellStyle name="常规 4 11 6 2" xfId="30606"/>
    <cellStyle name="常规 4 11 7" xfId="30607"/>
    <cellStyle name="常规 4 11 7 2" xfId="30608"/>
    <cellStyle name="常规 4 11 8" xfId="30609"/>
    <cellStyle name="常规 4 11 9" xfId="30610"/>
    <cellStyle name="常规 4 12" xfId="7159"/>
    <cellStyle name="常规 4 12 10" xfId="30611"/>
    <cellStyle name="常规 4 12 2" xfId="30612"/>
    <cellStyle name="常规 4 12 2 2" xfId="30614"/>
    <cellStyle name="常规 4 12 2 2 2" xfId="30616"/>
    <cellStyle name="常规 4 12 2 2 2 2" xfId="30617"/>
    <cellStyle name="常规 4 12 2 2 2 2 2" xfId="30618"/>
    <cellStyle name="常规 4 12 2 2 2 2 2 2" xfId="11926"/>
    <cellStyle name="常规 4 12 2 2 2 2 3" xfId="30620"/>
    <cellStyle name="常规 4 12 2 2 2 2 4" xfId="30622"/>
    <cellStyle name="常规 4 12 2 2 2 3" xfId="30624"/>
    <cellStyle name="常规 4 12 2 2 2 3 2" xfId="30625"/>
    <cellStyle name="常规 4 12 2 2 2 4" xfId="30627"/>
    <cellStyle name="常规 4 12 2 2 2 4 2" xfId="28188"/>
    <cellStyle name="常规 4 12 2 2 2 5" xfId="30629"/>
    <cellStyle name="常规 4 12 2 2 2 6" xfId="30631"/>
    <cellStyle name="常规 4 12 2 2 3" xfId="30632"/>
    <cellStyle name="常规 4 12 2 2 3 2" xfId="30633"/>
    <cellStyle name="常规 4 12 2 2 3 2 2" xfId="30634"/>
    <cellStyle name="常规 4 12 2 2 3 3" xfId="30636"/>
    <cellStyle name="常规 4 12 2 2 3 4" xfId="18761"/>
    <cellStyle name="常规 4 12 2 2 4" xfId="30637"/>
    <cellStyle name="常规 4 12 2 2 4 2" xfId="8798"/>
    <cellStyle name="常规 4 12 2 2 4 2 2" xfId="30640"/>
    <cellStyle name="常规 4 12 2 2 4 3" xfId="8801"/>
    <cellStyle name="常规 4 12 2 2 4 4" xfId="18768"/>
    <cellStyle name="常规 4 12 2 2 5" xfId="30642"/>
    <cellStyle name="常规 4 12 2 2 5 2" xfId="8841"/>
    <cellStyle name="常规 4 12 2 2 6" xfId="30644"/>
    <cellStyle name="常规 4 12 2 2 6 2" xfId="30646"/>
    <cellStyle name="常规 4 12 2 2 7" xfId="30648"/>
    <cellStyle name="常规 4 12 2 2 8" xfId="30650"/>
    <cellStyle name="常规 4 12 2 2 9" xfId="30652"/>
    <cellStyle name="常规 4 12 2 3" xfId="30655"/>
    <cellStyle name="常规 4 12 2 3 2" xfId="30656"/>
    <cellStyle name="常规 4 12 2 3 2 2" xfId="30657"/>
    <cellStyle name="常规 4 12 2 3 2 2 2" xfId="30658"/>
    <cellStyle name="常规 4 12 2 3 2 3" xfId="8869"/>
    <cellStyle name="常规 4 12 2 3 2 4" xfId="9065"/>
    <cellStyle name="常规 4 12 2 3 3" xfId="30659"/>
    <cellStyle name="常规 4 12 2 3 3 2" xfId="30660"/>
    <cellStyle name="常规 4 12 2 3 4" xfId="30661"/>
    <cellStyle name="常规 4 12 2 3 5" xfId="30663"/>
    <cellStyle name="常规 4 12 2 3 6" xfId="30665"/>
    <cellStyle name="常规 4 12 2 4" xfId="30667"/>
    <cellStyle name="常规 4 12 2 4 2" xfId="30668"/>
    <cellStyle name="常规 4 12 2 4 2 2" xfId="30669"/>
    <cellStyle name="常规 4 12 2 4 3" xfId="30670"/>
    <cellStyle name="常规 4 12 2 4 4" xfId="30671"/>
    <cellStyle name="常规 4 12 2 5" xfId="30673"/>
    <cellStyle name="常规 4 12 2 5 2" xfId="30674"/>
    <cellStyle name="常规 4 12 2 5 2 2" xfId="30675"/>
    <cellStyle name="常规 4 12 2 5 3" xfId="1751"/>
    <cellStyle name="常规 4 12 2 5 4" xfId="1773"/>
    <cellStyle name="常规 4 12 2 6" xfId="30676"/>
    <cellStyle name="常规 4 12 2 6 2" xfId="30677"/>
    <cellStyle name="常规 4 12 2 7" xfId="30678"/>
    <cellStyle name="常规 4 12 2 7 2" xfId="30679"/>
    <cellStyle name="常规 4 12 2 8" xfId="23973"/>
    <cellStyle name="常规 4 12 2 9" xfId="30680"/>
    <cellStyle name="常规 4 12 3" xfId="30682"/>
    <cellStyle name="常规 4 12 3 2" xfId="30684"/>
    <cellStyle name="常规 4 12 3 2 2" xfId="30685"/>
    <cellStyle name="常规 4 12 3 2 2 2" xfId="30686"/>
    <cellStyle name="常规 4 12 3 2 2 2 2" xfId="30687"/>
    <cellStyle name="常规 4 12 3 2 2 3" xfId="30688"/>
    <cellStyle name="常规 4 12 3 2 2 4" xfId="30690"/>
    <cellStyle name="常规 4 12 3 2 3" xfId="30692"/>
    <cellStyle name="常规 4 12 3 2 3 2" xfId="30693"/>
    <cellStyle name="常规 4 12 3 2 4" xfId="30694"/>
    <cellStyle name="常规 4 12 3 2 4 2" xfId="8958"/>
    <cellStyle name="常规 4 12 3 2 5" xfId="30696"/>
    <cellStyle name="常规 4 12 3 2 6" xfId="30698"/>
    <cellStyle name="常规 4 12 3 3" xfId="30700"/>
    <cellStyle name="常规 4 12 3 3 2" xfId="30701"/>
    <cellStyle name="常规 4 12 3 3 2 2" xfId="30702"/>
    <cellStyle name="常规 4 12 3 3 3" xfId="30703"/>
    <cellStyle name="常规 4 12 3 3 4" xfId="30704"/>
    <cellStyle name="常规 4 12 3 4" xfId="30706"/>
    <cellStyle name="常规 4 12 3 4 2" xfId="30707"/>
    <cellStyle name="常规 4 12 3 4 2 2" xfId="30708"/>
    <cellStyle name="常规 4 12 3 4 3" xfId="30709"/>
    <cellStyle name="常规 4 12 3 4 4" xfId="30710"/>
    <cellStyle name="常规 4 12 3 5" xfId="30712"/>
    <cellStyle name="常规 4 12 3 5 2" xfId="30713"/>
    <cellStyle name="常规 4 12 3 6" xfId="30714"/>
    <cellStyle name="常规 4 12 3 6 2" xfId="24764"/>
    <cellStyle name="常规 4 12 3 7" xfId="30715"/>
    <cellStyle name="常规 4 12 3 8" xfId="30716"/>
    <cellStyle name="常规 4 12 3 9" xfId="30717"/>
    <cellStyle name="常规 4 12 4" xfId="30719"/>
    <cellStyle name="常规 4 12 4 2" xfId="30721"/>
    <cellStyle name="常规 4 12 4 2 2" xfId="24089"/>
    <cellStyle name="常规 4 12 4 2 2 2" xfId="24092"/>
    <cellStyle name="常规 4 12 4 2 3" xfId="24106"/>
    <cellStyle name="常规 4 12 4 2 4" xfId="24110"/>
    <cellStyle name="常规 4 12 4 3" xfId="30722"/>
    <cellStyle name="常规 4 12 4 3 2" xfId="24495"/>
    <cellStyle name="常规 4 12 4 4" xfId="30723"/>
    <cellStyle name="常规 4 12 4 5" xfId="30724"/>
    <cellStyle name="常规 4 12 4 6" xfId="30725"/>
    <cellStyle name="常规 4 12 5" xfId="30726"/>
    <cellStyle name="常规 4 12 5 2" xfId="30729"/>
    <cellStyle name="常规 4 12 5 2 2" xfId="29119"/>
    <cellStyle name="常规 4 12 5 3" xfId="30731"/>
    <cellStyle name="常规 4 12 5 4" xfId="30732"/>
    <cellStyle name="常规 4 12 6" xfId="30733"/>
    <cellStyle name="常规 4 12 6 2" xfId="30735"/>
    <cellStyle name="常规 4 12 6 2 2" xfId="8399"/>
    <cellStyle name="常规 4 12 6 3" xfId="30736"/>
    <cellStyle name="常规 4 12 6 4" xfId="30737"/>
    <cellStyle name="常规 4 12 7" xfId="30738"/>
    <cellStyle name="常规 4 12 7 2" xfId="30740"/>
    <cellStyle name="常规 4 12 8" xfId="30741"/>
    <cellStyle name="常规 4 12 8 2" xfId="30743"/>
    <cellStyle name="常规 4 12 9" xfId="30744"/>
    <cellStyle name="常规 4 13" xfId="27451"/>
    <cellStyle name="常规 4 13 2" xfId="30745"/>
    <cellStyle name="常规 4 13 2 2" xfId="30747"/>
    <cellStyle name="常规 4 13 2 2 2" xfId="30748"/>
    <cellStyle name="常规 4 13 2 2 2 2" xfId="30749"/>
    <cellStyle name="常规 4 13 2 2 2 2 2" xfId="30750"/>
    <cellStyle name="常规 4 13 2 2 2 3" xfId="30751"/>
    <cellStyle name="常规 4 13 2 2 2 4" xfId="30752"/>
    <cellStyle name="常规 4 13 2 2 3" xfId="30753"/>
    <cellStyle name="常规 4 13 2 2 3 2" xfId="30754"/>
    <cellStyle name="常规 4 13 2 2 4" xfId="30755"/>
    <cellStyle name="常规 4 13 2 2 5" xfId="30757"/>
    <cellStyle name="常规 4 13 2 3" xfId="30760"/>
    <cellStyle name="常规 4 13 2 3 2" xfId="30761"/>
    <cellStyle name="常规 4 13 2 3 2 2" xfId="30762"/>
    <cellStyle name="常规 4 13 2 3 3" xfId="30763"/>
    <cellStyle name="常规 4 13 2 3 4" xfId="30764"/>
    <cellStyle name="常规 4 13 2 4" xfId="3846"/>
    <cellStyle name="常规 4 13 2 4 2" xfId="30766"/>
    <cellStyle name="常规 4 13 2 5" xfId="30767"/>
    <cellStyle name="常规 4 13 2 6" xfId="30768"/>
    <cellStyle name="常规 4 13 2 7" xfId="30769"/>
    <cellStyle name="常规 4 13 3" xfId="30770"/>
    <cellStyle name="常规 4 13 3 2" xfId="30771"/>
    <cellStyle name="常规 4 13 3 2 2" xfId="11767"/>
    <cellStyle name="常规 4 13 3 3" xfId="30772"/>
    <cellStyle name="常规 4 13 3 4" xfId="30773"/>
    <cellStyle name="常规 4 13 3 5" xfId="30774"/>
    <cellStyle name="常规 4 13 4" xfId="30775"/>
    <cellStyle name="常规 4 13 4 2" xfId="30776"/>
    <cellStyle name="常规 4 13 4 2 2" xfId="12316"/>
    <cellStyle name="常规 4 13 4 3" xfId="30777"/>
    <cellStyle name="常规 4 13 4 4" xfId="30778"/>
    <cellStyle name="常规 4 13 5" xfId="30779"/>
    <cellStyle name="常规 4 13 6" xfId="30781"/>
    <cellStyle name="常规 4 14" xfId="7789"/>
    <cellStyle name="常规 4 14 2" xfId="30782"/>
    <cellStyle name="常规 4 14 2 2" xfId="30783"/>
    <cellStyle name="常规 4 14 2 2 2" xfId="30784"/>
    <cellStyle name="常规 4 14 2 2 2 2" xfId="16449"/>
    <cellStyle name="常规 4 14 2 2 2 2 2" xfId="30785"/>
    <cellStyle name="常规 4 14 2 2 2 3" xfId="16451"/>
    <cellStyle name="常规 4 14 2 2 2 4" xfId="30788"/>
    <cellStyle name="常规 4 14 2 2 3" xfId="30789"/>
    <cellStyle name="常规 4 14 2 2 3 2" xfId="30790"/>
    <cellStyle name="常规 4 14 2 2 4" xfId="30792"/>
    <cellStyle name="常规 4 14 2 2 5" xfId="27914"/>
    <cellStyle name="常规 4 14 2 3" xfId="30794"/>
    <cellStyle name="常规 4 14 2 3 2" xfId="503"/>
    <cellStyle name="常规 4 14 2 3 2 2" xfId="508"/>
    <cellStyle name="常规 4 14 2 3 3" xfId="512"/>
    <cellStyle name="常规 4 14 2 3 4" xfId="525"/>
    <cellStyle name="常规 4 14 2 4" xfId="30795"/>
    <cellStyle name="常规 4 14 2 4 2" xfId="109"/>
    <cellStyle name="常规 4 14 2 4 2 2" xfId="554"/>
    <cellStyle name="常规 4 14 2 4 3" xfId="234"/>
    <cellStyle name="常规 4 14 2 4 4" xfId="30796"/>
    <cellStyle name="常规 4 14 2 5" xfId="18336"/>
    <cellStyle name="常规 4 14 2 6" xfId="18339"/>
    <cellStyle name="常规 4 14 2 7" xfId="18341"/>
    <cellStyle name="常规 4 14 3" xfId="30798"/>
    <cellStyle name="常规 4 14 3 2" xfId="30800"/>
    <cellStyle name="常规 4 14 3 2 2" xfId="30801"/>
    <cellStyle name="常规 4 14 3 2 2 2" xfId="30802"/>
    <cellStyle name="常规 4 14 3 2 2 2 2" xfId="30803"/>
    <cellStyle name="常规 4 14 3 2 2 3" xfId="1951"/>
    <cellStyle name="常规 4 14 3 2 2 4" xfId="30804"/>
    <cellStyle name="常规 4 14 3 2 3" xfId="30805"/>
    <cellStyle name="常规 4 14 3 2 3 2" xfId="30806"/>
    <cellStyle name="常规 4 14 3 2 4" xfId="30807"/>
    <cellStyle name="常规 4 14 3 2 5" xfId="27988"/>
    <cellStyle name="常规 4 14 3 3" xfId="30809"/>
    <cellStyle name="常规 4 14 3 3 2" xfId="30810"/>
    <cellStyle name="常规 4 14 3 3 2 2" xfId="30811"/>
    <cellStyle name="常规 4 14 3 3 3" xfId="16503"/>
    <cellStyle name="常规 4 14 3 3 4" xfId="30812"/>
    <cellStyle name="常规 4 14 3 4" xfId="30814"/>
    <cellStyle name="常规 4 14 3 4 2" xfId="30815"/>
    <cellStyle name="常规 4 14 3 5" xfId="5845"/>
    <cellStyle name="常规 4 14 3 6" xfId="18344"/>
    <cellStyle name="常规 4 14 3 7" xfId="18346"/>
    <cellStyle name="常规 4 14 4" xfId="30816"/>
    <cellStyle name="常规 4 14 4 2" xfId="30817"/>
    <cellStyle name="常规 4 14 4 2 2" xfId="30818"/>
    <cellStyle name="常规 4 14 4 3" xfId="30819"/>
    <cellStyle name="常规 4 14 4 4" xfId="30820"/>
    <cellStyle name="常规 4 14 5" xfId="30821"/>
    <cellStyle name="常规 4 14 5 2" xfId="30822"/>
    <cellStyle name="常规 4 14 5 2 2" xfId="30824"/>
    <cellStyle name="常规 4 14 5 3" xfId="30825"/>
    <cellStyle name="常规 4 14 5 4" xfId="30826"/>
    <cellStyle name="常规 4 14 6" xfId="30827"/>
    <cellStyle name="常规 4 14 7" xfId="30828"/>
    <cellStyle name="常规 4 14 8" xfId="30829"/>
    <cellStyle name="常规 4 15" xfId="5104"/>
    <cellStyle name="常规 4 15 2" xfId="5110"/>
    <cellStyle name="常规 4 15 2 2" xfId="5116"/>
    <cellStyle name="常规 4 15 2 2 2" xfId="2628"/>
    <cellStyle name="常规 4 15 2 2 2 2" xfId="21788"/>
    <cellStyle name="常规 4 15 2 2 3" xfId="30830"/>
    <cellStyle name="常规 4 15 2 2 4" xfId="30833"/>
    <cellStyle name="常规 4 15 2 3" xfId="5122"/>
    <cellStyle name="常规 4 15 2 3 2" xfId="30835"/>
    <cellStyle name="常规 4 15 2 4" xfId="30836"/>
    <cellStyle name="常规 4 15 2 5" xfId="18458"/>
    <cellStyle name="常规 4 15 3" xfId="5126"/>
    <cellStyle name="常规 4 15 3 2" xfId="5131"/>
    <cellStyle name="常规 4 15 3 2 2" xfId="29130"/>
    <cellStyle name="常规 4 15 3 3" xfId="30837"/>
    <cellStyle name="常规 4 15 3 4" xfId="30838"/>
    <cellStyle name="常规 4 15 4" xfId="5137"/>
    <cellStyle name="常规 4 15 4 2" xfId="4668"/>
    <cellStyle name="常规 4 15 4 2 2" xfId="29835"/>
    <cellStyle name="常规 4 15 4 3" xfId="30839"/>
    <cellStyle name="常规 4 15 4 4" xfId="30840"/>
    <cellStyle name="常规 4 15 5" xfId="5143"/>
    <cellStyle name="常规 4 15 5 2" xfId="30841"/>
    <cellStyle name="常规 4 15 6" xfId="30843"/>
    <cellStyle name="常规 4 15 7" xfId="30844"/>
    <cellStyle name="常规 4 15 8" xfId="30845"/>
    <cellStyle name="常规 4 16" xfId="5150"/>
    <cellStyle name="常规 4 16 2" xfId="5157"/>
    <cellStyle name="常规 4 16 2 2" xfId="5163"/>
    <cellStyle name="常规 4 16 2 2 2" xfId="13336"/>
    <cellStyle name="常规 4 16 2 3" xfId="30846"/>
    <cellStyle name="常规 4 16 2 4" xfId="30847"/>
    <cellStyle name="常规 4 16 3" xfId="5168"/>
    <cellStyle name="常规 4 16 3 2" xfId="30848"/>
    <cellStyle name="常规 4 16 4" xfId="30849"/>
    <cellStyle name="常规 4 16 5" xfId="30850"/>
    <cellStyle name="常规 4 16 6" xfId="30851"/>
    <cellStyle name="常规 4 17" xfId="5174"/>
    <cellStyle name="常规 4 17 2" xfId="5179"/>
    <cellStyle name="常规 4 17 2 2" xfId="5184"/>
    <cellStyle name="常规 4 17 3" xfId="5188"/>
    <cellStyle name="常规 4 17 4" xfId="20071"/>
    <cellStyle name="常规 4 18" xfId="3979"/>
    <cellStyle name="常规 4 18 2" xfId="5193"/>
    <cellStyle name="常规 4 18 2 2" xfId="30852"/>
    <cellStyle name="常规 4 18 3" xfId="30853"/>
    <cellStyle name="常规 4 18 4" xfId="12144"/>
    <cellStyle name="常规 4 19" xfId="1406"/>
    <cellStyle name="常规 4 19 2" xfId="5199"/>
    <cellStyle name="常规 4 2" xfId="30854"/>
    <cellStyle name="常规 4 2 10" xfId="30855"/>
    <cellStyle name="常规 4 2 10 2" xfId="30856"/>
    <cellStyle name="常规 4 2 11" xfId="30857"/>
    <cellStyle name="常规 4 2 11 2" xfId="30859"/>
    <cellStyle name="常规 4 2 12" xfId="30860"/>
    <cellStyle name="常规 4 2 13" xfId="21634"/>
    <cellStyle name="常规 4 2 14" xfId="21637"/>
    <cellStyle name="常规 4 2 2" xfId="6570"/>
    <cellStyle name="常规 4 2 2 10" xfId="4716"/>
    <cellStyle name="常规 4 2 2 11" xfId="6101"/>
    <cellStyle name="常规 4 2 2 2" xfId="30861"/>
    <cellStyle name="常规 4 2 2 2 2" xfId="29064"/>
    <cellStyle name="常规 4 2 2 2 2 2" xfId="30862"/>
    <cellStyle name="常规 4 2 2 2 2 2 2" xfId="23404"/>
    <cellStyle name="常规 4 2 2 2 2 2 2 2" xfId="30863"/>
    <cellStyle name="常规 4 2 2 2 2 2 2 2 2" xfId="30864"/>
    <cellStyle name="常规 4 2 2 2 2 2 2 3" xfId="30865"/>
    <cellStyle name="常规 4 2 2 2 2 2 2 4" xfId="26825"/>
    <cellStyle name="常规 4 2 2 2 2 2 3" xfId="30866"/>
    <cellStyle name="常规 4 2 2 2 2 2 3 2" xfId="30867"/>
    <cellStyle name="常规 4 2 2 2 2 2 4" xfId="19706"/>
    <cellStyle name="常规 4 2 2 2 2 2 4 2" xfId="19710"/>
    <cellStyle name="常规 4 2 2 2 2 2 5" xfId="19713"/>
    <cellStyle name="常规 4 2 2 2 2 2 6" xfId="19717"/>
    <cellStyle name="常规 4 2 2 2 2 3" xfId="30868"/>
    <cellStyle name="常规 4 2 2 2 2 3 2" xfId="30869"/>
    <cellStyle name="常规 4 2 2 2 2 3 2 2" xfId="27334"/>
    <cellStyle name="常规 4 2 2 2 2 3 3" xfId="23812"/>
    <cellStyle name="常规 4 2 2 2 2 3 4" xfId="19723"/>
    <cellStyle name="常规 4 2 2 2 2 4" xfId="30870"/>
    <cellStyle name="常规 4 2 2 2 2 4 2" xfId="30871"/>
    <cellStyle name="常规 4 2 2 2 2 4 2 2" xfId="26740"/>
    <cellStyle name="常规 4 2 2 2 2 4 3" xfId="970"/>
    <cellStyle name="常规 4 2 2 2 2 4 4" xfId="24026"/>
    <cellStyle name="常规 4 2 2 2 2 5" xfId="22279"/>
    <cellStyle name="常规 4 2 2 2 2 5 2" xfId="30872"/>
    <cellStyle name="常规 4 2 2 2 2 6" xfId="30874"/>
    <cellStyle name="常规 4 2 2 2 2 6 2" xfId="26601"/>
    <cellStyle name="常规 4 2 2 2 2 7" xfId="23160"/>
    <cellStyle name="常规 4 2 2 2 2 8" xfId="23163"/>
    <cellStyle name="常规 4 2 2 2 2 9" xfId="23165"/>
    <cellStyle name="常规 4 2 2 2 3" xfId="29066"/>
    <cellStyle name="常规 4 2 2 2 3 2" xfId="30875"/>
    <cellStyle name="常规 4 2 2 2 3 2 2" xfId="7690"/>
    <cellStyle name="常规 4 2 2 2 3 2 2 2" xfId="30876"/>
    <cellStyle name="常规 4 2 2 2 3 2 3" xfId="30878"/>
    <cellStyle name="常规 4 2 2 2 3 2 4" xfId="30879"/>
    <cellStyle name="常规 4 2 2 2 3 3" xfId="30880"/>
    <cellStyle name="常规 4 2 2 2 3 3 2" xfId="7696"/>
    <cellStyle name="常规 4 2 2 2 3 4" xfId="30881"/>
    <cellStyle name="常规 4 2 2 2 3 5" xfId="30882"/>
    <cellStyle name="常规 4 2 2 2 3 6" xfId="30883"/>
    <cellStyle name="常规 4 2 2 2 4" xfId="30884"/>
    <cellStyle name="常规 4 2 2 2 4 2" xfId="30885"/>
    <cellStyle name="常规 4 2 2 2 4 2 2" xfId="1228"/>
    <cellStyle name="常规 4 2 2 2 4 3" xfId="30886"/>
    <cellStyle name="常规 4 2 2 2 4 4" xfId="30887"/>
    <cellStyle name="常规 4 2 2 2 5" xfId="30888"/>
    <cellStyle name="常规 4 2 2 2 5 2" xfId="30889"/>
    <cellStyle name="常规 4 2 2 2 5 2 2" xfId="7846"/>
    <cellStyle name="常规 4 2 2 2 5 3" xfId="30186"/>
    <cellStyle name="常规 4 2 2 2 5 4" xfId="30188"/>
    <cellStyle name="常规 4 2 2 2 6" xfId="30890"/>
    <cellStyle name="常规 4 2 2 2 6 2" xfId="30891"/>
    <cellStyle name="常规 4 2 2 2 7" xfId="30892"/>
    <cellStyle name="常规 4 2 2 2 7 2" xfId="30893"/>
    <cellStyle name="常规 4 2 2 2 8" xfId="23653"/>
    <cellStyle name="常规 4 2 2 2 9" xfId="30894"/>
    <cellStyle name="常规 4 2 2 3" xfId="14658"/>
    <cellStyle name="常规 4 2 2 3 10" xfId="28770"/>
    <cellStyle name="常规 4 2 2 3 2" xfId="30895"/>
    <cellStyle name="常规 4 2 2 3 2 2" xfId="30896"/>
    <cellStyle name="常规 4 2 2 3 2 2 2" xfId="16754"/>
    <cellStyle name="常规 4 2 2 3 2 2 2 2" xfId="26723"/>
    <cellStyle name="常规 4 2 2 3 2 2 2 2 2" xfId="30897"/>
    <cellStyle name="常规 4 2 2 3 2 2 2 2 2 2" xfId="30898"/>
    <cellStyle name="常规 4 2 2 3 2 2 2 2 3" xfId="30899"/>
    <cellStyle name="常规 4 2 2 3 2 2 2 2 4" xfId="30900"/>
    <cellStyle name="常规 4 2 2 3 2 2 2 3" xfId="26726"/>
    <cellStyle name="常规 4 2 2 3 2 2 2 3 2" xfId="30902"/>
    <cellStyle name="常规 4 2 2 3 2 2 2 4" xfId="26912"/>
    <cellStyle name="常规 4 2 2 3 2 2 2 4 2" xfId="30903"/>
    <cellStyle name="常规 4 2 2 3 2 2 2 5" xfId="1776"/>
    <cellStyle name="常规 4 2 2 3 2 2 2 6" xfId="30904"/>
    <cellStyle name="常规 4 2 2 3 2 2 3" xfId="16756"/>
    <cellStyle name="常规 4 2 2 3 2 2 3 2" xfId="30905"/>
    <cellStyle name="常规 4 2 2 3 2 2 3 2 2" xfId="30906"/>
    <cellStyle name="常规 4 2 2 3 2 2 3 3" xfId="30907"/>
    <cellStyle name="常规 4 2 2 3 2 2 3 4" xfId="30908"/>
    <cellStyle name="常规 4 2 2 3 2 2 4" xfId="20133"/>
    <cellStyle name="常规 4 2 2 3 2 2 4 2" xfId="20137"/>
    <cellStyle name="常规 4 2 2 3 2 2 4 2 2" xfId="20139"/>
    <cellStyle name="常规 4 2 2 3 2 2 4 3" xfId="20184"/>
    <cellStyle name="常规 4 2 2 3 2 2 4 4" xfId="20197"/>
    <cellStyle name="常规 4 2 2 3 2 2 5" xfId="20214"/>
    <cellStyle name="常规 4 2 2 3 2 2 5 2" xfId="20216"/>
    <cellStyle name="常规 4 2 2 3 2 2 6" xfId="20235"/>
    <cellStyle name="常规 4 2 2 3 2 2 6 2" xfId="20238"/>
    <cellStyle name="常规 4 2 2 3 2 2 7" xfId="10565"/>
    <cellStyle name="常规 4 2 2 3 2 2 8" xfId="20249"/>
    <cellStyle name="常规 4 2 2 3 2 2 9" xfId="20255"/>
    <cellStyle name="常规 4 2 2 3 2 3" xfId="30909"/>
    <cellStyle name="常规 4 2 2 3 2 3 2" xfId="30910"/>
    <cellStyle name="常规 4 2 2 3 2 3 2 2" xfId="28919"/>
    <cellStyle name="常规 4 2 2 3 2 3 2 2 2" xfId="30911"/>
    <cellStyle name="常规 4 2 2 3 2 3 2 3" xfId="30912"/>
    <cellStyle name="常规 4 2 2 3 2 3 2 4" xfId="30913"/>
    <cellStyle name="常规 4 2 2 3 2 3 3" xfId="28966"/>
    <cellStyle name="常规 4 2 2 3 2 3 3 2" xfId="28969"/>
    <cellStyle name="常规 4 2 2 3 2 3 4" xfId="20264"/>
    <cellStyle name="常规 4 2 2 3 2 3 5" xfId="20283"/>
    <cellStyle name="常规 4 2 2 3 2 3 6" xfId="3471"/>
    <cellStyle name="常规 4 2 2 3 2 4" xfId="30914"/>
    <cellStyle name="常规 4 2 2 3 2 4 2" xfId="25703"/>
    <cellStyle name="常规 4 2 2 3 2 4 2 2" xfId="26767"/>
    <cellStyle name="常规 4 2 2 3 2 4 3" xfId="6093"/>
    <cellStyle name="常规 4 2 2 3 2 4 4" xfId="20304"/>
    <cellStyle name="常规 4 2 2 3 2 5" xfId="30915"/>
    <cellStyle name="常规 4 2 2 3 2 5 2" xfId="30916"/>
    <cellStyle name="常规 4 2 2 3 2 5 2 2" xfId="26790"/>
    <cellStyle name="常规 4 2 2 3 2 5 3" xfId="29097"/>
    <cellStyle name="常规 4 2 2 3 2 5 4" xfId="20339"/>
    <cellStyle name="常规 4 2 2 3 2 6" xfId="10898"/>
    <cellStyle name="常规 4 2 2 3 2 6 2" xfId="10901"/>
    <cellStyle name="常规 4 2 2 3 2 7" xfId="10947"/>
    <cellStyle name="常规 4 2 2 3 2 7 2" xfId="10950"/>
    <cellStyle name="常规 4 2 2 3 2 8" xfId="10967"/>
    <cellStyle name="常规 4 2 2 3 2 9" xfId="10969"/>
    <cellStyle name="常规 4 2 2 3 3" xfId="30917"/>
    <cellStyle name="常规 4 2 2 3 3 2" xfId="30918"/>
    <cellStyle name="常规 4 2 2 3 3 2 2" xfId="30919"/>
    <cellStyle name="常规 4 2 2 3 3 2 2 2" xfId="27825"/>
    <cellStyle name="常规 4 2 2 3 3 2 2 2 2" xfId="30921"/>
    <cellStyle name="常规 4 2 2 3 3 2 2 3" xfId="27828"/>
    <cellStyle name="常规 4 2 2 3 3 2 2 4" xfId="30923"/>
    <cellStyle name="常规 4 2 2 3 3 2 3" xfId="30925"/>
    <cellStyle name="常规 4 2 2 3 3 2 3 2" xfId="4925"/>
    <cellStyle name="常规 4 2 2 3 3 2 4" xfId="20611"/>
    <cellStyle name="常规 4 2 2 3 3 2 4 2" xfId="20614"/>
    <cellStyle name="常规 4 2 2 3 3 2 5" xfId="20689"/>
    <cellStyle name="常规 4 2 2 3 3 2 6" xfId="20711"/>
    <cellStyle name="常规 4 2 2 3 3 3" xfId="30926"/>
    <cellStyle name="常规 4 2 2 3 3 3 2" xfId="30927"/>
    <cellStyle name="常规 4 2 2 3 3 3 2 2" xfId="20379"/>
    <cellStyle name="常规 4 2 2 3 3 3 3" xfId="29136"/>
    <cellStyle name="常规 4 2 2 3 3 3 4" xfId="20734"/>
    <cellStyle name="常规 4 2 2 3 3 4" xfId="30928"/>
    <cellStyle name="常规 4 2 2 3 3 4 2" xfId="30929"/>
    <cellStyle name="常规 4 2 2 3 3 4 2 2" xfId="20488"/>
    <cellStyle name="常规 4 2 2 3 3 4 3" xfId="29291"/>
    <cellStyle name="常规 4 2 2 3 3 4 4" xfId="20785"/>
    <cellStyle name="常规 4 2 2 3 3 5" xfId="30930"/>
    <cellStyle name="常规 4 2 2 3 3 5 2" xfId="30931"/>
    <cellStyle name="常规 4 2 2 3 3 6" xfId="10987"/>
    <cellStyle name="常规 4 2 2 3 3 6 2" xfId="10736"/>
    <cellStyle name="常规 4 2 2 3 3 7" xfId="11273"/>
    <cellStyle name="常规 4 2 2 3 3 8" xfId="11340"/>
    <cellStyle name="常规 4 2 2 3 3 9" xfId="11438"/>
    <cellStyle name="常规 4 2 2 3 4" xfId="30932"/>
    <cellStyle name="常规 4 2 2 3 4 2" xfId="30933"/>
    <cellStyle name="常规 4 2 2 3 4 2 2" xfId="30934"/>
    <cellStyle name="常规 4 2 2 3 4 2 2 2" xfId="30935"/>
    <cellStyle name="常规 4 2 2 3 4 2 3" xfId="30937"/>
    <cellStyle name="常规 4 2 2 3 4 2 4" xfId="30938"/>
    <cellStyle name="常规 4 2 2 3 4 3" xfId="30939"/>
    <cellStyle name="常规 4 2 2 3 4 3 2" xfId="30940"/>
    <cellStyle name="常规 4 2 2 3 4 4" xfId="30941"/>
    <cellStyle name="常规 4 2 2 3 4 5" xfId="30942"/>
    <cellStyle name="常规 4 2 2 3 4 6" xfId="11607"/>
    <cellStyle name="常规 4 2 2 3 5" xfId="30943"/>
    <cellStyle name="常规 4 2 2 3 5 2" xfId="30944"/>
    <cellStyle name="常规 4 2 2 3 5 2 2" xfId="30945"/>
    <cellStyle name="常规 4 2 2 3 5 3" xfId="30946"/>
    <cellStyle name="常规 4 2 2 3 5 4" xfId="30947"/>
    <cellStyle name="常规 4 2 2 3 6" xfId="30948"/>
    <cellStyle name="常规 4 2 2 3 6 2" xfId="30949"/>
    <cellStyle name="常规 4 2 2 3 6 2 2" xfId="30950"/>
    <cellStyle name="常规 4 2 2 3 6 3" xfId="13910"/>
    <cellStyle name="常规 4 2 2 3 6 4" xfId="30951"/>
    <cellStyle name="常规 4 2 2 3 7" xfId="25747"/>
    <cellStyle name="常规 4 2 2 3 7 2" xfId="30952"/>
    <cellStyle name="常规 4 2 2 3 8" xfId="30953"/>
    <cellStyle name="常规 4 2 2 3 8 2" xfId="24996"/>
    <cellStyle name="常规 4 2 2 3 9" xfId="30954"/>
    <cellStyle name="常规 4 2 2 4" xfId="14660"/>
    <cellStyle name="常规 4 2 2 4 2" xfId="30955"/>
    <cellStyle name="常规 4 2 2 4 2 2" xfId="30956"/>
    <cellStyle name="常规 4 2 2 4 2 2 2" xfId="18994"/>
    <cellStyle name="常规 4 2 2 4 2 2 2 2" xfId="2438"/>
    <cellStyle name="常规 4 2 2 4 2 2 3" xfId="30957"/>
    <cellStyle name="常规 4 2 2 4 2 2 4" xfId="30959"/>
    <cellStyle name="常规 4 2 2 4 2 3" xfId="30961"/>
    <cellStyle name="常规 4 2 2 4 2 3 2" xfId="5455"/>
    <cellStyle name="常规 4 2 2 4 2 4" xfId="30962"/>
    <cellStyle name="常规 4 2 2 4 2 4 2" xfId="30963"/>
    <cellStyle name="常规 4 2 2 4 2 5" xfId="28376"/>
    <cellStyle name="常规 4 2 2 4 2 6" xfId="11751"/>
    <cellStyle name="常规 4 2 2 4 3" xfId="30964"/>
    <cellStyle name="常规 4 2 2 4 3 2" xfId="30965"/>
    <cellStyle name="常规 4 2 2 4 3 2 2" xfId="30966"/>
    <cellStyle name="常规 4 2 2 4 3 3" xfId="30967"/>
    <cellStyle name="常规 4 2 2 4 3 4" xfId="30968"/>
    <cellStyle name="常规 4 2 2 4 4" xfId="30969"/>
    <cellStyle name="常规 4 2 2 4 4 2" xfId="30970"/>
    <cellStyle name="常规 4 2 2 4 4 2 2" xfId="30971"/>
    <cellStyle name="常规 4 2 2 4 4 3" xfId="30972"/>
    <cellStyle name="常规 4 2 2 4 4 4" xfId="30973"/>
    <cellStyle name="常规 4 2 2 4 5" xfId="30974"/>
    <cellStyle name="常规 4 2 2 4 5 2" xfId="30976"/>
    <cellStyle name="常规 4 2 2 4 6" xfId="30977"/>
    <cellStyle name="常规 4 2 2 4 6 2" xfId="30978"/>
    <cellStyle name="常规 4 2 2 4 7" xfId="30979"/>
    <cellStyle name="常规 4 2 2 4 8" xfId="30980"/>
    <cellStyle name="常规 4 2 2 4 9" xfId="30981"/>
    <cellStyle name="常规 4 2 2 5" xfId="30982"/>
    <cellStyle name="常规 4 2 2 5 2" xfId="17922"/>
    <cellStyle name="常规 4 2 2 5 2 2" xfId="17924"/>
    <cellStyle name="常规 4 2 2 5 2 2 2" xfId="30983"/>
    <cellStyle name="常规 4 2 2 5 2 3" xfId="30984"/>
    <cellStyle name="常规 4 2 2 5 2 4" xfId="30985"/>
    <cellStyle name="常规 4 2 2 5 3" xfId="17926"/>
    <cellStyle name="常规 4 2 2 5 3 2" xfId="30986"/>
    <cellStyle name="常规 4 2 2 5 4" xfId="15512"/>
    <cellStyle name="常规 4 2 2 5 5" xfId="30987"/>
    <cellStyle name="常规 4 2 2 5 6" xfId="30988"/>
    <cellStyle name="常规 4 2 2 6" xfId="30989"/>
    <cellStyle name="常规 4 2 2 6 2" xfId="17941"/>
    <cellStyle name="常规 4 2 2 6 2 2" xfId="30990"/>
    <cellStyle name="常规 4 2 2 6 3" xfId="17943"/>
    <cellStyle name="常规 4 2 2 6 4" xfId="30991"/>
    <cellStyle name="常规 4 2 2 7" xfId="30992"/>
    <cellStyle name="常规 4 2 2 7 2" xfId="23427"/>
    <cellStyle name="常规 4 2 2 7 2 2" xfId="30993"/>
    <cellStyle name="常规 4 2 2 7 3" xfId="23429"/>
    <cellStyle name="常规 4 2 2 7 4" xfId="30994"/>
    <cellStyle name="常规 4 2 2 8" xfId="18372"/>
    <cellStyle name="常规 4 2 2 8 2" xfId="18375"/>
    <cellStyle name="常规 4 2 2 9" xfId="5727"/>
    <cellStyle name="常规 4 2 2 9 2" xfId="5731"/>
    <cellStyle name="常规 4 2 3" xfId="7376"/>
    <cellStyle name="常规 4 2 3 2" xfId="5618"/>
    <cellStyle name="常规 4 2 3 2 2" xfId="28413"/>
    <cellStyle name="常规 4 2 3 2 2 2" xfId="28415"/>
    <cellStyle name="常规 4 2 3 2 2 2 2" xfId="28418"/>
    <cellStyle name="常规 4 2 3 2 2 2 2 2" xfId="28422"/>
    <cellStyle name="常规 4 2 3 2 2 2 3" xfId="28428"/>
    <cellStyle name="常规 4 2 3 2 2 2 4" xfId="23239"/>
    <cellStyle name="常规 4 2 3 2 2 3" xfId="22292"/>
    <cellStyle name="常规 4 2 3 2 2 3 2" xfId="28439"/>
    <cellStyle name="常规 4 2 3 2 2 4" xfId="28450"/>
    <cellStyle name="常规 4 2 3 2 2 4 2" xfId="28452"/>
    <cellStyle name="常规 4 2 3 2 2 5" xfId="28457"/>
    <cellStyle name="常规 4 2 3 2 2 6" xfId="28459"/>
    <cellStyle name="常规 4 2 3 2 3" xfId="28465"/>
    <cellStyle name="常规 4 2 3 2 3 2" xfId="28467"/>
    <cellStyle name="常规 4 2 3 2 3 2 2" xfId="8321"/>
    <cellStyle name="常规 4 2 3 2 3 3" xfId="28479"/>
    <cellStyle name="常规 4 2 3 2 3 4" xfId="28484"/>
    <cellStyle name="常规 4 2 3 2 4" xfId="28494"/>
    <cellStyle name="常规 4 2 3 2 4 2" xfId="28496"/>
    <cellStyle name="常规 4 2 3 2 4 2 2" xfId="28498"/>
    <cellStyle name="常规 4 2 3 2 4 3" xfId="28504"/>
    <cellStyle name="常规 4 2 3 2 4 4" xfId="12864"/>
    <cellStyle name="常规 4 2 3 2 5" xfId="25230"/>
    <cellStyle name="常规 4 2 3 2 5 2" xfId="25233"/>
    <cellStyle name="常规 4 2 3 2 6" xfId="25261"/>
    <cellStyle name="常规 4 2 3 2 6 2" xfId="25264"/>
    <cellStyle name="常规 4 2 3 2 7" xfId="25274"/>
    <cellStyle name="常规 4 2 3 2 8" xfId="25287"/>
    <cellStyle name="常规 4 2 3 2 9" xfId="25300"/>
    <cellStyle name="常规 4 2 3 3" xfId="28508"/>
    <cellStyle name="常规 4 2 3 3 2" xfId="17664"/>
    <cellStyle name="常规 4 2 3 3 2 2" xfId="28510"/>
    <cellStyle name="常规 4 2 3 3 2 2 2" xfId="22432"/>
    <cellStyle name="常规 4 2 3 3 2 3" xfId="28515"/>
    <cellStyle name="常规 4 2 3 3 2 4" xfId="28518"/>
    <cellStyle name="常规 4 2 3 3 3" xfId="17667"/>
    <cellStyle name="常规 4 2 3 3 3 2" xfId="16305"/>
    <cellStyle name="常规 4 2 3 3 4" xfId="28523"/>
    <cellStyle name="常规 4 2 3 3 5" xfId="25309"/>
    <cellStyle name="常规 4 2 3 3 6" xfId="25348"/>
    <cellStyle name="常规 4 2 3 4" xfId="28528"/>
    <cellStyle name="常规 4 2 3 4 2" xfId="28530"/>
    <cellStyle name="常规 4 2 3 4 2 2" xfId="12852"/>
    <cellStyle name="常规 4 2 3 4 3" xfId="28533"/>
    <cellStyle name="常规 4 2 3 4 4" xfId="28535"/>
    <cellStyle name="常规 4 2 3 5" xfId="28537"/>
    <cellStyle name="常规 4 2 3 5 2" xfId="10893"/>
    <cellStyle name="常规 4 2 3 5 2 2" xfId="28540"/>
    <cellStyle name="常规 4 2 3 5 3" xfId="28542"/>
    <cellStyle name="常规 4 2 3 5 4" xfId="28544"/>
    <cellStyle name="常规 4 2 3 6" xfId="28546"/>
    <cellStyle name="常规 4 2 3 6 2" xfId="28548"/>
    <cellStyle name="常规 4 2 3 7" xfId="28552"/>
    <cellStyle name="常规 4 2 3 7 2" xfId="28554"/>
    <cellStyle name="常规 4 2 3 8" xfId="18378"/>
    <cellStyle name="常规 4 2 3 9" xfId="5744"/>
    <cellStyle name="常规 4 2 4" xfId="7378"/>
    <cellStyle name="常规 4 2 4 10" xfId="30048"/>
    <cellStyle name="常规 4 2 4 2" xfId="28611"/>
    <cellStyle name="常规 4 2 4 2 2" xfId="28614"/>
    <cellStyle name="常规 4 2 4 2 2 2" xfId="17446"/>
    <cellStyle name="常规 4 2 4 2 2 2 2" xfId="17450"/>
    <cellStyle name="常规 4 2 4 2 2 2 2 2" xfId="17455"/>
    <cellStyle name="常规 4 2 4 2 2 2 2 2 2" xfId="30995"/>
    <cellStyle name="常规 4 2 4 2 2 2 2 3" xfId="30997"/>
    <cellStyle name="常规 4 2 4 2 2 2 2 4" xfId="15343"/>
    <cellStyle name="常规 4 2 4 2 2 2 3" xfId="17458"/>
    <cellStyle name="常规 4 2 4 2 2 2 3 2" xfId="30998"/>
    <cellStyle name="常规 4 2 4 2 2 2 4" xfId="17461"/>
    <cellStyle name="常规 4 2 4 2 2 2 4 2" xfId="30999"/>
    <cellStyle name="常规 4 2 4 2 2 2 5" xfId="3026"/>
    <cellStyle name="常规 4 2 4 2 2 2 6" xfId="22940"/>
    <cellStyle name="常规 4 2 4 2 2 3" xfId="17465"/>
    <cellStyle name="常规 4 2 4 2 2 3 2" xfId="17469"/>
    <cellStyle name="常规 4 2 4 2 2 3 2 2" xfId="17472"/>
    <cellStyle name="常规 4 2 4 2 2 3 3" xfId="17474"/>
    <cellStyle name="常规 4 2 4 2 2 3 4" xfId="17476"/>
    <cellStyle name="常规 4 2 4 2 2 4" xfId="17480"/>
    <cellStyle name="常规 4 2 4 2 2 4 2" xfId="17482"/>
    <cellStyle name="常规 4 2 4 2 2 4 2 2" xfId="13799"/>
    <cellStyle name="常规 4 2 4 2 2 4 3" xfId="31000"/>
    <cellStyle name="常规 4 2 4 2 2 4 4" xfId="31001"/>
    <cellStyle name="常规 4 2 4 2 2 5" xfId="17486"/>
    <cellStyle name="常规 4 2 4 2 2 5 2" xfId="17488"/>
    <cellStyle name="常规 4 2 4 2 2 6" xfId="16591"/>
    <cellStyle name="常规 4 2 4 2 2 6 2" xfId="31002"/>
    <cellStyle name="常规 4 2 4 2 2 7" xfId="26936"/>
    <cellStyle name="常规 4 2 4 2 2 8" xfId="31003"/>
    <cellStyle name="常规 4 2 4 2 2 9" xfId="31004"/>
    <cellStyle name="常规 4 2 4 2 3" xfId="28617"/>
    <cellStyle name="常规 4 2 4 2 3 2" xfId="17609"/>
    <cellStyle name="常规 4 2 4 2 3 2 2" xfId="17612"/>
    <cellStyle name="常规 4 2 4 2 3 2 2 2" xfId="17614"/>
    <cellStyle name="常规 4 2 4 2 3 2 3" xfId="17616"/>
    <cellStyle name="常规 4 2 4 2 3 2 4" xfId="17618"/>
    <cellStyle name="常规 4 2 4 2 3 3" xfId="17622"/>
    <cellStyle name="常规 4 2 4 2 3 3 2" xfId="17624"/>
    <cellStyle name="常规 4 2 4 2 3 4" xfId="17627"/>
    <cellStyle name="常规 4 2 4 2 3 5" xfId="17630"/>
    <cellStyle name="常规 4 2 4 2 3 6" xfId="31005"/>
    <cellStyle name="常规 4 2 4 2 4" xfId="28620"/>
    <cellStyle name="常规 4 2 4 2 4 2" xfId="17653"/>
    <cellStyle name="常规 4 2 4 2 4 2 2" xfId="28623"/>
    <cellStyle name="常规 4 2 4 2 4 3" xfId="17657"/>
    <cellStyle name="常规 4 2 4 2 4 4" xfId="28625"/>
    <cellStyle name="常规 4 2 4 2 5" xfId="25446"/>
    <cellStyle name="常规 4 2 4 2 5 2" xfId="17710"/>
    <cellStyle name="常规 4 2 4 2 5 2 2" xfId="25448"/>
    <cellStyle name="常规 4 2 4 2 5 3" xfId="17713"/>
    <cellStyle name="常规 4 2 4 2 5 4" xfId="17716"/>
    <cellStyle name="常规 4 2 4 2 6" xfId="25477"/>
    <cellStyle name="常规 4 2 4 2 6 2" xfId="17743"/>
    <cellStyle name="常规 4 2 4 2 7" xfId="25488"/>
    <cellStyle name="常规 4 2 4 2 7 2" xfId="17759"/>
    <cellStyle name="常规 4 2 4 2 8" xfId="25494"/>
    <cellStyle name="常规 4 2 4 2 9" xfId="25500"/>
    <cellStyle name="常规 4 2 4 3" xfId="28627"/>
    <cellStyle name="常规 4 2 4 3 2" xfId="28630"/>
    <cellStyle name="常规 4 2 4 3 2 2" xfId="14780"/>
    <cellStyle name="常规 4 2 4 3 2 2 2" xfId="18011"/>
    <cellStyle name="常规 4 2 4 3 2 2 2 2" xfId="18013"/>
    <cellStyle name="常规 4 2 4 3 2 2 3" xfId="18015"/>
    <cellStyle name="常规 4 2 4 3 2 2 4" xfId="18017"/>
    <cellStyle name="常规 4 2 4 3 2 3" xfId="18021"/>
    <cellStyle name="常规 4 2 4 3 2 3 2" xfId="16040"/>
    <cellStyle name="常规 4 2 4 3 2 4" xfId="18025"/>
    <cellStyle name="常规 4 2 4 3 2 4 2" xfId="18027"/>
    <cellStyle name="常规 4 2 4 3 2 5" xfId="18029"/>
    <cellStyle name="常规 4 2 4 3 2 6" xfId="12489"/>
    <cellStyle name="常规 4 2 4 3 3" xfId="28633"/>
    <cellStyle name="常规 4 2 4 3 3 2" xfId="18142"/>
    <cellStyle name="常规 4 2 4 3 3 2 2" xfId="18144"/>
    <cellStyle name="常规 4 2 4 3 3 3" xfId="17873"/>
    <cellStyle name="常规 4 2 4 3 3 4" xfId="17876"/>
    <cellStyle name="常规 4 2 4 3 4" xfId="28636"/>
    <cellStyle name="常规 4 2 4 3 4 2" xfId="18190"/>
    <cellStyle name="常规 4 2 4 3 4 2 2" xfId="31006"/>
    <cellStyle name="常规 4 2 4 3 4 3" xfId="18192"/>
    <cellStyle name="常规 4 2 4 3 4 4" xfId="18096"/>
    <cellStyle name="常规 4 2 4 3 5" xfId="25513"/>
    <cellStyle name="常规 4 2 4 3 5 2" xfId="18229"/>
    <cellStyle name="常规 4 2 4 3 6" xfId="20929"/>
    <cellStyle name="常规 4 2 4 3 6 2" xfId="18249"/>
    <cellStyle name="常规 4 2 4 3 7" xfId="10856"/>
    <cellStyle name="常规 4 2 4 3 8" xfId="12639"/>
    <cellStyle name="常规 4 2 4 3 9" xfId="25531"/>
    <cellStyle name="常规 4 2 4 4" xfId="28639"/>
    <cellStyle name="常规 4 2 4 4 2" xfId="28642"/>
    <cellStyle name="常规 4 2 4 4 2 2" xfId="18519"/>
    <cellStyle name="常规 4 2 4 4 2 2 2" xfId="18521"/>
    <cellStyle name="常规 4 2 4 4 2 3" xfId="18526"/>
    <cellStyle name="常规 4 2 4 4 2 4" xfId="18532"/>
    <cellStyle name="常规 4 2 4 4 3" xfId="28645"/>
    <cellStyle name="常规 4 2 4 4 3 2" xfId="18642"/>
    <cellStyle name="常规 4 2 4 4 4" xfId="28647"/>
    <cellStyle name="常规 4 2 4 4 5" xfId="25541"/>
    <cellStyle name="常规 4 2 4 4 6" xfId="20934"/>
    <cellStyle name="常规 4 2 4 5" xfId="28649"/>
    <cellStyle name="常规 4 2 4 5 2" xfId="28652"/>
    <cellStyle name="常规 4 2 4 5 2 2" xfId="18962"/>
    <cellStyle name="常规 4 2 4 5 3" xfId="28655"/>
    <cellStyle name="常规 4 2 4 5 4" xfId="23493"/>
    <cellStyle name="常规 4 2 4 6" xfId="28657"/>
    <cellStyle name="常规 4 2 4 6 2" xfId="28660"/>
    <cellStyle name="常规 4 2 4 6 2 2" xfId="10375"/>
    <cellStyle name="常规 4 2 4 6 3" xfId="2232"/>
    <cellStyle name="常规 4 2 4 6 4" xfId="23500"/>
    <cellStyle name="常规 4 2 4 7" xfId="28662"/>
    <cellStyle name="常规 4 2 4 7 2" xfId="28665"/>
    <cellStyle name="常规 4 2 4 8" xfId="18385"/>
    <cellStyle name="常规 4 2 4 8 2" xfId="31007"/>
    <cellStyle name="常规 4 2 4 9" xfId="5748"/>
    <cellStyle name="常规 4 2 5" xfId="31008"/>
    <cellStyle name="常规 4 2 5 2" xfId="15654"/>
    <cellStyle name="常规 4 2 5 2 2" xfId="4065"/>
    <cellStyle name="常规 4 2 5 2 2 2" xfId="20870"/>
    <cellStyle name="常规 4 2 5 2 2 2 2" xfId="16948"/>
    <cellStyle name="常规 4 2 5 2 2 2 2 2" xfId="16951"/>
    <cellStyle name="常规 4 2 5 2 2 2 3" xfId="9500"/>
    <cellStyle name="常规 4 2 5 2 2 2 4" xfId="16953"/>
    <cellStyle name="常规 4 2 5 2 2 3" xfId="20873"/>
    <cellStyle name="常规 4 2 5 2 2 3 2" xfId="16961"/>
    <cellStyle name="常规 4 2 5 2 2 4" xfId="20876"/>
    <cellStyle name="常规 4 2 5 2 2 5" xfId="20880"/>
    <cellStyle name="常规 4 2 5 2 3" xfId="28670"/>
    <cellStyle name="常规 4 2 5 2 3 2" xfId="20908"/>
    <cellStyle name="常规 4 2 5 2 3 2 2" xfId="17050"/>
    <cellStyle name="常规 4 2 5 2 3 3" xfId="20913"/>
    <cellStyle name="常规 4 2 5 2 3 4" xfId="20914"/>
    <cellStyle name="常规 4 2 5 2 4" xfId="23590"/>
    <cellStyle name="常规 4 2 5 2 4 2" xfId="20940"/>
    <cellStyle name="常规 4 2 5 2 5" xfId="23595"/>
    <cellStyle name="常规 4 2 5 2 6" xfId="12569"/>
    <cellStyle name="常规 4 2 5 2 7" xfId="12580"/>
    <cellStyle name="常规 4 2 5 3" xfId="15658"/>
    <cellStyle name="常规 4 2 5 3 2" xfId="28673"/>
    <cellStyle name="常规 4 2 5 3 2 2" xfId="21036"/>
    <cellStyle name="常规 4 2 5 3 3" xfId="28676"/>
    <cellStyle name="常规 4 2 5 3 4" xfId="23600"/>
    <cellStyle name="常规 4 2 5 3 5" xfId="25573"/>
    <cellStyle name="常规 4 2 5 4" xfId="15662"/>
    <cellStyle name="常规 4 2 5 4 2" xfId="28679"/>
    <cellStyle name="常规 4 2 5 4 2 2" xfId="9837"/>
    <cellStyle name="常规 4 2 5 4 3" xfId="31009"/>
    <cellStyle name="常规 4 2 5 4 4" xfId="23604"/>
    <cellStyle name="常规 4 2 5 5" xfId="28682"/>
    <cellStyle name="常规 4 2 5 6" xfId="28685"/>
    <cellStyle name="常规 4 2 6" xfId="24340"/>
    <cellStyle name="常规 4 2 6 2" xfId="15676"/>
    <cellStyle name="常规 4 2 6 2 2" xfId="1922"/>
    <cellStyle name="常规 4 2 6 2 2 2" xfId="21233"/>
    <cellStyle name="常规 4 2 6 2 2 2 2" xfId="21236"/>
    <cellStyle name="常规 4 2 6 2 2 3" xfId="21238"/>
    <cellStyle name="常规 4 2 6 2 2 4" xfId="21244"/>
    <cellStyle name="常规 4 2 6 2 3" xfId="31011"/>
    <cellStyle name="常规 4 2 6 2 3 2" xfId="21299"/>
    <cellStyle name="常规 4 2 6 2 4" xfId="23619"/>
    <cellStyle name="常规 4 2 6 2 5" xfId="25594"/>
    <cellStyle name="常规 4 2 6 3" xfId="28690"/>
    <cellStyle name="常规 4 2 6 3 2" xfId="6179"/>
    <cellStyle name="常规 4 2 6 3 2 2" xfId="3905"/>
    <cellStyle name="常规 4 2 6 3 3" xfId="2494"/>
    <cellStyle name="常规 4 2 6 3 4" xfId="2504"/>
    <cellStyle name="常规 4 2 6 4" xfId="4986"/>
    <cellStyle name="常规 4 2 6 4 2" xfId="4991"/>
    <cellStyle name="常规 4 2 6 4 2 2" xfId="4069"/>
    <cellStyle name="常规 4 2 6 4 3" xfId="2513"/>
    <cellStyle name="常规 4 2 6 4 4" xfId="2527"/>
    <cellStyle name="常规 4 2 6 5" xfId="19797"/>
    <cellStyle name="常规 4 2 6 5 2" xfId="5042"/>
    <cellStyle name="常规 4 2 6 6" xfId="28734"/>
    <cellStyle name="常规 4 2 6 7" xfId="28737"/>
    <cellStyle name="常规 4 2 6 8" xfId="28743"/>
    <cellStyle name="常规 4 2 7" xfId="31013"/>
    <cellStyle name="常规 4 2 7 2" xfId="28698"/>
    <cellStyle name="常规 4 2 7 2 2" xfId="31015"/>
    <cellStyle name="常规 4 2 7 2 2 2" xfId="21548"/>
    <cellStyle name="常规 4 2 7 2 3" xfId="31016"/>
    <cellStyle name="常规 4 2 7 2 4" xfId="31017"/>
    <cellStyle name="常规 4 2 7 3" xfId="28703"/>
    <cellStyle name="常规 4 2 7 3 2" xfId="31019"/>
    <cellStyle name="常规 4 2 7 4" xfId="31022"/>
    <cellStyle name="常规 4 2 7 5" xfId="28751"/>
    <cellStyle name="常规 4 2 7 6" xfId="28755"/>
    <cellStyle name="常规 4 2 8" xfId="21377"/>
    <cellStyle name="常规 4 2 8 2" xfId="28706"/>
    <cellStyle name="常规 4 2 8 2 2" xfId="31024"/>
    <cellStyle name="常规 4 2 8 3" xfId="28420"/>
    <cellStyle name="常规 4 2 8 4" xfId="28430"/>
    <cellStyle name="常规 4 2 9" xfId="31025"/>
    <cellStyle name="常规 4 2 9 2" xfId="31027"/>
    <cellStyle name="常规 4 2 9 2 2" xfId="31029"/>
    <cellStyle name="常规 4 2 9 3" xfId="28441"/>
    <cellStyle name="常规 4 2 9 4" xfId="28446"/>
    <cellStyle name="常规 4 20" xfId="5105"/>
    <cellStyle name="常规 4 20 2" xfId="5111"/>
    <cellStyle name="常规 4 21" xfId="5151"/>
    <cellStyle name="常规 4 21 2" xfId="5158"/>
    <cellStyle name="常规 4 22" xfId="5175"/>
    <cellStyle name="常规 4 22 2" xfId="5180"/>
    <cellStyle name="常规 4 23" xfId="3978"/>
    <cellStyle name="常规 4 24" xfId="1405"/>
    <cellStyle name="常规 4 25" xfId="5202"/>
    <cellStyle name="常规 4 3" xfId="31030"/>
    <cellStyle name="常规 4 3 10" xfId="31031"/>
    <cellStyle name="常规 4 3 10 2" xfId="31032"/>
    <cellStyle name="常规 4 3 11" xfId="31033"/>
    <cellStyle name="常规 4 3 12" xfId="7864"/>
    <cellStyle name="常规 4 3 2" xfId="31034"/>
    <cellStyle name="常规 4 3 2 10" xfId="26869"/>
    <cellStyle name="常规 4 3 2 11" xfId="26872"/>
    <cellStyle name="常规 4 3 2 2" xfId="31035"/>
    <cellStyle name="常规 4 3 2 2 2" xfId="7584"/>
    <cellStyle name="常规 4 3 2 2 2 2" xfId="31036"/>
    <cellStyle name="常规 4 3 2 2 2 2 2" xfId="31037"/>
    <cellStyle name="常规 4 3 2 2 2 2 2 2" xfId="15992"/>
    <cellStyle name="常规 4 3 2 2 2 2 2 2 2" xfId="15993"/>
    <cellStyle name="常规 4 3 2 2 2 2 2 3" xfId="15999"/>
    <cellStyle name="常规 4 3 2 2 2 2 2 4" xfId="16001"/>
    <cellStyle name="常规 4 3 2 2 2 2 3" xfId="31038"/>
    <cellStyle name="常规 4 3 2 2 2 2 3 2" xfId="16012"/>
    <cellStyle name="常规 4 3 2 2 2 2 4" xfId="20164"/>
    <cellStyle name="常规 4 3 2 2 2 2 4 2" xfId="16024"/>
    <cellStyle name="常规 4 3 2 2 2 2 5" xfId="20167"/>
    <cellStyle name="常规 4 3 2 2 2 2 6" xfId="20170"/>
    <cellStyle name="常规 4 3 2 2 2 3" xfId="31039"/>
    <cellStyle name="常规 4 3 2 2 2 3 2" xfId="31040"/>
    <cellStyle name="常规 4 3 2 2 2 3 2 2" xfId="16119"/>
    <cellStyle name="常规 4 3 2 2 2 3 3" xfId="31041"/>
    <cellStyle name="常规 4 3 2 2 2 3 4" xfId="20175"/>
    <cellStyle name="常规 4 3 2 2 2 4" xfId="31042"/>
    <cellStyle name="常规 4 3 2 2 2 4 2" xfId="31043"/>
    <cellStyle name="常规 4 3 2 2 2 4 2 2" xfId="16212"/>
    <cellStyle name="常规 4 3 2 2 2 4 3" xfId="31044"/>
    <cellStyle name="常规 4 3 2 2 2 4 4" xfId="27851"/>
    <cellStyle name="常规 4 3 2 2 2 5" xfId="31045"/>
    <cellStyle name="常规 4 3 2 2 2 5 2" xfId="353"/>
    <cellStyle name="常规 4 3 2 2 2 6" xfId="31046"/>
    <cellStyle name="常规 4 3 2 2 2 6 2" xfId="29880"/>
    <cellStyle name="常规 4 3 2 2 2 7" xfId="31047"/>
    <cellStyle name="常规 4 3 2 2 2 8" xfId="11465"/>
    <cellStyle name="常规 4 3 2 2 2 9" xfId="11470"/>
    <cellStyle name="常规 4 3 2 2 3" xfId="31048"/>
    <cellStyle name="常规 4 3 2 2 3 2" xfId="31049"/>
    <cellStyle name="常规 4 3 2 2 3 2 2" xfId="31050"/>
    <cellStyle name="常规 4 3 2 2 3 2 2 2" xfId="16369"/>
    <cellStyle name="常规 4 3 2 2 3 2 3" xfId="31051"/>
    <cellStyle name="常规 4 3 2 2 3 2 4" xfId="31053"/>
    <cellStyle name="常规 4 3 2 2 3 3" xfId="31055"/>
    <cellStyle name="常规 4 3 2 2 3 3 2" xfId="31056"/>
    <cellStyle name="常规 4 3 2 2 3 4" xfId="31057"/>
    <cellStyle name="常规 4 3 2 2 3 5" xfId="16495"/>
    <cellStyle name="常规 4 3 2 2 3 6" xfId="16497"/>
    <cellStyle name="常规 4 3 2 2 4" xfId="31058"/>
    <cellStyle name="常规 4 3 2 2 4 2" xfId="31059"/>
    <cellStyle name="常规 4 3 2 2 4 2 2" xfId="31060"/>
    <cellStyle name="常规 4 3 2 2 4 3" xfId="31061"/>
    <cellStyle name="常规 4 3 2 2 4 4" xfId="31062"/>
    <cellStyle name="常规 4 3 2 2 5" xfId="31063"/>
    <cellStyle name="常规 4 3 2 2 5 2" xfId="24475"/>
    <cellStyle name="常规 4 3 2 2 5 2 2" xfId="31064"/>
    <cellStyle name="常规 4 3 2 2 5 3" xfId="31065"/>
    <cellStyle name="常规 4 3 2 2 5 4" xfId="31066"/>
    <cellStyle name="常规 4 3 2 2 6" xfId="31067"/>
    <cellStyle name="常规 4 3 2 2 6 2" xfId="31068"/>
    <cellStyle name="常规 4 3 2 2 7" xfId="31069"/>
    <cellStyle name="常规 4 3 2 2 7 2" xfId="26535"/>
    <cellStyle name="常规 4 3 2 2 8" xfId="31070"/>
    <cellStyle name="常规 4 3 2 2 9" xfId="13153"/>
    <cellStyle name="常规 4 3 2 3" xfId="31071"/>
    <cellStyle name="常规 4 3 2 3 10" xfId="29598"/>
    <cellStyle name="常规 4 3 2 3 2" xfId="31072"/>
    <cellStyle name="常规 4 3 2 3 2 2" xfId="31073"/>
    <cellStyle name="常规 4 3 2 3 2 2 2" xfId="31074"/>
    <cellStyle name="常规 4 3 2 3 2 2 2 2" xfId="31075"/>
    <cellStyle name="常规 4 3 2 3 2 2 2 2 2" xfId="17544"/>
    <cellStyle name="常规 4 3 2 3 2 2 2 2 2 2" xfId="31076"/>
    <cellStyle name="常规 4 3 2 3 2 2 2 2 3" xfId="31077"/>
    <cellStyle name="常规 4 3 2 3 2 2 2 2 4" xfId="20269"/>
    <cellStyle name="常规 4 3 2 3 2 2 2 3" xfId="31079"/>
    <cellStyle name="常规 4 3 2 3 2 2 2 3 2" xfId="31081"/>
    <cellStyle name="常规 4 3 2 3 2 2 2 4" xfId="28767"/>
    <cellStyle name="常规 4 3 2 3 2 2 2 4 2" xfId="31082"/>
    <cellStyle name="常规 4 3 2 3 2 2 2 5" xfId="14988"/>
    <cellStyle name="常规 4 3 2 3 2 2 2 6" xfId="14731"/>
    <cellStyle name="常规 4 3 2 3 2 2 3" xfId="31083"/>
    <cellStyle name="常规 4 3 2 3 2 2 3 2" xfId="31084"/>
    <cellStyle name="常规 4 3 2 3 2 2 3 2 2" xfId="31085"/>
    <cellStyle name="常规 4 3 2 3 2 2 3 3" xfId="31086"/>
    <cellStyle name="常规 4 3 2 3 2 2 3 4" xfId="19865"/>
    <cellStyle name="常规 4 3 2 3 2 2 4" xfId="31087"/>
    <cellStyle name="常规 4 3 2 3 2 2 4 2" xfId="27184"/>
    <cellStyle name="常规 4 3 2 3 2 2 4 2 2" xfId="5257"/>
    <cellStyle name="常规 4 3 2 3 2 2 4 3" xfId="31088"/>
    <cellStyle name="常规 4 3 2 3 2 2 4 4" xfId="22583"/>
    <cellStyle name="常规 4 3 2 3 2 2 5" xfId="29174"/>
    <cellStyle name="常规 4 3 2 3 2 2 5 2" xfId="31089"/>
    <cellStyle name="常规 4 3 2 3 2 2 6" xfId="31090"/>
    <cellStyle name="常规 4 3 2 3 2 2 6 2" xfId="15467"/>
    <cellStyle name="常规 4 3 2 3 2 2 7" xfId="31092"/>
    <cellStyle name="常规 4 3 2 3 2 2 8" xfId="31093"/>
    <cellStyle name="常规 4 3 2 3 2 2 9" xfId="31094"/>
    <cellStyle name="常规 4 3 2 3 2 3" xfId="31095"/>
    <cellStyle name="常规 4 3 2 3 2 3 2" xfId="31096"/>
    <cellStyle name="常规 4 3 2 3 2 3 2 2" xfId="21325"/>
    <cellStyle name="常规 4 3 2 3 2 3 2 2 2" xfId="31097"/>
    <cellStyle name="常规 4 3 2 3 2 3 2 3" xfId="21327"/>
    <cellStyle name="常规 4 3 2 3 2 3 2 4" xfId="31098"/>
    <cellStyle name="常规 4 3 2 3 2 3 3" xfId="31099"/>
    <cellStyle name="常规 4 3 2 3 2 3 3 2" xfId="31100"/>
    <cellStyle name="常规 4 3 2 3 2 3 4" xfId="28024"/>
    <cellStyle name="常规 4 3 2 3 2 3 5" xfId="28029"/>
    <cellStyle name="常规 4 3 2 3 2 3 6" xfId="28034"/>
    <cellStyle name="常规 4 3 2 3 2 4" xfId="31101"/>
    <cellStyle name="常规 4 3 2 3 2 4 2" xfId="31102"/>
    <cellStyle name="常规 4 3 2 3 2 4 2 2" xfId="6191"/>
    <cellStyle name="常规 4 3 2 3 2 4 3" xfId="31104"/>
    <cellStyle name="常规 4 3 2 3 2 4 4" xfId="1462"/>
    <cellStyle name="常规 4 3 2 3 2 5" xfId="31106"/>
    <cellStyle name="常规 4 3 2 3 2 5 2" xfId="31107"/>
    <cellStyle name="常规 4 3 2 3 2 5 2 2" xfId="26963"/>
    <cellStyle name="常规 4 3 2 3 2 5 3" xfId="31109"/>
    <cellStyle name="常规 4 3 2 3 2 5 4" xfId="28048"/>
    <cellStyle name="常规 4 3 2 3 2 6" xfId="31110"/>
    <cellStyle name="常规 4 3 2 3 2 6 2" xfId="31111"/>
    <cellStyle name="常规 4 3 2 3 2 7" xfId="31113"/>
    <cellStyle name="常规 4 3 2 3 2 7 2" xfId="18430"/>
    <cellStyle name="常规 4 3 2 3 2 8" xfId="11554"/>
    <cellStyle name="常规 4 3 2 3 2 9" xfId="11559"/>
    <cellStyle name="常规 4 3 2 3 3" xfId="31114"/>
    <cellStyle name="常规 4 3 2 3 3 2" xfId="31115"/>
    <cellStyle name="常规 4 3 2 3 3 2 2" xfId="31116"/>
    <cellStyle name="常规 4 3 2 3 3 2 2 2" xfId="31118"/>
    <cellStyle name="常规 4 3 2 3 3 2 2 2 2" xfId="18087"/>
    <cellStyle name="常规 4 3 2 3 3 2 2 3" xfId="31119"/>
    <cellStyle name="常规 4 3 2 3 3 2 2 4" xfId="31120"/>
    <cellStyle name="常规 4 3 2 3 3 2 3" xfId="31121"/>
    <cellStyle name="常规 4 3 2 3 3 2 3 2" xfId="31122"/>
    <cellStyle name="常规 4 3 2 3 3 2 4" xfId="31123"/>
    <cellStyle name="常规 4 3 2 3 3 2 4 2" xfId="21721"/>
    <cellStyle name="常规 4 3 2 3 3 2 5" xfId="31124"/>
    <cellStyle name="常规 4 3 2 3 3 2 6" xfId="4316"/>
    <cellStyle name="常规 4 3 2 3 3 3" xfId="31125"/>
    <cellStyle name="常规 4 3 2 3 3 3 2" xfId="31126"/>
    <cellStyle name="常规 4 3 2 3 3 3 2 2" xfId="21661"/>
    <cellStyle name="常规 4 3 2 3 3 3 3" xfId="31127"/>
    <cellStyle name="常规 4 3 2 3 3 3 4" xfId="28070"/>
    <cellStyle name="常规 4 3 2 3 3 4" xfId="31128"/>
    <cellStyle name="常规 4 3 2 3 3 4 2" xfId="30831"/>
    <cellStyle name="常规 4 3 2 3 3 4 2 2" xfId="26987"/>
    <cellStyle name="常规 4 3 2 3 3 4 3" xfId="30834"/>
    <cellStyle name="常规 4 3 2 3 3 4 4" xfId="28079"/>
    <cellStyle name="常规 4 3 2 3 3 5" xfId="16520"/>
    <cellStyle name="常规 4 3 2 3 3 5 2" xfId="16523"/>
    <cellStyle name="常规 4 3 2 3 3 6" xfId="16530"/>
    <cellStyle name="常规 4 3 2 3 3 6 2" xfId="16533"/>
    <cellStyle name="常规 4 3 2 3 3 7" xfId="1944"/>
    <cellStyle name="常规 4 3 2 3 3 8" xfId="11563"/>
    <cellStyle name="常规 4 3 2 3 3 9" xfId="11567"/>
    <cellStyle name="常规 4 3 2 3 4" xfId="31129"/>
    <cellStyle name="常规 4 3 2 3 4 2" xfId="31130"/>
    <cellStyle name="常规 4 3 2 3 4 2 2" xfId="31131"/>
    <cellStyle name="常规 4 3 2 3 4 2 2 2" xfId="14568"/>
    <cellStyle name="常规 4 3 2 3 4 2 3" xfId="31132"/>
    <cellStyle name="常规 4 3 2 3 4 2 4" xfId="31134"/>
    <cellStyle name="常规 4 3 2 3 4 3" xfId="31136"/>
    <cellStyle name="常规 4 3 2 3 4 3 2" xfId="31137"/>
    <cellStyle name="常规 4 3 2 3 4 4" xfId="31138"/>
    <cellStyle name="常规 4 3 2 3 4 5" xfId="16537"/>
    <cellStyle name="常规 4 3 2 3 4 6" xfId="16540"/>
    <cellStyle name="常规 4 3 2 3 5" xfId="31139"/>
    <cellStyle name="常规 4 3 2 3 5 2" xfId="31140"/>
    <cellStyle name="常规 4 3 2 3 5 2 2" xfId="31141"/>
    <cellStyle name="常规 4 3 2 3 5 3" xfId="31142"/>
    <cellStyle name="常规 4 3 2 3 5 4" xfId="31143"/>
    <cellStyle name="常规 4 3 2 3 6" xfId="27288"/>
    <cellStyle name="常规 4 3 2 3 6 2" xfId="27290"/>
    <cellStyle name="常规 4 3 2 3 6 2 2" xfId="27292"/>
    <cellStyle name="常规 4 3 2 3 6 3" xfId="27298"/>
    <cellStyle name="常规 4 3 2 3 6 4" xfId="21609"/>
    <cellStyle name="常规 4 3 2 3 7" xfId="9306"/>
    <cellStyle name="常规 4 3 2 3 7 2" xfId="27301"/>
    <cellStyle name="常规 4 3 2 3 8" xfId="27305"/>
    <cellStyle name="常规 4 3 2 3 8 2" xfId="15128"/>
    <cellStyle name="常规 4 3 2 3 9" xfId="27309"/>
    <cellStyle name="常规 4 3 2 4" xfId="31144"/>
    <cellStyle name="常规 4 3 2 4 2" xfId="31145"/>
    <cellStyle name="常规 4 3 2 4 2 2" xfId="31146"/>
    <cellStyle name="常规 4 3 2 4 2 2 2" xfId="19429"/>
    <cellStyle name="常规 4 3 2 4 2 2 2 2" xfId="31147"/>
    <cellStyle name="常规 4 3 2 4 2 2 3" xfId="31148"/>
    <cellStyle name="常规 4 3 2 4 2 2 4" xfId="817"/>
    <cellStyle name="常规 4 3 2 4 2 3" xfId="31149"/>
    <cellStyle name="常规 4 3 2 4 2 3 2" xfId="31150"/>
    <cellStyle name="常规 4 3 2 4 2 4" xfId="31151"/>
    <cellStyle name="常规 4 3 2 4 2 4 2" xfId="31152"/>
    <cellStyle name="常规 4 3 2 4 2 5" xfId="28584"/>
    <cellStyle name="常规 4 3 2 4 2 6" xfId="31154"/>
    <cellStyle name="常规 4 3 2 4 3" xfId="31155"/>
    <cellStyle name="常规 4 3 2 4 3 2" xfId="31156"/>
    <cellStyle name="常规 4 3 2 4 3 2 2" xfId="13311"/>
    <cellStyle name="常规 4 3 2 4 3 3" xfId="31157"/>
    <cellStyle name="常规 4 3 2 4 3 4" xfId="31158"/>
    <cellStyle name="常规 4 3 2 4 4" xfId="31159"/>
    <cellStyle name="常规 4 3 2 4 4 2" xfId="31160"/>
    <cellStyle name="常规 4 3 2 4 4 2 2" xfId="13383"/>
    <cellStyle name="常规 4 3 2 4 4 3" xfId="31161"/>
    <cellStyle name="常规 4 3 2 4 4 4" xfId="31162"/>
    <cellStyle name="常规 4 3 2 4 5" xfId="31164"/>
    <cellStyle name="常规 4 3 2 4 5 2" xfId="31165"/>
    <cellStyle name="常规 4 3 2 4 6" xfId="27316"/>
    <cellStyle name="常规 4 3 2 4 6 2" xfId="27318"/>
    <cellStyle name="常规 4 3 2 4 7" xfId="9310"/>
    <cellStyle name="常规 4 3 2 4 8" xfId="27324"/>
    <cellStyle name="常规 4 3 2 4 9" xfId="27326"/>
    <cellStyle name="常规 4 3 2 5" xfId="23916"/>
    <cellStyle name="常规 4 3 2 5 2" xfId="31166"/>
    <cellStyle name="常规 4 3 2 5 2 2" xfId="31167"/>
    <cellStyle name="常规 4 3 2 5 2 2 2" xfId="13508"/>
    <cellStyle name="常规 4 3 2 5 2 3" xfId="31168"/>
    <cellStyle name="常规 4 3 2 5 2 4" xfId="31169"/>
    <cellStyle name="常规 4 3 2 5 3" xfId="31170"/>
    <cellStyle name="常规 4 3 2 5 3 2" xfId="31171"/>
    <cellStyle name="常规 4 3 2 5 4" xfId="31172"/>
    <cellStyle name="常规 4 3 2 5 5" xfId="31173"/>
    <cellStyle name="常规 4 3 2 5 6" xfId="27330"/>
    <cellStyle name="常规 4 3 2 6" xfId="31174"/>
    <cellStyle name="常规 4 3 2 6 2" xfId="31176"/>
    <cellStyle name="常规 4 3 2 6 2 2" xfId="31178"/>
    <cellStyle name="常规 4 3 2 6 3" xfId="31179"/>
    <cellStyle name="常规 4 3 2 6 4" xfId="31180"/>
    <cellStyle name="常规 4 3 2 7" xfId="31181"/>
    <cellStyle name="常规 4 3 2 7 2" xfId="25223"/>
    <cellStyle name="常规 4 3 2 7 2 2" xfId="31183"/>
    <cellStyle name="常规 4 3 2 7 3" xfId="25225"/>
    <cellStyle name="常规 4 3 2 7 4" xfId="31184"/>
    <cellStyle name="常规 4 3 2 8" xfId="11519"/>
    <cellStyle name="常规 4 3 2 8 2" xfId="11523"/>
    <cellStyle name="常规 4 3 2 9" xfId="11526"/>
    <cellStyle name="常规 4 3 2 9 2" xfId="29269"/>
    <cellStyle name="常规 4 3 3" xfId="7381"/>
    <cellStyle name="常规 4 3 3 2" xfId="31185"/>
    <cellStyle name="常规 4 3 3 2 2" xfId="31186"/>
    <cellStyle name="常规 4 3 3 2 2 2" xfId="31187"/>
    <cellStyle name="常规 4 3 3 2 2 2 2" xfId="4841"/>
    <cellStyle name="常规 4 3 3 2 2 2 2 2" xfId="4847"/>
    <cellStyle name="常规 4 3 3 2 2 2 3" xfId="4870"/>
    <cellStyle name="常规 4 3 3 2 2 2 4" xfId="4882"/>
    <cellStyle name="常规 4 3 3 2 2 3" xfId="22520"/>
    <cellStyle name="常规 4 3 3 2 2 3 2" xfId="4913"/>
    <cellStyle name="常规 4 3 3 2 2 4" xfId="27350"/>
    <cellStyle name="常规 4 3 3 2 2 4 2" xfId="4940"/>
    <cellStyle name="常规 4 3 3 2 2 5" xfId="31188"/>
    <cellStyle name="常规 4 3 3 2 2 6" xfId="31189"/>
    <cellStyle name="常规 4 3 3 2 3" xfId="13234"/>
    <cellStyle name="常规 4 3 3 2 3 2" xfId="31190"/>
    <cellStyle name="常规 4 3 3 2 3 2 2" xfId="31191"/>
    <cellStyle name="常规 4 3 3 2 3 3" xfId="31192"/>
    <cellStyle name="常规 4 3 3 2 3 4" xfId="31193"/>
    <cellStyle name="常规 4 3 3 2 4" xfId="31194"/>
    <cellStyle name="常规 4 3 3 2 4 2" xfId="5379"/>
    <cellStyle name="常规 4 3 3 2 4 2 2" xfId="5381"/>
    <cellStyle name="常规 4 3 3 2 4 3" xfId="5384"/>
    <cellStyle name="常规 4 3 3 2 4 4" xfId="5386"/>
    <cellStyle name="常规 4 3 3 2 5" xfId="25627"/>
    <cellStyle name="常规 4 3 3 2 5 2" xfId="16645"/>
    <cellStyle name="常规 4 3 3 2 6" xfId="25649"/>
    <cellStyle name="常规 4 3 3 2 6 2" xfId="16686"/>
    <cellStyle name="常规 4 3 3 2 7" xfId="25659"/>
    <cellStyle name="常规 4 3 3 2 8" xfId="25664"/>
    <cellStyle name="常规 4 3 3 2 9" xfId="25670"/>
    <cellStyle name="常规 4 3 3 3" xfId="31195"/>
    <cellStyle name="常规 4 3 3 3 2" xfId="17681"/>
    <cellStyle name="常规 4 3 3 3 2 2" xfId="31196"/>
    <cellStyle name="常规 4 3 3 3 2 2 2" xfId="5426"/>
    <cellStyle name="常规 4 3 3 3 2 3" xfId="31197"/>
    <cellStyle name="常规 4 3 3 3 2 4" xfId="31198"/>
    <cellStyle name="常规 4 3 3 3 3" xfId="17683"/>
    <cellStyle name="常规 4 3 3 3 3 2" xfId="31199"/>
    <cellStyle name="常规 4 3 3 3 4" xfId="31200"/>
    <cellStyle name="常规 4 3 3 3 5" xfId="25678"/>
    <cellStyle name="常规 4 3 3 3 6" xfId="25719"/>
    <cellStyle name="常规 4 3 3 4" xfId="31201"/>
    <cellStyle name="常规 4 3 3 4 2" xfId="31202"/>
    <cellStyle name="常规 4 3 3 4 2 2" xfId="31203"/>
    <cellStyle name="常规 4 3 3 4 3" xfId="31204"/>
    <cellStyle name="常规 4 3 3 4 4" xfId="31205"/>
    <cellStyle name="常规 4 3 3 5" xfId="31206"/>
    <cellStyle name="常规 4 3 3 5 2" xfId="31207"/>
    <cellStyle name="常规 4 3 3 5 2 2" xfId="31208"/>
    <cellStyle name="常规 4 3 3 5 3" xfId="31209"/>
    <cellStyle name="常规 4 3 3 5 4" xfId="15937"/>
    <cellStyle name="常规 4 3 3 6" xfId="31210"/>
    <cellStyle name="常规 4 3 3 6 2" xfId="31212"/>
    <cellStyle name="常规 4 3 3 7" xfId="31214"/>
    <cellStyle name="常规 4 3 3 7 2" xfId="31216"/>
    <cellStyle name="常规 4 3 3 8" xfId="11530"/>
    <cellStyle name="常规 4 3 3 9" xfId="31217"/>
    <cellStyle name="常规 4 3 4" xfId="7930"/>
    <cellStyle name="常规 4 3 4 10" xfId="31218"/>
    <cellStyle name="常规 4 3 4 2" xfId="7933"/>
    <cellStyle name="常规 4 3 4 2 2" xfId="7936"/>
    <cellStyle name="常规 4 3 4 2 2 2" xfId="7940"/>
    <cellStyle name="常规 4 3 4 2 2 2 2" xfId="7945"/>
    <cellStyle name="常规 4 3 4 2 2 2 2 2" xfId="7952"/>
    <cellStyle name="常规 4 3 4 2 2 2 2 2 2" xfId="14813"/>
    <cellStyle name="常规 4 3 4 2 2 2 2 3" xfId="14817"/>
    <cellStyle name="常规 4 3 4 2 2 2 2 4" xfId="14821"/>
    <cellStyle name="常规 4 3 4 2 2 2 3" xfId="7956"/>
    <cellStyle name="常规 4 3 4 2 2 2 3 2" xfId="14860"/>
    <cellStyle name="常规 4 3 4 2 2 2 4" xfId="31219"/>
    <cellStyle name="常规 4 3 4 2 2 2 4 2" xfId="31220"/>
    <cellStyle name="常规 4 3 4 2 2 2 5" xfId="3836"/>
    <cellStyle name="常规 4 3 4 2 2 2 6" xfId="31221"/>
    <cellStyle name="常规 4 3 4 2 2 3" xfId="7959"/>
    <cellStyle name="常规 4 3 4 2 2 3 2" xfId="7964"/>
    <cellStyle name="常规 4 3 4 2 2 3 2 2" xfId="14444"/>
    <cellStyle name="常规 4 3 4 2 2 3 3" xfId="14486"/>
    <cellStyle name="常规 4 3 4 2 2 3 4" xfId="14503"/>
    <cellStyle name="常规 4 3 4 2 2 4" xfId="7967"/>
    <cellStyle name="常规 4 3 4 2 2 4 2" xfId="7971"/>
    <cellStyle name="常规 4 3 4 2 2 4 2 2" xfId="15108"/>
    <cellStyle name="常规 4 3 4 2 2 4 3" xfId="19858"/>
    <cellStyle name="常规 4 3 4 2 2 4 4" xfId="28382"/>
    <cellStyle name="常规 4 3 4 2 2 5" xfId="7973"/>
    <cellStyle name="常规 4 3 4 2 2 5 2" xfId="20351"/>
    <cellStyle name="常规 4 3 4 2 2 6" xfId="31223"/>
    <cellStyle name="常规 4 3 4 2 2 6 2" xfId="20818"/>
    <cellStyle name="常规 4 3 4 2 2 7" xfId="27044"/>
    <cellStyle name="常规 4 3 4 2 2 8" xfId="26495"/>
    <cellStyle name="常规 4 3 4 2 2 9" xfId="26497"/>
    <cellStyle name="常规 4 3 4 2 3" xfId="2267"/>
    <cellStyle name="常规 4 3 4 2 3 2" xfId="7976"/>
    <cellStyle name="常规 4 3 4 2 3 2 2" xfId="7980"/>
    <cellStyle name="常规 4 3 4 2 3 2 2 2" xfId="15547"/>
    <cellStyle name="常规 4 3 4 2 3 2 3" xfId="31224"/>
    <cellStyle name="常规 4 3 4 2 3 2 4" xfId="31225"/>
    <cellStyle name="常规 4 3 4 2 3 3" xfId="7982"/>
    <cellStyle name="常规 4 3 4 2 3 3 2" xfId="23876"/>
    <cellStyle name="常规 4 3 4 2 3 4" xfId="31226"/>
    <cellStyle name="常规 4 3 4 2 3 5" xfId="31227"/>
    <cellStyle name="常规 4 3 4 2 3 6" xfId="31228"/>
    <cellStyle name="常规 4 3 4 2 4" xfId="7984"/>
    <cellStyle name="常规 4 3 4 2 4 2" xfId="7989"/>
    <cellStyle name="常规 4 3 4 2 4 2 2" xfId="7992"/>
    <cellStyle name="常规 4 3 4 2 4 3" xfId="7996"/>
    <cellStyle name="常规 4 3 4 2 4 4" xfId="12365"/>
    <cellStyle name="常规 4 3 4 2 5" xfId="7999"/>
    <cellStyle name="常规 4 3 4 2 5 2" xfId="8006"/>
    <cellStyle name="常规 4 3 4 2 5 2 2" xfId="10756"/>
    <cellStyle name="常规 4 3 4 2 5 3" xfId="10761"/>
    <cellStyle name="常规 4 3 4 2 5 4" xfId="10770"/>
    <cellStyle name="常规 4 3 4 2 6" xfId="8010"/>
    <cellStyle name="常规 4 3 4 2 6 2" xfId="8017"/>
    <cellStyle name="常规 4 3 4 2 7" xfId="8020"/>
    <cellStyle name="常规 4 3 4 2 7 2" xfId="15897"/>
    <cellStyle name="常规 4 3 4 2 8" xfId="8023"/>
    <cellStyle name="常规 4 3 4 2 9" xfId="25830"/>
    <cellStyle name="常规 4 3 4 3" xfId="8025"/>
    <cellStyle name="常规 4 3 4 3 2" xfId="8029"/>
    <cellStyle name="常规 4 3 4 3 2 2" xfId="8034"/>
    <cellStyle name="常规 4 3 4 3 2 2 2" xfId="8039"/>
    <cellStyle name="常规 4 3 4 3 2 2 2 2" xfId="31229"/>
    <cellStyle name="常规 4 3 4 3 2 2 3" xfId="31230"/>
    <cellStyle name="常规 4 3 4 3 2 2 4" xfId="31231"/>
    <cellStyle name="常规 4 3 4 3 2 3" xfId="8042"/>
    <cellStyle name="常规 4 3 4 3 2 3 2" xfId="23483"/>
    <cellStyle name="常规 4 3 4 3 2 4" xfId="23485"/>
    <cellStyle name="常规 4 3 4 3 2 4 2" xfId="31232"/>
    <cellStyle name="常规 4 3 4 3 2 5" xfId="23487"/>
    <cellStyle name="常规 4 3 4 3 2 6" xfId="31233"/>
    <cellStyle name="常规 4 3 4 3 3" xfId="8045"/>
    <cellStyle name="常规 4 3 4 3 3 2" xfId="8049"/>
    <cellStyle name="常规 4 3 4 3 3 2 2" xfId="14599"/>
    <cellStyle name="常规 4 3 4 3 3 3" xfId="19912"/>
    <cellStyle name="常规 4 3 4 3 3 4" xfId="19915"/>
    <cellStyle name="常规 4 3 4 3 4" xfId="8052"/>
    <cellStyle name="常规 4 3 4 3 4 2" xfId="16033"/>
    <cellStyle name="常规 4 3 4 3 4 2 2" xfId="14728"/>
    <cellStyle name="常规 4 3 4 3 4 3" xfId="16035"/>
    <cellStyle name="常规 4 3 4 3 4 4" xfId="12373"/>
    <cellStyle name="常规 4 3 4 3 5" xfId="15318"/>
    <cellStyle name="常规 4 3 4 3 5 2" xfId="16175"/>
    <cellStyle name="常规 4 3 4 3 6" xfId="20948"/>
    <cellStyle name="常规 4 3 4 3 6 2" xfId="16239"/>
    <cellStyle name="常规 4 3 4 3 7" xfId="25852"/>
    <cellStyle name="常规 4 3 4 3 8" xfId="25857"/>
    <cellStyle name="常规 4 3 4 3 9" xfId="3463"/>
    <cellStyle name="常规 4 3 4 4" xfId="8055"/>
    <cellStyle name="常规 4 3 4 4 2" xfId="8058"/>
    <cellStyle name="常规 4 3 4 4 2 2" xfId="8061"/>
    <cellStyle name="常规 4 3 4 4 2 2 2" xfId="14066"/>
    <cellStyle name="常规 4 3 4 4 2 3" xfId="31234"/>
    <cellStyle name="常规 4 3 4 4 2 4" xfId="31235"/>
    <cellStyle name="常规 4 3 4 4 3" xfId="8063"/>
    <cellStyle name="常规 4 3 4 4 3 2" xfId="31236"/>
    <cellStyle name="常规 4 3 4 4 4" xfId="31237"/>
    <cellStyle name="常规 4 3 4 4 5" xfId="25866"/>
    <cellStyle name="常规 4 3 4 4 6" xfId="25871"/>
    <cellStyle name="常规 4 3 4 5" xfId="8066"/>
    <cellStyle name="常规 4 3 4 5 2" xfId="8069"/>
    <cellStyle name="常规 4 3 4 5 2 2" xfId="8072"/>
    <cellStyle name="常规 4 3 4 5 3" xfId="8074"/>
    <cellStyle name="常规 4 3 4 5 4" xfId="15980"/>
    <cellStyle name="常规 4 3 4 6" xfId="8076"/>
    <cellStyle name="常规 4 3 4 6 2" xfId="8080"/>
    <cellStyle name="常规 4 3 4 6 2 2" xfId="31238"/>
    <cellStyle name="常规 4 3 4 6 3" xfId="31239"/>
    <cellStyle name="常规 4 3 4 6 4" xfId="15995"/>
    <cellStyle name="常规 4 3 4 7" xfId="8082"/>
    <cellStyle name="常规 4 3 4 7 2" xfId="8085"/>
    <cellStyle name="常规 4 3 4 8" xfId="31240"/>
    <cellStyle name="常规 4 3 4 8 2" xfId="31241"/>
    <cellStyle name="常规 4 3 4 9" xfId="31242"/>
    <cellStyle name="常规 4 3 5" xfId="8087"/>
    <cellStyle name="常规 4 3 5 2" xfId="8089"/>
    <cellStyle name="常规 4 3 5 2 2" xfId="8093"/>
    <cellStyle name="常规 4 3 5 2 2 2" xfId="6404"/>
    <cellStyle name="常规 4 3 5 2 2 2 2" xfId="6409"/>
    <cellStyle name="常规 4 3 5 2 2 3" xfId="6420"/>
    <cellStyle name="常规 4 3 5 2 2 4" xfId="8108"/>
    <cellStyle name="常规 4 3 5 2 3" xfId="8123"/>
    <cellStyle name="常规 4 3 5 2 3 2" xfId="8127"/>
    <cellStyle name="常规 4 3 5 2 4" xfId="8139"/>
    <cellStyle name="常规 4 3 5 2 5" xfId="8149"/>
    <cellStyle name="常规 4 3 5 3" xfId="8175"/>
    <cellStyle name="常规 4 3 5 3 2" xfId="8179"/>
    <cellStyle name="常规 4 3 5 3 2 2" xfId="2107"/>
    <cellStyle name="常规 4 3 5 3 3" xfId="8187"/>
    <cellStyle name="常规 4 3 5 3 4" xfId="8195"/>
    <cellStyle name="常规 4 3 5 4" xfId="8222"/>
    <cellStyle name="常规 4 3 5 4 2" xfId="8226"/>
    <cellStyle name="常规 4 3 5 4 2 2" xfId="3070"/>
    <cellStyle name="常规 4 3 5 4 3" xfId="8228"/>
    <cellStyle name="常规 4 3 5 4 4" xfId="8231"/>
    <cellStyle name="常规 4 3 5 5" xfId="8233"/>
    <cellStyle name="常规 4 3 5 5 2" xfId="8237"/>
    <cellStyle name="常规 4 3 5 6" xfId="8240"/>
    <cellStyle name="常规 4 3 5 7" xfId="8247"/>
    <cellStyle name="常规 4 3 5 8" xfId="8251"/>
    <cellStyle name="常规 4 3 6" xfId="8254"/>
    <cellStyle name="常规 4 3 6 2" xfId="8257"/>
    <cellStyle name="常规 4 3 6 2 2" xfId="8261"/>
    <cellStyle name="常规 4 3 6 2 2 2" xfId="8263"/>
    <cellStyle name="常规 4 3 6 2 3" xfId="8269"/>
    <cellStyle name="常规 4 3 6 2 4" xfId="8272"/>
    <cellStyle name="常规 4 3 6 3" xfId="8277"/>
    <cellStyle name="常规 4 3 6 3 2" xfId="5135"/>
    <cellStyle name="常规 4 3 6 4" xfId="8281"/>
    <cellStyle name="常规 4 3 6 5" xfId="8286"/>
    <cellStyle name="常规 4 3 6 6" xfId="8289"/>
    <cellStyle name="常规 4 3 7" xfId="8295"/>
    <cellStyle name="常规 4 3 7 2" xfId="8298"/>
    <cellStyle name="常规 4 3 7 2 2" xfId="8302"/>
    <cellStyle name="常规 4 3 7 3" xfId="8307"/>
    <cellStyle name="常规 4 3 7 4" xfId="8311"/>
    <cellStyle name="常规 4 3 8" xfId="8313"/>
    <cellStyle name="常规 4 3 8 2" xfId="8315"/>
    <cellStyle name="常规 4 3 8 2 2" xfId="8318"/>
    <cellStyle name="常规 4 3 8 3" xfId="8323"/>
    <cellStyle name="常规 4 3 8 4" xfId="28474"/>
    <cellStyle name="常规 4 3 9" xfId="8325"/>
    <cellStyle name="常规 4 3 9 2" xfId="8327"/>
    <cellStyle name="常规 4 4" xfId="31243"/>
    <cellStyle name="常规 4 4 10" xfId="30842"/>
    <cellStyle name="常规 4 4 10 2" xfId="19945"/>
    <cellStyle name="常规 4 4 11" xfId="31244"/>
    <cellStyle name="常规 4 4 12" xfId="31245"/>
    <cellStyle name="常规 4 4 2" xfId="31246"/>
    <cellStyle name="常规 4 4 2 10" xfId="5462"/>
    <cellStyle name="常规 4 4 2 11" xfId="31247"/>
    <cellStyle name="常规 4 4 2 2" xfId="31250"/>
    <cellStyle name="常规 4 4 2 2 2" xfId="31251"/>
    <cellStyle name="常规 4 4 2 2 2 2" xfId="31252"/>
    <cellStyle name="常规 4 4 2 2 2 2 2" xfId="31253"/>
    <cellStyle name="常规 4 4 2 2 2 2 2 2" xfId="28775"/>
    <cellStyle name="常规 4 4 2 2 2 2 2 2 2" xfId="3145"/>
    <cellStyle name="常规 4 4 2 2 2 2 2 3" xfId="11674"/>
    <cellStyle name="常规 4 4 2 2 2 2 2 4" xfId="31254"/>
    <cellStyle name="常规 4 4 2 2 2 2 3" xfId="31255"/>
    <cellStyle name="常规 4 4 2 2 2 2 3 2" xfId="31256"/>
    <cellStyle name="常规 4 4 2 2 2 2 4" xfId="20644"/>
    <cellStyle name="常规 4 4 2 2 2 2 4 2" xfId="20646"/>
    <cellStyle name="常规 4 4 2 2 2 2 5" xfId="20649"/>
    <cellStyle name="常规 4 4 2 2 2 2 6" xfId="20652"/>
    <cellStyle name="常规 4 4 2 2 2 3" xfId="31257"/>
    <cellStyle name="常规 4 4 2 2 2 3 2" xfId="31258"/>
    <cellStyle name="常规 4 4 2 2 2 3 2 2" xfId="31259"/>
    <cellStyle name="常规 4 4 2 2 2 3 3" xfId="31261"/>
    <cellStyle name="常规 4 4 2 2 2 3 4" xfId="20655"/>
    <cellStyle name="常规 4 4 2 2 2 4" xfId="31262"/>
    <cellStyle name="常规 4 4 2 2 2 4 2" xfId="31263"/>
    <cellStyle name="常规 4 4 2 2 2 4 2 2" xfId="27071"/>
    <cellStyle name="常规 4 4 2 2 2 4 3" xfId="31264"/>
    <cellStyle name="常规 4 4 2 2 2 4 4" xfId="31265"/>
    <cellStyle name="常规 4 4 2 2 2 5" xfId="31267"/>
    <cellStyle name="常规 4 4 2 2 2 5 2" xfId="31268"/>
    <cellStyle name="常规 4 4 2 2 2 6" xfId="31269"/>
    <cellStyle name="常规 4 4 2 2 2 6 2" xfId="30630"/>
    <cellStyle name="常规 4 4 2 2 2 7" xfId="28220"/>
    <cellStyle name="常规 4 4 2 2 2 8" xfId="7458"/>
    <cellStyle name="常规 4 4 2 2 2 9" xfId="9805"/>
    <cellStyle name="常规 4 4 2 2 3" xfId="31270"/>
    <cellStyle name="常规 4 4 2 2 3 2" xfId="31271"/>
    <cellStyle name="常规 4 4 2 2 3 2 2" xfId="31272"/>
    <cellStyle name="常规 4 4 2 2 3 2 2 2" xfId="31273"/>
    <cellStyle name="常规 4 4 2 2 3 2 3" xfId="31274"/>
    <cellStyle name="常规 4 4 2 2 3 2 4" xfId="31275"/>
    <cellStyle name="常规 4 4 2 2 3 3" xfId="31276"/>
    <cellStyle name="常规 4 4 2 2 3 3 2" xfId="31277"/>
    <cellStyle name="常规 4 4 2 2 3 4" xfId="31278"/>
    <cellStyle name="常规 4 4 2 2 3 5" xfId="31279"/>
    <cellStyle name="常规 4 4 2 2 3 6" xfId="31280"/>
    <cellStyle name="常规 4 4 2 2 4" xfId="31281"/>
    <cellStyle name="常规 4 4 2 2 4 2" xfId="31282"/>
    <cellStyle name="常规 4 4 2 2 4 2 2" xfId="31283"/>
    <cellStyle name="常规 4 4 2 2 4 3" xfId="31284"/>
    <cellStyle name="常规 4 4 2 2 4 4" xfId="31285"/>
    <cellStyle name="常规 4 4 2 2 5" xfId="31286"/>
    <cellStyle name="常规 4 4 2 2 5 2" xfId="29372"/>
    <cellStyle name="常规 4 4 2 2 5 2 2" xfId="31287"/>
    <cellStyle name="常规 4 4 2 2 5 3" xfId="31288"/>
    <cellStyle name="常规 4 4 2 2 5 4" xfId="31289"/>
    <cellStyle name="常规 4 4 2 2 6" xfId="31290"/>
    <cellStyle name="常规 4 4 2 2 6 2" xfId="31291"/>
    <cellStyle name="常规 4 4 2 2 7" xfId="19496"/>
    <cellStyle name="常规 4 4 2 2 7 2" xfId="19498"/>
    <cellStyle name="常规 4 4 2 2 8" xfId="19500"/>
    <cellStyle name="常规 4 4 2 2 9" xfId="13253"/>
    <cellStyle name="常规 4 4 2 3" xfId="31292"/>
    <cellStyle name="常规 4 4 2 3 10" xfId="31293"/>
    <cellStyle name="常规 4 4 2 3 2" xfId="31295"/>
    <cellStyle name="常规 4 4 2 3 2 2" xfId="21887"/>
    <cellStyle name="常规 4 4 2 3 2 2 2" xfId="21889"/>
    <cellStyle name="常规 4 4 2 3 2 2 2 2" xfId="13106"/>
    <cellStyle name="常规 4 4 2 3 2 2 2 2 2" xfId="21892"/>
    <cellStyle name="常规 4 4 2 3 2 2 2 2 2 2" xfId="31296"/>
    <cellStyle name="常规 4 4 2 3 2 2 2 2 3" xfId="1683"/>
    <cellStyle name="常规 4 4 2 3 2 2 2 2 4" xfId="1692"/>
    <cellStyle name="常规 4 4 2 3 2 2 2 3" xfId="13109"/>
    <cellStyle name="常规 4 4 2 3 2 2 2 3 2" xfId="31297"/>
    <cellStyle name="常规 4 4 2 3 2 2 2 4" xfId="21895"/>
    <cellStyle name="常规 4 4 2 3 2 2 2 4 2" xfId="23293"/>
    <cellStyle name="常规 4 4 2 3 2 2 2 5" xfId="15710"/>
    <cellStyle name="常规 4 4 2 3 2 2 2 6" xfId="15715"/>
    <cellStyle name="常规 4 4 2 3 2 2 3" xfId="3054"/>
    <cellStyle name="常规 4 4 2 3 2 2 3 2" xfId="3057"/>
    <cellStyle name="常规 4 4 2 3 2 2 3 2 2" xfId="31298"/>
    <cellStyle name="常规 4 4 2 3 2 2 3 3" xfId="22993"/>
    <cellStyle name="常规 4 4 2 3 2 2 3 4" xfId="22998"/>
    <cellStyle name="常规 4 4 2 3 2 2 4" xfId="1480"/>
    <cellStyle name="常规 4 4 2 3 2 2 4 2" xfId="31299"/>
    <cellStyle name="常规 4 4 2 3 2 2 4 2 2" xfId="18279"/>
    <cellStyle name="常规 4 4 2 3 2 2 4 3" xfId="23000"/>
    <cellStyle name="常规 4 4 2 3 2 2 4 4" xfId="31300"/>
    <cellStyle name="常规 4 4 2 3 2 2 5" xfId="21898"/>
    <cellStyle name="常规 4 4 2 3 2 2 5 2" xfId="14047"/>
    <cellStyle name="常规 4 4 2 3 2 2 6" xfId="21900"/>
    <cellStyle name="常规 4 4 2 3 2 2 6 2" xfId="14099"/>
    <cellStyle name="常规 4 4 2 3 2 2 7" xfId="31301"/>
    <cellStyle name="常规 4 4 2 3 2 2 8" xfId="31302"/>
    <cellStyle name="常规 4 4 2 3 2 2 9" xfId="31303"/>
    <cellStyle name="常规 4 4 2 3 2 3" xfId="21904"/>
    <cellStyle name="常规 4 4 2 3 2 3 2" xfId="21906"/>
    <cellStyle name="常规 4 4 2 3 2 3 2 2" xfId="21908"/>
    <cellStyle name="常规 4 4 2 3 2 3 2 2 2" xfId="3153"/>
    <cellStyle name="常规 4 4 2 3 2 3 2 3" xfId="31304"/>
    <cellStyle name="常规 4 4 2 3 2 3 2 4" xfId="28199"/>
    <cellStyle name="常规 4 4 2 3 2 3 3" xfId="2158"/>
    <cellStyle name="常规 4 4 2 3 2 3 3 2" xfId="31305"/>
    <cellStyle name="常规 4 4 2 3 2 3 4" xfId="21910"/>
    <cellStyle name="常规 4 4 2 3 2 3 5" xfId="31306"/>
    <cellStyle name="常规 4 4 2 3 2 3 6" xfId="31307"/>
    <cellStyle name="常规 4 4 2 3 2 4" xfId="21912"/>
    <cellStyle name="常规 4 4 2 3 2 4 2" xfId="21914"/>
    <cellStyle name="常规 4 4 2 3 2 4 2 2" xfId="21918"/>
    <cellStyle name="常规 4 4 2 3 2 4 3" xfId="3061"/>
    <cellStyle name="常规 4 4 2 3 2 4 4" xfId="21921"/>
    <cellStyle name="常规 4 4 2 3 2 5" xfId="21925"/>
    <cellStyle name="常规 4 4 2 3 2 5 2" xfId="21927"/>
    <cellStyle name="常规 4 4 2 3 2 5 2 2" xfId="27133"/>
    <cellStyle name="常规 4 4 2 3 2 5 3" xfId="29451"/>
    <cellStyle name="常规 4 4 2 3 2 5 4" xfId="29454"/>
    <cellStyle name="常规 4 4 2 3 2 6" xfId="21930"/>
    <cellStyle name="常规 4 4 2 3 2 6 2" xfId="21932"/>
    <cellStyle name="常规 4 4 2 3 2 7" xfId="21935"/>
    <cellStyle name="常规 4 4 2 3 2 7 2" xfId="18860"/>
    <cellStyle name="常规 4 4 2 3 2 8" xfId="21938"/>
    <cellStyle name="常规 4 4 2 3 2 9" xfId="9810"/>
    <cellStyle name="常规 4 4 2 3 3" xfId="31308"/>
    <cellStyle name="常规 4 4 2 3 3 2" xfId="21987"/>
    <cellStyle name="常规 4 4 2 3 3 2 2" xfId="21989"/>
    <cellStyle name="常规 4 4 2 3 3 2 2 2" xfId="21991"/>
    <cellStyle name="常规 4 4 2 3 3 2 2 2 2" xfId="21993"/>
    <cellStyle name="常规 4 4 2 3 3 2 2 3" xfId="21999"/>
    <cellStyle name="常规 4 4 2 3 3 2 2 4" xfId="22002"/>
    <cellStyle name="常规 4 4 2 3 3 2 3" xfId="3126"/>
    <cellStyle name="常规 4 4 2 3 3 2 3 2" xfId="22004"/>
    <cellStyle name="常规 4 4 2 3 3 2 4" xfId="22009"/>
    <cellStyle name="常规 4 4 2 3 3 2 4 2" xfId="22011"/>
    <cellStyle name="常规 4 4 2 3 3 2 5" xfId="22014"/>
    <cellStyle name="常规 4 4 2 3 3 2 6" xfId="6819"/>
    <cellStyle name="常规 4 4 2 3 3 3" xfId="22017"/>
    <cellStyle name="常规 4 4 2 3 3 3 2" xfId="22019"/>
    <cellStyle name="常规 4 4 2 3 3 3 2 2" xfId="22022"/>
    <cellStyle name="常规 4 4 2 3 3 3 3" xfId="22031"/>
    <cellStyle name="常规 4 4 2 3 3 3 4" xfId="22035"/>
    <cellStyle name="常规 4 4 2 3 3 4" xfId="22038"/>
    <cellStyle name="常规 4 4 2 3 3 4 2" xfId="22040"/>
    <cellStyle name="常规 4 4 2 3 3 4 2 2" xfId="22045"/>
    <cellStyle name="常规 4 4 2 3 3 4 3" xfId="22049"/>
    <cellStyle name="常规 4 4 2 3 3 4 4" xfId="22052"/>
    <cellStyle name="常规 4 4 2 3 3 5" xfId="22054"/>
    <cellStyle name="常规 4 4 2 3 3 5 2" xfId="22056"/>
    <cellStyle name="常规 4 4 2 3 3 6" xfId="22061"/>
    <cellStyle name="常规 4 4 2 3 3 6 2" xfId="22063"/>
    <cellStyle name="常规 4 4 2 3 3 7" xfId="22065"/>
    <cellStyle name="常规 4 4 2 3 3 8" xfId="22067"/>
    <cellStyle name="常规 4 4 2 3 3 9" xfId="31309"/>
    <cellStyle name="常规 4 4 2 3 4" xfId="31310"/>
    <cellStyle name="常规 4 4 2 3 4 2" xfId="11021"/>
    <cellStyle name="常规 4 4 2 3 4 2 2" xfId="11024"/>
    <cellStyle name="常规 4 4 2 3 4 2 2 2" xfId="11029"/>
    <cellStyle name="常规 4 4 2 3 4 2 3" xfId="2623"/>
    <cellStyle name="常规 4 4 2 3 4 2 4" xfId="22072"/>
    <cellStyle name="常规 4 4 2 3 4 3" xfId="11032"/>
    <cellStyle name="常规 4 4 2 3 4 3 2" xfId="11036"/>
    <cellStyle name="常规 4 4 2 3 4 4" xfId="11039"/>
    <cellStyle name="常规 4 4 2 3 4 5" xfId="11045"/>
    <cellStyle name="常规 4 4 2 3 4 6" xfId="22078"/>
    <cellStyle name="常规 4 4 2 3 5" xfId="31311"/>
    <cellStyle name="常规 4 4 2 3 5 2" xfId="11171"/>
    <cellStyle name="常规 4 4 2 3 5 2 2" xfId="11174"/>
    <cellStyle name="常规 4 4 2 3 5 3" xfId="11180"/>
    <cellStyle name="常规 4 4 2 3 5 4" xfId="11188"/>
    <cellStyle name="常规 4 4 2 3 6" xfId="27378"/>
    <cellStyle name="常规 4 4 2 3 6 2" xfId="11229"/>
    <cellStyle name="常规 4 4 2 3 6 2 2" xfId="11232"/>
    <cellStyle name="常规 4 4 2 3 6 3" xfId="11236"/>
    <cellStyle name="常规 4 4 2 3 6 4" xfId="11240"/>
    <cellStyle name="常规 4 4 2 3 7" xfId="19503"/>
    <cellStyle name="常规 4 4 2 3 7 2" xfId="19507"/>
    <cellStyle name="常规 4 4 2 3 8" xfId="19510"/>
    <cellStyle name="常规 4 4 2 3 8 2" xfId="15823"/>
    <cellStyle name="常规 4 4 2 3 9" xfId="13260"/>
    <cellStyle name="常规 4 4 2 4" xfId="31312"/>
    <cellStyle name="常规 4 4 2 4 2" xfId="31313"/>
    <cellStyle name="常规 4 4 2 4 2 2" xfId="22118"/>
    <cellStyle name="常规 4 4 2 4 2 2 2" xfId="19718"/>
    <cellStyle name="常规 4 4 2 4 2 2 2 2" xfId="22120"/>
    <cellStyle name="常规 4 4 2 4 2 2 3" xfId="22126"/>
    <cellStyle name="常规 4 4 2 4 2 2 4" xfId="22129"/>
    <cellStyle name="常规 4 4 2 4 2 3" xfId="22133"/>
    <cellStyle name="常规 4 4 2 4 2 3 2" xfId="22137"/>
    <cellStyle name="常规 4 4 2 4 2 4" xfId="22145"/>
    <cellStyle name="常规 4 4 2 4 2 4 2" xfId="22148"/>
    <cellStyle name="常规 4 4 2 4 2 5" xfId="22160"/>
    <cellStyle name="常规 4 4 2 4 2 6" xfId="22167"/>
    <cellStyle name="常规 4 4 2 4 3" xfId="31314"/>
    <cellStyle name="常规 4 4 2 4 3 2" xfId="22185"/>
    <cellStyle name="常规 4 4 2 4 3 2 2" xfId="22187"/>
    <cellStyle name="常规 4 4 2 4 3 3" xfId="22192"/>
    <cellStyle name="常规 4 4 2 4 3 4" xfId="22207"/>
    <cellStyle name="常规 4 4 2 4 4" xfId="31315"/>
    <cellStyle name="常规 4 4 2 4 4 2" xfId="11305"/>
    <cellStyle name="常规 4 4 2 4 4 2 2" xfId="11308"/>
    <cellStyle name="常规 4 4 2 4 4 3" xfId="11311"/>
    <cellStyle name="常规 4 4 2 4 4 4" xfId="11314"/>
    <cellStyle name="常规 4 4 2 4 5" xfId="31316"/>
    <cellStyle name="常规 4 4 2 4 5 2" xfId="22220"/>
    <cellStyle name="常规 4 4 2 4 6" xfId="27391"/>
    <cellStyle name="常规 4 4 2 4 6 2" xfId="22226"/>
    <cellStyle name="常规 4 4 2 4 7" xfId="19513"/>
    <cellStyle name="常规 4 4 2 4 8" xfId="27396"/>
    <cellStyle name="常规 4 4 2 4 9" xfId="13264"/>
    <cellStyle name="常规 4 4 2 5" xfId="3659"/>
    <cellStyle name="常规 4 4 2 5 2" xfId="31317"/>
    <cellStyle name="常规 4 4 2 5 2 2" xfId="22232"/>
    <cellStyle name="常规 4 4 2 5 2 2 2" xfId="20236"/>
    <cellStyle name="常规 4 4 2 5 2 3" xfId="840"/>
    <cellStyle name="常规 4 4 2 5 2 4" xfId="873"/>
    <cellStyle name="常规 4 4 2 5 3" xfId="31318"/>
    <cellStyle name="常规 4 4 2 5 3 2" xfId="22236"/>
    <cellStyle name="常规 4 4 2 5 4" xfId="31319"/>
    <cellStyle name="常规 4 4 2 5 5" xfId="31320"/>
    <cellStyle name="常规 4 4 2 5 6" xfId="26737"/>
    <cellStyle name="常规 4 4 2 6" xfId="31321"/>
    <cellStyle name="常规 4 4 2 6 2" xfId="31323"/>
    <cellStyle name="常规 4 4 2 6 2 2" xfId="22246"/>
    <cellStyle name="常规 4 4 2 6 3" xfId="7720"/>
    <cellStyle name="常规 4 4 2 6 4" xfId="31324"/>
    <cellStyle name="常规 4 4 2 7" xfId="31325"/>
    <cellStyle name="常规 4 4 2 7 2" xfId="31326"/>
    <cellStyle name="常规 4 4 2 7 2 2" xfId="31327"/>
    <cellStyle name="常规 4 4 2 7 3" xfId="31328"/>
    <cellStyle name="常规 4 4 2 7 4" xfId="31329"/>
    <cellStyle name="常规 4 4 2 8" xfId="11541"/>
    <cellStyle name="常规 4 4 2 8 2" xfId="29351"/>
    <cellStyle name="常规 4 4 2 9" xfId="21949"/>
    <cellStyle name="常规 4 4 2 9 2" xfId="31330"/>
    <cellStyle name="常规 4 4 3" xfId="31331"/>
    <cellStyle name="常规 4 4 3 2" xfId="31332"/>
    <cellStyle name="常规 4 4 3 2 2" xfId="31333"/>
    <cellStyle name="常规 4 4 3 2 2 2" xfId="31334"/>
    <cellStyle name="常规 4 4 3 2 2 2 2" xfId="23049"/>
    <cellStyle name="常规 4 4 3 2 2 2 2 2" xfId="23052"/>
    <cellStyle name="常规 4 4 3 2 2 2 3" xfId="23057"/>
    <cellStyle name="常规 4 4 3 2 2 2 4" xfId="23061"/>
    <cellStyle name="常规 4 4 3 2 2 3" xfId="31335"/>
    <cellStyle name="常规 4 4 3 2 2 3 2" xfId="23400"/>
    <cellStyle name="常规 4 4 3 2 2 4" xfId="31336"/>
    <cellStyle name="常规 4 4 3 2 2 4 2" xfId="31337"/>
    <cellStyle name="常规 4 4 3 2 2 5" xfId="31338"/>
    <cellStyle name="常规 4 4 3 2 2 6" xfId="31339"/>
    <cellStyle name="常规 4 4 3 2 3" xfId="31340"/>
    <cellStyle name="常规 4 4 3 2 3 2" xfId="31341"/>
    <cellStyle name="常规 4 4 3 2 3 2 2" xfId="31342"/>
    <cellStyle name="常规 4 4 3 2 3 3" xfId="31343"/>
    <cellStyle name="常规 4 4 3 2 3 4" xfId="31344"/>
    <cellStyle name="常规 4 4 3 2 4" xfId="31345"/>
    <cellStyle name="常规 4 4 3 2 4 2" xfId="31346"/>
    <cellStyle name="常规 4 4 3 2 4 2 2" xfId="31347"/>
    <cellStyle name="常规 4 4 3 2 4 3" xfId="31348"/>
    <cellStyle name="常规 4 4 3 2 4 4" xfId="31349"/>
    <cellStyle name="常规 4 4 3 2 5" xfId="31350"/>
    <cellStyle name="常规 4 4 3 2 5 2" xfId="29656"/>
    <cellStyle name="常规 4 4 3 2 6" xfId="7147"/>
    <cellStyle name="常规 4 4 3 2 6 2" xfId="21024"/>
    <cellStyle name="常规 4 4 3 2 7" xfId="19530"/>
    <cellStyle name="常规 4 4 3 2 8" xfId="31351"/>
    <cellStyle name="常规 4 4 3 2 9" xfId="13289"/>
    <cellStyle name="常规 4 4 3 3" xfId="31352"/>
    <cellStyle name="常规 4 4 3 3 2" xfId="31353"/>
    <cellStyle name="常规 4 4 3 3 2 2" xfId="22298"/>
    <cellStyle name="常规 4 4 3 3 2 2 2" xfId="22304"/>
    <cellStyle name="常规 4 4 3 3 2 3" xfId="22313"/>
    <cellStyle name="常规 4 4 3 3 2 4" xfId="22321"/>
    <cellStyle name="常规 4 4 3 3 3" xfId="31354"/>
    <cellStyle name="常规 4 4 3 3 3 2" xfId="22398"/>
    <cellStyle name="常规 4 4 3 3 4" xfId="31355"/>
    <cellStyle name="常规 4 4 3 3 5" xfId="31356"/>
    <cellStyle name="常规 4 4 3 3 6" xfId="27409"/>
    <cellStyle name="常规 4 4 3 4" xfId="31357"/>
    <cellStyle name="常规 4 4 3 4 2" xfId="31358"/>
    <cellStyle name="常规 4 4 3 4 2 2" xfId="22525"/>
    <cellStyle name="常规 4 4 3 4 3" xfId="9882"/>
    <cellStyle name="常规 4 4 3 4 4" xfId="9886"/>
    <cellStyle name="常规 4 4 3 5" xfId="31359"/>
    <cellStyle name="常规 4 4 3 5 2" xfId="31360"/>
    <cellStyle name="常规 4 4 3 5 2 2" xfId="2692"/>
    <cellStyle name="常规 4 4 3 5 3" xfId="9894"/>
    <cellStyle name="常规 4 4 3 5 4" xfId="16047"/>
    <cellStyle name="常规 4 4 3 6" xfId="31361"/>
    <cellStyle name="常规 4 4 3 6 2" xfId="31362"/>
    <cellStyle name="常规 4 4 3 7" xfId="31363"/>
    <cellStyle name="常规 4 4 3 7 2" xfId="31364"/>
    <cellStyle name="常规 4 4 3 8" xfId="31365"/>
    <cellStyle name="常规 4 4 3 9" xfId="31366"/>
    <cellStyle name="常规 4 4 4" xfId="8338"/>
    <cellStyle name="常规 4 4 4 10" xfId="31367"/>
    <cellStyle name="常规 4 4 4 2" xfId="8340"/>
    <cellStyle name="常规 4 4 4 2 2" xfId="8343"/>
    <cellStyle name="常规 4 4 4 2 2 2" xfId="8346"/>
    <cellStyle name="常规 4 4 4 2 2 2 2" xfId="8348"/>
    <cellStyle name="常规 4 4 4 2 2 2 2 2" xfId="29248"/>
    <cellStyle name="常规 4 4 4 2 2 2 2 2 2" xfId="4763"/>
    <cellStyle name="常规 4 4 4 2 2 2 2 3" xfId="29250"/>
    <cellStyle name="常规 4 4 4 2 2 2 2 4" xfId="31368"/>
    <cellStyle name="常规 4 4 4 2 2 2 3" xfId="31369"/>
    <cellStyle name="常规 4 4 4 2 2 2 3 2" xfId="31370"/>
    <cellStyle name="常规 4 4 4 2 2 2 4" xfId="31371"/>
    <cellStyle name="常规 4 4 4 2 2 2 4 2" xfId="31372"/>
    <cellStyle name="常规 4 4 4 2 2 2 5" xfId="4640"/>
    <cellStyle name="常规 4 4 4 2 2 2 6" xfId="31373"/>
    <cellStyle name="常规 4 4 4 2 2 3" xfId="8351"/>
    <cellStyle name="常规 4 4 4 2 2 3 2" xfId="31375"/>
    <cellStyle name="常规 4 4 4 2 2 3 2 2" xfId="31376"/>
    <cellStyle name="常规 4 4 4 2 2 3 3" xfId="31377"/>
    <cellStyle name="常规 4 4 4 2 2 3 4" xfId="31378"/>
    <cellStyle name="常规 4 4 4 2 2 4" xfId="23845"/>
    <cellStyle name="常规 4 4 4 2 2 4 2" xfId="31379"/>
    <cellStyle name="常规 4 4 4 2 2 4 2 2" xfId="31380"/>
    <cellStyle name="常规 4 4 4 2 2 4 3" xfId="31381"/>
    <cellStyle name="常规 4 4 4 2 2 4 4" xfId="31382"/>
    <cellStyle name="常规 4 4 4 2 2 5" xfId="31383"/>
    <cellStyle name="常规 4 4 4 2 2 5 2" xfId="31384"/>
    <cellStyle name="常规 4 4 4 2 2 6" xfId="27036"/>
    <cellStyle name="常规 4 4 4 2 2 6 2" xfId="31385"/>
    <cellStyle name="常规 4 4 4 2 2 7" xfId="31386"/>
    <cellStyle name="常规 4 4 4 2 2 8" xfId="26645"/>
    <cellStyle name="常规 4 4 4 2 2 9" xfId="26649"/>
    <cellStyle name="常规 4 4 4 2 3" xfId="8353"/>
    <cellStyle name="常规 4 4 4 2 3 2" xfId="8356"/>
    <cellStyle name="常规 4 4 4 2 3 2 2" xfId="31387"/>
    <cellStyle name="常规 4 4 4 2 3 2 2 2" xfId="31388"/>
    <cellStyle name="常规 4 4 4 2 3 2 3" xfId="31389"/>
    <cellStyle name="常规 4 4 4 2 3 2 4" xfId="31390"/>
    <cellStyle name="常规 4 4 4 2 3 3" xfId="31391"/>
    <cellStyle name="常规 4 4 4 2 3 3 2" xfId="27060"/>
    <cellStyle name="常规 4 4 4 2 3 4" xfId="31392"/>
    <cellStyle name="常规 4 4 4 2 3 5" xfId="31393"/>
    <cellStyle name="常规 4 4 4 2 3 6" xfId="31394"/>
    <cellStyle name="常规 4 4 4 2 4" xfId="8358"/>
    <cellStyle name="常规 4 4 4 2 4 2" xfId="8360"/>
    <cellStyle name="常规 4 4 4 2 4 2 2" xfId="31395"/>
    <cellStyle name="常规 4 4 4 2 4 3" xfId="31396"/>
    <cellStyle name="常规 4 4 4 2 4 4" xfId="31397"/>
    <cellStyle name="常规 4 4 4 2 5" xfId="8362"/>
    <cellStyle name="常规 4 4 4 2 5 2" xfId="29818"/>
    <cellStyle name="常规 4 4 4 2 5 2 2" xfId="31398"/>
    <cellStyle name="常规 4 4 4 2 5 3" xfId="31399"/>
    <cellStyle name="常规 4 4 4 2 5 4" xfId="31400"/>
    <cellStyle name="常规 4 4 4 2 6" xfId="31401"/>
    <cellStyle name="常规 4 4 4 2 6 2" xfId="26396"/>
    <cellStyle name="常规 4 4 4 2 7" xfId="31402"/>
    <cellStyle name="常规 4 4 4 2 7 2" xfId="26412"/>
    <cellStyle name="常规 4 4 4 2 8" xfId="31403"/>
    <cellStyle name="常规 4 4 4 2 9" xfId="31404"/>
    <cellStyle name="常规 4 4 4 3" xfId="8364"/>
    <cellStyle name="常规 4 4 4 3 2" xfId="8367"/>
    <cellStyle name="常规 4 4 4 3 2 2" xfId="8371"/>
    <cellStyle name="常规 4 4 4 3 2 2 2" xfId="22703"/>
    <cellStyle name="常规 4 4 4 3 2 2 2 2" xfId="22705"/>
    <cellStyle name="常规 4 4 4 3 2 2 3" xfId="3840"/>
    <cellStyle name="常规 4 4 4 3 2 2 4" xfId="4652"/>
    <cellStyle name="常规 4 4 4 3 2 3" xfId="22714"/>
    <cellStyle name="常规 4 4 4 3 2 3 2" xfId="11578"/>
    <cellStyle name="常规 4 4 4 3 2 4" xfId="22719"/>
    <cellStyle name="常规 4 4 4 3 2 4 2" xfId="11586"/>
    <cellStyle name="常规 4 4 4 3 2 5" xfId="22724"/>
    <cellStyle name="常规 4 4 4 3 2 6" xfId="22727"/>
    <cellStyle name="常规 4 4 4 3 3" xfId="8373"/>
    <cellStyle name="常规 4 4 4 3 3 2" xfId="22780"/>
    <cellStyle name="常规 4 4 4 3 3 2 2" xfId="22782"/>
    <cellStyle name="常规 4 4 4 3 3 3" xfId="22800"/>
    <cellStyle name="常规 4 4 4 3 3 4" xfId="22823"/>
    <cellStyle name="常规 4 4 4 3 4" xfId="31405"/>
    <cellStyle name="常规 4 4 4 3 4 2" xfId="22859"/>
    <cellStyle name="常规 4 4 4 3 4 2 2" xfId="22861"/>
    <cellStyle name="常规 4 4 4 3 4 3" xfId="22864"/>
    <cellStyle name="常规 4 4 4 3 4 4" xfId="22866"/>
    <cellStyle name="常规 4 4 4 3 5" xfId="31406"/>
    <cellStyle name="常规 4 4 4 3 5 2" xfId="22883"/>
    <cellStyle name="常规 4 4 4 3 6" xfId="27416"/>
    <cellStyle name="常规 4 4 4 3 6 2" xfId="22894"/>
    <cellStyle name="常规 4 4 4 3 7" xfId="27418"/>
    <cellStyle name="常规 4 4 4 3 8" xfId="27420"/>
    <cellStyle name="常规 4 4 4 3 9" xfId="31407"/>
    <cellStyle name="常规 4 4 4 4" xfId="8375"/>
    <cellStyle name="常规 4 4 4 4 2" xfId="8377"/>
    <cellStyle name="常规 4 4 4 4 2 2" xfId="8380"/>
    <cellStyle name="常规 4 4 4 4 2 2 2" xfId="22942"/>
    <cellStyle name="常规 4 4 4 4 2 3" xfId="22954"/>
    <cellStyle name="常规 4 4 4 4 2 4" xfId="22958"/>
    <cellStyle name="常规 4 4 4 4 3" xfId="8383"/>
    <cellStyle name="常规 4 4 4 4 3 2" xfId="9904"/>
    <cellStyle name="常规 4 4 4 4 4" xfId="9919"/>
    <cellStyle name="常规 4 4 4 4 5" xfId="9923"/>
    <cellStyle name="常规 4 4 4 4 6" xfId="9928"/>
    <cellStyle name="常规 4 4 4 5" xfId="8385"/>
    <cellStyle name="常规 4 4 4 5 2" xfId="8387"/>
    <cellStyle name="常规 4 4 4 5 2 2" xfId="1083"/>
    <cellStyle name="常规 4 4 4 5 3" xfId="9932"/>
    <cellStyle name="常规 4 4 4 5 4" xfId="9937"/>
    <cellStyle name="常规 4 4 4 6" xfId="8389"/>
    <cellStyle name="常规 4 4 4 6 2" xfId="8391"/>
    <cellStyle name="常规 4 4 4 6 2 2" xfId="23038"/>
    <cellStyle name="常规 4 4 4 6 3" xfId="9948"/>
    <cellStyle name="常规 4 4 4 6 4" xfId="16121"/>
    <cellStyle name="常规 4 4 4 7" xfId="8393"/>
    <cellStyle name="常规 4 4 4 7 2" xfId="31408"/>
    <cellStyle name="常规 4 4 4 8" xfId="8396"/>
    <cellStyle name="常规 4 4 4 8 2" xfId="31409"/>
    <cellStyle name="常规 4 4 4 9" xfId="31410"/>
    <cellStyle name="常规 4 4 5" xfId="8400"/>
    <cellStyle name="常规 4 4 5 2" xfId="8402"/>
    <cellStyle name="常规 4 4 5 2 2" xfId="8407"/>
    <cellStyle name="常规 4 4 5 2 2 2" xfId="8410"/>
    <cellStyle name="常规 4 4 5 2 2 2 2" xfId="31412"/>
    <cellStyle name="常规 4 4 5 2 2 3" xfId="23991"/>
    <cellStyle name="常规 4 4 5 2 2 4" xfId="23993"/>
    <cellStyle name="常规 4 4 5 2 3" xfId="8412"/>
    <cellStyle name="常规 4 4 5 2 3 2" xfId="24005"/>
    <cellStyle name="常规 4 4 5 2 4" xfId="31413"/>
    <cellStyle name="常规 4 4 5 2 5" xfId="31414"/>
    <cellStyle name="常规 4 4 5 3" xfId="8415"/>
    <cellStyle name="常规 4 4 5 3 2" xfId="8417"/>
    <cellStyle name="常规 4 4 5 3 2 2" xfId="10577"/>
    <cellStyle name="常规 4 4 5 3 3" xfId="31415"/>
    <cellStyle name="常规 4 4 5 3 4" xfId="31416"/>
    <cellStyle name="常规 4 4 5 4" xfId="8420"/>
    <cellStyle name="常规 4 4 5 4 2" xfId="31417"/>
    <cellStyle name="常规 4 4 5 4 2 2" xfId="23297"/>
    <cellStyle name="常规 4 4 5 4 3" xfId="9956"/>
    <cellStyle name="常规 4 4 5 4 4" xfId="31418"/>
    <cellStyle name="常规 4 4 5 5" xfId="31419"/>
    <cellStyle name="常规 4 4 5 5 2" xfId="31420"/>
    <cellStyle name="常规 4 4 5 6" xfId="31421"/>
    <cellStyle name="常规 4 4 5 7" xfId="11667"/>
    <cellStyle name="常规 4 4 5 8" xfId="11670"/>
    <cellStyle name="常规 4 4 6" xfId="8422"/>
    <cellStyle name="常规 4 4 6 2" xfId="8424"/>
    <cellStyle name="常规 4 4 6 2 2" xfId="8428"/>
    <cellStyle name="常规 4 4 6 2 2 2" xfId="31422"/>
    <cellStyle name="常规 4 4 6 2 3" xfId="31423"/>
    <cellStyle name="常规 4 4 6 2 4" xfId="31424"/>
    <cellStyle name="常规 4 4 6 3" xfId="8430"/>
    <cellStyle name="常规 4 4 6 3 2" xfId="6984"/>
    <cellStyle name="常规 4 4 6 4" xfId="31425"/>
    <cellStyle name="常规 4 4 6 5" xfId="28773"/>
    <cellStyle name="常规 4 4 6 6" xfId="28776"/>
    <cellStyle name="常规 4 4 7" xfId="8432"/>
    <cellStyle name="常规 4 4 7 2" xfId="8436"/>
    <cellStyle name="常规 4 4 7 2 2" xfId="8438"/>
    <cellStyle name="常规 4 4 7 3" xfId="8442"/>
    <cellStyle name="常规 4 4 7 4" xfId="31427"/>
    <cellStyle name="常规 4 4 8" xfId="8444"/>
    <cellStyle name="常规 4 4 8 2" xfId="8447"/>
    <cellStyle name="常规 4 4 8 2 2" xfId="31428"/>
    <cellStyle name="常规 4 4 8 3" xfId="28499"/>
    <cellStyle name="常规 4 4 8 4" xfId="28501"/>
    <cellStyle name="常规 4 4 9" xfId="8449"/>
    <cellStyle name="常规 4 4 9 2" xfId="8451"/>
    <cellStyle name="常规 4 5" xfId="31429"/>
    <cellStyle name="常规 4 5 10" xfId="31430"/>
    <cellStyle name="常规 4 5 10 2" xfId="31431"/>
    <cellStyle name="常规 4 5 11" xfId="21472"/>
    <cellStyle name="常规 4 5 12" xfId="10176"/>
    <cellStyle name="常规 4 5 2" xfId="31432"/>
    <cellStyle name="常规 4 5 2 10" xfId="892"/>
    <cellStyle name="常规 4 5 2 11" xfId="31433"/>
    <cellStyle name="常规 4 5 2 2" xfId="31434"/>
    <cellStyle name="常规 4 5 2 2 2" xfId="31435"/>
    <cellStyle name="常规 4 5 2 2 2 2" xfId="31437"/>
    <cellStyle name="常规 4 5 2 2 2 2 2" xfId="31439"/>
    <cellStyle name="常规 4 5 2 2 2 2 2 2" xfId="31133"/>
    <cellStyle name="常规 4 5 2 2 2 2 2 2 2" xfId="31442"/>
    <cellStyle name="常规 4 5 2 2 2 2 2 3" xfId="31135"/>
    <cellStyle name="常规 4 5 2 2 2 2 2 4" xfId="31443"/>
    <cellStyle name="常规 4 5 2 2 2 2 3" xfId="31444"/>
    <cellStyle name="常规 4 5 2 2 2 2 3 2" xfId="31445"/>
    <cellStyle name="常规 4 5 2 2 2 2 4" xfId="31446"/>
    <cellStyle name="常规 4 5 2 2 2 2 4 2" xfId="29133"/>
    <cellStyle name="常规 4 5 2 2 2 2 5" xfId="31447"/>
    <cellStyle name="常规 4 5 2 2 2 2 6" xfId="30639"/>
    <cellStyle name="常规 4 5 2 2 2 3" xfId="8725"/>
    <cellStyle name="常规 4 5 2 2 2 3 2" xfId="31448"/>
    <cellStyle name="常规 4 5 2 2 2 3 2 2" xfId="31449"/>
    <cellStyle name="常规 4 5 2 2 2 3 3" xfId="31450"/>
    <cellStyle name="常规 4 5 2 2 2 3 4" xfId="31451"/>
    <cellStyle name="常规 4 5 2 2 2 4" xfId="31452"/>
    <cellStyle name="常规 4 5 2 2 2 4 2" xfId="31454"/>
    <cellStyle name="常规 4 5 2 2 2 4 2 2" xfId="27295"/>
    <cellStyle name="常规 4 5 2 2 2 4 3" xfId="31455"/>
    <cellStyle name="常规 4 5 2 2 2 4 4" xfId="31456"/>
    <cellStyle name="常规 4 5 2 2 2 5" xfId="31458"/>
    <cellStyle name="常规 4 5 2 2 2 5 2" xfId="31459"/>
    <cellStyle name="常规 4 5 2 2 2 6" xfId="13378"/>
    <cellStyle name="常规 4 5 2 2 2 6 2" xfId="31460"/>
    <cellStyle name="常规 4 5 2 2 2 7" xfId="31461"/>
    <cellStyle name="常规 4 5 2 2 2 8" xfId="25314"/>
    <cellStyle name="常规 4 5 2 2 2 9" xfId="5489"/>
    <cellStyle name="常规 4 5 2 2 3" xfId="31462"/>
    <cellStyle name="常规 4 5 2 2 3 2" xfId="31465"/>
    <cellStyle name="常规 4 5 2 2 3 2 2" xfId="31468"/>
    <cellStyle name="常规 4 5 2 2 3 2 2 2" xfId="31470"/>
    <cellStyle name="常规 4 5 2 2 3 2 3" xfId="19664"/>
    <cellStyle name="常规 4 5 2 2 3 2 4" xfId="19667"/>
    <cellStyle name="常规 4 5 2 2 3 3" xfId="31472"/>
    <cellStyle name="常规 4 5 2 2 3 3 2" xfId="31473"/>
    <cellStyle name="常规 4 5 2 2 3 4" xfId="31475"/>
    <cellStyle name="常规 4 5 2 2 3 5" xfId="31476"/>
    <cellStyle name="常规 4 5 2 2 3 6" xfId="31477"/>
    <cellStyle name="常规 4 5 2 2 4" xfId="31478"/>
    <cellStyle name="常规 4 5 2 2 4 2" xfId="31481"/>
    <cellStyle name="常规 4 5 2 2 4 2 2" xfId="31482"/>
    <cellStyle name="常规 4 5 2 2 4 3" xfId="31484"/>
    <cellStyle name="常规 4 5 2 2 4 4" xfId="19588"/>
    <cellStyle name="常规 4 5 2 2 5" xfId="3412"/>
    <cellStyle name="常规 4 5 2 2 5 2" xfId="8495"/>
    <cellStyle name="常规 4 5 2 2 5 2 2" xfId="8499"/>
    <cellStyle name="常规 4 5 2 2 5 3" xfId="8502"/>
    <cellStyle name="常规 4 5 2 2 5 4" xfId="8508"/>
    <cellStyle name="常规 4 5 2 2 6" xfId="3564"/>
    <cellStyle name="常规 4 5 2 2 6 2" xfId="31485"/>
    <cellStyle name="常规 4 5 2 2 7" xfId="19573"/>
    <cellStyle name="常规 4 5 2 2 7 2" xfId="31487"/>
    <cellStyle name="常规 4 5 2 2 8" xfId="31489"/>
    <cellStyle name="常规 4 5 2 2 9" xfId="31490"/>
    <cellStyle name="常规 4 5 2 3" xfId="31492"/>
    <cellStyle name="常规 4 5 2 3 10" xfId="25704"/>
    <cellStyle name="常规 4 5 2 3 2" xfId="31493"/>
    <cellStyle name="常规 4 5 2 3 2 2" xfId="23729"/>
    <cellStyle name="常规 4 5 2 3 2 2 2" xfId="31495"/>
    <cellStyle name="常规 4 5 2 3 2 2 2 2" xfId="31496"/>
    <cellStyle name="常规 4 5 2 3 2 2 2 2 2" xfId="31497"/>
    <cellStyle name="常规 4 5 2 3 2 2 2 2 2 2" xfId="31498"/>
    <cellStyle name="常规 4 5 2 3 2 2 2 2 3" xfId="31499"/>
    <cellStyle name="常规 4 5 2 3 2 2 2 2 4" xfId="20358"/>
    <cellStyle name="常规 4 5 2 3 2 2 2 3" xfId="31500"/>
    <cellStyle name="常规 4 5 2 3 2 2 2 3 2" xfId="31501"/>
    <cellStyle name="常规 4 5 2 3 2 2 2 4" xfId="29234"/>
    <cellStyle name="常规 4 5 2 3 2 2 2 4 2" xfId="31502"/>
    <cellStyle name="常规 4 5 2 3 2 2 2 5" xfId="31503"/>
    <cellStyle name="常规 4 5 2 3 2 2 2 6" xfId="31504"/>
    <cellStyle name="常规 4 5 2 3 2 2 3" xfId="24164"/>
    <cellStyle name="常规 4 5 2 3 2 2 3 2" xfId="31505"/>
    <cellStyle name="常规 4 5 2 3 2 2 3 2 2" xfId="24333"/>
    <cellStyle name="常规 4 5 2 3 2 2 3 3" xfId="28339"/>
    <cellStyle name="常规 4 5 2 3 2 2 3 4" xfId="28341"/>
    <cellStyle name="常规 4 5 2 3 2 2 4" xfId="31506"/>
    <cellStyle name="常规 4 5 2 3 2 2 4 2" xfId="31507"/>
    <cellStyle name="常规 4 5 2 3 2 2 4 2 2" xfId="24444"/>
    <cellStyle name="常规 4 5 2 3 2 2 4 3" xfId="14979"/>
    <cellStyle name="常规 4 5 2 3 2 2 4 4" xfId="15016"/>
    <cellStyle name="常规 4 5 2 3 2 2 5" xfId="31508"/>
    <cellStyle name="常规 4 5 2 3 2 2 5 2" xfId="31509"/>
    <cellStyle name="常规 4 5 2 3 2 2 6" xfId="31510"/>
    <cellStyle name="常规 4 5 2 3 2 2 6 2" xfId="31512"/>
    <cellStyle name="常规 4 5 2 3 2 2 7" xfId="31513"/>
    <cellStyle name="常规 4 5 2 3 2 2 8" xfId="31514"/>
    <cellStyle name="常规 4 5 2 3 2 2 9" xfId="25941"/>
    <cellStyle name="常规 4 5 2 3 2 3" xfId="23731"/>
    <cellStyle name="常规 4 5 2 3 2 3 2" xfId="31515"/>
    <cellStyle name="常规 4 5 2 3 2 3 2 2" xfId="16779"/>
    <cellStyle name="常规 4 5 2 3 2 3 2 2 2" xfId="25690"/>
    <cellStyle name="常规 4 5 2 3 2 3 2 3" xfId="16782"/>
    <cellStyle name="常规 4 5 2 3 2 3 2 4" xfId="25699"/>
    <cellStyle name="常规 4 5 2 3 2 3 3" xfId="31516"/>
    <cellStyle name="常规 4 5 2 3 2 3 3 2" xfId="16793"/>
    <cellStyle name="常规 4 5 2 3 2 3 4" xfId="29675"/>
    <cellStyle name="常规 4 5 2 3 2 3 5" xfId="29677"/>
    <cellStyle name="常规 4 5 2 3 2 3 6" xfId="9241"/>
    <cellStyle name="常规 4 5 2 3 2 4" xfId="31517"/>
    <cellStyle name="常规 4 5 2 3 2 4 2" xfId="31518"/>
    <cellStyle name="常规 4 5 2 3 2 4 2 2" xfId="16852"/>
    <cellStyle name="常规 4 5 2 3 2 4 3" xfId="29623"/>
    <cellStyle name="常规 4 5 2 3 2 4 4" xfId="31520"/>
    <cellStyle name="常规 4 5 2 3 2 5" xfId="31522"/>
    <cellStyle name="常规 4 5 2 3 2 5 2" xfId="31523"/>
    <cellStyle name="常规 4 5 2 3 2 5 2 2" xfId="25750"/>
    <cellStyle name="常规 4 5 2 3 2 5 3" xfId="10195"/>
    <cellStyle name="常规 4 5 2 3 2 5 4" xfId="10214"/>
    <cellStyle name="常规 4 5 2 3 2 6" xfId="31525"/>
    <cellStyle name="常规 4 5 2 3 2 6 2" xfId="31526"/>
    <cellStyle name="常规 4 5 2 3 2 7" xfId="31528"/>
    <cellStyle name="常规 4 5 2 3 2 7 2" xfId="19315"/>
    <cellStyle name="常规 4 5 2 3 2 8" xfId="25335"/>
    <cellStyle name="常规 4 5 2 3 2 9" xfId="6976"/>
    <cellStyle name="常规 4 5 2 3 3" xfId="31529"/>
    <cellStyle name="常规 4 5 2 3 3 2" xfId="31531"/>
    <cellStyle name="常规 4 5 2 3 3 2 2" xfId="31532"/>
    <cellStyle name="常规 4 5 2 3 3 2 2 2" xfId="25680"/>
    <cellStyle name="常规 4 5 2 3 3 2 2 2 2" xfId="20701"/>
    <cellStyle name="常规 4 5 2 3 3 2 2 3" xfId="31534"/>
    <cellStyle name="常规 4 5 2 3 3 2 2 4" xfId="31536"/>
    <cellStyle name="常规 4 5 2 3 3 2 3" xfId="31538"/>
    <cellStyle name="常规 4 5 2 3 3 2 3 2" xfId="31540"/>
    <cellStyle name="常规 4 5 2 3 3 2 4" xfId="31542"/>
    <cellStyle name="常规 4 5 2 3 3 2 4 2" xfId="31544"/>
    <cellStyle name="常规 4 5 2 3 3 2 5" xfId="31546"/>
    <cellStyle name="常规 4 5 2 3 3 2 6" xfId="31548"/>
    <cellStyle name="常规 4 5 2 3 3 3" xfId="31550"/>
    <cellStyle name="常规 4 5 2 3 3 3 2" xfId="31551"/>
    <cellStyle name="常规 4 5 2 3 3 3 2 2" xfId="25772"/>
    <cellStyle name="常规 4 5 2 3 3 3 3" xfId="31553"/>
    <cellStyle name="常规 4 5 2 3 3 3 4" xfId="31555"/>
    <cellStyle name="常规 4 5 2 3 3 4" xfId="31557"/>
    <cellStyle name="常规 4 5 2 3 3 4 2" xfId="31558"/>
    <cellStyle name="常规 4 5 2 3 3 4 2 2" xfId="27354"/>
    <cellStyle name="常规 4 5 2 3 3 4 3" xfId="31561"/>
    <cellStyle name="常规 4 5 2 3 3 4 4" xfId="31563"/>
    <cellStyle name="常规 4 5 2 3 3 5" xfId="31565"/>
    <cellStyle name="常规 4 5 2 3 3 5 2" xfId="31566"/>
    <cellStyle name="常规 4 5 2 3 3 6" xfId="31568"/>
    <cellStyle name="常规 4 5 2 3 3 6 2" xfId="31569"/>
    <cellStyle name="常规 4 5 2 3 3 7" xfId="31570"/>
    <cellStyle name="常规 4 5 2 3 3 8" xfId="25337"/>
    <cellStyle name="常规 4 5 2 3 3 9" xfId="6978"/>
    <cellStyle name="常规 4 5 2 3 4" xfId="31571"/>
    <cellStyle name="常规 4 5 2 3 4 2" xfId="31573"/>
    <cellStyle name="常规 4 5 2 3 4 2 2" xfId="31574"/>
    <cellStyle name="常规 4 5 2 3 4 2 2 2" xfId="31576"/>
    <cellStyle name="常规 4 5 2 3 4 2 3" xfId="8463"/>
    <cellStyle name="常规 4 5 2 3 4 2 4" xfId="31579"/>
    <cellStyle name="常规 4 5 2 3 4 3" xfId="31581"/>
    <cellStyle name="常规 4 5 2 3 4 3 2" xfId="11740"/>
    <cellStyle name="常规 4 5 2 3 4 4" xfId="31582"/>
    <cellStyle name="常规 4 5 2 3 4 5" xfId="14699"/>
    <cellStyle name="常规 4 5 2 3 4 6" xfId="14702"/>
    <cellStyle name="常规 4 5 2 3 5" xfId="31583"/>
    <cellStyle name="常规 4 5 2 3 5 2" xfId="8579"/>
    <cellStyle name="常规 4 5 2 3 5 2 2" xfId="31584"/>
    <cellStyle name="常规 4 5 2 3 5 3" xfId="17183"/>
    <cellStyle name="常规 4 5 2 3 5 4" xfId="17185"/>
    <cellStyle name="常规 4 5 2 3 6" xfId="27424"/>
    <cellStyle name="常规 4 5 2 3 6 2" xfId="27426"/>
    <cellStyle name="常规 4 5 2 3 6 2 2" xfId="31586"/>
    <cellStyle name="常规 4 5 2 3 6 3" xfId="17189"/>
    <cellStyle name="常规 4 5 2 3 6 4" xfId="3985"/>
    <cellStyle name="常规 4 5 2 3 7" xfId="27428"/>
    <cellStyle name="常规 4 5 2 3 7 2" xfId="31588"/>
    <cellStyle name="常规 4 5 2 3 8" xfId="27430"/>
    <cellStyle name="常规 4 5 2 3 8 2" xfId="31589"/>
    <cellStyle name="常规 4 5 2 3 9" xfId="31590"/>
    <cellStyle name="常规 4 5 2 4" xfId="31592"/>
    <cellStyle name="常规 4 5 2 4 2" xfId="30350"/>
    <cellStyle name="常规 4 5 2 4 2 2" xfId="30353"/>
    <cellStyle name="常规 4 5 2 4 2 2 2" xfId="20172"/>
    <cellStyle name="常规 4 5 2 4 2 2 2 2" xfId="14733"/>
    <cellStyle name="常规 4 5 2 4 2 2 3" xfId="29143"/>
    <cellStyle name="常规 4 5 2 4 2 2 4" xfId="31593"/>
    <cellStyle name="常规 4 5 2 4 2 3" xfId="30355"/>
    <cellStyle name="常规 4 5 2 4 2 3 2" xfId="27842"/>
    <cellStyle name="常规 4 5 2 4 2 4" xfId="30357"/>
    <cellStyle name="常规 4 5 2 4 2 4 2" xfId="27860"/>
    <cellStyle name="常规 4 5 2 4 2 5" xfId="28471"/>
    <cellStyle name="常规 4 5 2 4 2 6" xfId="31595"/>
    <cellStyle name="常规 4 5 2 4 3" xfId="30359"/>
    <cellStyle name="常规 4 5 2 4 3 2" xfId="30361"/>
    <cellStyle name="常规 4 5 2 4 3 2 2" xfId="31596"/>
    <cellStyle name="常规 4 5 2 4 3 3" xfId="31598"/>
    <cellStyle name="常规 4 5 2 4 3 4" xfId="31599"/>
    <cellStyle name="常规 4 5 2 4 4" xfId="30363"/>
    <cellStyle name="常规 4 5 2 4 4 2" xfId="30365"/>
    <cellStyle name="常规 4 5 2 4 4 2 2" xfId="31600"/>
    <cellStyle name="常规 4 5 2 4 4 3" xfId="31602"/>
    <cellStyle name="常规 4 5 2 4 4 4" xfId="31603"/>
    <cellStyle name="常规 4 5 2 4 5" xfId="30367"/>
    <cellStyle name="常规 4 5 2 4 5 2" xfId="31604"/>
    <cellStyle name="常规 4 5 2 4 6" xfId="27436"/>
    <cellStyle name="常规 4 5 2 4 6 2" xfId="4045"/>
    <cellStyle name="常规 4 5 2 4 7" xfId="30369"/>
    <cellStyle name="常规 4 5 2 4 8" xfId="31605"/>
    <cellStyle name="常规 4 5 2 4 9" xfId="31606"/>
    <cellStyle name="常规 4 5 2 5" xfId="31607"/>
    <cellStyle name="常规 4 5 2 5 2" xfId="30381"/>
    <cellStyle name="常规 4 5 2 5 2 2" xfId="31608"/>
    <cellStyle name="常规 4 5 2 5 2 2 2" xfId="31091"/>
    <cellStyle name="常规 4 5 2 5 2 3" xfId="31609"/>
    <cellStyle name="常规 4 5 2 5 2 4" xfId="31610"/>
    <cellStyle name="常规 4 5 2 5 3" xfId="30384"/>
    <cellStyle name="常规 4 5 2 5 3 2" xfId="2103"/>
    <cellStyle name="常规 4 5 2 5 4" xfId="30386"/>
    <cellStyle name="常规 4 5 2 5 5" xfId="31611"/>
    <cellStyle name="常规 4 5 2 5 6" xfId="4076"/>
    <cellStyle name="常规 4 5 2 6" xfId="31612"/>
    <cellStyle name="常规 4 5 2 6 2" xfId="30394"/>
    <cellStyle name="常规 4 5 2 6 2 2" xfId="31613"/>
    <cellStyle name="常规 4 5 2 6 3" xfId="31614"/>
    <cellStyle name="常规 4 5 2 6 4" xfId="31615"/>
    <cellStyle name="常规 4 5 2 7" xfId="31616"/>
    <cellStyle name="常规 4 5 2 7 2" xfId="30402"/>
    <cellStyle name="常规 4 5 2 7 2 2" xfId="31617"/>
    <cellStyle name="常规 4 5 2 7 3" xfId="31618"/>
    <cellStyle name="常规 4 5 2 7 4" xfId="31619"/>
    <cellStyle name="常规 4 5 2 8" xfId="31620"/>
    <cellStyle name="常规 4 5 2 8 2" xfId="31621"/>
    <cellStyle name="常规 4 5 2 9" xfId="31622"/>
    <cellStyle name="常规 4 5 2 9 2" xfId="31624"/>
    <cellStyle name="常规 4 5 3" xfId="31625"/>
    <cellStyle name="常规 4 5 3 2" xfId="31626"/>
    <cellStyle name="常规 4 5 3 2 2" xfId="31627"/>
    <cellStyle name="常规 4 5 3 2 2 2" xfId="31629"/>
    <cellStyle name="常规 4 5 3 2 2 2 2" xfId="3298"/>
    <cellStyle name="常规 4 5 3 2 2 2 2 2" xfId="2621"/>
    <cellStyle name="常规 4 5 3 2 2 2 3" xfId="2177"/>
    <cellStyle name="常规 4 5 3 2 2 2 4" xfId="29473"/>
    <cellStyle name="常规 4 5 3 2 2 3" xfId="12848"/>
    <cellStyle name="常规 4 5 3 2 2 3 2" xfId="3350"/>
    <cellStyle name="常规 4 5 3 2 2 4" xfId="31630"/>
    <cellStyle name="常规 4 5 3 2 2 4 2" xfId="31631"/>
    <cellStyle name="常规 4 5 3 2 2 5" xfId="31632"/>
    <cellStyle name="常规 4 5 3 2 2 6" xfId="31633"/>
    <cellStyle name="常规 4 5 3 2 3" xfId="31634"/>
    <cellStyle name="常规 4 5 3 2 3 2" xfId="31635"/>
    <cellStyle name="常规 4 5 3 2 3 2 2" xfId="31636"/>
    <cellStyle name="常规 4 5 3 2 3 3" xfId="31638"/>
    <cellStyle name="常规 4 5 3 2 3 4" xfId="31639"/>
    <cellStyle name="常规 4 5 3 2 4" xfId="31640"/>
    <cellStyle name="常规 4 5 3 2 4 2" xfId="31641"/>
    <cellStyle name="常规 4 5 3 2 4 2 2" xfId="2549"/>
    <cellStyle name="常规 4 5 3 2 4 3" xfId="31642"/>
    <cellStyle name="常规 4 5 3 2 4 4" xfId="31643"/>
    <cellStyle name="常规 4 5 3 2 5" xfId="31644"/>
    <cellStyle name="常规 4 5 3 2 5 2" xfId="31646"/>
    <cellStyle name="常规 4 5 3 2 6" xfId="31648"/>
    <cellStyle name="常规 4 5 3 2 6 2" xfId="31649"/>
    <cellStyle name="常规 4 5 3 2 7" xfId="31651"/>
    <cellStyle name="常规 4 5 3 2 8" xfId="31652"/>
    <cellStyle name="常规 4 5 3 2 9" xfId="31653"/>
    <cellStyle name="常规 4 5 3 3" xfId="31655"/>
    <cellStyle name="常规 4 5 3 3 2" xfId="31656"/>
    <cellStyle name="常规 4 5 3 3 2 2" xfId="31658"/>
    <cellStyle name="常规 4 5 3 3 2 2 2" xfId="1754"/>
    <cellStyle name="常规 4 5 3 3 2 3" xfId="31659"/>
    <cellStyle name="常规 4 5 3 3 2 4" xfId="31660"/>
    <cellStyle name="常规 4 5 3 3 3" xfId="31661"/>
    <cellStyle name="常规 4 5 3 3 3 2" xfId="31662"/>
    <cellStyle name="常规 4 5 3 3 4" xfId="31663"/>
    <cellStyle name="常规 4 5 3 3 5" xfId="31664"/>
    <cellStyle name="常规 4 5 3 3 6" xfId="27439"/>
    <cellStyle name="常规 4 5 3 4" xfId="31665"/>
    <cellStyle name="常规 4 5 3 4 2" xfId="30452"/>
    <cellStyle name="常规 4 5 3 4 2 2" xfId="30454"/>
    <cellStyle name="常规 4 5 3 4 3" xfId="9979"/>
    <cellStyle name="常规 4 5 3 4 4" xfId="9984"/>
    <cellStyle name="常规 4 5 3 5" xfId="31666"/>
    <cellStyle name="常规 4 5 3 5 2" xfId="30475"/>
    <cellStyle name="常规 4 5 3 5 2 2" xfId="30477"/>
    <cellStyle name="常规 4 5 3 5 3" xfId="9995"/>
    <cellStyle name="常规 4 5 3 5 4" xfId="16191"/>
    <cellStyle name="常规 4 5 3 6" xfId="31667"/>
    <cellStyle name="常规 4 5 3 6 2" xfId="30490"/>
    <cellStyle name="常规 4 5 3 7" xfId="31668"/>
    <cellStyle name="常规 4 5 3 7 2" xfId="30497"/>
    <cellStyle name="常规 4 5 3 8" xfId="31669"/>
    <cellStyle name="常规 4 5 3 9" xfId="31670"/>
    <cellStyle name="常规 4 5 4" xfId="8455"/>
    <cellStyle name="常规 4 5 4 10" xfId="13275"/>
    <cellStyle name="常规 4 5 4 2" xfId="8457"/>
    <cellStyle name="常规 4 5 4 2 2" xfId="6691"/>
    <cellStyle name="常规 4 5 4 2 2 2" xfId="7167"/>
    <cellStyle name="常规 4 5 4 2 2 2 2" xfId="8460"/>
    <cellStyle name="常规 4 5 4 2 2 2 2 2" xfId="8462"/>
    <cellStyle name="常规 4 5 4 2 2 2 2 2 2" xfId="31671"/>
    <cellStyle name="常规 4 5 4 2 2 2 2 3" xfId="31578"/>
    <cellStyle name="常规 4 5 4 2 2 2 2 4" xfId="31673"/>
    <cellStyle name="常规 4 5 4 2 2 2 3" xfId="8466"/>
    <cellStyle name="常规 4 5 4 2 2 2 3 2" xfId="11745"/>
    <cellStyle name="常规 4 5 4 2 2 2 4" xfId="31675"/>
    <cellStyle name="常规 4 5 4 2 2 2 4 2" xfId="31676"/>
    <cellStyle name="常规 4 5 4 2 2 2 5" xfId="5264"/>
    <cellStyle name="常规 4 5 4 2 2 2 6" xfId="24113"/>
    <cellStyle name="常规 4 5 4 2 2 3" xfId="8469"/>
    <cellStyle name="常规 4 5 4 2 2 3 2" xfId="8471"/>
    <cellStyle name="常规 4 5 4 2 2 3 2 2" xfId="31677"/>
    <cellStyle name="常规 4 5 4 2 2 3 3" xfId="31679"/>
    <cellStyle name="常规 4 5 4 2 2 3 4" xfId="31680"/>
    <cellStyle name="常规 4 5 4 2 2 4" xfId="8475"/>
    <cellStyle name="常规 4 5 4 2 2 4 2" xfId="8478"/>
    <cellStyle name="常规 4 5 4 2 2 4 2 2" xfId="31681"/>
    <cellStyle name="常规 4 5 4 2 2 4 3" xfId="31682"/>
    <cellStyle name="常规 4 5 4 2 2 4 4" xfId="31683"/>
    <cellStyle name="常规 4 5 4 2 2 5" xfId="941"/>
    <cellStyle name="常规 4 5 4 2 2 5 2" xfId="1415"/>
    <cellStyle name="常规 4 5 4 2 2 6" xfId="1040"/>
    <cellStyle name="常规 4 5 4 2 2 6 2" xfId="31684"/>
    <cellStyle name="常规 4 5 4 2 2 7" xfId="1433"/>
    <cellStyle name="常规 4 5 4 2 2 8" xfId="25383"/>
    <cellStyle name="常规 4 5 4 2 2 9" xfId="1438"/>
    <cellStyle name="常规 4 5 4 2 3" xfId="7170"/>
    <cellStyle name="常规 4 5 4 2 3 2" xfId="8481"/>
    <cellStyle name="常规 4 5 4 2 3 2 2" xfId="8484"/>
    <cellStyle name="常规 4 5 4 2 3 2 2 2" xfId="31686"/>
    <cellStyle name="常规 4 5 4 2 3 2 3" xfId="3758"/>
    <cellStyle name="常规 4 5 4 2 3 2 4" xfId="31689"/>
    <cellStyle name="常规 4 5 4 2 3 3" xfId="8486"/>
    <cellStyle name="常规 4 5 4 2 3 3 2" xfId="31691"/>
    <cellStyle name="常规 4 5 4 2 3 4" xfId="17209"/>
    <cellStyle name="常规 4 5 4 2 3 5" xfId="1526"/>
    <cellStyle name="常规 4 5 4 2 3 6" xfId="1557"/>
    <cellStyle name="常规 4 5 4 2 4" xfId="1258"/>
    <cellStyle name="常规 4 5 4 2 4 2" xfId="8488"/>
    <cellStyle name="常规 4 5 4 2 4 2 2" xfId="8491"/>
    <cellStyle name="常规 4 5 4 2 4 3" xfId="8493"/>
    <cellStyle name="常规 4 5 4 2 4 4" xfId="31692"/>
    <cellStyle name="常规 4 5 4 2 5" xfId="8496"/>
    <cellStyle name="常规 4 5 4 2 5 2" xfId="8498"/>
    <cellStyle name="常规 4 5 4 2 5 2 2" xfId="31693"/>
    <cellStyle name="常规 4 5 4 2 5 3" xfId="31695"/>
    <cellStyle name="常规 4 5 4 2 5 4" xfId="31697"/>
    <cellStyle name="常规 4 5 4 2 6" xfId="8503"/>
    <cellStyle name="常规 4 5 4 2 6 2" xfId="8505"/>
    <cellStyle name="常规 4 5 4 2 7" xfId="8509"/>
    <cellStyle name="常规 4 5 4 2 7 2" xfId="31699"/>
    <cellStyle name="常规 4 5 4 2 8" xfId="8512"/>
    <cellStyle name="常规 4 5 4 2 9" xfId="14681"/>
    <cellStyle name="常规 4 5 4 3" xfId="8514"/>
    <cellStyle name="常规 4 5 4 3 2" xfId="8516"/>
    <cellStyle name="常规 4 5 4 3 2 2" xfId="8519"/>
    <cellStyle name="常规 4 5 4 3 2 2 2" xfId="8523"/>
    <cellStyle name="常规 4 5 4 3 2 2 2 2" xfId="31701"/>
    <cellStyle name="常规 4 5 4 3 2 2 3" xfId="31702"/>
    <cellStyle name="常规 4 5 4 3 2 2 4" xfId="31703"/>
    <cellStyle name="常规 4 5 4 3 2 3" xfId="8526"/>
    <cellStyle name="常规 4 5 4 3 2 3 2" xfId="24248"/>
    <cellStyle name="常规 4 5 4 3 2 4" xfId="24250"/>
    <cellStyle name="常规 4 5 4 3 2 4 2" xfId="31704"/>
    <cellStyle name="常规 4 5 4 3 2 5" xfId="6172"/>
    <cellStyle name="常规 4 5 4 3 2 6" xfId="31705"/>
    <cellStyle name="常规 4 5 4 3 3" xfId="8528"/>
    <cellStyle name="常规 4 5 4 3 3 2" xfId="8531"/>
    <cellStyle name="常规 4 5 4 3 3 2 2" xfId="31707"/>
    <cellStyle name="常规 4 5 4 3 3 3" xfId="24279"/>
    <cellStyle name="常规 4 5 4 3 3 4" xfId="24281"/>
    <cellStyle name="常规 4 5 4 3 4" xfId="8533"/>
    <cellStyle name="常规 4 5 4 3 4 2" xfId="24290"/>
    <cellStyle name="常规 4 5 4 3 4 2 2" xfId="31709"/>
    <cellStyle name="常规 4 5 4 3 4 3" xfId="31710"/>
    <cellStyle name="常规 4 5 4 3 4 4" xfId="31711"/>
    <cellStyle name="常规 4 5 4 3 5" xfId="31486"/>
    <cellStyle name="常规 4 5 4 3 5 2" xfId="21366"/>
    <cellStyle name="常规 4 5 4 3 6" xfId="27442"/>
    <cellStyle name="常规 4 5 4 3 6 2" xfId="31712"/>
    <cellStyle name="常规 4 5 4 3 7" xfId="31713"/>
    <cellStyle name="常规 4 5 4 3 8" xfId="14686"/>
    <cellStyle name="常规 4 5 4 3 9" xfId="14689"/>
    <cellStyle name="常规 4 5 4 4" xfId="8535"/>
    <cellStyle name="常规 4 5 4 4 2" xfId="8538"/>
    <cellStyle name="常规 4 5 4 4 2 2" xfId="8541"/>
    <cellStyle name="常规 4 5 4 4 2 2 2" xfId="31222"/>
    <cellStyle name="常规 4 5 4 4 2 3" xfId="31714"/>
    <cellStyle name="常规 4 5 4 4 2 4" xfId="31715"/>
    <cellStyle name="常规 4 5 4 4 3" xfId="8545"/>
    <cellStyle name="常规 4 5 4 4 3 2" xfId="31716"/>
    <cellStyle name="常规 4 5 4 4 4" xfId="30515"/>
    <cellStyle name="常规 4 5 4 4 5" xfId="31488"/>
    <cellStyle name="常规 4 5 4 4 6" xfId="31717"/>
    <cellStyle name="常规 4 5 4 5" xfId="8547"/>
    <cellStyle name="常规 4 5 4 5 2" xfId="8550"/>
    <cellStyle name="常规 4 5 4 5 2 2" xfId="8552"/>
    <cellStyle name="常规 4 5 4 5 3" xfId="8555"/>
    <cellStyle name="常规 4 5 4 5 4" xfId="16209"/>
    <cellStyle name="常规 4 5 4 6" xfId="8557"/>
    <cellStyle name="常规 4 5 4 6 2" xfId="8560"/>
    <cellStyle name="常规 4 5 4 6 2 2" xfId="31718"/>
    <cellStyle name="常规 4 5 4 6 3" xfId="31719"/>
    <cellStyle name="常规 4 5 4 6 4" xfId="31720"/>
    <cellStyle name="常规 4 5 4 7" xfId="8562"/>
    <cellStyle name="常规 4 5 4 7 2" xfId="8564"/>
    <cellStyle name="常规 4 5 4 8" xfId="31721"/>
    <cellStyle name="常规 4 5 4 8 2" xfId="31722"/>
    <cellStyle name="常规 4 5 4 9" xfId="31723"/>
    <cellStyle name="常规 4 5 5" xfId="8566"/>
    <cellStyle name="常规 4 5 5 2" xfId="8569"/>
    <cellStyle name="常规 4 5 5 2 2" xfId="6702"/>
    <cellStyle name="常规 4 5 5 2 2 2" xfId="1024"/>
    <cellStyle name="常规 4 5 5 2 2 2 2" xfId="8571"/>
    <cellStyle name="常规 4 5 5 2 2 3" xfId="8574"/>
    <cellStyle name="常规 4 5 5 2 2 4" xfId="24389"/>
    <cellStyle name="常规 4 5 5 2 3" xfId="7225"/>
    <cellStyle name="常规 4 5 5 2 3 2" xfId="1054"/>
    <cellStyle name="常规 4 5 5 2 4" xfId="8576"/>
    <cellStyle name="常规 4 5 5 2 5" xfId="8580"/>
    <cellStyle name="常规 4 5 5 3" xfId="8582"/>
    <cellStyle name="常规 4 5 5 3 2" xfId="2027"/>
    <cellStyle name="常规 4 5 5 3 2 2" xfId="2034"/>
    <cellStyle name="常规 4 5 5 3 3" xfId="2043"/>
    <cellStyle name="常规 4 5 5 3 4" xfId="1309"/>
    <cellStyle name="常规 4 5 5 4" xfId="8584"/>
    <cellStyle name="常规 4 5 5 4 2" xfId="8587"/>
    <cellStyle name="常规 4 5 5 4 2 2" xfId="8590"/>
    <cellStyle name="常规 4 5 5 4 3" xfId="8593"/>
    <cellStyle name="常规 4 5 5 4 4" xfId="31724"/>
    <cellStyle name="常规 4 5 5 5" xfId="8595"/>
    <cellStyle name="常规 4 5 5 5 2" xfId="8597"/>
    <cellStyle name="常规 4 5 5 6" xfId="8599"/>
    <cellStyle name="常规 4 5 5 7" xfId="8603"/>
    <cellStyle name="常规 4 5 5 8" xfId="8605"/>
    <cellStyle name="常规 4 5 6" xfId="8607"/>
    <cellStyle name="常规 4 5 6 2" xfId="8609"/>
    <cellStyle name="常规 4 5 6 2 2" xfId="8611"/>
    <cellStyle name="常规 4 5 6 2 2 2" xfId="8613"/>
    <cellStyle name="常规 4 5 6 2 3" xfId="8615"/>
    <cellStyle name="常规 4 5 6 2 4" xfId="31725"/>
    <cellStyle name="常规 4 5 6 3" xfId="8617"/>
    <cellStyle name="常规 4 5 6 3 2" xfId="2073"/>
    <cellStyle name="常规 4 5 6 4" xfId="8619"/>
    <cellStyle name="常规 4 5 6 5" xfId="28784"/>
    <cellStyle name="常规 4 5 6 6" xfId="31260"/>
    <cellStyle name="常规 4 5 7" xfId="8621"/>
    <cellStyle name="常规 4 5 7 2" xfId="8623"/>
    <cellStyle name="常规 4 5 7 2 2" xfId="8625"/>
    <cellStyle name="常规 4 5 7 3" xfId="8627"/>
    <cellStyle name="常规 4 5 7 4" xfId="31726"/>
    <cellStyle name="常规 4 5 8" xfId="8629"/>
    <cellStyle name="常规 4 5 8 2" xfId="7447"/>
    <cellStyle name="常规 4 5 8 2 2" xfId="7450"/>
    <cellStyle name="常规 4 5 8 3" xfId="7455"/>
    <cellStyle name="常规 4 5 8 4" xfId="25238"/>
    <cellStyle name="常规 4 5 9" xfId="8631"/>
    <cellStyle name="常规 4 5 9 2" xfId="8633"/>
    <cellStyle name="常规 4 6" xfId="31727"/>
    <cellStyle name="常规 4 6 10" xfId="31728"/>
    <cellStyle name="常规 4 6 10 2" xfId="31729"/>
    <cellStyle name="常规 4 6 11" xfId="4099"/>
    <cellStyle name="常规 4 6 12" xfId="5008"/>
    <cellStyle name="常规 4 6 2" xfId="29702"/>
    <cellStyle name="常规 4 6 2 10" xfId="4752"/>
    <cellStyle name="常规 4 6 2 11" xfId="4758"/>
    <cellStyle name="常规 4 6 2 2" xfId="29704"/>
    <cellStyle name="常规 4 6 2 2 2" xfId="31730"/>
    <cellStyle name="常规 4 6 2 2 2 2" xfId="31732"/>
    <cellStyle name="常规 4 6 2 2 2 2 2" xfId="31733"/>
    <cellStyle name="常规 4 6 2 2 2 2 2 2" xfId="31734"/>
    <cellStyle name="常规 4 6 2 2 2 2 2 2 2" xfId="31736"/>
    <cellStyle name="常规 4 6 2 2 2 2 2 3" xfId="31737"/>
    <cellStyle name="常规 4 6 2 2 2 2 2 4" xfId="31740"/>
    <cellStyle name="常规 4 6 2 2 2 2 3" xfId="31743"/>
    <cellStyle name="常规 4 6 2 2 2 2 3 2" xfId="31744"/>
    <cellStyle name="常规 4 6 2 2 2 2 4" xfId="25962"/>
    <cellStyle name="常规 4 6 2 2 2 2 4 2" xfId="18274"/>
    <cellStyle name="常规 4 6 2 2 2 2 5" xfId="11055"/>
    <cellStyle name="常规 4 6 2 2 2 2 6" xfId="11061"/>
    <cellStyle name="常规 4 6 2 2 2 3" xfId="31745"/>
    <cellStyle name="常规 4 6 2 2 2 3 2" xfId="31746"/>
    <cellStyle name="常规 4 6 2 2 2 3 2 2" xfId="31747"/>
    <cellStyle name="常规 4 6 2 2 2 3 3" xfId="31748"/>
    <cellStyle name="常规 4 6 2 2 2 3 4" xfId="11377"/>
    <cellStyle name="常规 4 6 2 2 2 4" xfId="31749"/>
    <cellStyle name="常规 4 6 2 2 2 4 2" xfId="31750"/>
    <cellStyle name="常规 4 6 2 2 2 4 2 2" xfId="27469"/>
    <cellStyle name="常规 4 6 2 2 2 4 3" xfId="31751"/>
    <cellStyle name="常规 4 6 2 2 2 4 4" xfId="11385"/>
    <cellStyle name="常规 4 6 2 2 2 5" xfId="31752"/>
    <cellStyle name="常规 4 6 2 2 2 5 2" xfId="6350"/>
    <cellStyle name="常规 4 6 2 2 2 6" xfId="31753"/>
    <cellStyle name="常规 4 6 2 2 2 6 2" xfId="7258"/>
    <cellStyle name="常规 4 6 2 2 2 7" xfId="31754"/>
    <cellStyle name="常规 4 6 2 2 2 8" xfId="25400"/>
    <cellStyle name="常规 4 6 2 2 2 9" xfId="31755"/>
    <cellStyle name="常规 4 6 2 2 3" xfId="31756"/>
    <cellStyle name="常规 4 6 2 2 3 2" xfId="31757"/>
    <cellStyle name="常规 4 6 2 2 3 2 2" xfId="31758"/>
    <cellStyle name="常规 4 6 2 2 3 2 2 2" xfId="31759"/>
    <cellStyle name="常规 4 6 2 2 3 2 3" xfId="31760"/>
    <cellStyle name="常规 4 6 2 2 3 2 4" xfId="31761"/>
    <cellStyle name="常规 4 6 2 2 3 3" xfId="20101"/>
    <cellStyle name="常规 4 6 2 2 3 3 2" xfId="17213"/>
    <cellStyle name="常规 4 6 2 2 3 4" xfId="31762"/>
    <cellStyle name="常规 4 6 2 2 3 5" xfId="31763"/>
    <cellStyle name="常规 4 6 2 2 3 6" xfId="31764"/>
    <cellStyle name="常规 4 6 2 2 4" xfId="31765"/>
    <cellStyle name="常规 4 6 2 2 4 2" xfId="31766"/>
    <cellStyle name="常规 4 6 2 2 4 2 2" xfId="31767"/>
    <cellStyle name="常规 4 6 2 2 4 3" xfId="12163"/>
    <cellStyle name="常规 4 6 2 2 4 4" xfId="31768"/>
    <cellStyle name="常规 4 6 2 2 5" xfId="31769"/>
    <cellStyle name="常规 4 6 2 2 5 2" xfId="31771"/>
    <cellStyle name="常规 4 6 2 2 5 2 2" xfId="31773"/>
    <cellStyle name="常规 4 6 2 2 5 3" xfId="31294"/>
    <cellStyle name="常规 4 6 2 2 5 4" xfId="31774"/>
    <cellStyle name="常规 4 6 2 2 6" xfId="17492"/>
    <cellStyle name="常规 4 6 2 2 6 2" xfId="31775"/>
    <cellStyle name="常规 4 6 2 2 7" xfId="17494"/>
    <cellStyle name="常规 4 6 2 2 7 2" xfId="31776"/>
    <cellStyle name="常规 4 6 2 2 8" xfId="31777"/>
    <cellStyle name="常规 4 6 2 2 9" xfId="31778"/>
    <cellStyle name="常规 4 6 2 3" xfId="31780"/>
    <cellStyle name="常规 4 6 2 3 10" xfId="26977"/>
    <cellStyle name="常规 4 6 2 3 2" xfId="31781"/>
    <cellStyle name="常规 4 6 2 3 2 2" xfId="31783"/>
    <cellStyle name="常规 4 6 2 3 2 2 2" xfId="31784"/>
    <cellStyle name="常规 4 6 2 3 2 2 2 2" xfId="24832"/>
    <cellStyle name="常规 4 6 2 3 2 2 2 2 2" xfId="24834"/>
    <cellStyle name="常规 4 6 2 3 2 2 2 2 2 2" xfId="24836"/>
    <cellStyle name="常规 4 6 2 3 2 2 2 2 3" xfId="20848"/>
    <cellStyle name="常规 4 6 2 3 2 2 2 2 4" xfId="20855"/>
    <cellStyle name="常规 4 6 2 3 2 2 2 3" xfId="24841"/>
    <cellStyle name="常规 4 6 2 3 2 2 2 3 2" xfId="24844"/>
    <cellStyle name="常规 4 6 2 3 2 2 2 4" xfId="24848"/>
    <cellStyle name="常规 4 6 2 3 2 2 2 4 2" xfId="24851"/>
    <cellStyle name="常规 4 6 2 3 2 2 2 5" xfId="24853"/>
    <cellStyle name="常规 4 6 2 3 2 2 2 6" xfId="24856"/>
    <cellStyle name="常规 4 6 2 3 2 2 3" xfId="24383"/>
    <cellStyle name="常规 4 6 2 3 2 2 3 2" xfId="24866"/>
    <cellStyle name="常规 4 6 2 3 2 2 3 2 2" xfId="5412"/>
    <cellStyle name="常规 4 6 2 3 2 2 3 3" xfId="24869"/>
    <cellStyle name="常规 4 6 2 3 2 2 3 4" xfId="24872"/>
    <cellStyle name="常规 4 6 2 3 2 2 4" xfId="26025"/>
    <cellStyle name="常规 4 6 2 3 2 2 4 2" xfId="24881"/>
    <cellStyle name="常规 4 6 2 3 2 2 4 2 2" xfId="31785"/>
    <cellStyle name="常规 4 6 2 3 2 2 4 3" xfId="24883"/>
    <cellStyle name="常规 4 6 2 3 2 2 4 4" xfId="24885"/>
    <cellStyle name="常规 4 6 2 3 2 2 5" xfId="11116"/>
    <cellStyle name="常规 4 6 2 3 2 2 5 2" xfId="11119"/>
    <cellStyle name="常规 4 6 2 3 2 2 6" xfId="11122"/>
    <cellStyle name="常规 4 6 2 3 2 2 6 2" xfId="24897"/>
    <cellStyle name="常规 4 6 2 3 2 2 7" xfId="31786"/>
    <cellStyle name="常规 4 6 2 3 2 2 8" xfId="31787"/>
    <cellStyle name="常规 4 6 2 3 2 2 9" xfId="26097"/>
    <cellStyle name="常规 4 6 2 3 2 3" xfId="31788"/>
    <cellStyle name="常规 4 6 2 3 2 3 2" xfId="31789"/>
    <cellStyle name="常规 4 6 2 3 2 3 2 2" xfId="25157"/>
    <cellStyle name="常规 4 6 2 3 2 3 2 2 2" xfId="15203"/>
    <cellStyle name="常规 4 6 2 3 2 3 2 3" xfId="25160"/>
    <cellStyle name="常规 4 6 2 3 2 3 2 4" xfId="25163"/>
    <cellStyle name="常规 4 6 2 3 2 3 3" xfId="31790"/>
    <cellStyle name="常规 4 6 2 3 2 3 3 2" xfId="25176"/>
    <cellStyle name="常规 4 6 2 3 2 3 4" xfId="11414"/>
    <cellStyle name="常规 4 6 2 3 2 3 5" xfId="11128"/>
    <cellStyle name="常规 4 6 2 3 2 3 6" xfId="26027"/>
    <cellStyle name="常规 4 6 2 3 2 4" xfId="31791"/>
    <cellStyle name="常规 4 6 2 3 2 4 2" xfId="31792"/>
    <cellStyle name="常规 4 6 2 3 2 4 2 2" xfId="25537"/>
    <cellStyle name="常规 4 6 2 3 2 4 3" xfId="31794"/>
    <cellStyle name="常规 4 6 2 3 2 4 4" xfId="26030"/>
    <cellStyle name="常规 4 6 2 3 2 5" xfId="31796"/>
    <cellStyle name="常规 4 6 2 3 2 5 2" xfId="31248"/>
    <cellStyle name="常规 4 6 2 3 2 5 2 2" xfId="25864"/>
    <cellStyle name="常规 4 6 2 3 2 5 3" xfId="31797"/>
    <cellStyle name="常规 4 6 2 3 2 5 4" xfId="26035"/>
    <cellStyle name="常规 4 6 2 3 2 6" xfId="31798"/>
    <cellStyle name="常规 4 6 2 3 2 6 2" xfId="31799"/>
    <cellStyle name="常规 4 6 2 3 2 7" xfId="31801"/>
    <cellStyle name="常规 4 6 2 3 2 7 2" xfId="19571"/>
    <cellStyle name="常规 4 6 2 3 2 8" xfId="31802"/>
    <cellStyle name="常规 4 6 2 3 2 9" xfId="31803"/>
    <cellStyle name="常规 4 6 2 3 3" xfId="31804"/>
    <cellStyle name="常规 4 6 2 3 3 2" xfId="31805"/>
    <cellStyle name="常规 4 6 2 3 3 2 2" xfId="31806"/>
    <cellStyle name="常规 4 6 2 3 3 2 2 2" xfId="29635"/>
    <cellStyle name="常规 4 6 2 3 3 2 2 2 2" xfId="29637"/>
    <cellStyle name="常规 4 6 2 3 3 2 2 3" xfId="11367"/>
    <cellStyle name="常规 4 6 2 3 3 2 2 4" xfId="2576"/>
    <cellStyle name="常规 4 6 2 3 3 2 3" xfId="31807"/>
    <cellStyle name="常规 4 6 2 3 3 2 3 2" xfId="29661"/>
    <cellStyle name="常规 4 6 2 3 3 2 4" xfId="26048"/>
    <cellStyle name="常规 4 6 2 3 3 2 4 2" xfId="11651"/>
    <cellStyle name="常规 4 6 2 3 3 2 5" xfId="11136"/>
    <cellStyle name="常规 4 6 2 3 3 2 6" xfId="26050"/>
    <cellStyle name="常规 4 6 2 3 3 3" xfId="31808"/>
    <cellStyle name="常规 4 6 2 3 3 3 2" xfId="22264"/>
    <cellStyle name="常规 4 6 2 3 3 3 2 2" xfId="26357"/>
    <cellStyle name="常规 4 6 2 3 3 3 3" xfId="22266"/>
    <cellStyle name="常规 4 6 2 3 3 3 4" xfId="26052"/>
    <cellStyle name="常规 4 6 2 3 3 4" xfId="31809"/>
    <cellStyle name="常规 4 6 2 3 3 4 2" xfId="31810"/>
    <cellStyle name="常规 4 6 2 3 3 4 2 2" xfId="27595"/>
    <cellStyle name="常规 4 6 2 3 3 4 3" xfId="31812"/>
    <cellStyle name="常规 4 6 2 3 3 4 4" xfId="31813"/>
    <cellStyle name="常规 4 6 2 3 3 5" xfId="31814"/>
    <cellStyle name="常规 4 6 2 3 3 5 2" xfId="31815"/>
    <cellStyle name="常规 4 6 2 3 3 6" xfId="31816"/>
    <cellStyle name="常规 4 6 2 3 3 6 2" xfId="31817"/>
    <cellStyle name="常规 4 6 2 3 3 7" xfId="31818"/>
    <cellStyle name="常规 4 6 2 3 3 8" xfId="29958"/>
    <cellStyle name="常规 4 6 2 3 3 9" xfId="31819"/>
    <cellStyle name="常规 4 6 2 3 4" xfId="31820"/>
    <cellStyle name="常规 4 6 2 3 4 2" xfId="31821"/>
    <cellStyle name="常规 4 6 2 3 4 2 2" xfId="31822"/>
    <cellStyle name="常规 4 6 2 3 4 2 2 2" xfId="19425"/>
    <cellStyle name="常规 4 6 2 3 4 2 3" xfId="31823"/>
    <cellStyle name="常规 4 6 2 3 4 2 4" xfId="31824"/>
    <cellStyle name="常规 4 6 2 3 4 3" xfId="31825"/>
    <cellStyle name="常规 4 6 2 3 4 3 2" xfId="18319"/>
    <cellStyle name="常规 4 6 2 3 4 4" xfId="31826"/>
    <cellStyle name="常规 4 6 2 3 4 5" xfId="31827"/>
    <cellStyle name="常规 4 6 2 3 4 6" xfId="31828"/>
    <cellStyle name="常规 4 6 2 3 5" xfId="31829"/>
    <cellStyle name="常规 4 6 2 3 5 2" xfId="1603"/>
    <cellStyle name="常规 4 6 2 3 5 2 2" xfId="1610"/>
    <cellStyle name="常规 4 6 2 3 5 3" xfId="1643"/>
    <cellStyle name="常规 4 6 2 3 5 4" xfId="1652"/>
    <cellStyle name="常规 4 6 2 3 6" xfId="27447"/>
    <cellStyle name="常规 4 6 2 3 6 2" xfId="31830"/>
    <cellStyle name="常规 4 6 2 3 6 2 2" xfId="1176"/>
    <cellStyle name="常规 4 6 2 3 6 3" xfId="31831"/>
    <cellStyle name="常规 4 6 2 3 6 4" xfId="3038"/>
    <cellStyle name="常规 4 6 2 3 7" xfId="31832"/>
    <cellStyle name="常规 4 6 2 3 7 2" xfId="31833"/>
    <cellStyle name="常规 4 6 2 3 8" xfId="31834"/>
    <cellStyle name="常规 4 6 2 3 8 2" xfId="31835"/>
    <cellStyle name="常规 4 6 2 3 9" xfId="31836"/>
    <cellStyle name="常规 4 6 2 4" xfId="31838"/>
    <cellStyle name="常规 4 6 2 4 2" xfId="30557"/>
    <cellStyle name="常规 4 6 2 4 2 2" xfId="30559"/>
    <cellStyle name="常规 4 6 2 4 2 2 2" xfId="20653"/>
    <cellStyle name="常规 4 6 2 4 2 2 2 2" xfId="31839"/>
    <cellStyle name="常规 4 6 2 4 2 2 3" xfId="29298"/>
    <cellStyle name="常规 4 6 2 4 2 2 4" xfId="31840"/>
    <cellStyle name="常规 4 6 2 4 2 3" xfId="31841"/>
    <cellStyle name="常规 4 6 2 4 2 3 2" xfId="31842"/>
    <cellStyle name="常规 4 6 2 4 2 4" xfId="31843"/>
    <cellStyle name="常规 4 6 2 4 2 4 2" xfId="31844"/>
    <cellStyle name="常规 4 6 2 4 2 5" xfId="31847"/>
    <cellStyle name="常规 4 6 2 4 2 6" xfId="31849"/>
    <cellStyle name="常规 4 6 2 4 3" xfId="30561"/>
    <cellStyle name="常规 4 6 2 4 3 2" xfId="14533"/>
    <cellStyle name="常规 4 6 2 4 3 2 2" xfId="31850"/>
    <cellStyle name="常规 4 6 2 4 3 3" xfId="14535"/>
    <cellStyle name="常规 4 6 2 4 3 4" xfId="31851"/>
    <cellStyle name="常规 4 6 2 4 4" xfId="30563"/>
    <cellStyle name="常规 4 6 2 4 4 2" xfId="14540"/>
    <cellStyle name="常规 4 6 2 4 4 2 2" xfId="31852"/>
    <cellStyle name="常规 4 6 2 4 4 3" xfId="14542"/>
    <cellStyle name="常规 4 6 2 4 4 4" xfId="31853"/>
    <cellStyle name="常规 4 6 2 4 5" xfId="31854"/>
    <cellStyle name="常规 4 6 2 4 5 2" xfId="31855"/>
    <cellStyle name="常规 4 6 2 4 6" xfId="31856"/>
    <cellStyle name="常规 4 6 2 4 6 2" xfId="31857"/>
    <cellStyle name="常规 4 6 2 4 7" xfId="31858"/>
    <cellStyle name="常规 4 6 2 4 8" xfId="31860"/>
    <cellStyle name="常规 4 6 2 4 9" xfId="18743"/>
    <cellStyle name="常规 4 6 2 5" xfId="31862"/>
    <cellStyle name="常规 4 6 2 5 2" xfId="30570"/>
    <cellStyle name="常规 4 6 2 5 2 2" xfId="31863"/>
    <cellStyle name="常规 4 6 2 5 2 2 2" xfId="21901"/>
    <cellStyle name="常规 4 6 2 5 2 3" xfId="31864"/>
    <cellStyle name="常规 4 6 2 5 2 4" xfId="31865"/>
    <cellStyle name="常规 4 6 2 5 3" xfId="31866"/>
    <cellStyle name="常规 4 6 2 5 3 2" xfId="3065"/>
    <cellStyle name="常规 4 6 2 5 4" xfId="31867"/>
    <cellStyle name="常规 4 6 2 5 5" xfId="31868"/>
    <cellStyle name="常规 4 6 2 5 6" xfId="5051"/>
    <cellStyle name="常规 4 6 2 6" xfId="2168"/>
    <cellStyle name="常规 4 6 2 6 2" xfId="60"/>
    <cellStyle name="常规 4 6 2 6 2 2" xfId="31869"/>
    <cellStyle name="常规 4 6 2 6 3" xfId="31870"/>
    <cellStyle name="常规 4 6 2 6 4" xfId="31871"/>
    <cellStyle name="常规 4 6 2 7" xfId="2172"/>
    <cellStyle name="常规 4 6 2 7 2" xfId="31872"/>
    <cellStyle name="常规 4 6 2 7 2 2" xfId="31873"/>
    <cellStyle name="常规 4 6 2 7 3" xfId="31874"/>
    <cellStyle name="常规 4 6 2 7 4" xfId="31875"/>
    <cellStyle name="常规 4 6 2 8" xfId="31876"/>
    <cellStyle name="常规 4 6 2 8 2" xfId="11249"/>
    <cellStyle name="常规 4 6 2 9" xfId="31877"/>
    <cellStyle name="常规 4 6 2 9 2" xfId="31878"/>
    <cellStyle name="常规 4 6 3" xfId="29706"/>
    <cellStyle name="常规 4 6 3 2" xfId="29708"/>
    <cellStyle name="常规 4 6 3 2 2" xfId="31879"/>
    <cellStyle name="常规 4 6 3 2 2 2" xfId="31880"/>
    <cellStyle name="常规 4 6 3 2 2 2 2" xfId="31881"/>
    <cellStyle name="常规 4 6 3 2 2 2 2 2" xfId="27656"/>
    <cellStyle name="常规 4 6 3 2 2 2 3" xfId="15929"/>
    <cellStyle name="常规 4 6 3 2 2 2 4" xfId="18298"/>
    <cellStyle name="常规 4 6 3 2 2 3" xfId="31882"/>
    <cellStyle name="常规 4 6 3 2 2 3 2" xfId="23891"/>
    <cellStyle name="常规 4 6 3 2 2 4" xfId="31883"/>
    <cellStyle name="常规 4 6 3 2 2 4 2" xfId="31884"/>
    <cellStyle name="常规 4 6 3 2 2 5" xfId="31885"/>
    <cellStyle name="常规 4 6 3 2 2 6" xfId="31886"/>
    <cellStyle name="常规 4 6 3 2 3" xfId="31887"/>
    <cellStyle name="常规 4 6 3 2 3 2" xfId="31889"/>
    <cellStyle name="常规 4 6 3 2 3 2 2" xfId="31890"/>
    <cellStyle name="常规 4 6 3 2 3 3" xfId="31891"/>
    <cellStyle name="常规 4 6 3 2 3 4" xfId="29436"/>
    <cellStyle name="常规 4 6 3 2 4" xfId="31892"/>
    <cellStyle name="常规 4 6 3 2 4 2" xfId="31893"/>
    <cellStyle name="常规 4 6 3 2 4 2 2" xfId="31894"/>
    <cellStyle name="常规 4 6 3 2 4 3" xfId="31895"/>
    <cellStyle name="常规 4 6 3 2 4 4" xfId="31896"/>
    <cellStyle name="常规 4 6 3 2 5" xfId="31897"/>
    <cellStyle name="常规 4 6 3 2 5 2" xfId="31898"/>
    <cellStyle name="常规 4 6 3 2 6" xfId="30613"/>
    <cellStyle name="常规 4 6 3 2 6 2" xfId="30615"/>
    <cellStyle name="常规 4 6 3 2 7" xfId="30683"/>
    <cellStyle name="常规 4 6 3 2 8" xfId="30720"/>
    <cellStyle name="常规 4 6 3 2 9" xfId="30727"/>
    <cellStyle name="常规 4 6 3 3" xfId="13115"/>
    <cellStyle name="常规 4 6 3 3 2" xfId="31900"/>
    <cellStyle name="常规 4 6 3 3 2 2" xfId="31901"/>
    <cellStyle name="常规 4 6 3 3 2 2 2" xfId="29160"/>
    <cellStyle name="常规 4 6 3 3 2 3" xfId="31902"/>
    <cellStyle name="常规 4 6 3 3 2 4" xfId="31903"/>
    <cellStyle name="常规 4 6 3 3 3" xfId="21114"/>
    <cellStyle name="常规 4 6 3 3 3 2" xfId="21116"/>
    <cellStyle name="常规 4 6 3 3 4" xfId="21118"/>
    <cellStyle name="常规 4 6 3 3 5" xfId="21120"/>
    <cellStyle name="常规 4 6 3 3 6" xfId="30746"/>
    <cellStyle name="常规 4 6 3 4" xfId="19426"/>
    <cellStyle name="常规 4 6 3 4 2" xfId="30592"/>
    <cellStyle name="常规 4 6 3 4 2 2" xfId="31904"/>
    <cellStyle name="常规 4 6 3 4 3" xfId="21122"/>
    <cellStyle name="常规 4 6 3 4 4" xfId="31905"/>
    <cellStyle name="常规 4 6 3 5" xfId="31906"/>
    <cellStyle name="常规 4 6 3 5 2" xfId="31907"/>
    <cellStyle name="常规 4 6 3 5 2 2" xfId="31908"/>
    <cellStyle name="常规 4 6 3 5 3" xfId="31909"/>
    <cellStyle name="常规 4 6 3 5 4" xfId="16250"/>
    <cellStyle name="常规 4 6 3 6" xfId="3378"/>
    <cellStyle name="常规 4 6 3 6 2" xfId="3380"/>
    <cellStyle name="常规 4 6 3 7" xfId="3382"/>
    <cellStyle name="常规 4 6 3 7 2" xfId="31910"/>
    <cellStyle name="常规 4 6 3 8" xfId="31911"/>
    <cellStyle name="常规 4 6 3 9" xfId="31912"/>
    <cellStyle name="常规 4 6 4" xfId="8640"/>
    <cellStyle name="常规 4 6 4 10" xfId="31913"/>
    <cellStyle name="常规 4 6 4 2" xfId="8642"/>
    <cellStyle name="常规 4 6 4 2 2" xfId="8644"/>
    <cellStyle name="常规 4 6 4 2 2 2" xfId="8647"/>
    <cellStyle name="常规 4 6 4 2 2 2 2" xfId="31914"/>
    <cellStyle name="常规 4 6 4 2 2 2 2 2" xfId="31915"/>
    <cellStyle name="常规 4 6 4 2 2 2 2 2 2" xfId="31917"/>
    <cellStyle name="常规 4 6 4 2 2 2 2 3" xfId="31918"/>
    <cellStyle name="常规 4 6 4 2 2 2 2 4" xfId="31920"/>
    <cellStyle name="常规 4 6 4 2 2 2 3" xfId="31921"/>
    <cellStyle name="常规 4 6 4 2 2 2 3 2" xfId="31922"/>
    <cellStyle name="常规 4 6 4 2 2 2 4" xfId="18397"/>
    <cellStyle name="常规 4 6 4 2 2 2 4 2" xfId="18401"/>
    <cellStyle name="常规 4 6 4 2 2 2 5" xfId="4385"/>
    <cellStyle name="常规 4 6 4 2 2 2 6" xfId="12332"/>
    <cellStyle name="常规 4 6 4 2 2 3" xfId="24575"/>
    <cellStyle name="常规 4 6 4 2 2 3 2" xfId="31175"/>
    <cellStyle name="常规 4 6 4 2 2 3 2 2" xfId="31177"/>
    <cellStyle name="常规 4 6 4 2 2 3 3" xfId="31182"/>
    <cellStyle name="常规 4 6 4 2 2 3 4" xfId="11520"/>
    <cellStyle name="常规 4 6 4 2 2 4" xfId="24577"/>
    <cellStyle name="常规 4 6 4 2 2 4 2" xfId="31211"/>
    <cellStyle name="常规 4 6 4 2 2 4 2 2" xfId="31213"/>
    <cellStyle name="常规 4 6 4 2 2 4 3" xfId="31215"/>
    <cellStyle name="常规 4 6 4 2 2 4 4" xfId="11531"/>
    <cellStyle name="常规 4 6 4 2 2 5" xfId="31923"/>
    <cellStyle name="常规 4 6 4 2 2 5 2" xfId="8077"/>
    <cellStyle name="常规 4 6 4 2 2 6" xfId="31924"/>
    <cellStyle name="常规 4 6 4 2 2 6 2" xfId="8241"/>
    <cellStyle name="常规 4 6 4 2 2 7" xfId="31925"/>
    <cellStyle name="常规 4 6 4 2 2 8" xfId="31926"/>
    <cellStyle name="常规 4 6 4 2 2 9" xfId="18363"/>
    <cellStyle name="常规 4 6 4 2 3" xfId="8649"/>
    <cellStyle name="常规 4 6 4 2 3 2" xfId="24592"/>
    <cellStyle name="常规 4 6 4 2 3 2 2" xfId="31927"/>
    <cellStyle name="常规 4 6 4 2 3 2 2 2" xfId="29710"/>
    <cellStyle name="常规 4 6 4 2 3 2 3" xfId="31928"/>
    <cellStyle name="常规 4 6 4 2 3 2 4" xfId="18409"/>
    <cellStyle name="常规 4 6 4 2 3 3" xfId="31929"/>
    <cellStyle name="常规 4 6 4 2 3 3 2" xfId="31322"/>
    <cellStyle name="常规 4 6 4 2 3 4" xfId="29521"/>
    <cellStyle name="常规 4 6 4 2 3 5" xfId="31930"/>
    <cellStyle name="常规 4 6 4 2 3 6" xfId="31931"/>
    <cellStyle name="常规 4 6 4 2 4" xfId="31932"/>
    <cellStyle name="常规 4 6 4 2 4 2" xfId="31933"/>
    <cellStyle name="常规 4 6 4 2 4 2 2" xfId="31934"/>
    <cellStyle name="常规 4 6 4 2 4 3" xfId="31935"/>
    <cellStyle name="常规 4 6 4 2 4 4" xfId="31936"/>
    <cellStyle name="常规 4 6 4 2 5" xfId="31647"/>
    <cellStyle name="常规 4 6 4 2 5 2" xfId="3355"/>
    <cellStyle name="常规 4 6 4 2 5 2 2" xfId="3357"/>
    <cellStyle name="常规 4 6 4 2 5 3" xfId="3374"/>
    <cellStyle name="常规 4 6 4 2 5 4" xfId="3376"/>
    <cellStyle name="常规 4 6 4 2 6" xfId="31937"/>
    <cellStyle name="常规 4 6 4 2 6 2" xfId="31938"/>
    <cellStyle name="常规 4 6 4 2 7" xfId="31939"/>
    <cellStyle name="常规 4 6 4 2 7 2" xfId="31940"/>
    <cellStyle name="常规 4 6 4 2 8" xfId="14749"/>
    <cellStyle name="常规 4 6 4 2 9" xfId="31941"/>
    <cellStyle name="常规 4 6 4 3" xfId="8651"/>
    <cellStyle name="常规 4 6 4 3 2" xfId="8653"/>
    <cellStyle name="常规 4 6 4 3 2 2" xfId="24656"/>
    <cellStyle name="常规 4 6 4 3 2 2 2" xfId="24659"/>
    <cellStyle name="常规 4 6 4 3 2 2 2 2" xfId="31943"/>
    <cellStyle name="常规 4 6 4 3 2 2 3" xfId="31944"/>
    <cellStyle name="常规 4 6 4 3 2 2 4" xfId="18440"/>
    <cellStyle name="常规 4 6 4 3 2 3" xfId="24661"/>
    <cellStyle name="常规 4 6 4 3 2 3 2" xfId="24663"/>
    <cellStyle name="常规 4 6 4 3 2 4" xfId="24666"/>
    <cellStyle name="常规 4 6 4 3 2 4 2" xfId="1409"/>
    <cellStyle name="常规 4 6 4 3 2 5" xfId="24668"/>
    <cellStyle name="常规 4 6 4 3 2 6" xfId="31945"/>
    <cellStyle name="常规 4 6 4 3 3" xfId="21128"/>
    <cellStyle name="常规 4 6 4 3 3 2" xfId="24694"/>
    <cellStyle name="常规 4 6 4 3 3 2 2" xfId="31946"/>
    <cellStyle name="常规 4 6 4 3 3 3" xfId="24696"/>
    <cellStyle name="常规 4 6 4 3 3 4" xfId="24699"/>
    <cellStyle name="常规 4 6 4 3 4" xfId="31947"/>
    <cellStyle name="常规 4 6 4 3 4 2" xfId="24701"/>
    <cellStyle name="常规 4 6 4 3 4 2 2" xfId="31948"/>
    <cellStyle name="常规 4 6 4 3 4 3" xfId="31949"/>
    <cellStyle name="常规 4 6 4 3 4 4" xfId="31950"/>
    <cellStyle name="常规 4 6 4 3 5" xfId="31650"/>
    <cellStyle name="常规 4 6 4 3 5 2" xfId="4264"/>
    <cellStyle name="常规 4 6 4 3 6" xfId="31951"/>
    <cellStyle name="常规 4 6 4 3 6 2" xfId="31952"/>
    <cellStyle name="常规 4 6 4 3 7" xfId="31953"/>
    <cellStyle name="常规 4 6 4 3 8" xfId="31954"/>
    <cellStyle name="常规 4 6 4 3 9" xfId="31955"/>
    <cellStyle name="常规 4 6 4 4" xfId="8655"/>
    <cellStyle name="常规 4 6 4 4 2" xfId="31956"/>
    <cellStyle name="常规 4 6 4 4 2 2" xfId="31957"/>
    <cellStyle name="常规 4 6 4 4 2 2 2" xfId="31374"/>
    <cellStyle name="常规 4 6 4 4 2 3" xfId="31958"/>
    <cellStyle name="常规 4 6 4 4 2 4" xfId="31960"/>
    <cellStyle name="常规 4 6 4 4 3" xfId="31961"/>
    <cellStyle name="常规 4 6 4 4 3 2" xfId="31962"/>
    <cellStyle name="常规 4 6 4 4 4" xfId="31963"/>
    <cellStyle name="常规 4 6 4 4 5" xfId="31964"/>
    <cellStyle name="常规 4 6 4 4 6" xfId="31965"/>
    <cellStyle name="常规 4 6 4 5" xfId="31966"/>
    <cellStyle name="常规 4 6 4 5 2" xfId="31967"/>
    <cellStyle name="常规 4 6 4 5 2 2" xfId="31968"/>
    <cellStyle name="常规 4 6 4 5 3" xfId="31969"/>
    <cellStyle name="常规 4 6 4 5 4" xfId="31970"/>
    <cellStyle name="常规 4 6 4 6" xfId="3387"/>
    <cellStyle name="常规 4 6 4 6 2" xfId="31971"/>
    <cellStyle name="常规 4 6 4 6 2 2" xfId="31972"/>
    <cellStyle name="常规 4 6 4 6 3" xfId="31973"/>
    <cellStyle name="常规 4 6 4 6 4" xfId="31974"/>
    <cellStyle name="常规 4 6 4 7" xfId="31975"/>
    <cellStyle name="常规 4 6 4 7 2" xfId="31976"/>
    <cellStyle name="常规 4 6 4 8" xfId="31977"/>
    <cellStyle name="常规 4 6 4 8 2" xfId="31978"/>
    <cellStyle name="常规 4 6 4 9" xfId="24536"/>
    <cellStyle name="常规 4 6 5" xfId="8658"/>
    <cellStyle name="常规 4 6 5 2" xfId="8660"/>
    <cellStyle name="常规 4 6 5 2 2" xfId="8662"/>
    <cellStyle name="常规 4 6 5 2 2 2" xfId="24784"/>
    <cellStyle name="常规 4 6 5 2 2 2 2" xfId="31979"/>
    <cellStyle name="常规 4 6 5 2 2 3" xfId="24786"/>
    <cellStyle name="常规 4 6 5 2 2 4" xfId="24788"/>
    <cellStyle name="常规 4 6 5 2 3" xfId="31980"/>
    <cellStyle name="常规 4 6 5 2 3 2" xfId="24795"/>
    <cellStyle name="常规 4 6 5 2 4" xfId="31981"/>
    <cellStyle name="常规 4 6 5 2 5" xfId="31982"/>
    <cellStyle name="常规 4 6 5 3" xfId="8664"/>
    <cellStyle name="常规 4 6 5 3 2" xfId="31983"/>
    <cellStyle name="常规 4 6 5 3 2 2" xfId="31984"/>
    <cellStyle name="常规 4 6 5 3 3" xfId="31985"/>
    <cellStyle name="常规 4 6 5 3 4" xfId="31986"/>
    <cellStyle name="常规 4 6 5 4" xfId="31987"/>
    <cellStyle name="常规 4 6 5 4 2" xfId="31988"/>
    <cellStyle name="常规 4 6 5 4 2 2" xfId="31989"/>
    <cellStyle name="常规 4 6 5 4 3" xfId="20019"/>
    <cellStyle name="常规 4 6 5 4 4" xfId="9605"/>
    <cellStyle name="常规 4 6 5 5" xfId="31990"/>
    <cellStyle name="常规 4 6 5 5 2" xfId="31991"/>
    <cellStyle name="常规 4 6 5 6" xfId="31992"/>
    <cellStyle name="常规 4 6 5 7" xfId="11686"/>
    <cellStyle name="常规 4 6 5 8" xfId="31993"/>
    <cellStyle name="常规 4 6 6" xfId="8666"/>
    <cellStyle name="常规 4 6 6 2" xfId="8668"/>
    <cellStyle name="常规 4 6 6 2 2" xfId="8670"/>
    <cellStyle name="常规 4 6 6 2 2 2" xfId="23397"/>
    <cellStyle name="常规 4 6 6 2 3" xfId="31994"/>
    <cellStyle name="常规 4 6 6 2 4" xfId="31995"/>
    <cellStyle name="常规 4 6 6 3" xfId="8672"/>
    <cellStyle name="常规 4 6 6 3 2" xfId="7675"/>
    <cellStyle name="常规 4 6 6 4" xfId="31996"/>
    <cellStyle name="常规 4 6 6 5" xfId="27070"/>
    <cellStyle name="常规 4 6 6 6" xfId="27073"/>
    <cellStyle name="常规 4 6 7" xfId="8674"/>
    <cellStyle name="常规 4 6 7 2" xfId="8676"/>
    <cellStyle name="常规 4 6 7 2 2" xfId="31997"/>
    <cellStyle name="常规 4 6 7 3" xfId="31999"/>
    <cellStyle name="常规 4 6 7 4" xfId="32000"/>
    <cellStyle name="常规 4 6 8" xfId="8678"/>
    <cellStyle name="常规 4 6 8 2" xfId="32001"/>
    <cellStyle name="常规 4 6 8 2 2" xfId="32002"/>
    <cellStyle name="常规 4 6 8 3" xfId="13657"/>
    <cellStyle name="常规 4 6 8 4" xfId="13660"/>
    <cellStyle name="常规 4 6 9" xfId="8680"/>
    <cellStyle name="常规 4 6 9 2" xfId="32003"/>
    <cellStyle name="常规 4 7" xfId="14389"/>
    <cellStyle name="常规 4 7 10" xfId="32004"/>
    <cellStyle name="常规 4 7 10 2" xfId="32005"/>
    <cellStyle name="常规 4 7 11" xfId="18173"/>
    <cellStyle name="常规 4 7 12" xfId="32006"/>
    <cellStyle name="常规 4 7 2" xfId="26236"/>
    <cellStyle name="常规 4 7 2 10" xfId="17550"/>
    <cellStyle name="常规 4 7 2 11" xfId="2808"/>
    <cellStyle name="常规 4 7 2 2" xfId="26239"/>
    <cellStyle name="常规 4 7 2 2 2" xfId="29508"/>
    <cellStyle name="常规 4 7 2 2 2 2" xfId="32007"/>
    <cellStyle name="常规 4 7 2 2 2 2 2" xfId="32008"/>
    <cellStyle name="常规 4 7 2 2 2 2 2 2" xfId="16124"/>
    <cellStyle name="常规 4 7 2 2 2 2 2 2 2" xfId="32009"/>
    <cellStyle name="常规 4 7 2 2 2 2 2 3" xfId="95"/>
    <cellStyle name="常规 4 7 2 2 2 2 2 4" xfId="99"/>
    <cellStyle name="常规 4 7 2 2 2 2 3" xfId="32010"/>
    <cellStyle name="常规 4 7 2 2 2 2 3 2" xfId="16128"/>
    <cellStyle name="常规 4 7 2 2 2 2 4" xfId="32011"/>
    <cellStyle name="常规 4 7 2 2 2 2 4 2" xfId="32012"/>
    <cellStyle name="常规 4 7 2 2 2 2 5" xfId="32013"/>
    <cellStyle name="常规 4 7 2 2 2 2 6" xfId="32014"/>
    <cellStyle name="常规 4 7 2 2 2 3" xfId="32016"/>
    <cellStyle name="常规 4 7 2 2 2 3 2" xfId="32017"/>
    <cellStyle name="常规 4 7 2 2 2 3 2 2" xfId="32018"/>
    <cellStyle name="常规 4 7 2 2 2 3 3" xfId="32019"/>
    <cellStyle name="常规 4 7 2 2 2 3 4" xfId="32020"/>
    <cellStyle name="常规 4 7 2 2 2 4" xfId="32021"/>
    <cellStyle name="常规 4 7 2 2 2 4 2" xfId="32022"/>
    <cellStyle name="常规 4 7 2 2 2 4 2 2" xfId="27836"/>
    <cellStyle name="常规 4 7 2 2 2 4 3" xfId="32023"/>
    <cellStyle name="常规 4 7 2 2 2 4 4" xfId="32024"/>
    <cellStyle name="常规 4 7 2 2 2 5" xfId="32025"/>
    <cellStyle name="常规 4 7 2 2 2 5 2" xfId="2190"/>
    <cellStyle name="常规 4 7 2 2 2 6" xfId="32026"/>
    <cellStyle name="常规 4 7 2 2 2 6 2" xfId="32027"/>
    <cellStyle name="常规 4 7 2 2 2 7" xfId="32028"/>
    <cellStyle name="常规 4 7 2 2 2 8" xfId="32029"/>
    <cellStyle name="常规 4 7 2 2 2 9" xfId="32030"/>
    <cellStyle name="常规 4 7 2 2 3" xfId="32031"/>
    <cellStyle name="常规 4 7 2 2 3 2" xfId="13364"/>
    <cellStyle name="常规 4 7 2 2 3 2 2" xfId="31491"/>
    <cellStyle name="常规 4 7 2 2 3 2 2 2" xfId="32032"/>
    <cellStyle name="常规 4 7 2 2 3 2 3" xfId="2399"/>
    <cellStyle name="常规 4 7 2 2 3 2 4" xfId="32033"/>
    <cellStyle name="常规 4 7 2 2 3 3" xfId="32034"/>
    <cellStyle name="常规 4 7 2 2 3 3 2" xfId="31591"/>
    <cellStyle name="常规 4 7 2 2 3 4" xfId="32035"/>
    <cellStyle name="常规 4 7 2 2 3 5" xfId="32036"/>
    <cellStyle name="常规 4 7 2 2 3 6" xfId="32037"/>
    <cellStyle name="常规 4 7 2 2 4" xfId="32038"/>
    <cellStyle name="常规 4 7 2 2 4 2" xfId="32039"/>
    <cellStyle name="常规 4 7 2 2 4 2 2" xfId="31654"/>
    <cellStyle name="常规 4 7 2 2 4 3" xfId="3538"/>
    <cellStyle name="常规 4 7 2 2 4 4" xfId="32040"/>
    <cellStyle name="常规 4 7 2 2 5" xfId="31469"/>
    <cellStyle name="常规 4 7 2 2 5 2" xfId="31471"/>
    <cellStyle name="常规 4 7 2 2 5 2 2" xfId="14682"/>
    <cellStyle name="常规 4 7 2 2 5 3" xfId="32041"/>
    <cellStyle name="常规 4 7 2 2 5 4" xfId="32043"/>
    <cellStyle name="常规 4 7 2 2 6" xfId="19665"/>
    <cellStyle name="常规 4 7 2 2 6 2" xfId="32044"/>
    <cellStyle name="常规 4 7 2 2 7" xfId="19668"/>
    <cellStyle name="常规 4 7 2 2 7 2" xfId="32045"/>
    <cellStyle name="常规 4 7 2 2 8" xfId="32046"/>
    <cellStyle name="常规 4 7 2 2 9" xfId="32047"/>
    <cellStyle name="常规 4 7 2 3" xfId="29756"/>
    <cellStyle name="常规 4 7 2 3 10" xfId="28242"/>
    <cellStyle name="常规 4 7 2 3 2" xfId="32049"/>
    <cellStyle name="常规 4 7 2 3 2 2" xfId="32050"/>
    <cellStyle name="常规 4 7 2 3 2 2 2" xfId="32051"/>
    <cellStyle name="常规 4 7 2 3 2 2 2 2" xfId="16244"/>
    <cellStyle name="常规 4 7 2 3 2 2 2 2 2" xfId="16246"/>
    <cellStyle name="常规 4 7 2 3 2 2 2 2 2 2" xfId="16248"/>
    <cellStyle name="常规 4 7 2 3 2 2 2 2 3" xfId="16255"/>
    <cellStyle name="常规 4 7 2 3 2 2 2 2 4" xfId="16260"/>
    <cellStyle name="常规 4 7 2 3 2 2 2 3" xfId="16269"/>
    <cellStyle name="常规 4 7 2 3 2 2 2 3 2" xfId="16272"/>
    <cellStyle name="常规 4 7 2 3 2 2 2 4" xfId="16286"/>
    <cellStyle name="常规 4 7 2 3 2 2 2 4 2" xfId="16289"/>
    <cellStyle name="常规 4 7 2 3 2 2 2 5" xfId="16297"/>
    <cellStyle name="常规 4 7 2 3 2 2 2 6" xfId="16301"/>
    <cellStyle name="常规 4 7 2 3 2 2 3" xfId="32052"/>
    <cellStyle name="常规 4 7 2 3 2 2 3 2" xfId="16466"/>
    <cellStyle name="常规 4 7 2 3 2 2 3 2 2" xfId="16468"/>
    <cellStyle name="常规 4 7 2 3 2 2 3 3" xfId="16475"/>
    <cellStyle name="常规 4 7 2 3 2 2 3 4" xfId="16484"/>
    <cellStyle name="常规 4 7 2 3 2 2 4" xfId="32053"/>
    <cellStyle name="常规 4 7 2 3 2 2 4 2" xfId="16560"/>
    <cellStyle name="常规 4 7 2 3 2 2 4 2 2" xfId="16563"/>
    <cellStyle name="常规 4 7 2 3 2 2 4 3" xfId="16569"/>
    <cellStyle name="常规 4 7 2 3 2 2 4 4" xfId="16572"/>
    <cellStyle name="常规 4 7 2 3 2 2 5" xfId="32054"/>
    <cellStyle name="常规 4 7 2 3 2 2 5 2" xfId="16593"/>
    <cellStyle name="常规 4 7 2 3 2 2 6" xfId="32055"/>
    <cellStyle name="常规 4 7 2 3 2 2 6 2" xfId="12522"/>
    <cellStyle name="常规 4 7 2 3 2 2 7" xfId="32057"/>
    <cellStyle name="常规 4 7 2 3 2 2 8" xfId="32058"/>
    <cellStyle name="常规 4 7 2 3 2 2 9" xfId="32059"/>
    <cellStyle name="常规 4 7 2 3 2 3" xfId="32060"/>
    <cellStyle name="常规 4 7 2 3 2 3 2" xfId="32061"/>
    <cellStyle name="常规 4 7 2 3 2 3 2 2" xfId="32062"/>
    <cellStyle name="常规 4 7 2 3 2 3 2 2 2" xfId="2512"/>
    <cellStyle name="常规 4 7 2 3 2 3 2 3" xfId="24433"/>
    <cellStyle name="常规 4 7 2 3 2 3 2 4" xfId="2543"/>
    <cellStyle name="常规 4 7 2 3 2 3 3" xfId="32064"/>
    <cellStyle name="常规 4 7 2 3 2 3 3 2" xfId="32065"/>
    <cellStyle name="常规 4 7 2 3 2 3 4" xfId="32067"/>
    <cellStyle name="常规 4 7 2 3 2 3 5" xfId="32068"/>
    <cellStyle name="常规 4 7 2 3 2 3 6" xfId="32069"/>
    <cellStyle name="常规 4 7 2 3 2 4" xfId="18732"/>
    <cellStyle name="常规 4 7 2 3 2 4 2" xfId="18734"/>
    <cellStyle name="常规 4 7 2 3 2 4 2 2" xfId="27888"/>
    <cellStyle name="常规 4 7 2 3 2 4 3" xfId="32070"/>
    <cellStyle name="常规 4 7 2 3 2 4 4" xfId="32072"/>
    <cellStyle name="常规 4 7 2 3 2 5" xfId="18737"/>
    <cellStyle name="常规 4 7 2 3 2 5 2" xfId="9962"/>
    <cellStyle name="常规 4 7 2 3 2 5 2 2" xfId="9735"/>
    <cellStyle name="常规 4 7 2 3 2 5 3" xfId="9965"/>
    <cellStyle name="常规 4 7 2 3 2 5 4" xfId="9967"/>
    <cellStyle name="常规 4 7 2 3 2 6" xfId="18739"/>
    <cellStyle name="常规 4 7 2 3 2 6 2" xfId="10013"/>
    <cellStyle name="常规 4 7 2 3 2 7" xfId="32073"/>
    <cellStyle name="常规 4 7 2 3 2 7 2" xfId="10029"/>
    <cellStyle name="常规 4 7 2 3 2 8" xfId="19632"/>
    <cellStyle name="常规 4 7 2 3 2 9" xfId="32074"/>
    <cellStyle name="常规 4 7 2 3 3" xfId="32075"/>
    <cellStyle name="常规 4 7 2 3 3 2" xfId="32076"/>
    <cellStyle name="常规 4 7 2 3 3 2 2" xfId="31779"/>
    <cellStyle name="常规 4 7 2 3 3 2 2 2" xfId="32077"/>
    <cellStyle name="常规 4 7 2 3 3 2 2 2 2" xfId="1012"/>
    <cellStyle name="常规 4 7 2 3 3 2 2 3" xfId="24478"/>
    <cellStyle name="常规 4 7 2 3 3 2 2 4" xfId="32078"/>
    <cellStyle name="常规 4 7 2 3 3 2 3" xfId="32079"/>
    <cellStyle name="常规 4 7 2 3 3 2 3 2" xfId="32080"/>
    <cellStyle name="常规 4 7 2 3 3 2 4" xfId="32081"/>
    <cellStyle name="常规 4 7 2 3 3 2 4 2" xfId="32082"/>
    <cellStyle name="常规 4 7 2 3 3 2 5" xfId="32083"/>
    <cellStyle name="常规 4 7 2 3 3 2 6" xfId="27963"/>
    <cellStyle name="常规 4 7 2 3 3 3" xfId="32085"/>
    <cellStyle name="常规 4 7 2 3 3 3 2" xfId="31837"/>
    <cellStyle name="常规 4 7 2 3 3 3 2 2" xfId="32086"/>
    <cellStyle name="常规 4 7 2 3 3 3 3" xfId="32088"/>
    <cellStyle name="常规 4 7 2 3 3 3 4" xfId="32089"/>
    <cellStyle name="常规 4 7 2 3 3 4" xfId="18742"/>
    <cellStyle name="常规 4 7 2 3 3 4 2" xfId="18745"/>
    <cellStyle name="常规 4 7 2 3 3 4 2 2" xfId="27923"/>
    <cellStyle name="常规 4 7 2 3 3 4 3" xfId="32090"/>
    <cellStyle name="常规 4 7 2 3 3 4 4" xfId="32091"/>
    <cellStyle name="常规 4 7 2 3 3 5" xfId="18748"/>
    <cellStyle name="常规 4 7 2 3 3 5 2" xfId="5067"/>
    <cellStyle name="常规 4 7 2 3 3 6" xfId="18750"/>
    <cellStyle name="常规 4 7 2 3 3 6 2" xfId="32092"/>
    <cellStyle name="常规 4 7 2 3 3 7" xfId="32093"/>
    <cellStyle name="常规 4 7 2 3 3 8" xfId="32094"/>
    <cellStyle name="常规 4 7 2 3 3 9" xfId="32095"/>
    <cellStyle name="常规 4 7 2 3 4" xfId="32096"/>
    <cellStyle name="常规 4 7 2 3 4 2" xfId="32097"/>
    <cellStyle name="常规 4 7 2 3 4 2 2" xfId="30728"/>
    <cellStyle name="常规 4 7 2 3 4 2 2 2" xfId="30730"/>
    <cellStyle name="常规 4 7 2 3 4 2 3" xfId="30734"/>
    <cellStyle name="常规 4 7 2 3 4 2 4" xfId="30739"/>
    <cellStyle name="常规 4 7 2 3 4 3" xfId="2290"/>
    <cellStyle name="常规 4 7 2 3 4 3 2" xfId="30780"/>
    <cellStyle name="常规 4 7 2 3 4 4" xfId="18755"/>
    <cellStyle name="常规 4 7 2 3 4 5" xfId="32098"/>
    <cellStyle name="常规 4 7 2 3 4 6" xfId="32099"/>
    <cellStyle name="常规 4 7 2 3 5" xfId="31474"/>
    <cellStyle name="常规 4 7 2 3 5 2" xfId="32100"/>
    <cellStyle name="常规 4 7 2 3 5 2 2" xfId="31942"/>
    <cellStyle name="常规 4 7 2 3 5 3" xfId="32101"/>
    <cellStyle name="常规 4 7 2 3 5 4" xfId="32102"/>
    <cellStyle name="常规 4 7 2 3 6" xfId="32103"/>
    <cellStyle name="常规 4 7 2 3 6 2" xfId="32104"/>
    <cellStyle name="常规 4 7 2 3 6 2 2" xfId="32105"/>
    <cellStyle name="常规 4 7 2 3 6 3" xfId="32106"/>
    <cellStyle name="常规 4 7 2 3 6 4" xfId="32107"/>
    <cellStyle name="常规 4 7 2 3 7" xfId="32108"/>
    <cellStyle name="常规 4 7 2 3 7 2" xfId="29893"/>
    <cellStyle name="常规 4 7 2 3 8" xfId="32109"/>
    <cellStyle name="常规 4 7 2 3 8 2" xfId="29904"/>
    <cellStyle name="常规 4 7 2 3 9" xfId="32110"/>
    <cellStyle name="常规 4 7 2 4" xfId="29758"/>
    <cellStyle name="常规 4 7 2 4 2" xfId="30638"/>
    <cellStyle name="常规 4 7 2 4 2 2" xfId="8799"/>
    <cellStyle name="常规 4 7 2 4 2 2 2" xfId="30641"/>
    <cellStyle name="常规 4 7 2 4 2 2 2 2" xfId="32111"/>
    <cellStyle name="常规 4 7 2 4 2 2 3" xfId="32112"/>
    <cellStyle name="常规 4 7 2 4 2 2 4" xfId="32113"/>
    <cellStyle name="常规 4 7 2 4 2 3" xfId="8802"/>
    <cellStyle name="常规 4 7 2 4 2 3 2" xfId="32114"/>
    <cellStyle name="常规 4 7 2 4 2 4" xfId="18769"/>
    <cellStyle name="常规 4 7 2 4 2 4 2" xfId="32115"/>
    <cellStyle name="常规 4 7 2 4 2 5" xfId="25235"/>
    <cellStyle name="常规 4 7 2 4 2 6" xfId="32117"/>
    <cellStyle name="常规 4 7 2 4 3" xfId="30643"/>
    <cellStyle name="常规 4 7 2 4 3 2" xfId="8842"/>
    <cellStyle name="常规 4 7 2 4 3 2 2" xfId="32048"/>
    <cellStyle name="常规 4 7 2 4 3 3" xfId="32118"/>
    <cellStyle name="常规 4 7 2 4 3 4" xfId="32119"/>
    <cellStyle name="常规 4 7 2 4 4" xfId="30645"/>
    <cellStyle name="常规 4 7 2 4 4 2" xfId="30647"/>
    <cellStyle name="常规 4 7 2 4 4 2 2" xfId="32120"/>
    <cellStyle name="常规 4 7 2 4 4 3" xfId="32122"/>
    <cellStyle name="常规 4 7 2 4 4 4" xfId="32123"/>
    <cellStyle name="常规 4 7 2 4 5" xfId="30649"/>
    <cellStyle name="常规 4 7 2 4 5 2" xfId="32124"/>
    <cellStyle name="常规 4 7 2 4 6" xfId="30651"/>
    <cellStyle name="常规 4 7 2 4 6 2" xfId="32126"/>
    <cellStyle name="常规 4 7 2 4 7" xfId="30653"/>
    <cellStyle name="常规 4 7 2 4 8" xfId="32127"/>
    <cellStyle name="常规 4 7 2 4 9" xfId="32128"/>
    <cellStyle name="常规 4 7 2 5" xfId="32129"/>
    <cellStyle name="常规 4 7 2 5 2" xfId="30662"/>
    <cellStyle name="常规 4 7 2 5 2 2" xfId="32130"/>
    <cellStyle name="常规 4 7 2 5 2 2 2" xfId="31511"/>
    <cellStyle name="常规 4 7 2 5 2 3" xfId="9238"/>
    <cellStyle name="常规 4 7 2 5 2 4" xfId="9439"/>
    <cellStyle name="常规 4 7 2 5 3" xfId="30664"/>
    <cellStyle name="常规 4 7 2 5 3 2" xfId="32131"/>
    <cellStyle name="常规 4 7 2 5 4" xfId="30666"/>
    <cellStyle name="常规 4 7 2 5 5" xfId="32132"/>
    <cellStyle name="常规 4 7 2 5 6" xfId="358"/>
    <cellStyle name="常规 4 7 2 6" xfId="32133"/>
    <cellStyle name="常规 4 7 2 6 2" xfId="30672"/>
    <cellStyle name="常规 4 7 2 6 2 2" xfId="32134"/>
    <cellStyle name="常规 4 7 2 6 3" xfId="32135"/>
    <cellStyle name="常规 4 7 2 6 4" xfId="32136"/>
    <cellStyle name="常规 4 7 2 7" xfId="32137"/>
    <cellStyle name="常规 4 7 2 7 2" xfId="1772"/>
    <cellStyle name="常规 4 7 2 7 2 2" xfId="1786"/>
    <cellStyle name="常规 4 7 2 7 3" xfId="1795"/>
    <cellStyle name="常规 4 7 2 7 4" xfId="1781"/>
    <cellStyle name="常规 4 7 2 8" xfId="32138"/>
    <cellStyle name="常规 4 7 2 8 2" xfId="1803"/>
    <cellStyle name="常规 4 7 2 9" xfId="32139"/>
    <cellStyle name="常规 4 7 2 9 2" xfId="1808"/>
    <cellStyle name="常规 4 7 3" xfId="26242"/>
    <cellStyle name="常规 4 7 3 2" xfId="26189"/>
    <cellStyle name="常规 4 7 3 2 2" xfId="29724"/>
    <cellStyle name="常规 4 7 3 2 2 2" xfId="32140"/>
    <cellStyle name="常规 4 7 3 2 2 2 2" xfId="32141"/>
    <cellStyle name="常规 4 7 3 2 2 2 2 2" xfId="32142"/>
    <cellStyle name="常规 4 7 3 2 2 2 3" xfId="32143"/>
    <cellStyle name="常规 4 7 3 2 2 2 4" xfId="18556"/>
    <cellStyle name="常规 4 7 3 2 2 3" xfId="32144"/>
    <cellStyle name="常规 4 7 3 2 2 3 2" xfId="32145"/>
    <cellStyle name="常规 4 7 3 2 2 4" xfId="32146"/>
    <cellStyle name="常规 4 7 3 2 2 4 2" xfId="32147"/>
    <cellStyle name="常规 4 7 3 2 2 5" xfId="32148"/>
    <cellStyle name="常规 4 7 3 2 2 6" xfId="8931"/>
    <cellStyle name="常规 4 7 3 2 3" xfId="32149"/>
    <cellStyle name="常规 4 7 3 2 3 2" xfId="8866"/>
    <cellStyle name="常规 4 7 3 2 3 2 2" xfId="32150"/>
    <cellStyle name="常规 4 7 3 2 3 3" xfId="32152"/>
    <cellStyle name="常规 4 7 3 2 3 4" xfId="29612"/>
    <cellStyle name="常规 4 7 3 2 4" xfId="32153"/>
    <cellStyle name="常规 4 7 3 2 4 2" xfId="32154"/>
    <cellStyle name="常规 4 7 3 2 4 2 2" xfId="32155"/>
    <cellStyle name="常规 4 7 3 2 4 3" xfId="3714"/>
    <cellStyle name="常规 4 7 3 2 4 4" xfId="3305"/>
    <cellStyle name="常规 4 7 3 2 5" xfId="31483"/>
    <cellStyle name="常规 4 7 3 2 5 2" xfId="32157"/>
    <cellStyle name="常规 4 7 3 2 6" xfId="32158"/>
    <cellStyle name="常规 4 7 3 2 6 2" xfId="32159"/>
    <cellStyle name="常规 4 7 3 2 7" xfId="32160"/>
    <cellStyle name="常规 4 7 3 2 8" xfId="32161"/>
    <cellStyle name="常规 4 7 3 2 9" xfId="32121"/>
    <cellStyle name="常规 4 7 3 3" xfId="29727"/>
    <cellStyle name="常规 4 7 3 3 2" xfId="32162"/>
    <cellStyle name="常规 4 7 3 3 2 2" xfId="32163"/>
    <cellStyle name="常规 4 7 3 3 2 2 2" xfId="29413"/>
    <cellStyle name="常规 4 7 3 3 2 3" xfId="32164"/>
    <cellStyle name="常规 4 7 3 3 2 4" xfId="18821"/>
    <cellStyle name="常规 4 7 3 3 3" xfId="32165"/>
    <cellStyle name="常规 4 7 3 3 3 2" xfId="9063"/>
    <cellStyle name="常规 4 7 3 3 4" xfId="32166"/>
    <cellStyle name="常规 4 7 3 3 5" xfId="32167"/>
    <cellStyle name="常规 4 7 3 3 6" xfId="32168"/>
    <cellStyle name="常规 4 7 3 4" xfId="29729"/>
    <cellStyle name="常规 4 7 3 4 2" xfId="30695"/>
    <cellStyle name="常规 4 7 3 4 2 2" xfId="8959"/>
    <cellStyle name="常规 4 7 3 4 3" xfId="30697"/>
    <cellStyle name="常规 4 7 3 4 4" xfId="30699"/>
    <cellStyle name="常规 4 7 3 5" xfId="29731"/>
    <cellStyle name="常规 4 7 3 5 2" xfId="30705"/>
    <cellStyle name="常规 4 7 3 5 2 2" xfId="32169"/>
    <cellStyle name="常规 4 7 3 5 3" xfId="32170"/>
    <cellStyle name="常规 4 7 3 5 4" xfId="32171"/>
    <cellStyle name="常规 4 7 3 6" xfId="32172"/>
    <cellStyle name="常规 4 7 3 6 2" xfId="30711"/>
    <cellStyle name="常规 4 7 3 7" xfId="32173"/>
    <cellStyle name="常规 4 7 3 7 2" xfId="1825"/>
    <cellStyle name="常规 4 7 3 8" xfId="32174"/>
    <cellStyle name="常规 4 7 3 9" xfId="308"/>
    <cellStyle name="常规 4 7 4" xfId="8685"/>
    <cellStyle name="常规 4 7 4 10" xfId="13653"/>
    <cellStyle name="常规 4 7 4 2" xfId="8689"/>
    <cellStyle name="常规 4 7 4 2 2" xfId="7350"/>
    <cellStyle name="常规 4 7 4 2 2 2" xfId="7354"/>
    <cellStyle name="常规 4 7 4 2 2 2 2" xfId="22268"/>
    <cellStyle name="常规 4 7 4 2 2 2 2 2" xfId="15262"/>
    <cellStyle name="常规 4 7 4 2 2 2 2 2 2" xfId="22273"/>
    <cellStyle name="常规 4 7 4 2 2 2 2 3" xfId="22299"/>
    <cellStyle name="常规 4 7 4 2 2 2 2 4" xfId="22314"/>
    <cellStyle name="常规 4 7 4 2 2 2 3" xfId="22332"/>
    <cellStyle name="常规 4 7 4 2 2 2 3 2" xfId="22338"/>
    <cellStyle name="常规 4 7 4 2 2 2 4" xfId="22452"/>
    <cellStyle name="常规 4 7 4 2 2 2 4 2" xfId="11619"/>
    <cellStyle name="常规 4 7 4 2 2 2 5" xfId="22468"/>
    <cellStyle name="常规 4 7 4 2 2 2 6" xfId="22477"/>
    <cellStyle name="常规 4 7 4 2 2 3" xfId="22487"/>
    <cellStyle name="常规 4 7 4 2 2 3 2" xfId="22490"/>
    <cellStyle name="常规 4 7 4 2 2 3 2 2" xfId="22493"/>
    <cellStyle name="常规 4 7 4 2 2 3 3" xfId="22561"/>
    <cellStyle name="常规 4 7 4 2 2 3 4" xfId="22593"/>
    <cellStyle name="常规 4 7 4 2 2 4" xfId="22616"/>
    <cellStyle name="常规 4 7 4 2 2 4 2" xfId="22618"/>
    <cellStyle name="常规 4 7 4 2 2 4 2 2" xfId="2665"/>
    <cellStyle name="常规 4 7 4 2 2 4 3" xfId="22621"/>
    <cellStyle name="常规 4 7 4 2 2 4 4" xfId="22625"/>
    <cellStyle name="常规 4 7 4 2 2 5" xfId="22632"/>
    <cellStyle name="常规 4 7 4 2 2 5 2" xfId="22634"/>
    <cellStyle name="常规 4 7 4 2 2 6" xfId="22638"/>
    <cellStyle name="常规 4 7 4 2 2 6 2" xfId="22640"/>
    <cellStyle name="常规 4 7 4 2 2 7" xfId="22645"/>
    <cellStyle name="常规 4 7 4 2 2 8" xfId="22656"/>
    <cellStyle name="常规 4 7 4 2 2 9" xfId="22661"/>
    <cellStyle name="常规 4 7 4 2 3" xfId="7359"/>
    <cellStyle name="常规 4 7 4 2 3 2" xfId="22670"/>
    <cellStyle name="常规 4 7 4 2 3 2 2" xfId="22674"/>
    <cellStyle name="常规 4 7 4 2 3 2 2 2" xfId="22678"/>
    <cellStyle name="常规 4 7 4 2 3 2 3" xfId="22733"/>
    <cellStyle name="常规 4 7 4 2 3 2 4" xfId="22851"/>
    <cellStyle name="常规 4 7 4 2 3 3" xfId="22907"/>
    <cellStyle name="常规 4 7 4 2 3 3 2" xfId="22911"/>
    <cellStyle name="常规 4 7 4 2 3 4" xfId="23019"/>
    <cellStyle name="常规 4 7 4 2 3 5" xfId="23035"/>
    <cellStyle name="常规 4 7 4 2 3 6" xfId="23043"/>
    <cellStyle name="常规 4 7 4 2 4" xfId="5537"/>
    <cellStyle name="常规 4 7 4 2 4 2" xfId="23068"/>
    <cellStyle name="常规 4 7 4 2 4 2 2" xfId="20883"/>
    <cellStyle name="常规 4 7 4 2 4 3" xfId="3778"/>
    <cellStyle name="常规 4 7 4 2 4 4" xfId="23372"/>
    <cellStyle name="常规 4 7 4 2 5" xfId="8500"/>
    <cellStyle name="常规 4 7 4 2 5 2" xfId="31694"/>
    <cellStyle name="常规 4 7 4 2 5 2 2" xfId="32175"/>
    <cellStyle name="常规 4 7 4 2 5 3" xfId="32176"/>
    <cellStyle name="常规 4 7 4 2 5 4" xfId="32177"/>
    <cellStyle name="常规 4 7 4 2 6" xfId="31696"/>
    <cellStyle name="常规 4 7 4 2 6 2" xfId="32178"/>
    <cellStyle name="常规 4 7 4 2 7" xfId="31698"/>
    <cellStyle name="常规 4 7 4 2 7 2" xfId="32179"/>
    <cellStyle name="常规 4 7 4 2 8" xfId="1625"/>
    <cellStyle name="常规 4 7 4 2 9" xfId="32180"/>
    <cellStyle name="常规 4 7 4 3" xfId="8692"/>
    <cellStyle name="常规 4 7 4 3 2" xfId="23747"/>
    <cellStyle name="常规 4 7 4 3 2 2" xfId="17818"/>
    <cellStyle name="常规 4 7 4 3 2 2 2" xfId="23751"/>
    <cellStyle name="常规 4 7 4 3 2 2 2 2" xfId="23753"/>
    <cellStyle name="常规 4 7 4 3 2 2 3" xfId="23755"/>
    <cellStyle name="常规 4 7 4 3 2 2 4" xfId="23757"/>
    <cellStyle name="常规 4 7 4 3 2 3" xfId="23760"/>
    <cellStyle name="常规 4 7 4 3 2 3 2" xfId="23763"/>
    <cellStyle name="常规 4 7 4 3 2 4" xfId="18925"/>
    <cellStyle name="常规 4 7 4 3 2 4 2" xfId="23768"/>
    <cellStyle name="常规 4 7 4 3 2 5" xfId="23771"/>
    <cellStyle name="常规 4 7 4 3 2 6" xfId="23773"/>
    <cellStyle name="常规 4 7 4 3 3" xfId="23776"/>
    <cellStyle name="常规 4 7 4 3 3 2" xfId="17831"/>
    <cellStyle name="常规 4 7 4 3 3 2 2" xfId="23778"/>
    <cellStyle name="常规 4 7 4 3 3 3" xfId="23785"/>
    <cellStyle name="常规 4 7 4 3 3 4" xfId="23794"/>
    <cellStyle name="常规 4 7 4 3 4" xfId="23798"/>
    <cellStyle name="常规 4 7 4 3 4 2" xfId="23801"/>
    <cellStyle name="常规 4 7 4 3 4 2 2" xfId="23803"/>
    <cellStyle name="常规 4 7 4 3 4 3" xfId="23805"/>
    <cellStyle name="常规 4 7 4 3 4 4" xfId="23807"/>
    <cellStyle name="常规 4 7 4 3 5" xfId="8506"/>
    <cellStyle name="常规 4 7 4 3 5 2" xfId="8937"/>
    <cellStyle name="常规 4 7 4 3 6" xfId="32181"/>
    <cellStyle name="常规 4 7 4 3 6 2" xfId="32182"/>
    <cellStyle name="常规 4 7 4 3 7" xfId="32183"/>
    <cellStyle name="常规 4 7 4 3 8" xfId="32184"/>
    <cellStyle name="常规 4 7 4 3 9" xfId="32185"/>
    <cellStyle name="常规 4 7 4 4" xfId="32186"/>
    <cellStyle name="常规 4 7 4 4 2" xfId="24111"/>
    <cellStyle name="常规 4 7 4 4 2 2" xfId="9174"/>
    <cellStyle name="常规 4 7 4 4 2 2 2" xfId="24114"/>
    <cellStyle name="常规 4 7 4 4 2 3" xfId="9178"/>
    <cellStyle name="常规 4 7 4 4 2 4" xfId="24117"/>
    <cellStyle name="常规 4 7 4 4 3" xfId="24119"/>
    <cellStyle name="常规 4 7 4 4 3 2" xfId="9234"/>
    <cellStyle name="常规 4 7 4 4 4" xfId="24121"/>
    <cellStyle name="常规 4 7 4 4 5" xfId="31700"/>
    <cellStyle name="常规 4 7 4 4 6" xfId="32187"/>
    <cellStyle name="常规 4 7 4 5" xfId="32188"/>
    <cellStyle name="常规 4 7 4 5 2" xfId="24516"/>
    <cellStyle name="常规 4 7 4 5 2 2" xfId="24518"/>
    <cellStyle name="常规 4 7 4 5 3" xfId="24523"/>
    <cellStyle name="常规 4 7 4 5 4" xfId="24526"/>
    <cellStyle name="常规 4 7 4 6" xfId="32189"/>
    <cellStyle name="常规 4 7 4 6 2" xfId="24891"/>
    <cellStyle name="常规 4 7 4 6 2 2" xfId="24893"/>
    <cellStyle name="常规 4 7 4 6 3" xfId="24899"/>
    <cellStyle name="常规 4 7 4 6 4" xfId="24902"/>
    <cellStyle name="常规 4 7 4 7" xfId="1979"/>
    <cellStyle name="常规 4 7 4 7 2" xfId="25204"/>
    <cellStyle name="常规 4 7 4 8" xfId="32190"/>
    <cellStyle name="常规 4 7 4 8 2" xfId="25613"/>
    <cellStyle name="常规 4 7 4 9" xfId="32191"/>
    <cellStyle name="常规 4 7 5" xfId="8696"/>
    <cellStyle name="常规 4 7 5 2" xfId="8698"/>
    <cellStyle name="常规 4 7 5 2 2" xfId="24295"/>
    <cellStyle name="常规 4 7 5 2 2 2" xfId="25140"/>
    <cellStyle name="常规 4 7 5 2 2 2 2" xfId="27832"/>
    <cellStyle name="常规 4 7 5 2 2 3" xfId="14491"/>
    <cellStyle name="常规 4 7 5 2 2 4" xfId="14497"/>
    <cellStyle name="常规 4 7 5 2 3" xfId="21357"/>
    <cellStyle name="常规 4 7 5 2 3 2" xfId="21361"/>
    <cellStyle name="常规 4 7 5 2 4" xfId="21364"/>
    <cellStyle name="常规 4 7 5 2 5" xfId="21367"/>
    <cellStyle name="常规 4 7 5 3" xfId="32192"/>
    <cellStyle name="常规 4 7 5 3 2" xfId="24298"/>
    <cellStyle name="常规 4 7 5 3 2 2" xfId="15147"/>
    <cellStyle name="常规 4 7 5 3 3" xfId="21372"/>
    <cellStyle name="常规 4 7 5 3 4" xfId="28952"/>
    <cellStyle name="常规 4 7 5 4" xfId="32193"/>
    <cellStyle name="常规 4 7 5 4 2" xfId="29121"/>
    <cellStyle name="常规 4 7 5 4 2 2" xfId="9357"/>
    <cellStyle name="常规 4 7 5 4 3" xfId="29125"/>
    <cellStyle name="常规 4 7 5 4 4" xfId="29127"/>
    <cellStyle name="常规 4 7 5 5" xfId="32194"/>
    <cellStyle name="常规 4 7 5 5 2" xfId="29384"/>
    <cellStyle name="常规 4 7 5 6" xfId="32195"/>
    <cellStyle name="常规 4 7 5 7" xfId="32196"/>
    <cellStyle name="常规 4 7 5 8" xfId="32197"/>
    <cellStyle name="常规 4 7 6" xfId="4117"/>
    <cellStyle name="常规 4 7 6 2" xfId="32198"/>
    <cellStyle name="常规 4 7 6 2 2" xfId="31014"/>
    <cellStyle name="常规 4 7 6 2 2 2" xfId="28699"/>
    <cellStyle name="常规 4 7 6 2 3" xfId="21378"/>
    <cellStyle name="常规 4 7 6 2 4" xfId="31026"/>
    <cellStyle name="常规 4 7 6 3" xfId="32199"/>
    <cellStyle name="常规 4 7 6 3 2" xfId="8296"/>
    <cellStyle name="常规 4 7 6 4" xfId="32200"/>
    <cellStyle name="常规 4 7 6 5" xfId="27084"/>
    <cellStyle name="常规 4 7 6 6" xfId="32201"/>
    <cellStyle name="常规 4 7 7" xfId="32202"/>
    <cellStyle name="常规 4 7 7 2" xfId="32203"/>
    <cellStyle name="常规 4 7 7 2 2" xfId="32204"/>
    <cellStyle name="常规 4 7 7 3" xfId="26606"/>
    <cellStyle name="常规 4 7 7 4" xfId="26627"/>
    <cellStyle name="常规 4 7 8" xfId="32206"/>
    <cellStyle name="常规 4 7 8 2" xfId="32207"/>
    <cellStyle name="常规 4 7 8 2 2" xfId="32208"/>
    <cellStyle name="常规 4 7 8 3" xfId="25280"/>
    <cellStyle name="常规 4 7 8 4" xfId="26651"/>
    <cellStyle name="常规 4 7 9" xfId="32209"/>
    <cellStyle name="常规 4 7 9 2" xfId="32210"/>
    <cellStyle name="常规 4 8" xfId="32211"/>
    <cellStyle name="常规 4 8 10" xfId="32212"/>
    <cellStyle name="常规 4 8 10 2" xfId="32213"/>
    <cellStyle name="常规 4 8 11" xfId="32214"/>
    <cellStyle name="常规 4 8 12" xfId="32215"/>
    <cellStyle name="常规 4 8 2" xfId="26277"/>
    <cellStyle name="常规 4 8 2 10" xfId="13758"/>
    <cellStyle name="常规 4 8 2 11" xfId="32216"/>
    <cellStyle name="常规 4 8 2 2" xfId="32217"/>
    <cellStyle name="常规 4 8 2 2 2" xfId="32218"/>
    <cellStyle name="常规 4 8 2 2 2 2" xfId="32219"/>
    <cellStyle name="常规 4 8 2 2 2 2 2" xfId="32220"/>
    <cellStyle name="常规 4 8 2 2 2 2 2 2" xfId="32221"/>
    <cellStyle name="常规 4 8 2 2 2 2 2 2 2" xfId="32222"/>
    <cellStyle name="常规 4 8 2 2 2 2 2 3" xfId="32223"/>
    <cellStyle name="常规 4 8 2 2 2 2 2 4" xfId="32224"/>
    <cellStyle name="常规 4 8 2 2 2 2 3" xfId="32225"/>
    <cellStyle name="常规 4 8 2 2 2 2 3 2" xfId="32226"/>
    <cellStyle name="常规 4 8 2 2 2 2 4" xfId="20354"/>
    <cellStyle name="常规 4 8 2 2 2 2 4 2" xfId="26744"/>
    <cellStyle name="常规 4 8 2 2 2 2 5" xfId="11380"/>
    <cellStyle name="常规 4 8 2 2 2 2 6" xfId="20356"/>
    <cellStyle name="常规 4 8 2 2 2 3" xfId="32227"/>
    <cellStyle name="常规 4 8 2 2 2 3 2" xfId="32228"/>
    <cellStyle name="常规 4 8 2 2 2 3 2 2" xfId="32229"/>
    <cellStyle name="常规 4 8 2 2 2 3 3" xfId="32230"/>
    <cellStyle name="常规 4 8 2 2 2 3 4" xfId="32231"/>
    <cellStyle name="常规 4 8 2 2 2 4" xfId="32232"/>
    <cellStyle name="常规 4 8 2 2 2 4 2" xfId="32233"/>
    <cellStyle name="常规 4 8 2 2 2 4 2 2" xfId="28134"/>
    <cellStyle name="常规 4 8 2 2 2 4 3" xfId="32234"/>
    <cellStyle name="常规 4 8 2 2 2 4 4" xfId="32235"/>
    <cellStyle name="常规 4 8 2 2 2 5" xfId="32236"/>
    <cellStyle name="常规 4 8 2 2 2 5 2" xfId="7098"/>
    <cellStyle name="常规 4 8 2 2 2 6" xfId="32237"/>
    <cellStyle name="常规 4 8 2 2 2 6 2" xfId="32238"/>
    <cellStyle name="常规 4 8 2 2 2 7" xfId="32239"/>
    <cellStyle name="常规 4 8 2 2 2 8" xfId="21186"/>
    <cellStyle name="常规 4 8 2 2 2 9" xfId="32240"/>
    <cellStyle name="常规 4 8 2 2 3" xfId="32241"/>
    <cellStyle name="常规 4 8 2 2 3 2" xfId="32242"/>
    <cellStyle name="常规 4 8 2 2 3 2 2" xfId="32243"/>
    <cellStyle name="常规 4 8 2 2 3 2 2 2" xfId="32244"/>
    <cellStyle name="常规 4 8 2 2 3 2 3" xfId="32245"/>
    <cellStyle name="常规 4 8 2 2 3 2 4" xfId="22025"/>
    <cellStyle name="常规 4 8 2 2 3 3" xfId="32246"/>
    <cellStyle name="常规 4 8 2 2 3 3 2" xfId="32247"/>
    <cellStyle name="常规 4 8 2 2 3 4" xfId="32248"/>
    <cellStyle name="常规 4 8 2 2 3 5" xfId="32249"/>
    <cellStyle name="常规 4 8 2 2 3 6" xfId="32250"/>
    <cellStyle name="常规 4 8 2 2 4" xfId="32251"/>
    <cellStyle name="常规 4 8 2 2 4 2" xfId="32252"/>
    <cellStyle name="常规 4 8 2 2 4 2 2" xfId="20536"/>
    <cellStyle name="常规 4 8 2 2 4 3" xfId="3911"/>
    <cellStyle name="常规 4 8 2 2 4 4" xfId="32253"/>
    <cellStyle name="常规 4 8 2 2 5" xfId="31533"/>
    <cellStyle name="常规 4 8 2 2 5 2" xfId="25681"/>
    <cellStyle name="常规 4 8 2 2 5 2 2" xfId="20702"/>
    <cellStyle name="常规 4 8 2 2 5 3" xfId="31535"/>
    <cellStyle name="常规 4 8 2 2 5 4" xfId="31537"/>
    <cellStyle name="常规 4 8 2 2 6" xfId="31539"/>
    <cellStyle name="常规 4 8 2 2 6 2" xfId="31541"/>
    <cellStyle name="常规 4 8 2 2 7" xfId="31543"/>
    <cellStyle name="常规 4 8 2 2 7 2" xfId="31545"/>
    <cellStyle name="常规 4 8 2 2 8" xfId="31547"/>
    <cellStyle name="常规 4 8 2 2 9" xfId="31549"/>
    <cellStyle name="常规 4 8 2 3" xfId="32254"/>
    <cellStyle name="常规 4 8 2 3 10" xfId="31888"/>
    <cellStyle name="常规 4 8 2 3 2" xfId="32255"/>
    <cellStyle name="常规 4 8 2 3 2 2" xfId="32256"/>
    <cellStyle name="常规 4 8 2 3 2 2 2" xfId="32257"/>
    <cellStyle name="常规 4 8 2 3 2 2 2 2" xfId="32258"/>
    <cellStyle name="常规 4 8 2 3 2 2 2 2 2" xfId="32259"/>
    <cellStyle name="常规 4 8 2 3 2 2 2 2 2 2" xfId="32261"/>
    <cellStyle name="常规 4 8 2 3 2 2 2 2 3" xfId="28432"/>
    <cellStyle name="常规 4 8 2 3 2 2 2 2 4" xfId="28434"/>
    <cellStyle name="常规 4 8 2 3 2 2 2 3" xfId="32262"/>
    <cellStyle name="常规 4 8 2 3 2 2 2 3 2" xfId="32263"/>
    <cellStyle name="常规 4 8 2 3 2 2 2 4" xfId="29933"/>
    <cellStyle name="常规 4 8 2 3 2 2 2 4 2" xfId="32265"/>
    <cellStyle name="常规 4 8 2 3 2 2 2 5" xfId="32266"/>
    <cellStyle name="常规 4 8 2 3 2 2 2 6" xfId="32267"/>
    <cellStyle name="常规 4 8 2 3 2 2 3" xfId="32268"/>
    <cellStyle name="常规 4 8 2 3 2 2 3 2" xfId="32269"/>
    <cellStyle name="常规 4 8 2 3 2 2 3 2 2" xfId="20916"/>
    <cellStyle name="常规 4 8 2 3 2 2 3 3" xfId="12883"/>
    <cellStyle name="常规 4 8 2 3 2 2 3 4" xfId="32270"/>
    <cellStyle name="常规 4 8 2 3 2 2 4" xfId="32271"/>
    <cellStyle name="常规 4 8 2 3 2 2 4 2" xfId="13680"/>
    <cellStyle name="常规 4 8 2 3 2 2 4 2 2" xfId="21078"/>
    <cellStyle name="常规 4 8 2 3 2 2 4 3" xfId="13684"/>
    <cellStyle name="常规 4 8 2 3 2 2 4 4" xfId="18124"/>
    <cellStyle name="常规 4 8 2 3 2 2 5" xfId="32272"/>
    <cellStyle name="常规 4 8 2 3 2 2 5 2" xfId="3324"/>
    <cellStyle name="常规 4 8 2 3 2 2 6" xfId="32273"/>
    <cellStyle name="常规 4 8 2 3 2 2 6 2" xfId="3343"/>
    <cellStyle name="常规 4 8 2 3 2 2 7" xfId="30581"/>
    <cellStyle name="常规 4 8 2 3 2 2 8" xfId="11247"/>
    <cellStyle name="常规 4 8 2 3 2 2 9" xfId="11251"/>
    <cellStyle name="常规 4 8 2 3 2 3" xfId="32274"/>
    <cellStyle name="常规 4 8 2 3 2 3 2" xfId="11350"/>
    <cellStyle name="常规 4 8 2 3 2 3 2 2" xfId="32275"/>
    <cellStyle name="常规 4 8 2 3 2 3 2 2 2" xfId="32276"/>
    <cellStyle name="常规 4 8 2 3 2 3 2 3" xfId="32277"/>
    <cellStyle name="常规 4 8 2 3 2 3 2 4" xfId="32278"/>
    <cellStyle name="常规 4 8 2 3 2 3 3" xfId="32279"/>
    <cellStyle name="常规 4 8 2 3 2 3 3 2" xfId="32280"/>
    <cellStyle name="常规 4 8 2 3 2 3 4" xfId="26476"/>
    <cellStyle name="常规 4 8 2 3 2 3 5" xfId="32281"/>
    <cellStyle name="常规 4 8 2 3 2 3 6" xfId="5914"/>
    <cellStyle name="常规 4 8 2 3 2 4" xfId="18984"/>
    <cellStyle name="常规 4 8 2 3 2 4 2" xfId="2148"/>
    <cellStyle name="常规 4 8 2 3 2 4 2 2" xfId="2151"/>
    <cellStyle name="常规 4 8 2 3 2 4 3" xfId="2166"/>
    <cellStyle name="常规 4 8 2 3 2 4 4" xfId="2170"/>
    <cellStyle name="常规 4 8 2 3 2 5" xfId="18986"/>
    <cellStyle name="常规 4 8 2 3 2 5 2" xfId="2204"/>
    <cellStyle name="常规 4 8 2 3 2 5 2 2" xfId="28223"/>
    <cellStyle name="常规 4 8 2 3 2 5 3" xfId="32282"/>
    <cellStyle name="常规 4 8 2 3 2 5 4" xfId="32283"/>
    <cellStyle name="常规 4 8 2 3 2 6" xfId="18988"/>
    <cellStyle name="常规 4 8 2 3 2 6 2" xfId="32284"/>
    <cellStyle name="常规 4 8 2 3 2 7" xfId="32285"/>
    <cellStyle name="常规 4 8 2 3 2 7 2" xfId="20506"/>
    <cellStyle name="常规 4 8 2 3 2 8" xfId="21192"/>
    <cellStyle name="常规 4 8 2 3 2 9" xfId="32286"/>
    <cellStyle name="常规 4 8 2 3 3" xfId="32287"/>
    <cellStyle name="常规 4 8 2 3 3 2" xfId="16908"/>
    <cellStyle name="常规 4 8 2 3 3 2 2" xfId="32288"/>
    <cellStyle name="常规 4 8 2 3 3 2 2 2" xfId="32289"/>
    <cellStyle name="常规 4 8 2 3 3 2 2 2 2" xfId="32290"/>
    <cellStyle name="常规 4 8 2 3 3 2 2 3" xfId="12387"/>
    <cellStyle name="常规 4 8 2 3 3 2 2 4" xfId="12390"/>
    <cellStyle name="常规 4 8 2 3 3 2 3" xfId="32291"/>
    <cellStyle name="常规 4 8 2 3 3 2 3 2" xfId="32292"/>
    <cellStyle name="常规 4 8 2 3 3 2 4" xfId="32293"/>
    <cellStyle name="常规 4 8 2 3 3 2 4 2" xfId="26902"/>
    <cellStyle name="常规 4 8 2 3 3 2 5" xfId="32294"/>
    <cellStyle name="常规 4 8 2 3 3 2 6" xfId="32295"/>
    <cellStyle name="常规 4 8 2 3 3 3" xfId="16910"/>
    <cellStyle name="常规 4 8 2 3 3 3 2" xfId="32296"/>
    <cellStyle name="常规 4 8 2 3 3 3 2 2" xfId="32297"/>
    <cellStyle name="常规 4 8 2 3 3 3 3" xfId="32298"/>
    <cellStyle name="常规 4 8 2 3 3 3 4" xfId="32299"/>
    <cellStyle name="常规 4 8 2 3 3 4" xfId="18991"/>
    <cellStyle name="常规 4 8 2 3 3 4 2" xfId="2341"/>
    <cellStyle name="常规 4 8 2 3 3 4 2 2" xfId="2344"/>
    <cellStyle name="常规 4 8 2 3 3 4 3" xfId="2369"/>
    <cellStyle name="常规 4 8 2 3 3 4 4" xfId="2374"/>
    <cellStyle name="常规 4 8 2 3 3 5" xfId="18993"/>
    <cellStyle name="常规 4 8 2 3 3 5 2" xfId="2411"/>
    <cellStyle name="常规 4 8 2 3 3 6" xfId="18996"/>
    <cellStyle name="常规 4 8 2 3 3 6 2" xfId="2437"/>
    <cellStyle name="常规 4 8 2 3 3 7" xfId="30958"/>
    <cellStyle name="常规 4 8 2 3 3 8" xfId="30960"/>
    <cellStyle name="常规 4 8 2 3 3 9" xfId="32300"/>
    <cellStyle name="常规 4 8 2 3 4" xfId="32301"/>
    <cellStyle name="常规 4 8 2 3 4 2" xfId="32302"/>
    <cellStyle name="常规 4 8 2 3 4 2 2" xfId="32303"/>
    <cellStyle name="常规 4 8 2 3 4 2 2 2" xfId="32304"/>
    <cellStyle name="常规 4 8 2 3 4 2 3" xfId="32305"/>
    <cellStyle name="常规 4 8 2 3 4 2 4" xfId="32306"/>
    <cellStyle name="常规 4 8 2 3 4 3" xfId="32307"/>
    <cellStyle name="常规 4 8 2 3 4 3 2" xfId="32308"/>
    <cellStyle name="常规 4 8 2 3 4 4" xfId="19000"/>
    <cellStyle name="常规 4 8 2 3 4 5" xfId="6495"/>
    <cellStyle name="常规 4 8 2 3 4 6" xfId="5457"/>
    <cellStyle name="常规 4 8 2 3 5" xfId="31552"/>
    <cellStyle name="常规 4 8 2 3 5 2" xfId="25773"/>
    <cellStyle name="常规 4 8 2 3 5 2 2" xfId="32309"/>
    <cellStyle name="常规 4 8 2 3 5 3" xfId="25775"/>
    <cellStyle name="常规 4 8 2 3 5 4" xfId="32310"/>
    <cellStyle name="常规 4 8 2 3 6" xfId="31554"/>
    <cellStyle name="常规 4 8 2 3 6 2" xfId="32311"/>
    <cellStyle name="常规 4 8 2 3 6 2 2" xfId="29545"/>
    <cellStyle name="常规 4 8 2 3 6 3" xfId="32312"/>
    <cellStyle name="常规 4 8 2 3 6 4" xfId="32313"/>
    <cellStyle name="常规 4 8 2 3 7" xfId="31556"/>
    <cellStyle name="常规 4 8 2 3 7 2" xfId="32314"/>
    <cellStyle name="常规 4 8 2 3 8" xfId="32315"/>
    <cellStyle name="常规 4 8 2 3 8 2" xfId="32316"/>
    <cellStyle name="常规 4 8 2 3 9" xfId="9442"/>
    <cellStyle name="常规 4 8 2 4" xfId="32317"/>
    <cellStyle name="常规 4 8 2 4 2" xfId="30756"/>
    <cellStyle name="常规 4 8 2 4 2 2" xfId="32318"/>
    <cellStyle name="常规 4 8 2 4 2 2 2" xfId="11062"/>
    <cellStyle name="常规 4 8 2 4 2 2 2 2" xfId="11064"/>
    <cellStyle name="常规 4 8 2 4 2 2 3" xfId="7891"/>
    <cellStyle name="常规 4 8 2 4 2 2 4" xfId="32319"/>
    <cellStyle name="常规 4 8 2 4 2 3" xfId="32320"/>
    <cellStyle name="常规 4 8 2 4 2 3 2" xfId="11070"/>
    <cellStyle name="常规 4 8 2 4 2 4" xfId="19011"/>
    <cellStyle name="常规 4 8 2 4 2 4 2" xfId="11075"/>
    <cellStyle name="常规 4 8 2 4 2 5" xfId="32321"/>
    <cellStyle name="常规 4 8 2 4 2 6" xfId="32322"/>
    <cellStyle name="常规 4 8 2 4 3" xfId="30758"/>
    <cellStyle name="常规 4 8 2 4 3 2" xfId="32323"/>
    <cellStyle name="常规 4 8 2 4 3 2 2" xfId="11085"/>
    <cellStyle name="常规 4 8 2 4 3 3" xfId="32325"/>
    <cellStyle name="常规 4 8 2 4 3 4" xfId="32326"/>
    <cellStyle name="常规 4 8 2 4 4" xfId="32327"/>
    <cellStyle name="常规 4 8 2 4 4 2" xfId="32329"/>
    <cellStyle name="常规 4 8 2 4 4 2 2" xfId="32330"/>
    <cellStyle name="常规 4 8 2 4 4 3" xfId="32331"/>
    <cellStyle name="常规 4 8 2 4 4 4" xfId="32332"/>
    <cellStyle name="常规 4 8 2 4 5" xfId="31559"/>
    <cellStyle name="常规 4 8 2 4 5 2" xfId="27355"/>
    <cellStyle name="常规 4 8 2 4 6" xfId="31562"/>
    <cellStyle name="常规 4 8 2 4 6 2" xfId="32333"/>
    <cellStyle name="常规 4 8 2 4 7" xfId="31564"/>
    <cellStyle name="常规 4 8 2 4 8" xfId="32335"/>
    <cellStyle name="常规 4 8 2 4 9" xfId="32336"/>
    <cellStyle name="常规 4 8 2 5" xfId="32337"/>
    <cellStyle name="常规 4 8 2 5 2" xfId="30765"/>
    <cellStyle name="常规 4 8 2 5 2 2" xfId="32338"/>
    <cellStyle name="常规 4 8 2 5 2 2 2" xfId="11123"/>
    <cellStyle name="常规 4 8 2 5 2 3" xfId="32339"/>
    <cellStyle name="常规 4 8 2 5 2 4" xfId="32340"/>
    <cellStyle name="常规 4 8 2 5 3" xfId="32341"/>
    <cellStyle name="常规 4 8 2 5 3 2" xfId="32343"/>
    <cellStyle name="常规 4 8 2 5 4" xfId="32344"/>
    <cellStyle name="常规 4 8 2 5 5" xfId="31567"/>
    <cellStyle name="常规 4 8 2 5 6" xfId="5260"/>
    <cellStyle name="常规 4 8 2 6" xfId="32345"/>
    <cellStyle name="常规 4 8 2 6 2" xfId="32346"/>
    <cellStyle name="常规 4 8 2 6 2 2" xfId="24618"/>
    <cellStyle name="常规 4 8 2 6 3" xfId="32347"/>
    <cellStyle name="常规 4 8 2 6 4" xfId="32348"/>
    <cellStyle name="常规 4 8 2 7" xfId="32349"/>
    <cellStyle name="常规 4 8 2 7 2" xfId="1886"/>
    <cellStyle name="常规 4 8 2 7 2 2" xfId="32350"/>
    <cellStyle name="常规 4 8 2 7 3" xfId="29830"/>
    <cellStyle name="常规 4 8 2 7 4" xfId="19349"/>
    <cellStyle name="常规 4 8 2 8" xfId="32351"/>
    <cellStyle name="常规 4 8 2 8 2" xfId="32352"/>
    <cellStyle name="常规 4 8 2 9" xfId="32353"/>
    <cellStyle name="常规 4 8 2 9 2" xfId="32354"/>
    <cellStyle name="常规 4 8 3" xfId="26280"/>
    <cellStyle name="常规 4 8 3 2" xfId="29738"/>
    <cellStyle name="常规 4 8 3 2 2" xfId="32355"/>
    <cellStyle name="常规 4 8 3 2 2 2" xfId="32357"/>
    <cellStyle name="常规 4 8 3 2 2 2 2" xfId="32358"/>
    <cellStyle name="常规 4 8 3 2 2 2 2 2" xfId="16005"/>
    <cellStyle name="常规 4 8 3 2 2 2 3" xfId="25188"/>
    <cellStyle name="常规 4 8 3 2 2 2 4" xfId="25191"/>
    <cellStyle name="常规 4 8 3 2 2 3" xfId="32359"/>
    <cellStyle name="常规 4 8 3 2 2 3 2" xfId="32360"/>
    <cellStyle name="常规 4 8 3 2 2 4" xfId="27536"/>
    <cellStyle name="常规 4 8 3 2 2 4 2" xfId="32361"/>
    <cellStyle name="常规 4 8 3 2 2 5" xfId="32362"/>
    <cellStyle name="常规 4 8 3 2 2 6" xfId="10674"/>
    <cellStyle name="常规 4 8 3 2 3" xfId="32363"/>
    <cellStyle name="常规 4 8 3 2 3 2" xfId="32364"/>
    <cellStyle name="常规 4 8 3 2 3 2 2" xfId="32365"/>
    <cellStyle name="常规 4 8 3 2 3 3" xfId="32366"/>
    <cellStyle name="常规 4 8 3 2 3 4" xfId="32367"/>
    <cellStyle name="常规 4 8 3 2 4" xfId="32368"/>
    <cellStyle name="常规 4 8 3 2 4 2" xfId="32369"/>
    <cellStyle name="常规 4 8 3 2 4 2 2" xfId="32370"/>
    <cellStyle name="常规 4 8 3 2 4 3" xfId="32371"/>
    <cellStyle name="常规 4 8 3 2 4 4" xfId="32372"/>
    <cellStyle name="常规 4 8 3 2 5" xfId="31575"/>
    <cellStyle name="常规 4 8 3 2 5 2" xfId="31577"/>
    <cellStyle name="常规 4 8 3 2 6" xfId="8464"/>
    <cellStyle name="常规 4 8 3 2 6 2" xfId="31672"/>
    <cellStyle name="常规 4 8 3 2 7" xfId="31580"/>
    <cellStyle name="常规 4 8 3 2 8" xfId="31674"/>
    <cellStyle name="常规 4 8 3 2 9" xfId="32373"/>
    <cellStyle name="常规 4 8 3 3" xfId="27635"/>
    <cellStyle name="常规 4 8 3 3 2" xfId="11706"/>
    <cellStyle name="常规 4 8 3 3 2 2" xfId="11708"/>
    <cellStyle name="常规 4 8 3 3 2 2 2" xfId="11711"/>
    <cellStyle name="常规 4 8 3 3 2 3" xfId="11717"/>
    <cellStyle name="常规 4 8 3 3 2 4" xfId="11725"/>
    <cellStyle name="常规 4 8 3 3 3" xfId="11729"/>
    <cellStyle name="常规 4 8 3 3 3 2" xfId="11731"/>
    <cellStyle name="常规 4 8 3 3 4" xfId="11735"/>
    <cellStyle name="常规 4 8 3 3 5" xfId="11741"/>
    <cellStyle name="常规 4 8 3 3 6" xfId="11746"/>
    <cellStyle name="常规 4 8 3 4" xfId="32374"/>
    <cellStyle name="常规 4 8 3 4 2" xfId="11780"/>
    <cellStyle name="常规 4 8 3 4 2 2" xfId="11782"/>
    <cellStyle name="常规 4 8 3 4 3" xfId="11788"/>
    <cellStyle name="常规 4 8 3 4 4" xfId="11792"/>
    <cellStyle name="常规 4 8 3 5" xfId="32376"/>
    <cellStyle name="常规 4 8 3 5 2" xfId="11895"/>
    <cellStyle name="常规 4 8 3 5 2 2" xfId="11897"/>
    <cellStyle name="常规 4 8 3 5 3" xfId="11901"/>
    <cellStyle name="常规 4 8 3 5 4" xfId="11906"/>
    <cellStyle name="常规 4 8 3 6" xfId="30619"/>
    <cellStyle name="常规 4 8 3 6 2" xfId="11927"/>
    <cellStyle name="常规 4 8 3 7" xfId="30621"/>
    <cellStyle name="常规 4 8 3 7 2" xfId="32377"/>
    <cellStyle name="常规 4 8 3 8" xfId="30623"/>
    <cellStyle name="常规 4 8 3 9" xfId="32378"/>
    <cellStyle name="常规 4 8 4" xfId="8704"/>
    <cellStyle name="常规 4 8 4 10" xfId="22643"/>
    <cellStyle name="常规 4 8 4 2" xfId="8707"/>
    <cellStyle name="常规 4 8 4 2 2" xfId="24413"/>
    <cellStyle name="常规 4 8 4 2 2 2" xfId="25256"/>
    <cellStyle name="常规 4 8 4 2 2 2 2" xfId="32379"/>
    <cellStyle name="常规 4 8 4 2 2 2 2 2" xfId="28778"/>
    <cellStyle name="常规 4 8 4 2 2 2 2 2 2" xfId="28781"/>
    <cellStyle name="常规 4 8 4 2 2 2 2 3" xfId="13067"/>
    <cellStyle name="常规 4 8 4 2 2 2 2 4" xfId="19100"/>
    <cellStyle name="常规 4 8 4 2 2 2 3" xfId="1767"/>
    <cellStyle name="常规 4 8 4 2 2 2 3 2" xfId="28786"/>
    <cellStyle name="常规 4 8 4 2 2 2 4" xfId="32380"/>
    <cellStyle name="常规 4 8 4 2 2 2 4 2" xfId="27077"/>
    <cellStyle name="常规 4 8 4 2 2 2 5" xfId="32381"/>
    <cellStyle name="常规 4 8 4 2 2 2 6" xfId="17257"/>
    <cellStyle name="常规 4 8 4 2 2 3" xfId="25258"/>
    <cellStyle name="常规 4 8 4 2 2 3 2" xfId="32382"/>
    <cellStyle name="常规 4 8 4 2 2 3 2 2" xfId="28804"/>
    <cellStyle name="常规 4 8 4 2 2 3 3" xfId="2794"/>
    <cellStyle name="常规 4 8 4 2 2 3 4" xfId="32383"/>
    <cellStyle name="常规 4 8 4 2 2 4" xfId="21258"/>
    <cellStyle name="常规 4 8 4 2 2 4 2" xfId="32384"/>
    <cellStyle name="常规 4 8 4 2 2 4 2 2" xfId="28814"/>
    <cellStyle name="常规 4 8 4 2 2 4 3" xfId="32385"/>
    <cellStyle name="常规 4 8 4 2 2 4 4" xfId="32386"/>
    <cellStyle name="常规 4 8 4 2 2 5" xfId="32387"/>
    <cellStyle name="常规 4 8 4 2 2 5 2" xfId="32388"/>
    <cellStyle name="常规 4 8 4 2 2 6" xfId="32389"/>
    <cellStyle name="常规 4 8 4 2 2 6 2" xfId="32390"/>
    <cellStyle name="常规 4 8 4 2 2 7" xfId="23843"/>
    <cellStyle name="常规 4 8 4 2 2 8" xfId="21856"/>
    <cellStyle name="常规 4 8 4 2 2 9" xfId="29338"/>
    <cellStyle name="常规 4 8 4 2 3" xfId="24415"/>
    <cellStyle name="常规 4 8 4 2 3 2" xfId="25271"/>
    <cellStyle name="常规 4 8 4 2 3 2 2" xfId="32391"/>
    <cellStyle name="常规 4 8 4 2 3 2 2 2" xfId="28867"/>
    <cellStyle name="常规 4 8 4 2 3 2 3" xfId="32392"/>
    <cellStyle name="常规 4 8 4 2 3 2 4" xfId="32393"/>
    <cellStyle name="常规 4 8 4 2 3 3" xfId="32394"/>
    <cellStyle name="常规 4 8 4 2 3 3 2" xfId="14002"/>
    <cellStyle name="常规 4 8 4 2 3 4" xfId="32396"/>
    <cellStyle name="常规 4 8 4 2 3 5" xfId="23309"/>
    <cellStyle name="常规 4 8 4 2 3 6" xfId="32398"/>
    <cellStyle name="常规 4 8 4 2 4" xfId="32399"/>
    <cellStyle name="常规 4 8 4 2 4 2" xfId="26660"/>
    <cellStyle name="常规 4 8 4 2 4 2 2" xfId="5003"/>
    <cellStyle name="常规 4 8 4 2 4 3" xfId="26662"/>
    <cellStyle name="常规 4 8 4 2 4 4" xfId="26665"/>
    <cellStyle name="常规 4 8 4 2 5" xfId="31585"/>
    <cellStyle name="常规 4 8 4 2 5 2" xfId="26684"/>
    <cellStyle name="常规 4 8 4 2 5 2 2" xfId="6913"/>
    <cellStyle name="常规 4 8 4 2 5 3" xfId="26686"/>
    <cellStyle name="常规 4 8 4 2 5 4" xfId="32400"/>
    <cellStyle name="常规 4 8 4 2 6" xfId="31678"/>
    <cellStyle name="常规 4 8 4 2 6 2" xfId="32401"/>
    <cellStyle name="常规 4 8 4 2 7" xfId="32402"/>
    <cellStyle name="常规 4 8 4 2 7 2" xfId="10189"/>
    <cellStyle name="常规 4 8 4 2 8" xfId="32403"/>
    <cellStyle name="常规 4 8 4 2 9" xfId="32405"/>
    <cellStyle name="常规 4 8 4 3" xfId="32407"/>
    <cellStyle name="常规 4 8 4 3 2" xfId="12211"/>
    <cellStyle name="常规 4 8 4 3 2 2" xfId="12215"/>
    <cellStyle name="常规 4 8 4 3 2 2 2" xfId="12220"/>
    <cellStyle name="常规 4 8 4 3 2 2 2 2" xfId="12223"/>
    <cellStyle name="常规 4 8 4 3 2 2 3" xfId="12225"/>
    <cellStyle name="常规 4 8 4 3 2 2 4" xfId="32408"/>
    <cellStyle name="常规 4 8 4 3 2 3" xfId="12228"/>
    <cellStyle name="常规 4 8 4 3 2 3 2" xfId="12231"/>
    <cellStyle name="常规 4 8 4 3 2 4" xfId="12235"/>
    <cellStyle name="常规 4 8 4 3 2 4 2" xfId="3903"/>
    <cellStyle name="常规 4 8 4 3 2 5" xfId="25345"/>
    <cellStyle name="常规 4 8 4 3 2 6" xfId="32409"/>
    <cellStyle name="常规 4 8 4 3 3" xfId="12237"/>
    <cellStyle name="常规 4 8 4 3 3 2" xfId="12241"/>
    <cellStyle name="常规 4 8 4 3 3 2 2" xfId="12244"/>
    <cellStyle name="常规 4 8 4 3 3 3" xfId="12247"/>
    <cellStyle name="常规 4 8 4 3 3 4" xfId="25378"/>
    <cellStyle name="常规 4 8 4 3 4" xfId="12250"/>
    <cellStyle name="常规 4 8 4 3 4 2" xfId="12253"/>
    <cellStyle name="常规 4 8 4 3 4 2 2" xfId="12256"/>
    <cellStyle name="常规 4 8 4 3 4 3" xfId="12258"/>
    <cellStyle name="常规 4 8 4 3 4 4" xfId="32410"/>
    <cellStyle name="常规 4 8 4 3 5" xfId="12261"/>
    <cellStyle name="常规 4 8 4 3 5 2" xfId="9140"/>
    <cellStyle name="常规 4 8 4 3 6" xfId="12263"/>
    <cellStyle name="常规 4 8 4 3 6 2" xfId="12265"/>
    <cellStyle name="常规 4 8 4 3 7" xfId="32411"/>
    <cellStyle name="常规 4 8 4 3 8" xfId="32412"/>
    <cellStyle name="常规 4 8 4 3 9" xfId="32414"/>
    <cellStyle name="常规 4 8 4 4" xfId="32416"/>
    <cellStyle name="常规 4 8 4 4 2" xfId="12327"/>
    <cellStyle name="常规 4 8 4 4 2 2" xfId="12329"/>
    <cellStyle name="常规 4 8 4 4 2 2 2" xfId="12333"/>
    <cellStyle name="常规 4 8 4 4 2 3" xfId="12335"/>
    <cellStyle name="常规 4 8 4 4 2 4" xfId="32417"/>
    <cellStyle name="常规 4 8 4 4 3" xfId="12337"/>
    <cellStyle name="常规 4 8 4 4 3 2" xfId="12340"/>
    <cellStyle name="常规 4 8 4 4 4" xfId="12342"/>
    <cellStyle name="常规 4 8 4 4 5" xfId="12345"/>
    <cellStyle name="常规 4 8 4 4 6" xfId="32418"/>
    <cellStyle name="常规 4 8 4 5" xfId="32419"/>
    <cellStyle name="常规 4 8 4 5 2" xfId="12448"/>
    <cellStyle name="常规 4 8 4 5 2 2" xfId="12450"/>
    <cellStyle name="常规 4 8 4 5 3" xfId="12454"/>
    <cellStyle name="常规 4 8 4 5 4" xfId="12459"/>
    <cellStyle name="常规 4 8 4 6" xfId="30626"/>
    <cellStyle name="常规 4 8 4 6 2" xfId="12477"/>
    <cellStyle name="常规 4 8 4 6 2 2" xfId="12479"/>
    <cellStyle name="常规 4 8 4 6 3" xfId="12481"/>
    <cellStyle name="常规 4 8 4 6 4" xfId="12483"/>
    <cellStyle name="常规 4 8 4 7" xfId="32420"/>
    <cellStyle name="常规 4 8 4 7 2" xfId="2796"/>
    <cellStyle name="常规 4 8 4 8" xfId="32421"/>
    <cellStyle name="常规 4 8 4 8 2" xfId="32422"/>
    <cellStyle name="常规 4 8 4 9" xfId="32423"/>
    <cellStyle name="常规 4 8 5" xfId="8710"/>
    <cellStyle name="常规 4 8 5 2" xfId="32424"/>
    <cellStyle name="常规 4 8 5 2 2" xfId="16597"/>
    <cellStyle name="常规 4 8 5 2 2 2" xfId="25470"/>
    <cellStyle name="常规 4 8 5 2 2 2 2" xfId="32425"/>
    <cellStyle name="常规 4 8 5 2 2 3" xfId="25472"/>
    <cellStyle name="常规 4 8 5 2 2 4" xfId="25474"/>
    <cellStyle name="常规 4 8 5 2 3" xfId="21396"/>
    <cellStyle name="常规 4 8 5 2 3 2" xfId="11"/>
    <cellStyle name="常规 4 8 5 2 4" xfId="32426"/>
    <cellStyle name="常规 4 8 5 2 5" xfId="31587"/>
    <cellStyle name="常规 4 8 5 3" xfId="32427"/>
    <cellStyle name="常规 4 8 5 3 2" xfId="12537"/>
    <cellStyle name="常规 4 8 5 3 2 2" xfId="12539"/>
    <cellStyle name="常规 4 8 5 3 3" xfId="12543"/>
    <cellStyle name="常规 4 8 5 3 4" xfId="12546"/>
    <cellStyle name="常规 4 8 5 4" xfId="32428"/>
    <cellStyle name="常规 4 8 5 4 2" xfId="12659"/>
    <cellStyle name="常规 4 8 5 4 2 2" xfId="12016"/>
    <cellStyle name="常规 4 8 5 4 3" xfId="12664"/>
    <cellStyle name="常规 4 8 5 4 4" xfId="12670"/>
    <cellStyle name="常规 4 8 5 5" xfId="24822"/>
    <cellStyle name="常规 4 8 5 5 2" xfId="12694"/>
    <cellStyle name="常规 4 8 5 6" xfId="28189"/>
    <cellStyle name="常规 4 8 5 7" xfId="28191"/>
    <cellStyle name="常规 4 8 5 8" xfId="32429"/>
    <cellStyle name="常规 4 8 6" xfId="32430"/>
    <cellStyle name="常规 4 8 6 2" xfId="426"/>
    <cellStyle name="常规 4 8 6 2 2" xfId="32432"/>
    <cellStyle name="常规 4 8 6 2 2 2" xfId="32433"/>
    <cellStyle name="常规 4 8 6 2 3" xfId="32434"/>
    <cellStyle name="常规 4 8 6 2 4" xfId="32435"/>
    <cellStyle name="常规 4 8 6 3" xfId="32436"/>
    <cellStyle name="常规 4 8 6 3 2" xfId="12795"/>
    <cellStyle name="常规 4 8 6 4" xfId="32437"/>
    <cellStyle name="常规 4 8 6 5" xfId="481"/>
    <cellStyle name="常规 4 8 6 6" xfId="32438"/>
    <cellStyle name="常规 4 8 7" xfId="32439"/>
    <cellStyle name="常规 4 8 7 2" xfId="32440"/>
    <cellStyle name="常规 4 8 7 2 2" xfId="15001"/>
    <cellStyle name="常规 4 8 7 3" xfId="26669"/>
    <cellStyle name="常规 4 8 7 4" xfId="26671"/>
    <cellStyle name="常规 4 8 8" xfId="32441"/>
    <cellStyle name="常规 4 8 8 2" xfId="32442"/>
    <cellStyle name="常规 4 8 8 2 2" xfId="32443"/>
    <cellStyle name="常规 4 8 8 3" xfId="25293"/>
    <cellStyle name="常规 4 8 8 4" xfId="26676"/>
    <cellStyle name="常规 4 8 9" xfId="32444"/>
    <cellStyle name="常规 4 8 9 2" xfId="32445"/>
    <cellStyle name="常规 4 9" xfId="32447"/>
    <cellStyle name="常规 4 9 10" xfId="32448"/>
    <cellStyle name="常规 4 9 10 2" xfId="29924"/>
    <cellStyle name="常规 4 9 11" xfId="32450"/>
    <cellStyle name="常规 4 9 12" xfId="32452"/>
    <cellStyle name="常规 4 9 2" xfId="26295"/>
    <cellStyle name="常规 4 9 2 10" xfId="32453"/>
    <cellStyle name="常规 4 9 2 11" xfId="32454"/>
    <cellStyle name="常规 4 9 2 2" xfId="32455"/>
    <cellStyle name="常规 4 9 2 2 2" xfId="31052"/>
    <cellStyle name="常规 4 9 2 2 2 2" xfId="16378"/>
    <cellStyle name="常规 4 9 2 2 2 2 2" xfId="32456"/>
    <cellStyle name="常规 4 9 2 2 2 2 2 2" xfId="14452"/>
    <cellStyle name="常规 4 9 2 2 2 2 2 2 2" xfId="20040"/>
    <cellStyle name="常规 4 9 2 2 2 2 2 3" xfId="14456"/>
    <cellStyle name="常规 4 9 2 2 2 2 2 4" xfId="21100"/>
    <cellStyle name="常规 4 9 2 2 2 2 3" xfId="32457"/>
    <cellStyle name="常规 4 9 2 2 2 2 3 2" xfId="14466"/>
    <cellStyle name="常规 4 9 2 2 2 2 4" xfId="24309"/>
    <cellStyle name="常规 4 9 2 2 2 2 4 2" xfId="24313"/>
    <cellStyle name="常规 4 9 2 2 2 2 5" xfId="24320"/>
    <cellStyle name="常规 4 9 2 2 2 2 6" xfId="24324"/>
    <cellStyle name="常规 4 9 2 2 2 3" xfId="16380"/>
    <cellStyle name="常规 4 9 2 2 2 3 2" xfId="32458"/>
    <cellStyle name="常规 4 9 2 2 2 3 2 2" xfId="28067"/>
    <cellStyle name="常规 4 9 2 2 2 3 3" xfId="32459"/>
    <cellStyle name="常规 4 9 2 2 2 3 4" xfId="24326"/>
    <cellStyle name="常规 4 9 2 2 2 4" xfId="32460"/>
    <cellStyle name="常规 4 9 2 2 2 4 2" xfId="32461"/>
    <cellStyle name="常规 4 9 2 2 2 4 2 2" xfId="28328"/>
    <cellStyle name="常规 4 9 2 2 2 4 3" xfId="32462"/>
    <cellStyle name="常规 4 9 2 2 2 4 4" xfId="24335"/>
    <cellStyle name="常规 4 9 2 2 2 5" xfId="32463"/>
    <cellStyle name="常规 4 9 2 2 2 5 2" xfId="7379"/>
    <cellStyle name="常规 4 9 2 2 2 6" xfId="7928"/>
    <cellStyle name="常规 4 9 2 2 2 6 2" xfId="7931"/>
    <cellStyle name="常规 4 9 2 2 2 7" xfId="8336"/>
    <cellStyle name="常规 4 9 2 2 2 8" xfId="8453"/>
    <cellStyle name="常规 4 9 2 2 2 9" xfId="8637"/>
    <cellStyle name="常规 4 9 2 2 3" xfId="31054"/>
    <cellStyle name="常规 4 9 2 2 3 2" xfId="16390"/>
    <cellStyle name="常规 4 9 2 2 3 2 2" xfId="32464"/>
    <cellStyle name="常规 4 9 2 2 3 2 2 2" xfId="28939"/>
    <cellStyle name="常规 4 9 2 2 3 2 3" xfId="18723"/>
    <cellStyle name="常规 4 9 2 2 3 2 4" xfId="24343"/>
    <cellStyle name="常规 4 9 2 2 3 3" xfId="15635"/>
    <cellStyle name="常规 4 9 2 2 3 3 2" xfId="32465"/>
    <cellStyle name="常规 4 9 2 2 3 4" xfId="22457"/>
    <cellStyle name="常规 4 9 2 2 3 5" xfId="32466"/>
    <cellStyle name="常规 4 9 2 2 3 6" xfId="8732"/>
    <cellStyle name="常规 4 9 2 2 4" xfId="29151"/>
    <cellStyle name="常规 4 9 2 2 4 2" xfId="32467"/>
    <cellStyle name="常规 4 9 2 2 4 2 2" xfId="32469"/>
    <cellStyle name="常规 4 9 2 2 4 3" xfId="4082"/>
    <cellStyle name="常规 4 9 2 2 4 4" xfId="32470"/>
    <cellStyle name="常规 4 9 2 2 5" xfId="31597"/>
    <cellStyle name="常规 4 9 2 2 5 2" xfId="32471"/>
    <cellStyle name="常规 4 9 2 2 5 2 2" xfId="32472"/>
    <cellStyle name="常规 4 9 2 2 5 3" xfId="32473"/>
    <cellStyle name="常规 4 9 2 2 5 4" xfId="32474"/>
    <cellStyle name="常规 4 9 2 2 6" xfId="32475"/>
    <cellStyle name="常规 4 9 2 2 6 2" xfId="21032"/>
    <cellStyle name="常规 4 9 2 2 7" xfId="6816"/>
    <cellStyle name="常规 4 9 2 2 7 2" xfId="6822"/>
    <cellStyle name="常规 4 9 2 2 8" xfId="6827"/>
    <cellStyle name="常规 4 9 2 2 9" xfId="32476"/>
    <cellStyle name="常规 4 9 2 3" xfId="32477"/>
    <cellStyle name="常规 4 9 2 3 10" xfId="32042"/>
    <cellStyle name="常规 4 9 2 3 2" xfId="32478"/>
    <cellStyle name="常规 4 9 2 3 2 2" xfId="16427"/>
    <cellStyle name="常规 4 9 2 3 2 2 2" xfId="32479"/>
    <cellStyle name="常规 4 9 2 3 2 2 2 2" xfId="2493"/>
    <cellStyle name="常规 4 9 2 3 2 2 2 2 2" xfId="2498"/>
    <cellStyle name="常规 4 9 2 3 2 2 2 2 2 2" xfId="2926"/>
    <cellStyle name="常规 4 9 2 3 2 2 2 2 3" xfId="975"/>
    <cellStyle name="常规 4 9 2 3 2 2 2 2 4" xfId="21435"/>
    <cellStyle name="常规 4 9 2 3 2 2 2 3" xfId="2503"/>
    <cellStyle name="常规 4 9 2 3 2 2 2 3 2" xfId="6184"/>
    <cellStyle name="常规 4 9 2 3 2 2 2 4" xfId="6198"/>
    <cellStyle name="常规 4 9 2 3 2 2 2 4 2" xfId="6201"/>
    <cellStyle name="常规 4 9 2 3 2 2 2 5" xfId="6205"/>
    <cellStyle name="常规 4 9 2 3 2 2 2 6" xfId="26957"/>
    <cellStyle name="常规 4 9 2 3 2 2 3" xfId="32063"/>
    <cellStyle name="常规 4 9 2 3 2 2 3 2" xfId="2511"/>
    <cellStyle name="常规 4 9 2 3 2 2 3 2 2" xfId="2519"/>
    <cellStyle name="常规 4 9 2 3 2 2 3 3" xfId="2526"/>
    <cellStyle name="常规 4 9 2 3 2 2 3 4" xfId="26965"/>
    <cellStyle name="常规 4 9 2 3 2 2 4" xfId="24434"/>
    <cellStyle name="常规 4 9 2 3 2 2 4 2" xfId="2537"/>
    <cellStyle name="常规 4 9 2 3 2 2 4 2 2" xfId="5102"/>
    <cellStyle name="常规 4 9 2 3 2 2 4 3" xfId="5208"/>
    <cellStyle name="常规 4 9 2 3 2 2 4 4" xfId="5225"/>
    <cellStyle name="常规 4 9 2 3 2 2 5" xfId="2542"/>
    <cellStyle name="常规 4 9 2 3 2 2 5 2" xfId="446"/>
    <cellStyle name="常规 4 9 2 3 2 2 6" xfId="24436"/>
    <cellStyle name="常规 4 9 2 3 2 2 6 2" xfId="28740"/>
    <cellStyle name="常规 4 9 2 3 2 2 7" xfId="32480"/>
    <cellStyle name="常规 4 9 2 3 2 2 8" xfId="8591"/>
    <cellStyle name="常规 4 9 2 3 2 2 9" xfId="23065"/>
    <cellStyle name="常规 4 9 2 3 2 3" xfId="16430"/>
    <cellStyle name="常规 4 9 2 3 2 3 2" xfId="32481"/>
    <cellStyle name="常规 4 9 2 3 2 3 2 2" xfId="32482"/>
    <cellStyle name="常规 4 9 2 3 2 3 2 2 2" xfId="21786"/>
    <cellStyle name="常规 4 9 2 3 2 3 2 3" xfId="26979"/>
    <cellStyle name="常规 4 9 2 3 2 3 2 4" xfId="26993"/>
    <cellStyle name="常规 4 9 2 3 2 3 3" xfId="32066"/>
    <cellStyle name="常规 4 9 2 3 2 3 3 2" xfId="32485"/>
    <cellStyle name="常规 4 9 2 3 2 3 4" xfId="24441"/>
    <cellStyle name="常规 4 9 2 3 2 3 5" xfId="4441"/>
    <cellStyle name="常规 4 9 2 3 2 3 6" xfId="26519"/>
    <cellStyle name="常规 4 9 2 3 2 4" xfId="32488"/>
    <cellStyle name="常规 4 9 2 3 2 4 2" xfId="32489"/>
    <cellStyle name="常规 4 9 2 3 2 4 2 2" xfId="28426"/>
    <cellStyle name="常规 4 9 2 3 2 4 3" xfId="32490"/>
    <cellStyle name="常规 4 9 2 3 2 4 4" xfId="26521"/>
    <cellStyle name="常规 4 9 2 3 2 5" xfId="32491"/>
    <cellStyle name="常规 4 9 2 3 2 5 2" xfId="32492"/>
    <cellStyle name="常规 4 9 2 3 2 5 2 2" xfId="28443"/>
    <cellStyle name="常规 4 9 2 3 2 5 3" xfId="32493"/>
    <cellStyle name="常规 4 9 2 3 2 5 4" xfId="32494"/>
    <cellStyle name="常规 4 9 2 3 2 6" xfId="12719"/>
    <cellStyle name="常规 4 9 2 3 2 6 2" xfId="12721"/>
    <cellStyle name="常规 4 9 2 3 2 7" xfId="12806"/>
    <cellStyle name="常规 4 9 2 3 2 7 2" xfId="12808"/>
    <cellStyle name="常规 4 9 2 3 2 8" xfId="12827"/>
    <cellStyle name="常规 4 9 2 3 2 9" xfId="12833"/>
    <cellStyle name="常规 4 9 2 3 3" xfId="27882"/>
    <cellStyle name="常规 4 9 2 3 3 2" xfId="27884"/>
    <cellStyle name="常规 4 9 2 3 3 2 2" xfId="27886"/>
    <cellStyle name="常规 4 9 2 3 3 2 2 2" xfId="5141"/>
    <cellStyle name="常规 4 9 2 3 3 2 2 2 2" xfId="4713"/>
    <cellStyle name="常规 4 9 2 3 3 2 2 3" xfId="6579"/>
    <cellStyle name="常规 4 9 2 3 3 2 2 4" xfId="6590"/>
    <cellStyle name="常规 4 9 2 3 3 2 3" xfId="27889"/>
    <cellStyle name="常规 4 9 2 3 3 2 3 2" xfId="6622"/>
    <cellStyle name="常规 4 9 2 3 3 2 4" xfId="24453"/>
    <cellStyle name="常规 4 9 2 3 3 2 4 2" xfId="6734"/>
    <cellStyle name="常规 4 9 2 3 3 2 5" xfId="27891"/>
    <cellStyle name="常规 4 9 2 3 3 2 6" xfId="32495"/>
    <cellStyle name="常规 4 9 2 3 3 3" xfId="27893"/>
    <cellStyle name="常规 4 9 2 3 3 3 2" xfId="27895"/>
    <cellStyle name="常规 4 9 2 3 3 3 2 2" xfId="27897"/>
    <cellStyle name="常规 4 9 2 3 3 3 3" xfId="27899"/>
    <cellStyle name="常规 4 9 2 3 3 3 4" xfId="26525"/>
    <cellStyle name="常规 4 9 2 3 3 4" xfId="22461"/>
    <cellStyle name="常规 4 9 2 3 3 4 2" xfId="27901"/>
    <cellStyle name="常规 4 9 2 3 3 4 2 2" xfId="27906"/>
    <cellStyle name="常规 4 9 2 3 3 4 3" xfId="27908"/>
    <cellStyle name="常规 4 9 2 3 3 4 4" xfId="14985"/>
    <cellStyle name="常规 4 9 2 3 3 5" xfId="27910"/>
    <cellStyle name="常规 4 9 2 3 3 5 2" xfId="27912"/>
    <cellStyle name="常规 4 9 2 3 3 6" xfId="12857"/>
    <cellStyle name="常规 4 9 2 3 3 6 2" xfId="12859"/>
    <cellStyle name="常规 4 9 2 3 3 7" xfId="12899"/>
    <cellStyle name="常规 4 9 2 3 3 8" xfId="12910"/>
    <cellStyle name="常规 4 9 2 3 3 9" xfId="12920"/>
    <cellStyle name="常规 4 9 2 3 4" xfId="9724"/>
    <cellStyle name="常规 4 9 2 3 4 2" xfId="9727"/>
    <cellStyle name="常规 4 9 2 3 4 2 2" xfId="9731"/>
    <cellStyle name="常规 4 9 2 3 4 2 2 2" xfId="6989"/>
    <cellStyle name="常规 4 9 2 3 4 2 3" xfId="9737"/>
    <cellStyle name="常规 4 9 2 3 4 2 4" xfId="9742"/>
    <cellStyle name="常规 4 9 2 3 4 3" xfId="4090"/>
    <cellStyle name="常规 4 9 2 3 4 3 2" xfId="9747"/>
    <cellStyle name="常规 4 9 2 3 4 4" xfId="9753"/>
    <cellStyle name="常规 4 9 2 3 4 5" xfId="3628"/>
    <cellStyle name="常规 4 9 2 3 4 6" xfId="9764"/>
    <cellStyle name="常规 4 9 2 3 5" xfId="9767"/>
    <cellStyle name="常规 4 9 2 3 5 2" xfId="9770"/>
    <cellStyle name="常规 4 9 2 3 5 2 2" xfId="9773"/>
    <cellStyle name="常规 4 9 2 3 5 3" xfId="9784"/>
    <cellStyle name="常规 4 9 2 3 5 4" xfId="9801"/>
    <cellStyle name="常规 4 9 2 3 6" xfId="3750"/>
    <cellStyle name="常规 4 9 2 3 6 2" xfId="9826"/>
    <cellStyle name="常规 4 9 2 3 6 2 2" xfId="9829"/>
    <cellStyle name="常规 4 9 2 3 6 3" xfId="9838"/>
    <cellStyle name="常规 4 9 2 3 6 4" xfId="9846"/>
    <cellStyle name="常规 4 9 2 3 7" xfId="6836"/>
    <cellStyle name="常规 4 9 2 3 7 2" xfId="9850"/>
    <cellStyle name="常规 4 9 2 3 8" xfId="9857"/>
    <cellStyle name="常规 4 9 2 3 8 2" xfId="9860"/>
    <cellStyle name="常规 4 9 2 3 9" xfId="9866"/>
    <cellStyle name="常规 4 9 2 4" xfId="32496"/>
    <cellStyle name="常规 4 9 2 4 2" xfId="30793"/>
    <cellStyle name="常规 4 9 2 4 2 2" xfId="32497"/>
    <cellStyle name="常规 4 9 2 4 2 2 2" xfId="32015"/>
    <cellStyle name="常规 4 9 2 4 2 2 2 2" xfId="32498"/>
    <cellStyle name="常规 4 9 2 4 2 2 3" xfId="32087"/>
    <cellStyle name="常规 4 9 2 4 2 2 4" xfId="24484"/>
    <cellStyle name="常规 4 9 2 4 2 3" xfId="32499"/>
    <cellStyle name="常规 4 9 2 4 2 3 2" xfId="32500"/>
    <cellStyle name="常规 4 9 2 4 2 4" xfId="32501"/>
    <cellStyle name="常规 4 9 2 4 2 4 2" xfId="32502"/>
    <cellStyle name="常规 4 9 2 4 2 5" xfId="26647"/>
    <cellStyle name="常规 4 9 2 4 2 6" xfId="32503"/>
    <cellStyle name="常规 4 9 2 4 3" xfId="27915"/>
    <cellStyle name="常规 4 9 2 4 3 2" xfId="14553"/>
    <cellStyle name="常规 4 9 2 4 3 2 2" xfId="27918"/>
    <cellStyle name="常规 4 9 2 4 3 3" xfId="27928"/>
    <cellStyle name="常规 4 9 2 4 3 4" xfId="27932"/>
    <cellStyle name="常规 4 9 2 4 4" xfId="27935"/>
    <cellStyle name="常规 4 9 2 4 4 2" xfId="27937"/>
    <cellStyle name="常规 4 9 2 4 4 2 2" xfId="27939"/>
    <cellStyle name="常规 4 9 2 4 4 3" xfId="27942"/>
    <cellStyle name="常规 4 9 2 4 4 4" xfId="27944"/>
    <cellStyle name="常规 4 9 2 4 5" xfId="27946"/>
    <cellStyle name="常规 4 9 2 4 5 2" xfId="27948"/>
    <cellStyle name="常规 4 9 2 4 6" xfId="27953"/>
    <cellStyle name="常规 4 9 2 4 6 2" xfId="21155"/>
    <cellStyle name="常规 4 9 2 4 7" xfId="6845"/>
    <cellStyle name="常规 4 9 2 4 8" xfId="27955"/>
    <cellStyle name="常规 4 9 2 4 9" xfId="27957"/>
    <cellStyle name="常规 4 9 2 5" xfId="32504"/>
    <cellStyle name="常规 4 9 2 5 2" xfId="524"/>
    <cellStyle name="常规 4 9 2 5 2 2" xfId="32505"/>
    <cellStyle name="常规 4 9 2 5 2 2 2" xfId="32056"/>
    <cellStyle name="常规 4 9 2 5 2 3" xfId="27219"/>
    <cellStyle name="常规 4 9 2 5 2 4" xfId="27221"/>
    <cellStyle name="常规 4 9 2 5 3" xfId="531"/>
    <cellStyle name="常规 4 9 2 5 3 2" xfId="27961"/>
    <cellStyle name="常规 4 9 2 5 4" xfId="27968"/>
    <cellStyle name="常规 4 9 2 5 5" xfId="27971"/>
    <cellStyle name="常规 4 9 2 5 6" xfId="23073"/>
    <cellStyle name="常规 4 9 2 6" xfId="32506"/>
    <cellStyle name="常规 4 9 2 6 2" xfId="30797"/>
    <cellStyle name="常规 4 9 2 6 2 2" xfId="32511"/>
    <cellStyle name="常规 4 9 2 6 3" xfId="24542"/>
    <cellStyle name="常规 4 9 2 6 4" xfId="24559"/>
    <cellStyle name="常规 4 9 2 7" xfId="32512"/>
    <cellStyle name="常规 4 9 2 7 2" xfId="32513"/>
    <cellStyle name="常规 4 9 2 7 2 2" xfId="32514"/>
    <cellStyle name="常规 4 9 2 7 3" xfId="24582"/>
    <cellStyle name="常规 4 9 2 7 4" xfId="19405"/>
    <cellStyle name="常规 4 9 2 8" xfId="32515"/>
    <cellStyle name="常规 4 9 2 8 2" xfId="32516"/>
    <cellStyle name="常规 4 9 2 9" xfId="32517"/>
    <cellStyle name="常规 4 9 2 9 2" xfId="32518"/>
    <cellStyle name="常规 4 9 3" xfId="32519"/>
    <cellStyle name="常规 4 9 3 2" xfId="32521"/>
    <cellStyle name="常规 4 9 3 2 2" xfId="32523"/>
    <cellStyle name="常规 4 9 3 2 2 2" xfId="16510"/>
    <cellStyle name="常规 4 9 3 2 2 2 2" xfId="32524"/>
    <cellStyle name="常规 4 9 3 2 2 2 2 2" xfId="32525"/>
    <cellStyle name="常规 4 9 3 2 2 2 3" xfId="32526"/>
    <cellStyle name="常规 4 9 3 2 2 2 4" xfId="24711"/>
    <cellStyle name="常规 4 9 3 2 2 3" xfId="16512"/>
    <cellStyle name="常规 4 9 3 2 2 3 2" xfId="32528"/>
    <cellStyle name="常规 4 9 3 2 2 4" xfId="32529"/>
    <cellStyle name="常规 4 9 3 2 2 4 2" xfId="19437"/>
    <cellStyle name="常规 4 9 3 2 2 5" xfId="32530"/>
    <cellStyle name="常规 4 9 3 2 2 6" xfId="32531"/>
    <cellStyle name="常规 4 9 3 2 3" xfId="32532"/>
    <cellStyle name="常规 4 9 3 2 3 2" xfId="21594"/>
    <cellStyle name="常规 4 9 3 2 3 2 2" xfId="32533"/>
    <cellStyle name="常规 4 9 3 2 3 3" xfId="6066"/>
    <cellStyle name="常规 4 9 3 2 3 4" xfId="800"/>
    <cellStyle name="常规 4 9 3 2 4" xfId="29157"/>
    <cellStyle name="常规 4 9 3 2 4 2" xfId="21598"/>
    <cellStyle name="常规 4 9 3 2 4 2 2" xfId="7153"/>
    <cellStyle name="常规 4 9 3 2 4 3" xfId="4139"/>
    <cellStyle name="常规 4 9 3 2 4 4" xfId="28"/>
    <cellStyle name="常规 4 9 3 2 5" xfId="31601"/>
    <cellStyle name="常规 4 9 3 2 5 2" xfId="21602"/>
    <cellStyle name="常规 4 9 3 2 6" xfId="31687"/>
    <cellStyle name="常规 4 9 3 2 6 2" xfId="21407"/>
    <cellStyle name="常规 4 9 3 2 7" xfId="7299"/>
    <cellStyle name="常规 4 9 3 2 8" xfId="32534"/>
    <cellStyle name="常规 4 9 3 2 9" xfId="32535"/>
    <cellStyle name="常规 4 9 3 3" xfId="32536"/>
    <cellStyle name="常规 4 9 3 3 2" xfId="32537"/>
    <cellStyle name="常规 4 9 3 3 2 2" xfId="32538"/>
    <cellStyle name="常规 4 9 3 3 2 2 2" xfId="29848"/>
    <cellStyle name="常规 4 9 3 3 2 3" xfId="32539"/>
    <cellStyle name="常规 4 9 3 3 2 4" xfId="32540"/>
    <cellStyle name="常规 4 9 3 3 3" xfId="27976"/>
    <cellStyle name="常规 4 9 3 3 3 2" xfId="21616"/>
    <cellStyle name="常规 4 9 3 3 4" xfId="27979"/>
    <cellStyle name="常规 4 9 3 3 5" xfId="27982"/>
    <cellStyle name="常规 4 9 3 3 6" xfId="27984"/>
    <cellStyle name="常规 4 9 3 4" xfId="32541"/>
    <cellStyle name="常规 4 9 3 4 2" xfId="30808"/>
    <cellStyle name="常规 4 9 3 4 2 2" xfId="32542"/>
    <cellStyle name="常规 4 9 3 4 3" xfId="27989"/>
    <cellStyle name="常规 4 9 3 4 4" xfId="27993"/>
    <cellStyle name="常规 4 9 3 5" xfId="32543"/>
    <cellStyle name="常规 4 9 3 5 2" xfId="30813"/>
    <cellStyle name="常规 4 9 3 5 2 2" xfId="32544"/>
    <cellStyle name="常规 4 9 3 5 3" xfId="27998"/>
    <cellStyle name="常规 4 9 3 5 4" xfId="28001"/>
    <cellStyle name="常规 4 9 3 6" xfId="30635"/>
    <cellStyle name="常规 4 9 3 6 2" xfId="32545"/>
    <cellStyle name="常规 4 9 3 7" xfId="32546"/>
    <cellStyle name="常规 4 9 3 7 2" xfId="32547"/>
    <cellStyle name="常规 4 9 3 8" xfId="8736"/>
    <cellStyle name="常规 4 9 3 9" xfId="8761"/>
    <cellStyle name="常规 4 9 4" xfId="8714"/>
    <cellStyle name="常规 4 9 4 10" xfId="7842"/>
    <cellStyle name="常规 4 9 4 2" xfId="8717"/>
    <cellStyle name="常规 4 9 4 2 2" xfId="32548"/>
    <cellStyle name="常规 4 9 4 2 2 2" xfId="16664"/>
    <cellStyle name="常规 4 9 4 2 2 2 2" xfId="32550"/>
    <cellStyle name="常规 4 9 4 2 2 2 2 2" xfId="32553"/>
    <cellStyle name="常规 4 9 4 2 2 2 2 2 2" xfId="32555"/>
    <cellStyle name="常规 4 9 4 2 2 2 2 3" xfId="25351"/>
    <cellStyle name="常规 4 9 4 2 2 2 2 4" xfId="25365"/>
    <cellStyle name="常规 4 9 4 2 2 2 3" xfId="9072"/>
    <cellStyle name="常规 4 9 4 2 2 2 3 2" xfId="9077"/>
    <cellStyle name="常规 4 9 4 2 2 2 4" xfId="9102"/>
    <cellStyle name="常规 4 9 4 2 2 2 4 2" xfId="9107"/>
    <cellStyle name="常规 4 9 4 2 2 2 5" xfId="9143"/>
    <cellStyle name="常规 4 9 4 2 2 2 6" xfId="9162"/>
    <cellStyle name="常规 4 9 4 2 2 3" xfId="25645"/>
    <cellStyle name="常规 4 9 4 2 2 3 2" xfId="32558"/>
    <cellStyle name="常规 4 9 4 2 2 3 2 2" xfId="32560"/>
    <cellStyle name="常规 4 9 4 2 2 3 3" xfId="9184"/>
    <cellStyle name="常规 4 9 4 2 2 3 4" xfId="9208"/>
    <cellStyle name="常规 4 9 4 2 2 4" xfId="25647"/>
    <cellStyle name="常规 4 9 4 2 2 4 2" xfId="32561"/>
    <cellStyle name="常规 4 9 4 2 2 4 2 2" xfId="32563"/>
    <cellStyle name="常规 4 9 4 2 2 4 3" xfId="8969"/>
    <cellStyle name="常规 4 9 4 2 2 4 4" xfId="8987"/>
    <cellStyle name="常规 4 9 4 2 2 5" xfId="32564"/>
    <cellStyle name="常规 4 9 4 2 2 5 2" xfId="32565"/>
    <cellStyle name="常规 4 9 4 2 2 6" xfId="32566"/>
    <cellStyle name="常规 4 9 4 2 2 6 2" xfId="32567"/>
    <cellStyle name="常规 4 9 4 2 2 7" xfId="23989"/>
    <cellStyle name="常规 4 9 4 2 2 8" xfId="32568"/>
    <cellStyle name="常规 4 9 4 2 2 9" xfId="32569"/>
    <cellStyle name="常规 4 9 4 2 3" xfId="32570"/>
    <cellStyle name="常规 4 9 4 2 3 2" xfId="25657"/>
    <cellStyle name="常规 4 9 4 2 3 2 2" xfId="32571"/>
    <cellStyle name="常规 4 9 4 2 3 2 2 2" xfId="18245"/>
    <cellStyle name="常规 4 9 4 2 3 2 3" xfId="32572"/>
    <cellStyle name="常规 4 9 4 2 3 2 4" xfId="25088"/>
    <cellStyle name="常规 4 9 4 2 3 3" xfId="32573"/>
    <cellStyle name="常规 4 9 4 2 3 3 2" xfId="32575"/>
    <cellStyle name="常规 4 9 4 2 3 4" xfId="32577"/>
    <cellStyle name="常规 4 9 4 2 3 5" xfId="32579"/>
    <cellStyle name="常规 4 9 4 2 3 6" xfId="32581"/>
    <cellStyle name="常规 4 9 4 2 4" xfId="32583"/>
    <cellStyle name="常规 4 9 4 2 4 2" xfId="32584"/>
    <cellStyle name="常规 4 9 4 2 4 2 2" xfId="32585"/>
    <cellStyle name="常规 4 9 4 2 4 3" xfId="32586"/>
    <cellStyle name="常规 4 9 4 2 4 4" xfId="32588"/>
    <cellStyle name="常规 4 9 4 2 5" xfId="32590"/>
    <cellStyle name="常规 4 9 4 2 5 2" xfId="32591"/>
    <cellStyle name="常规 4 9 4 2 5 2 2" xfId="32592"/>
    <cellStyle name="常规 4 9 4 2 5 3" xfId="32593"/>
    <cellStyle name="常规 4 9 4 2 5 4" xfId="32595"/>
    <cellStyle name="常规 4 9 4 2 6" xfId="32597"/>
    <cellStyle name="常规 4 9 4 2 6 2" xfId="21732"/>
    <cellStyle name="常规 4 9 4 2 7" xfId="5863"/>
    <cellStyle name="常规 4 9 4 2 7 2" xfId="21782"/>
    <cellStyle name="常规 4 9 4 2 8" xfId="32598"/>
    <cellStyle name="常规 4 9 4 2 9" xfId="32601"/>
    <cellStyle name="常规 4 9 4 3" xfId="32603"/>
    <cellStyle name="常规 4 9 4 3 2" xfId="32604"/>
    <cellStyle name="常规 4 9 4 3 2 2" xfId="16810"/>
    <cellStyle name="常规 4 9 4 3 2 2 2" xfId="25712"/>
    <cellStyle name="常规 4 9 4 3 2 2 2 2" xfId="16834"/>
    <cellStyle name="常规 4 9 4 3 2 2 3" xfId="9243"/>
    <cellStyle name="常规 4 9 4 3 2 2 4" xfId="9278"/>
    <cellStyle name="常规 4 9 4 3 2 3" xfId="16813"/>
    <cellStyle name="常规 4 9 4 3 2 3 2" xfId="25714"/>
    <cellStyle name="常规 4 9 4 3 2 4" xfId="25716"/>
    <cellStyle name="常规 4 9 4 3 2 4 2" xfId="32605"/>
    <cellStyle name="常规 4 9 4 3 2 5" xfId="3314"/>
    <cellStyle name="常规 4 9 4 3 2 6" xfId="3318"/>
    <cellStyle name="常规 4 9 4 3 3" xfId="28006"/>
    <cellStyle name="常规 4 9 4 3 3 2" xfId="16873"/>
    <cellStyle name="常规 4 9 4 3 3 2 2" xfId="10828"/>
    <cellStyle name="常规 4 9 4 3 3 3" xfId="25737"/>
    <cellStyle name="常规 4 9 4 3 3 4" xfId="25741"/>
    <cellStyle name="常规 4 9 4 3 4" xfId="28008"/>
    <cellStyle name="常规 4 9 4 3 4 2" xfId="25755"/>
    <cellStyle name="常规 4 9 4 3 4 2 2" xfId="10864"/>
    <cellStyle name="常规 4 9 4 3 4 3" xfId="32606"/>
    <cellStyle name="常规 4 9 4 3 4 4" xfId="32608"/>
    <cellStyle name="常规 4 9 4 3 5" xfId="5888"/>
    <cellStyle name="常规 4 9 4 3 5 2" xfId="5894"/>
    <cellStyle name="常规 4 9 4 3 6" xfId="5899"/>
    <cellStyle name="常规 4 9 4 3 6 2" xfId="4346"/>
    <cellStyle name="常规 4 9 4 3 7" xfId="32609"/>
    <cellStyle name="常规 4 9 4 3 8" xfId="32610"/>
    <cellStyle name="常规 4 9 4 3 9" xfId="32613"/>
    <cellStyle name="常规 4 9 4 4" xfId="32615"/>
    <cellStyle name="常规 4 9 4 4 2" xfId="32616"/>
    <cellStyle name="常规 4 9 4 4 2 2" xfId="32617"/>
    <cellStyle name="常规 4 9 4 4 2 2 2" xfId="22478"/>
    <cellStyle name="常规 4 9 4 4 2 3" xfId="32618"/>
    <cellStyle name="常规 4 9 4 4 2 4" xfId="32619"/>
    <cellStyle name="常规 4 9 4 4 3" xfId="28012"/>
    <cellStyle name="常规 4 9 4 4 3 2" xfId="32620"/>
    <cellStyle name="常规 4 9 4 4 4" xfId="32621"/>
    <cellStyle name="常规 4 9 4 4 5" xfId="5906"/>
    <cellStyle name="常规 4 9 4 4 6" xfId="32622"/>
    <cellStyle name="常规 4 9 4 5" xfId="32623"/>
    <cellStyle name="常规 4 9 4 5 2" xfId="32624"/>
    <cellStyle name="常规 4 9 4 5 2 2" xfId="32625"/>
    <cellStyle name="常规 4 9 4 5 3" xfId="32626"/>
    <cellStyle name="常规 4 9 4 5 4" xfId="32627"/>
    <cellStyle name="常规 4 9 4 6" xfId="32628"/>
    <cellStyle name="常规 4 9 4 6 2" xfId="32527"/>
    <cellStyle name="常规 4 9 4 6 2 2" xfId="32629"/>
    <cellStyle name="常规 4 9 4 6 3" xfId="24712"/>
    <cellStyle name="常规 4 9 4 6 4" xfId="24721"/>
    <cellStyle name="常规 4 9 4 7" xfId="32630"/>
    <cellStyle name="常规 4 9 4 7 2" xfId="32631"/>
    <cellStyle name="常规 4 9 4 8" xfId="8805"/>
    <cellStyle name="常规 4 9 4 8 2" xfId="8808"/>
    <cellStyle name="常规 4 9 4 9" xfId="8829"/>
    <cellStyle name="常规 4 9 5" xfId="8720"/>
    <cellStyle name="常规 4 9 5 2" xfId="30192"/>
    <cellStyle name="常规 4 9 5 2 2" xfId="32632"/>
    <cellStyle name="常规 4 9 5 2 2 2" xfId="16987"/>
    <cellStyle name="常规 4 9 5 2 2 2 2" xfId="32633"/>
    <cellStyle name="常规 4 9 5 2 2 3" xfId="25816"/>
    <cellStyle name="常规 4 9 5 2 2 4" xfId="25818"/>
    <cellStyle name="常规 4 9 5 2 3" xfId="32634"/>
    <cellStyle name="常规 4 9 5 2 3 2" xfId="25825"/>
    <cellStyle name="常规 4 9 5 2 4" xfId="32635"/>
    <cellStyle name="常规 4 9 5 2 5" xfId="4048"/>
    <cellStyle name="常规 4 9 5 3" xfId="32636"/>
    <cellStyle name="常规 4 9 5 3 2" xfId="32637"/>
    <cellStyle name="常规 4 9 5 3 2 2" xfId="32638"/>
    <cellStyle name="常规 4 9 5 3 3" xfId="28017"/>
    <cellStyle name="常规 4 9 5 3 4" xfId="32639"/>
    <cellStyle name="常规 4 9 5 4" xfId="32640"/>
    <cellStyle name="常规 4 9 5 4 2" xfId="21587"/>
    <cellStyle name="常规 4 9 5 4 2 2" xfId="12515"/>
    <cellStyle name="常规 4 9 5 4 3" xfId="21590"/>
    <cellStyle name="常规 4 9 5 4 4" xfId="32641"/>
    <cellStyle name="常规 4 9 5 5" xfId="32642"/>
    <cellStyle name="常规 4 9 5 5 2" xfId="32643"/>
    <cellStyle name="常规 4 9 5 6" xfId="18763"/>
    <cellStyle name="常规 4 9 5 7" xfId="32644"/>
    <cellStyle name="常规 4 9 5 8" xfId="8847"/>
    <cellStyle name="常规 4 9 6" xfId="32645"/>
    <cellStyle name="常规 4 9 6 2" xfId="32646"/>
    <cellStyle name="常规 4 9 6 2 2" xfId="16901"/>
    <cellStyle name="常规 4 9 6 2 2 2" xfId="16903"/>
    <cellStyle name="常规 4 9 6 2 3" xfId="16942"/>
    <cellStyle name="常规 4 9 6 2 4" xfId="16956"/>
    <cellStyle name="常规 4 9 6 3" xfId="32647"/>
    <cellStyle name="常规 4 9 6 3 2" xfId="17035"/>
    <cellStyle name="常规 4 9 6 4" xfId="32648"/>
    <cellStyle name="常规 4 9 6 5" xfId="32649"/>
    <cellStyle name="常规 4 9 6 6" xfId="32650"/>
    <cellStyle name="常规 4 9 7" xfId="32651"/>
    <cellStyle name="常规 4 9 7 2" xfId="32652"/>
    <cellStyle name="常规 4 9 7 2 2" xfId="32653"/>
    <cellStyle name="常规 4 9 7 3" xfId="26692"/>
    <cellStyle name="常规 4 9 7 4" xfId="26695"/>
    <cellStyle name="常规 4 9 8" xfId="32654"/>
    <cellStyle name="常规 4 9 8 2" xfId="19145"/>
    <cellStyle name="常规 4 9 8 2 2" xfId="19147"/>
    <cellStyle name="常规 4 9 8 3" xfId="19150"/>
    <cellStyle name="常规 4 9 8 4" xfId="19152"/>
    <cellStyle name="常规 4 9 9" xfId="32655"/>
    <cellStyle name="常规 4 9 9 2" xfId="19156"/>
    <cellStyle name="常规 4_广武预算20160405(2003格式)" xfId="32656"/>
    <cellStyle name="常规 44 2" xfId="23828"/>
    <cellStyle name="常规 44 2 2" xfId="32657"/>
    <cellStyle name="常规 44 2 2 2" xfId="32659"/>
    <cellStyle name="常规 44 2 2 2 2" xfId="32660"/>
    <cellStyle name="常规 44 2 2 2 2 2" xfId="32661"/>
    <cellStyle name="常规 44 2 2 2 3" xfId="32662"/>
    <cellStyle name="常规 44 2 2 2 3 2" xfId="32663"/>
    <cellStyle name="常规 44 2 2 2 3 2 2" xfId="32664"/>
    <cellStyle name="常规 44 2 2 2 3 3" xfId="32665"/>
    <cellStyle name="常规 44 2 2 2 4" xfId="13195"/>
    <cellStyle name="常规 44 2 2 3" xfId="32667"/>
    <cellStyle name="常规 44 2 2 3 2" xfId="32668"/>
    <cellStyle name="常规 44 2 2 3 3" xfId="32669"/>
    <cellStyle name="常规 44 2 2 4" xfId="32670"/>
    <cellStyle name="常规 44 2 2 4 2" xfId="32671"/>
    <cellStyle name="常规 44 2 2 4 2 2" xfId="6609"/>
    <cellStyle name="常规 44 2 2 4 3" xfId="811"/>
    <cellStyle name="常规 44 2 2 5" xfId="32672"/>
    <cellStyle name="常规 44 2 2 6" xfId="22926"/>
    <cellStyle name="常规 44 2 2 7" xfId="32673"/>
    <cellStyle name="常规 44 2 3" xfId="32674"/>
    <cellStyle name="常规 44 2 3 2" xfId="32675"/>
    <cellStyle name="常规 44 2 3 2 2" xfId="32676"/>
    <cellStyle name="常规 44 2 3 3" xfId="32677"/>
    <cellStyle name="常规 44 2 3 3 2" xfId="32678"/>
    <cellStyle name="常规 44 2 3 3 2 2" xfId="32679"/>
    <cellStyle name="常规 44 2 3 3 3" xfId="32680"/>
    <cellStyle name="常规 44 2 3 4" xfId="32681"/>
    <cellStyle name="常规 44 2 4" xfId="32682"/>
    <cellStyle name="常规 44 2 4 2" xfId="32683"/>
    <cellStyle name="常规 44 2 4 3" xfId="32684"/>
    <cellStyle name="常规 44 2 5" xfId="32685"/>
    <cellStyle name="常规 44 2 5 2" xfId="28998"/>
    <cellStyle name="常规 44 2 5 2 2" xfId="32686"/>
    <cellStyle name="常规 44 2 5 3" xfId="29000"/>
    <cellStyle name="常规 44 2 6" xfId="13560"/>
    <cellStyle name="常规 44 2 7" xfId="13563"/>
    <cellStyle name="常规 44 2 8" xfId="13568"/>
    <cellStyle name="常规 44 3" xfId="23830"/>
    <cellStyle name="常规 44 3 2" xfId="32687"/>
    <cellStyle name="常规 44 3 2 2" xfId="32688"/>
    <cellStyle name="常规 44 3 2 2 2" xfId="32689"/>
    <cellStyle name="常规 44 3 2 3" xfId="32690"/>
    <cellStyle name="常规 44 3 2 3 2" xfId="25329"/>
    <cellStyle name="常规 44 3 2 3 2 2" xfId="6904"/>
    <cellStyle name="常规 44 3 2 3 3" xfId="25331"/>
    <cellStyle name="常规 44 3 2 4" xfId="32691"/>
    <cellStyle name="常规 44 3 3" xfId="32692"/>
    <cellStyle name="常规 44 3 3 2" xfId="32693"/>
    <cellStyle name="常规 44 3 3 3" xfId="32694"/>
    <cellStyle name="常规 44 3 4" xfId="32695"/>
    <cellStyle name="常规 44 3 4 2" xfId="32696"/>
    <cellStyle name="常规 44 3 4 2 2" xfId="32697"/>
    <cellStyle name="常规 44 3 4 3" xfId="32698"/>
    <cellStyle name="常规 44 3 5" xfId="32699"/>
    <cellStyle name="常规 44 3 6" xfId="13576"/>
    <cellStyle name="常规 44 3 7" xfId="13578"/>
    <cellStyle name="常规 45" xfId="32700"/>
    <cellStyle name="常规 45 2" xfId="23837"/>
    <cellStyle name="常规 45 2 2" xfId="29199"/>
    <cellStyle name="常规 45 2 2 2" xfId="28213"/>
    <cellStyle name="常规 45 2 2 2 2" xfId="28215"/>
    <cellStyle name="常规 45 2 2 2 2 2" xfId="28217"/>
    <cellStyle name="常规 45 2 2 2 2 2 2" xfId="28221"/>
    <cellStyle name="常规 45 2 2 2 2 3" xfId="28224"/>
    <cellStyle name="常规 45 2 2 2 2 4" xfId="28226"/>
    <cellStyle name="常规 45 2 2 2 3" xfId="28228"/>
    <cellStyle name="常规 45 2 2 2 3 2" xfId="28230"/>
    <cellStyle name="常规 45 2 2 2 4" xfId="13705"/>
    <cellStyle name="常规 45 2 2 2 5" xfId="5994"/>
    <cellStyle name="常规 45 2 2 3" xfId="28232"/>
    <cellStyle name="常规 45 2 2 3 2" xfId="28234"/>
    <cellStyle name="常规 45 2 2 3 2 2" xfId="13131"/>
    <cellStyle name="常规 45 2 2 3 3" xfId="28236"/>
    <cellStyle name="常规 45 2 2 3 4" xfId="26896"/>
    <cellStyle name="常规 45 2 2 4" xfId="28238"/>
    <cellStyle name="常规 45 2 2 4 2" xfId="14172"/>
    <cellStyle name="常规 45 2 2 5" xfId="7325"/>
    <cellStyle name="常规 45 2 2 6" xfId="7282"/>
    <cellStyle name="常规 45 2 2 7" xfId="21464"/>
    <cellStyle name="常规 45 2 3" xfId="29201"/>
    <cellStyle name="常规 45 2 3 2" xfId="28247"/>
    <cellStyle name="常规 45 2 3 2 2" xfId="28250"/>
    <cellStyle name="常规 45 2 3 3" xfId="28254"/>
    <cellStyle name="常规 45 2 3 4" xfId="28260"/>
    <cellStyle name="常规 45 2 4" xfId="29203"/>
    <cellStyle name="常规 45 2 4 2" xfId="28270"/>
    <cellStyle name="常规 45 2 4 2 2" xfId="28272"/>
    <cellStyle name="常规 45 2 4 3" xfId="28274"/>
    <cellStyle name="常规 45 2 4 4" xfId="23144"/>
    <cellStyle name="常规 45 2 5" xfId="29205"/>
    <cellStyle name="常规 45 2 6" xfId="13629"/>
    <cellStyle name="常规 45 2 7" xfId="13634"/>
    <cellStyle name="常规 45 3" xfId="23840"/>
    <cellStyle name="常规 45 3 2" xfId="29208"/>
    <cellStyle name="常规 45 3 2 2" xfId="28281"/>
    <cellStyle name="常规 45 3 2 2 2" xfId="28283"/>
    <cellStyle name="常规 45 3 2 2 2 2" xfId="7554"/>
    <cellStyle name="常规 45 3 2 2 2 2 2" xfId="7556"/>
    <cellStyle name="常规 45 3 2 2 2 3" xfId="7559"/>
    <cellStyle name="常规 45 3 2 2 2 4" xfId="7562"/>
    <cellStyle name="常规 45 3 2 2 3" xfId="32701"/>
    <cellStyle name="常规 45 3 2 2 3 2" xfId="32702"/>
    <cellStyle name="常规 45 3 2 2 4" xfId="13852"/>
    <cellStyle name="常规 45 3 2 2 5" xfId="13855"/>
    <cellStyle name="常规 45 3 2 3" xfId="28285"/>
    <cellStyle name="常规 45 3 2 3 2" xfId="32703"/>
    <cellStyle name="常规 45 3 2 3 2 2" xfId="7602"/>
    <cellStyle name="常规 45 3 2 3 3" xfId="32704"/>
    <cellStyle name="常规 45 3 2 3 4" xfId="1261"/>
    <cellStyle name="常规 45 3 2 4" xfId="28287"/>
    <cellStyle name="常规 45 3 2 4 2" xfId="14349"/>
    <cellStyle name="常规 45 3 2 5" xfId="7368"/>
    <cellStyle name="常规 45 3 2 6" xfId="23668"/>
    <cellStyle name="常规 45 3 2 7" xfId="23678"/>
    <cellStyle name="常规 45 3 3" xfId="29210"/>
    <cellStyle name="常规 45 3 3 2" xfId="28293"/>
    <cellStyle name="常规 45 3 3 2 2" xfId="32705"/>
    <cellStyle name="常规 45 3 3 3" xfId="28295"/>
    <cellStyle name="常规 45 3 3 4" xfId="32706"/>
    <cellStyle name="常规 45 3 4" xfId="32707"/>
    <cellStyle name="常规 45 3 4 2" xfId="28300"/>
    <cellStyle name="常规 45 3 4 2 2" xfId="32708"/>
    <cellStyle name="常规 45 3 4 3" xfId="17791"/>
    <cellStyle name="常规 45 3 4 4" xfId="17799"/>
    <cellStyle name="常规 45 3 5" xfId="32709"/>
    <cellStyle name="常规 45 3 6" xfId="13638"/>
    <cellStyle name="常规 45 3 7" xfId="32710"/>
    <cellStyle name="常规 45 4" xfId="23910"/>
    <cellStyle name="常规 45 4 2" xfId="29213"/>
    <cellStyle name="常规 45 4 2 2" xfId="28303"/>
    <cellStyle name="常规 45 4 2 2 2" xfId="27566"/>
    <cellStyle name="常规 45 4 2 2 2 2" xfId="25916"/>
    <cellStyle name="常规 45 4 2 2 2 2 2" xfId="14717"/>
    <cellStyle name="常规 45 4 2 2 2 3" xfId="25918"/>
    <cellStyle name="常规 45 4 2 2 2 4" xfId="6688"/>
    <cellStyle name="常规 45 4 2 2 3" xfId="32711"/>
    <cellStyle name="常规 45 4 2 2 3 2" xfId="32712"/>
    <cellStyle name="常规 45 4 2 2 4" xfId="32713"/>
    <cellStyle name="常规 45 4 2 2 5" xfId="32714"/>
    <cellStyle name="常规 45 4 2 3" xfId="706"/>
    <cellStyle name="常规 45 4 2 3 2" xfId="32715"/>
    <cellStyle name="常规 45 4 2 3 2 2" xfId="32716"/>
    <cellStyle name="常规 45 4 2 3 3" xfId="32717"/>
    <cellStyle name="常规 45 4 2 3 4" xfId="1298"/>
    <cellStyle name="常规 45 4 2 4" xfId="30873"/>
    <cellStyle name="常规 45 4 2 4 2" xfId="1060"/>
    <cellStyle name="常规 45 4 2 4 2 2" xfId="4084"/>
    <cellStyle name="常规 45 4 2 4 3" xfId="4096"/>
    <cellStyle name="常规 45 4 2 4 4" xfId="4105"/>
    <cellStyle name="常规 45 4 2 5" xfId="24066"/>
    <cellStyle name="常规 45 4 2 6" xfId="24073"/>
    <cellStyle name="常规 45 4 2 7" xfId="24080"/>
    <cellStyle name="常规 45 4 3" xfId="29215"/>
    <cellStyle name="常规 45 4 3 2" xfId="26566"/>
    <cellStyle name="常规 45 4 3 2 2" xfId="26568"/>
    <cellStyle name="常规 45 4 3 2 2 2" xfId="26571"/>
    <cellStyle name="常规 45 4 3 2 2 2 2" xfId="26574"/>
    <cellStyle name="常规 45 4 3 2 2 3" xfId="26580"/>
    <cellStyle name="常规 45 4 3 2 2 4" xfId="26583"/>
    <cellStyle name="常规 45 4 3 2 3" xfId="26586"/>
    <cellStyle name="常规 45 4 3 2 3 2" xfId="26588"/>
    <cellStyle name="常规 45 4 3 2 4" xfId="26591"/>
    <cellStyle name="常规 45 4 3 2 5" xfId="26593"/>
    <cellStyle name="常规 45 4 3 3" xfId="26598"/>
    <cellStyle name="常规 45 4 3 3 2" xfId="9971"/>
    <cellStyle name="常规 45 4 3 3 2 2" xfId="9974"/>
    <cellStyle name="常规 45 4 3 3 3" xfId="10020"/>
    <cellStyle name="常规 45 4 3 3 4" xfId="10032"/>
    <cellStyle name="常规 45 4 3 4" xfId="26602"/>
    <cellStyle name="常规 45 4 3 4 2" xfId="5077"/>
    <cellStyle name="常规 45 4 3 5" xfId="24093"/>
    <cellStyle name="常规 45 4 3 6" xfId="24096"/>
    <cellStyle name="常规 45 4 3 7" xfId="24100"/>
    <cellStyle name="常规 45 4 4" xfId="32718"/>
    <cellStyle name="常规 45 4 4 2" xfId="26688"/>
    <cellStyle name="常规 45 4 4 2 2" xfId="26690"/>
    <cellStyle name="常规 45 4 4 3" xfId="17841"/>
    <cellStyle name="常规 45 4 4 4" xfId="17846"/>
    <cellStyle name="常规 45 4 5" xfId="32719"/>
    <cellStyle name="常规 45 4 5 2" xfId="9145"/>
    <cellStyle name="常规 45 4 5 2 2" xfId="9148"/>
    <cellStyle name="常规 45 4 5 3" xfId="9164"/>
    <cellStyle name="常规 45 4 5 4" xfId="9170"/>
    <cellStyle name="常规 45 4 6" xfId="32720"/>
    <cellStyle name="常规 45 4 7" xfId="32721"/>
    <cellStyle name="常规 45 4 8" xfId="32722"/>
    <cellStyle name="常规 45 5" xfId="29335"/>
    <cellStyle name="常规 45 5 2" xfId="32723"/>
    <cellStyle name="常规 45 5 2 2" xfId="32724"/>
    <cellStyle name="常规 45 5 3" xfId="32725"/>
    <cellStyle name="常规 45 5 4" xfId="32726"/>
    <cellStyle name="常规 45 6" xfId="32727"/>
    <cellStyle name="常规 45 6 2" xfId="32728"/>
    <cellStyle name="常规 45 6 2 2" xfId="32729"/>
    <cellStyle name="常规 45 6 3" xfId="32730"/>
    <cellStyle name="常规 45 6 4" xfId="23320"/>
    <cellStyle name="常规 45 7" xfId="32731"/>
    <cellStyle name="常规 45 7 2" xfId="32732"/>
    <cellStyle name="常规 45 8" xfId="19773"/>
    <cellStyle name="常规 45 9" xfId="21196"/>
    <cellStyle name="常规 5" xfId="7627"/>
    <cellStyle name="常规 5 10" xfId="32733"/>
    <cellStyle name="常规 5 10 10" xfId="13884"/>
    <cellStyle name="常规 5 10 11" xfId="1150"/>
    <cellStyle name="常规 5 10 12" xfId="333"/>
    <cellStyle name="常规 5 10 2" xfId="32734"/>
    <cellStyle name="常规 5 10 2 10" xfId="32735"/>
    <cellStyle name="常规 5 10 2 2" xfId="32736"/>
    <cellStyle name="常规 5 10 2 2 2" xfId="29041"/>
    <cellStyle name="常规 5 10 2 2 2 2" xfId="32737"/>
    <cellStyle name="常规 5 10 2 2 2 2 2" xfId="32395"/>
    <cellStyle name="常规 5 10 2 2 2 2 2 2" xfId="14003"/>
    <cellStyle name="常规 5 10 2 2 2 2 3" xfId="32397"/>
    <cellStyle name="常规 5 10 2 2 2 2 4" xfId="23310"/>
    <cellStyle name="常规 5 10 2 2 2 3" xfId="32738"/>
    <cellStyle name="常规 5 10 2 2 2 3 2" xfId="26663"/>
    <cellStyle name="常规 5 10 2 2 2 4" xfId="32739"/>
    <cellStyle name="常规 5 10 2 2 2 5" xfId="32740"/>
    <cellStyle name="常规 5 10 2 2 3" xfId="32742"/>
    <cellStyle name="常规 5 10 2 2 3 2" xfId="9631"/>
    <cellStyle name="常规 5 10 2 2 3 2 2" xfId="12248"/>
    <cellStyle name="常规 5 10 2 2 3 3" xfId="32743"/>
    <cellStyle name="常规 5 10 2 2 3 4" xfId="32744"/>
    <cellStyle name="常规 5 10 2 2 4" xfId="27248"/>
    <cellStyle name="常规 5 10 2 2 4 2" xfId="32745"/>
    <cellStyle name="常规 5 10 2 2 4 2 2" xfId="32746"/>
    <cellStyle name="常规 5 10 2 2 4 3" xfId="32747"/>
    <cellStyle name="常规 5 10 2 2 4 4" xfId="32748"/>
    <cellStyle name="常规 5 10 2 2 5" xfId="32749"/>
    <cellStyle name="常规 5 10 2 2 5 2" xfId="32750"/>
    <cellStyle name="常规 5 10 2 2 6" xfId="32751"/>
    <cellStyle name="常规 5 10 2 2 7" xfId="32752"/>
    <cellStyle name="常规 5 10 2 2 8" xfId="32753"/>
    <cellStyle name="常规 5 10 2 3" xfId="28367"/>
    <cellStyle name="常规 5 10 2 3 2" xfId="28558"/>
    <cellStyle name="常规 5 10 2 3 2 2" xfId="28560"/>
    <cellStyle name="常规 5 10 2 3 2 2 2" xfId="296"/>
    <cellStyle name="常规 5 10 2 3 2 3" xfId="28570"/>
    <cellStyle name="常规 5 10 2 3 2 4" xfId="28577"/>
    <cellStyle name="常规 5 10 2 3 3" xfId="28586"/>
    <cellStyle name="常规 5 10 2 3 3 2" xfId="28588"/>
    <cellStyle name="常规 5 10 2 3 4" xfId="27252"/>
    <cellStyle name="常规 5 10 2 3 5" xfId="28599"/>
    <cellStyle name="常规 5 10 2 3 6" xfId="28605"/>
    <cellStyle name="常规 5 10 2 4" xfId="28612"/>
    <cellStyle name="常规 5 10 2 4 2" xfId="28615"/>
    <cellStyle name="常规 5 10 2 4 2 2" xfId="17447"/>
    <cellStyle name="常规 5 10 2 4 3" xfId="28618"/>
    <cellStyle name="常规 5 10 2 4 4" xfId="28621"/>
    <cellStyle name="常规 5 10 2 5" xfId="28628"/>
    <cellStyle name="常规 5 10 2 5 2" xfId="28631"/>
    <cellStyle name="常规 5 10 2 5 2 2" xfId="14781"/>
    <cellStyle name="常规 5 10 2 5 3" xfId="28634"/>
    <cellStyle name="常规 5 10 2 5 4" xfId="28637"/>
    <cellStyle name="常规 5 10 2 6" xfId="28640"/>
    <cellStyle name="常规 5 10 2 6 2" xfId="28643"/>
    <cellStyle name="常规 5 10 2 7" xfId="28650"/>
    <cellStyle name="常规 5 10 2 7 2" xfId="28653"/>
    <cellStyle name="常规 5 10 2 8" xfId="28658"/>
    <cellStyle name="常规 5 10 2 9" xfId="28663"/>
    <cellStyle name="常规 5 10 3" xfId="32754"/>
    <cellStyle name="常规 5 10 3 10" xfId="32755"/>
    <cellStyle name="常规 5 10 3 11" xfId="32756"/>
    <cellStyle name="常规 5 10 3 2" xfId="6425"/>
    <cellStyle name="常规 5 10 3 2 10" xfId="1509"/>
    <cellStyle name="常规 5 10 3 2 2" xfId="6428"/>
    <cellStyle name="常规 5 10 3 2 2 2" xfId="15644"/>
    <cellStyle name="常规 5 10 3 2 2 2 2" xfId="32574"/>
    <cellStyle name="常规 5 10 3 2 2 2 2 2" xfId="32576"/>
    <cellStyle name="常规 5 10 3 2 2 2 2 2 2" xfId="32757"/>
    <cellStyle name="常规 5 10 3 2 2 2 2 3" xfId="32758"/>
    <cellStyle name="常规 5 10 3 2 2 2 2 4" xfId="25093"/>
    <cellStyle name="常规 5 10 3 2 2 2 3" xfId="32578"/>
    <cellStyle name="常规 5 10 3 2 2 2 3 2" xfId="32759"/>
    <cellStyle name="常规 5 10 3 2 2 2 4" xfId="32580"/>
    <cellStyle name="常规 5 10 3 2 2 2 5" xfId="32582"/>
    <cellStyle name="常规 5 10 3 2 2 3" xfId="32760"/>
    <cellStyle name="常规 5 10 3 2 2 3 2" xfId="32587"/>
    <cellStyle name="常规 5 10 3 2 2 3 2 2" xfId="9871"/>
    <cellStyle name="常规 5 10 3 2 2 3 3" xfId="32589"/>
    <cellStyle name="常规 5 10 3 2 2 3 4" xfId="32761"/>
    <cellStyle name="常规 5 10 3 2 2 4" xfId="32762"/>
    <cellStyle name="常规 5 10 3 2 2 4 2" xfId="32594"/>
    <cellStyle name="常规 5 10 3 2 2 4 2 2" xfId="32763"/>
    <cellStyle name="常规 5 10 3 2 2 4 3" xfId="32596"/>
    <cellStyle name="常规 5 10 3 2 2 4 4" xfId="32764"/>
    <cellStyle name="常规 5 10 3 2 2 5" xfId="31020"/>
    <cellStyle name="常规 5 10 3 2 2 5 2" xfId="21747"/>
    <cellStyle name="常规 5 10 3 2 2 6" xfId="32484"/>
    <cellStyle name="常规 5 10 3 2 2 7" xfId="26981"/>
    <cellStyle name="常规 5 10 3 2 2 8" xfId="26995"/>
    <cellStyle name="常规 5 10 3 2 3" xfId="15646"/>
    <cellStyle name="常规 5 10 3 2 3 2" xfId="32765"/>
    <cellStyle name="常规 5 10 3 2 3 2 2" xfId="25738"/>
    <cellStyle name="常规 5 10 3 2 3 2 2 2" xfId="32766"/>
    <cellStyle name="常规 5 10 3 2 3 2 3" xfId="25742"/>
    <cellStyle name="常规 5 10 3 2 3 2 4" xfId="3327"/>
    <cellStyle name="常规 5 10 3 2 3 3" xfId="32767"/>
    <cellStyle name="常规 5 10 3 2 3 3 2" xfId="32607"/>
    <cellStyle name="常规 5 10 3 2 3 4" xfId="32768"/>
    <cellStyle name="常规 5 10 3 2 3 5" xfId="32769"/>
    <cellStyle name="常规 5 10 3 2 3 6" xfId="32487"/>
    <cellStyle name="常规 5 10 3 2 4" xfId="15649"/>
    <cellStyle name="常规 5 10 3 2 4 2" xfId="23571"/>
    <cellStyle name="常规 5 10 3 2 4 2 2" xfId="23573"/>
    <cellStyle name="常规 5 10 3 2 4 3" xfId="23575"/>
    <cellStyle name="常规 5 10 3 2 4 4" xfId="23577"/>
    <cellStyle name="常规 5 10 3 2 5" xfId="23579"/>
    <cellStyle name="常规 5 10 3 2 5 2" xfId="23582"/>
    <cellStyle name="常规 5 10 3 2 5 2 2" xfId="27031"/>
    <cellStyle name="常规 5 10 3 2 5 3" xfId="27033"/>
    <cellStyle name="常规 5 10 3 2 5 4" xfId="32771"/>
    <cellStyle name="常规 5 10 3 2 6" xfId="23584"/>
    <cellStyle name="常规 5 10 3 2 6 2" xfId="14135"/>
    <cellStyle name="常规 5 10 3 2 7" xfId="23586"/>
    <cellStyle name="常规 5 10 3 2 7 2" xfId="14202"/>
    <cellStyle name="常规 5 10 3 2 8" xfId="8128"/>
    <cellStyle name="常规 5 10 3 2 9" xfId="8133"/>
    <cellStyle name="常规 5 10 3 3" xfId="15652"/>
    <cellStyle name="常规 5 10 3 3 2" xfId="1733"/>
    <cellStyle name="常规 5 10 3 3 2 2" xfId="3999"/>
    <cellStyle name="常规 5 10 3 3 2 2 2" xfId="4003"/>
    <cellStyle name="常规 5 10 3 3 2 2 2 2" xfId="32772"/>
    <cellStyle name="常规 5 10 3 3 2 2 3" xfId="32773"/>
    <cellStyle name="常规 5 10 3 3 2 2 4" xfId="32774"/>
    <cellStyle name="常规 5 10 3 3 2 3" xfId="4007"/>
    <cellStyle name="常规 5 10 3 3 2 3 2" xfId="32775"/>
    <cellStyle name="常规 5 10 3 3 2 4" xfId="28667"/>
    <cellStyle name="常规 5 10 3 3 2 5" xfId="28424"/>
    <cellStyle name="常规 5 10 3 3 3" xfId="4012"/>
    <cellStyle name="常规 5 10 3 3 3 2" xfId="4017"/>
    <cellStyle name="常规 5 10 3 3 3 2 2" xfId="32776"/>
    <cellStyle name="常规 5 10 3 3 3 3" xfId="32777"/>
    <cellStyle name="常规 5 10 3 3 3 4" xfId="32260"/>
    <cellStyle name="常规 5 10 3 3 4" xfId="4022"/>
    <cellStyle name="常规 5 10 3 3 4 2" xfId="4027"/>
    <cellStyle name="常规 5 10 3 3 4 2 2" xfId="32778"/>
    <cellStyle name="常规 5 10 3 3 4 3" xfId="32779"/>
    <cellStyle name="常规 5 10 3 3 4 4" xfId="32264"/>
    <cellStyle name="常规 5 10 3 3 5" xfId="4030"/>
    <cellStyle name="常规 5 10 3 3 5 2" xfId="27213"/>
    <cellStyle name="常规 5 10 3 3 6" xfId="4034"/>
    <cellStyle name="常规 5 10 3 3 7" xfId="12559"/>
    <cellStyle name="常规 5 10 3 3 8" xfId="8143"/>
    <cellStyle name="常规 5 10 3 4" xfId="15656"/>
    <cellStyle name="常规 5 10 3 4 2" xfId="4066"/>
    <cellStyle name="常规 5 10 3 4 2 2" xfId="20871"/>
    <cellStyle name="常规 5 10 3 4 2 2 2" xfId="16949"/>
    <cellStyle name="常规 5 10 3 4 2 3" xfId="20874"/>
    <cellStyle name="常规 5 10 3 4 2 4" xfId="20877"/>
    <cellStyle name="常规 5 10 3 4 3" xfId="28671"/>
    <cellStyle name="常规 5 10 3 4 3 2" xfId="20909"/>
    <cellStyle name="常规 5 10 3 4 4" xfId="23591"/>
    <cellStyle name="常规 5 10 3 4 5" xfId="23596"/>
    <cellStyle name="常规 5 10 3 4 6" xfId="12570"/>
    <cellStyle name="常规 5 10 3 5" xfId="15660"/>
    <cellStyle name="常规 5 10 3 5 2" xfId="28674"/>
    <cellStyle name="常规 5 10 3 5 2 2" xfId="21037"/>
    <cellStyle name="常规 5 10 3 5 3" xfId="28677"/>
    <cellStyle name="常规 5 10 3 5 4" xfId="23601"/>
    <cellStyle name="常规 5 10 3 6" xfId="15664"/>
    <cellStyle name="常规 5 10 3 6 2" xfId="28680"/>
    <cellStyle name="常规 5 10 3 6 2 2" xfId="9839"/>
    <cellStyle name="常规 5 10 3 6 3" xfId="31010"/>
    <cellStyle name="常规 5 10 3 6 4" xfId="23605"/>
    <cellStyle name="常规 5 10 3 7" xfId="28683"/>
    <cellStyle name="常规 5 10 3 7 2" xfId="32780"/>
    <cellStyle name="常规 5 10 3 8" xfId="28686"/>
    <cellStyle name="常规 5 10 3 8 2" xfId="32781"/>
    <cellStyle name="常规 5 10 3 9" xfId="28688"/>
    <cellStyle name="常规 5 10 4" xfId="32782"/>
    <cellStyle name="常规 5 10 4 2" xfId="400"/>
    <cellStyle name="常规 5 10 4 2 2" xfId="6777"/>
    <cellStyle name="常规 5 10 4 2 2 2" xfId="32783"/>
    <cellStyle name="常规 5 10 4 2 2 2 2" xfId="32784"/>
    <cellStyle name="常规 5 10 4 2 2 3" xfId="32785"/>
    <cellStyle name="常规 5 10 4 2 2 4" xfId="32787"/>
    <cellStyle name="常规 5 10 4 2 3" xfId="32788"/>
    <cellStyle name="常规 5 10 4 2 3 2" xfId="32789"/>
    <cellStyle name="常规 5 10 4 2 4" xfId="23607"/>
    <cellStyle name="常规 5 10 4 2 5" xfId="23610"/>
    <cellStyle name="常规 5 10 4 3" xfId="15674"/>
    <cellStyle name="常规 5 10 4 3 2" xfId="4122"/>
    <cellStyle name="常规 5 10 4 3 2 2" xfId="4126"/>
    <cellStyle name="常规 5 10 4 3 3" xfId="4129"/>
    <cellStyle name="常规 5 10 4 3 4" xfId="23614"/>
    <cellStyle name="常规 5 10 4 4" xfId="15678"/>
    <cellStyle name="常规 5 10 4 4 2" xfId="1921"/>
    <cellStyle name="常规 5 10 4 4 2 2" xfId="21234"/>
    <cellStyle name="常规 5 10 4 4 3" xfId="31012"/>
    <cellStyle name="常规 5 10 4 4 4" xfId="23620"/>
    <cellStyle name="常规 5 10 4 5" xfId="28691"/>
    <cellStyle name="常规 5 10 4 5 2" xfId="6180"/>
    <cellStyle name="常规 5 10 4 6" xfId="4987"/>
    <cellStyle name="常规 5 10 4 7" xfId="19798"/>
    <cellStyle name="常规 5 10 4 8" xfId="28735"/>
    <cellStyle name="常规 5 10 5" xfId="32790"/>
    <cellStyle name="常规 5 10 5 2" xfId="611"/>
    <cellStyle name="常规 5 10 5 2 2" xfId="7129"/>
    <cellStyle name="常规 5 10 5 2 2 2" xfId="32791"/>
    <cellStyle name="常规 5 10 5 2 3" xfId="32792"/>
    <cellStyle name="常规 5 10 5 2 4" xfId="23629"/>
    <cellStyle name="常规 5 10 5 3" xfId="28694"/>
    <cellStyle name="常规 5 10 5 3 2" xfId="28696"/>
    <cellStyle name="常规 5 10 5 4" xfId="28700"/>
    <cellStyle name="常规 5 10 5 5" xfId="28704"/>
    <cellStyle name="常规 5 10 5 6" xfId="31023"/>
    <cellStyle name="常规 5 10 6" xfId="13777"/>
    <cellStyle name="常规 5 10 6 2" xfId="7439"/>
    <cellStyle name="常规 5 10 6 2 2" xfId="7441"/>
    <cellStyle name="常规 5 10 6 3" xfId="16982"/>
    <cellStyle name="常规 5 10 6 4" xfId="28707"/>
    <cellStyle name="常规 5 10 7" xfId="13779"/>
    <cellStyle name="常规 5 10 7 2" xfId="7910"/>
    <cellStyle name="常规 5 10 7 2 2" xfId="7913"/>
    <cellStyle name="常规 5 10 7 3" xfId="10751"/>
    <cellStyle name="常规 5 10 7 4" xfId="31028"/>
    <cellStyle name="常规 5 10 8" xfId="17669"/>
    <cellStyle name="常规 5 10 8 2" xfId="8730"/>
    <cellStyle name="常规 5 10 9" xfId="28531"/>
    <cellStyle name="常规 5 10 9 2" xfId="12853"/>
    <cellStyle name="常规 5 11" xfId="32793"/>
    <cellStyle name="常规 5 11 10" xfId="32794"/>
    <cellStyle name="常规 5 11 11" xfId="32795"/>
    <cellStyle name="常规 5 11 2" xfId="32796"/>
    <cellStyle name="常规 5 11 2 10" xfId="32797"/>
    <cellStyle name="常规 5 11 2 2" xfId="32798"/>
    <cellStyle name="常规 5 11 2 2 2" xfId="29285"/>
    <cellStyle name="常规 5 11 2 2 2 2" xfId="32799"/>
    <cellStyle name="常规 5 11 2 2 2 2 2" xfId="32800"/>
    <cellStyle name="常规 5 11 2 2 2 2 2 2" xfId="32801"/>
    <cellStyle name="常规 5 11 2 2 2 2 3" xfId="32802"/>
    <cellStyle name="常规 5 11 2 2 2 2 4" xfId="32803"/>
    <cellStyle name="常规 5 11 2 2 2 3" xfId="32804"/>
    <cellStyle name="常规 5 11 2 2 2 3 2" xfId="32805"/>
    <cellStyle name="常规 5 11 2 2 2 4" xfId="32806"/>
    <cellStyle name="常规 5 11 2 2 2 5" xfId="32807"/>
    <cellStyle name="常规 5 11 2 2 3" xfId="2253"/>
    <cellStyle name="常规 5 11 2 2 3 2" xfId="2256"/>
    <cellStyle name="常规 5 11 2 2 3 2 2" xfId="29938"/>
    <cellStyle name="常规 5 11 2 2 3 3" xfId="32809"/>
    <cellStyle name="常规 5 11 2 2 3 4" xfId="32810"/>
    <cellStyle name="常规 5 11 2 2 4" xfId="2258"/>
    <cellStyle name="常规 5 11 2 2 4 2" xfId="28183"/>
    <cellStyle name="常规 5 11 2 2 4 2 2" xfId="32811"/>
    <cellStyle name="常规 5 11 2 2 4 3" xfId="28185"/>
    <cellStyle name="常规 5 11 2 2 4 4" xfId="32812"/>
    <cellStyle name="常规 5 11 2 2 5" xfId="32813"/>
    <cellStyle name="常规 5 11 2 2 5 2" xfId="24963"/>
    <cellStyle name="常规 5 11 2 2 6" xfId="32814"/>
    <cellStyle name="常规 5 11 2 2 7" xfId="32815"/>
    <cellStyle name="常规 5 11 2 2 8" xfId="32816"/>
    <cellStyle name="常规 5 11 2 3" xfId="28371"/>
    <cellStyle name="常规 5 11 2 3 2" xfId="32817"/>
    <cellStyle name="常规 5 11 2 3 2 2" xfId="32818"/>
    <cellStyle name="常规 5 11 2 3 2 2 2" xfId="32819"/>
    <cellStyle name="常规 5 11 2 3 2 3" xfId="32820"/>
    <cellStyle name="常规 5 11 2 3 2 4" xfId="32821"/>
    <cellStyle name="常规 5 11 2 3 3" xfId="2263"/>
    <cellStyle name="常规 5 11 2 3 3 2" xfId="32822"/>
    <cellStyle name="常规 5 11 2 3 4" xfId="32823"/>
    <cellStyle name="常规 5 11 2 3 5" xfId="32824"/>
    <cellStyle name="常规 5 11 2 3 6" xfId="11964"/>
    <cellStyle name="常规 5 11 2 4" xfId="7934"/>
    <cellStyle name="常规 5 11 2 4 2" xfId="7937"/>
    <cellStyle name="常规 5 11 2 4 2 2" xfId="7941"/>
    <cellStyle name="常规 5 11 2 4 3" xfId="2266"/>
    <cellStyle name="常规 5 11 2 4 4" xfId="7985"/>
    <cellStyle name="常规 5 11 2 5" xfId="8027"/>
    <cellStyle name="常规 5 11 2 5 2" xfId="8030"/>
    <cellStyle name="常规 5 11 2 5 2 2" xfId="8035"/>
    <cellStyle name="常规 5 11 2 5 3" xfId="8046"/>
    <cellStyle name="常规 5 11 2 5 4" xfId="8053"/>
    <cellStyle name="常规 5 11 2 6" xfId="8056"/>
    <cellStyle name="常规 5 11 2 6 2" xfId="8059"/>
    <cellStyle name="常规 5 11 2 7" xfId="8067"/>
    <cellStyle name="常规 5 11 2 7 2" xfId="8070"/>
    <cellStyle name="常规 5 11 2 8" xfId="8078"/>
    <cellStyle name="常规 5 11 2 9" xfId="8083"/>
    <cellStyle name="常规 5 11 3" xfId="32825"/>
    <cellStyle name="常规 5 11 3 2" xfId="15758"/>
    <cellStyle name="常规 5 11 3 2 2" xfId="15760"/>
    <cellStyle name="常规 5 11 3 2 2 2" xfId="15762"/>
    <cellStyle name="常规 5 11 3 2 2 2 2" xfId="32826"/>
    <cellStyle name="常规 5 11 3 2 2 3" xfId="32828"/>
    <cellStyle name="常规 5 11 3 2 2 4" xfId="32829"/>
    <cellStyle name="常规 5 11 3 2 3" xfId="2276"/>
    <cellStyle name="常规 5 11 3 2 3 2" xfId="32830"/>
    <cellStyle name="常规 5 11 3 2 4" xfId="15765"/>
    <cellStyle name="常规 5 11 3 2 5" xfId="23659"/>
    <cellStyle name="常规 5 11 3 3" xfId="15767"/>
    <cellStyle name="常规 5 11 3 3 2" xfId="15769"/>
    <cellStyle name="常规 5 11 3 3 2 2" xfId="15771"/>
    <cellStyle name="常规 5 11 3 3 3" xfId="15773"/>
    <cellStyle name="常规 5 11 3 3 4" xfId="15776"/>
    <cellStyle name="常规 5 11 3 4" xfId="8091"/>
    <cellStyle name="常规 5 11 3 4 2" xfId="8095"/>
    <cellStyle name="常规 5 11 3 4 2 2" xfId="6405"/>
    <cellStyle name="常规 5 11 3 4 3" xfId="8124"/>
    <cellStyle name="常规 5 11 3 4 4" xfId="8140"/>
    <cellStyle name="常规 5 11 3 5" xfId="8177"/>
    <cellStyle name="常规 5 11 3 5 2" xfId="8181"/>
    <cellStyle name="常规 5 11 3 6" xfId="8224"/>
    <cellStyle name="常规 5 11 3 7" xfId="8235"/>
    <cellStyle name="常规 5 11 3 8" xfId="8242"/>
    <cellStyle name="常规 5 11 4" xfId="17963"/>
    <cellStyle name="常规 5 11 4 2" xfId="15797"/>
    <cellStyle name="常规 5 11 4 2 2" xfId="15800"/>
    <cellStyle name="常规 5 11 4 2 2 2" xfId="15802"/>
    <cellStyle name="常规 5 11 4 2 3" xfId="2286"/>
    <cellStyle name="常规 5 11 4 2 4" xfId="15805"/>
    <cellStyle name="常规 5 11 4 3" xfId="15808"/>
    <cellStyle name="常规 5 11 4 3 2" xfId="15810"/>
    <cellStyle name="常规 5 11 4 4" xfId="8259"/>
    <cellStyle name="常规 5 11 4 5" xfId="8279"/>
    <cellStyle name="常规 5 11 4 6" xfId="8283"/>
    <cellStyle name="常规 5 11 5" xfId="17965"/>
    <cellStyle name="常规 5 11 5 2" xfId="15832"/>
    <cellStyle name="常规 5 11 5 2 2" xfId="32831"/>
    <cellStyle name="常规 5 11 5 3" xfId="15834"/>
    <cellStyle name="常规 5 11 5 4" xfId="8300"/>
    <cellStyle name="常规 5 11 6" xfId="17968"/>
    <cellStyle name="常规 5 11 6 2" xfId="15856"/>
    <cellStyle name="常规 5 11 6 2 2" xfId="32832"/>
    <cellStyle name="常规 5 11 6 3" xfId="22324"/>
    <cellStyle name="常规 5 11 6 4" xfId="8316"/>
    <cellStyle name="常规 5 11 7" xfId="17971"/>
    <cellStyle name="常规 5 11 7 2" xfId="15860"/>
    <cellStyle name="常规 5 11 8" xfId="27255"/>
    <cellStyle name="常规 5 11 8 2" xfId="25822"/>
    <cellStyle name="常规 5 11 9" xfId="10894"/>
    <cellStyle name="常规 5 12" xfId="987"/>
    <cellStyle name="常规 5 12 10" xfId="32834"/>
    <cellStyle name="常规 5 12 2" xfId="992"/>
    <cellStyle name="常规 5 12 2 2" xfId="997"/>
    <cellStyle name="常规 5 12 2 2 2" xfId="29570"/>
    <cellStyle name="常规 5 12 2 2 2 2" xfId="32835"/>
    <cellStyle name="常规 5 12 2 2 3" xfId="2333"/>
    <cellStyle name="常规 5 12 2 2 4" xfId="32836"/>
    <cellStyle name="常规 5 12 2 3" xfId="32837"/>
    <cellStyle name="常规 5 12 2 3 2" xfId="32838"/>
    <cellStyle name="常规 5 12 2 4" xfId="8341"/>
    <cellStyle name="常规 5 12 2 5" xfId="8365"/>
    <cellStyle name="常规 5 12 3" xfId="1015"/>
    <cellStyle name="常规 5 12 3 2" xfId="15877"/>
    <cellStyle name="常规 5 12 3 2 2" xfId="32839"/>
    <cellStyle name="常规 5 12 3 3" xfId="11754"/>
    <cellStyle name="常规 5 12 3 4" xfId="8404"/>
    <cellStyle name="常规 5 12 4" xfId="17974"/>
    <cellStyle name="常规 5 12 4 2" xfId="15885"/>
    <cellStyle name="常规 5 12 4 2 2" xfId="3141"/>
    <cellStyle name="常规 5 12 4 3" xfId="11759"/>
    <cellStyle name="常规 5 12 4 4" xfId="8426"/>
    <cellStyle name="常规 5 12 5" xfId="17976"/>
    <cellStyle name="常规 5 12 5 2" xfId="9534"/>
    <cellStyle name="常规 5 12 6" xfId="17980"/>
    <cellStyle name="常规 5 12 7" xfId="21695"/>
    <cellStyle name="常规 5 12 8" xfId="21697"/>
    <cellStyle name="常规 5 12 9" xfId="28549"/>
    <cellStyle name="常规 5 13" xfId="1029"/>
    <cellStyle name="常规 5 13 2" xfId="32840"/>
    <cellStyle name="常规 5 13 2 2" xfId="32841"/>
    <cellStyle name="常规 5 13 2 2 2" xfId="26313"/>
    <cellStyle name="常规 5 13 2 3" xfId="32842"/>
    <cellStyle name="常规 5 13 2 4" xfId="8458"/>
    <cellStyle name="常规 5 13 3" xfId="32843"/>
    <cellStyle name="常规 5 13 3 2" xfId="15908"/>
    <cellStyle name="常规 5 13 4" xfId="17985"/>
    <cellStyle name="常规 5 13 5" xfId="17988"/>
    <cellStyle name="常规 5 13 6" xfId="17991"/>
    <cellStyle name="常规 5 14" xfId="32844"/>
    <cellStyle name="常规 5 14 2" xfId="32845"/>
    <cellStyle name="常规 5 14 2 2" xfId="32846"/>
    <cellStyle name="常规 5 14 3" xfId="32847"/>
    <cellStyle name="常规 5 14 4" xfId="17995"/>
    <cellStyle name="常规 5 15" xfId="727"/>
    <cellStyle name="常规 5 15 2" xfId="32848"/>
    <cellStyle name="常规 5 15 2 2" xfId="26196"/>
    <cellStyle name="常规 5 15 3" xfId="11204"/>
    <cellStyle name="常规 5 15 4" xfId="11209"/>
    <cellStyle name="常规 5 16" xfId="32849"/>
    <cellStyle name="常规 5 16 2" xfId="32850"/>
    <cellStyle name="常规 5 17" xfId="32851"/>
    <cellStyle name="常规 5 17 2" xfId="32852"/>
    <cellStyle name="常规 5 18" xfId="25132"/>
    <cellStyle name="常规 5 19" xfId="25135"/>
    <cellStyle name="常规 5 2" xfId="32853"/>
    <cellStyle name="常规 5 2 10" xfId="20201"/>
    <cellStyle name="常规 5 2 11" xfId="20206"/>
    <cellStyle name="常规 5 2 12" xfId="20209"/>
    <cellStyle name="常规 5 2 2" xfId="32854"/>
    <cellStyle name="常规 5 2 2 10" xfId="13436"/>
    <cellStyle name="常规 5 2 2 11" xfId="32855"/>
    <cellStyle name="常规 5 2 2 12" xfId="32856"/>
    <cellStyle name="常规 5 2 2 2" xfId="32857"/>
    <cellStyle name="常规 5 2 2 2 10" xfId="32858"/>
    <cellStyle name="常规 5 2 2 2 2" xfId="29318"/>
    <cellStyle name="常规 5 2 2 2 2 2" xfId="32860"/>
    <cellStyle name="常规 5 2 2 2 2 2 2" xfId="32862"/>
    <cellStyle name="常规 5 2 2 2 2 2 2 2" xfId="19986"/>
    <cellStyle name="常规 5 2 2 2 2 2 2 2 2" xfId="19990"/>
    <cellStyle name="常规 5 2 2 2 2 2 2 3" xfId="19996"/>
    <cellStyle name="常规 5 2 2 2 2 2 2 4" xfId="20006"/>
    <cellStyle name="常规 5 2 2 2 2 2 3" xfId="32864"/>
    <cellStyle name="常规 5 2 2 2 2 2 3 2" xfId="20046"/>
    <cellStyle name="常规 5 2 2 2 2 2 4" xfId="32866"/>
    <cellStyle name="常规 5 2 2 2 2 2 5" xfId="32868"/>
    <cellStyle name="常规 5 2 2 2 2 3" xfId="32870"/>
    <cellStyle name="常规 5 2 2 2 2 3 2" xfId="32872"/>
    <cellStyle name="常规 5 2 2 2 2 3 2 2" xfId="27780"/>
    <cellStyle name="常规 5 2 2 2 2 3 3" xfId="32874"/>
    <cellStyle name="常规 5 2 2 2 2 3 4" xfId="32876"/>
    <cellStyle name="常规 5 2 2 2 2 4" xfId="32878"/>
    <cellStyle name="常规 5 2 2 2 2 4 2" xfId="32880"/>
    <cellStyle name="常规 5 2 2 2 2 4 2 2" xfId="27805"/>
    <cellStyle name="常规 5 2 2 2 2 4 3" xfId="7798"/>
    <cellStyle name="常规 5 2 2 2 2 4 4" xfId="32882"/>
    <cellStyle name="常规 5 2 2 2 2 5" xfId="22346"/>
    <cellStyle name="常规 5 2 2 2 2 5 2" xfId="22349"/>
    <cellStyle name="常规 5 2 2 2 2 6" xfId="22352"/>
    <cellStyle name="常规 5 2 2 2 2 7" xfId="22355"/>
    <cellStyle name="常规 5 2 2 2 2 8" xfId="32833"/>
    <cellStyle name="常规 5 2 2 2 3" xfId="1441"/>
    <cellStyle name="常规 5 2 2 2 3 2" xfId="20"/>
    <cellStyle name="常规 5 2 2 2 3 2 2" xfId="1448"/>
    <cellStyle name="常规 5 2 2 2 3 2 2 2" xfId="1457"/>
    <cellStyle name="常规 5 2 2 2 3 2 3" xfId="1475"/>
    <cellStyle name="常规 5 2 2 2 3 2 4" xfId="1490"/>
    <cellStyle name="常规 5 2 2 2 3 3" xfId="1496"/>
    <cellStyle name="常规 5 2 2 2 3 3 2" xfId="1500"/>
    <cellStyle name="常规 5 2 2 2 3 4" xfId="1512"/>
    <cellStyle name="常规 5 2 2 2 3 5" xfId="805"/>
    <cellStyle name="常规 5 2 2 2 3 6" xfId="836"/>
    <cellStyle name="常规 5 2 2 2 4" xfId="1524"/>
    <cellStyle name="常规 5 2 2 2 4 2" xfId="1532"/>
    <cellStyle name="常规 5 2 2 2 4 2 2" xfId="1537"/>
    <cellStyle name="常规 5 2 2 2 4 3" xfId="1545"/>
    <cellStyle name="常规 5 2 2 2 4 4" xfId="1073"/>
    <cellStyle name="常规 5 2 2 2 5" xfId="1549"/>
    <cellStyle name="常规 5 2 2 2 5 2" xfId="1560"/>
    <cellStyle name="常规 5 2 2 2 5 2 2" xfId="1564"/>
    <cellStyle name="常规 5 2 2 2 5 3" xfId="1568"/>
    <cellStyle name="常规 5 2 2 2 5 4" xfId="11824"/>
    <cellStyle name="常规 5 2 2 2 6" xfId="1571"/>
    <cellStyle name="常规 5 2 2 2 6 2" xfId="64"/>
    <cellStyle name="常规 5 2 2 2 7" xfId="153"/>
    <cellStyle name="常规 5 2 2 2 7 2" xfId="501"/>
    <cellStyle name="常规 5 2 2 2 8" xfId="1574"/>
    <cellStyle name="常规 5 2 2 2 9" xfId="1579"/>
    <cellStyle name="常规 5 2 2 3" xfId="32883"/>
    <cellStyle name="常规 5 2 2 3 10" xfId="18568"/>
    <cellStyle name="常规 5 2 2 3 11" xfId="29939"/>
    <cellStyle name="常规 5 2 2 3 2" xfId="32884"/>
    <cellStyle name="常规 5 2 2 3 2 10" xfId="32885"/>
    <cellStyle name="常规 5 2 2 3 2 2" xfId="19177"/>
    <cellStyle name="常规 5 2 2 3 2 2 2" xfId="32887"/>
    <cellStyle name="常规 5 2 2 3 2 2 2 2" xfId="20465"/>
    <cellStyle name="常规 5 2 2 3 2 2 2 2 2" xfId="20471"/>
    <cellStyle name="常规 5 2 2 3 2 2 2 2 2 2" xfId="32890"/>
    <cellStyle name="常规 5 2 2 3 2 2 2 2 3" xfId="29398"/>
    <cellStyle name="常规 5 2 2 3 2 2 2 2 4" xfId="32892"/>
    <cellStyle name="常规 5 2 2 3 2 2 2 3" xfId="20477"/>
    <cellStyle name="常规 5 2 2 3 2 2 2 3 2" xfId="20482"/>
    <cellStyle name="常规 5 2 2 3 2 2 2 4" xfId="20489"/>
    <cellStyle name="常规 5 2 2 3 2 2 2 5" xfId="20494"/>
    <cellStyle name="常规 5 2 2 3 2 2 3" xfId="32894"/>
    <cellStyle name="常规 5 2 2 3 2 2 3 2" xfId="20523"/>
    <cellStyle name="常规 5 2 2 3 2 2 3 2 2" xfId="21630"/>
    <cellStyle name="常规 5 2 2 3 2 2 3 3" xfId="20528"/>
    <cellStyle name="常规 5 2 2 3 2 2 3 4" xfId="20532"/>
    <cellStyle name="常规 5 2 2 3 2 2 4" xfId="32896"/>
    <cellStyle name="常规 5 2 2 3 2 2 4 2" xfId="20544"/>
    <cellStyle name="常规 5 2 2 3 2 2 4 2 2" xfId="26157"/>
    <cellStyle name="常规 5 2 2 3 2 2 4 3" xfId="32898"/>
    <cellStyle name="常规 5 2 2 3 2 2 4 4" xfId="20788"/>
    <cellStyle name="常规 5 2 2 3 2 2 5" xfId="32900"/>
    <cellStyle name="常规 5 2 2 3 2 2 5 2" xfId="32902"/>
    <cellStyle name="常规 5 2 2 3 2 2 6" xfId="27783"/>
    <cellStyle name="常规 5 2 2 3 2 2 7" xfId="32904"/>
    <cellStyle name="常规 5 2 2 3 2 2 8" xfId="32906"/>
    <cellStyle name="常规 5 2 2 3 2 3" xfId="19180"/>
    <cellStyle name="常规 5 2 2 3 2 3 2" xfId="25109"/>
    <cellStyle name="常规 5 2 2 3 2 3 2 2" xfId="25112"/>
    <cellStyle name="常规 5 2 2 3 2 3 2 2 2" xfId="21742"/>
    <cellStyle name="常规 5 2 2 3 2 3 2 3" xfId="26815"/>
    <cellStyle name="常规 5 2 2 3 2 3 2 4" xfId="32908"/>
    <cellStyle name="常规 5 2 2 3 2 3 3" xfId="25115"/>
    <cellStyle name="常规 5 2 2 3 2 3 3 2" xfId="25118"/>
    <cellStyle name="常规 5 2 2 3 2 3 4" xfId="32910"/>
    <cellStyle name="常规 5 2 2 3 2 3 5" xfId="32912"/>
    <cellStyle name="常规 5 2 2 3 2 3 6" xfId="4357"/>
    <cellStyle name="常规 5 2 2 3 2 4" xfId="19183"/>
    <cellStyle name="常规 5 2 2 3 2 4 2" xfId="25168"/>
    <cellStyle name="常规 5 2 2 3 2 4 2 2" xfId="15305"/>
    <cellStyle name="常规 5 2 2 3 2 4 3" xfId="7819"/>
    <cellStyle name="常规 5 2 2 3 2 4 4" xfId="32914"/>
    <cellStyle name="常规 5 2 2 3 2 5" xfId="22363"/>
    <cellStyle name="常规 5 2 2 3 2 5 2" xfId="25184"/>
    <cellStyle name="常规 5 2 2 3 2 5 2 2" xfId="32916"/>
    <cellStyle name="常规 5 2 2 3 2 5 3" xfId="32918"/>
    <cellStyle name="常规 5 2 2 3 2 5 4" xfId="32920"/>
    <cellStyle name="常规 5 2 2 3 2 6" xfId="32922"/>
    <cellStyle name="常规 5 2 2 3 2 6 2" xfId="32924"/>
    <cellStyle name="常规 5 2 2 3 2 7" xfId="32926"/>
    <cellStyle name="常规 5 2 2 3 2 7 2" xfId="32928"/>
    <cellStyle name="常规 5 2 2 3 2 8" xfId="32929"/>
    <cellStyle name="常规 5 2 2 3 2 9" xfId="32930"/>
    <cellStyle name="常规 5 2 2 3 3" xfId="442"/>
    <cellStyle name="常规 5 2 2 3 3 2" xfId="540"/>
    <cellStyle name="常规 5 2 2 3 3 2 2" xfId="77"/>
    <cellStyle name="常规 5 2 2 3 3 2 2 2" xfId="545"/>
    <cellStyle name="常规 5 2 2 3 3 2 2 2 2" xfId="21922"/>
    <cellStyle name="常规 5 2 2 3 3 2 2 3" xfId="26827"/>
    <cellStyle name="常规 5 2 2 3 3 2 2 4" xfId="32932"/>
    <cellStyle name="常规 5 2 2 3 3 2 3" xfId="52"/>
    <cellStyle name="常规 5 2 2 3 3 2 3 2" xfId="32934"/>
    <cellStyle name="常规 5 2 2 3 3 2 4" xfId="32936"/>
    <cellStyle name="常规 5 2 2 3 3 2 5" xfId="32938"/>
    <cellStyle name="常规 5 2 2 3 3 3" xfId="559"/>
    <cellStyle name="常规 5 2 2 3 3 3 2" xfId="563"/>
    <cellStyle name="常规 5 2 2 3 3 3 2 2" xfId="25431"/>
    <cellStyle name="常规 5 2 2 3 3 3 3" xfId="25435"/>
    <cellStyle name="常规 5 2 2 3 3 3 4" xfId="16445"/>
    <cellStyle name="常规 5 2 2 3 3 4" xfId="324"/>
    <cellStyle name="常规 5 2 2 3 3 4 2" xfId="286"/>
    <cellStyle name="常规 5 2 2 3 3 4 2 2" xfId="25558"/>
    <cellStyle name="常规 5 2 2 3 3 4 3" xfId="25562"/>
    <cellStyle name="常规 5 2 2 3 3 4 4" xfId="30786"/>
    <cellStyle name="常规 5 2 2 3 3 5" xfId="32940"/>
    <cellStyle name="常规 5 2 2 3 3 5 2" xfId="25589"/>
    <cellStyle name="常规 5 2 2 3 3 6" xfId="32942"/>
    <cellStyle name="常规 5 2 2 3 3 7" xfId="32944"/>
    <cellStyle name="常规 5 2 2 3 3 8" xfId="32945"/>
    <cellStyle name="常规 5 2 2 3 4" xfId="1587"/>
    <cellStyle name="常规 5 2 2 3 4 2" xfId="639"/>
    <cellStyle name="常规 5 2 2 3 4 2 2" xfId="644"/>
    <cellStyle name="常规 5 2 2 3 4 2 2 2" xfId="238"/>
    <cellStyle name="常规 5 2 2 3 4 2 3" xfId="1592"/>
    <cellStyle name="常规 5 2 2 3 4 2 4" xfId="32948"/>
    <cellStyle name="常规 5 2 2 3 4 3" xfId="648"/>
    <cellStyle name="常规 5 2 2 3 4 3 2" xfId="452"/>
    <cellStyle name="常规 5 2 2 3 4 4" xfId="653"/>
    <cellStyle name="常规 5 2 2 3 4 5" xfId="32950"/>
    <cellStyle name="常规 5 2 2 3 4 6" xfId="32952"/>
    <cellStyle name="常规 5 2 2 3 5" xfId="1594"/>
    <cellStyle name="常规 5 2 2 3 5 2" xfId="674"/>
    <cellStyle name="常规 5 2 2 3 5 2 2" xfId="32953"/>
    <cellStyle name="常规 5 2 2 3 5 3" xfId="32955"/>
    <cellStyle name="常规 5 2 2 3 5 4" xfId="32957"/>
    <cellStyle name="常规 5 2 2 3 6" xfId="1417"/>
    <cellStyle name="常规 5 2 2 3 6 2" xfId="1601"/>
    <cellStyle name="常规 5 2 2 3 6 2 2" xfId="2385"/>
    <cellStyle name="常规 5 2 2 3 6 3" xfId="32958"/>
    <cellStyle name="常规 5 2 2 3 6 4" xfId="32959"/>
    <cellStyle name="常规 5 2 2 3 7" xfId="32960"/>
    <cellStyle name="常规 5 2 2 3 7 2" xfId="32962"/>
    <cellStyle name="常规 5 2 2 3 8" xfId="32963"/>
    <cellStyle name="常规 5 2 2 3 8 2" xfId="25319"/>
    <cellStyle name="常规 5 2 2 3 9" xfId="32964"/>
    <cellStyle name="常规 5 2 2 4" xfId="32965"/>
    <cellStyle name="常规 5 2 2 4 2" xfId="32966"/>
    <cellStyle name="常规 5 2 2 4 2 2" xfId="19295"/>
    <cellStyle name="常规 5 2 2 4 2 2 2" xfId="19216"/>
    <cellStyle name="常规 5 2 2 4 2 2 2 2" xfId="26134"/>
    <cellStyle name="常规 5 2 2 4 2 2 3" xfId="26144"/>
    <cellStyle name="常规 5 2 2 4 2 2 4" xfId="26149"/>
    <cellStyle name="常规 5 2 2 4 2 3" xfId="19299"/>
    <cellStyle name="常规 5 2 2 4 2 3 2" xfId="19305"/>
    <cellStyle name="常规 5 2 2 4 2 4" xfId="4281"/>
    <cellStyle name="常规 5 2 2 4 2 5" xfId="4293"/>
    <cellStyle name="常规 5 2 2 4 3" xfId="1609"/>
    <cellStyle name="常规 5 2 2 4 3 2" xfId="774"/>
    <cellStyle name="常规 5 2 2 4 3 2 2" xfId="954"/>
    <cellStyle name="常规 5 2 2 4 3 3" xfId="963"/>
    <cellStyle name="常规 5 2 2 4 3 4" xfId="3743"/>
    <cellStyle name="常规 5 2 2 4 4" xfId="1618"/>
    <cellStyle name="常规 5 2 2 4 4 2" xfId="718"/>
    <cellStyle name="常规 5 2 2 4 4 2 2" xfId="32969"/>
    <cellStyle name="常规 5 2 2 4 4 3" xfId="32972"/>
    <cellStyle name="常规 5 2 2 4 4 4" xfId="3773"/>
    <cellStyle name="常规 5 2 2 4 5" xfId="1627"/>
    <cellStyle name="常规 5 2 2 4 5 2" xfId="1107"/>
    <cellStyle name="常规 5 2 2 4 6" xfId="1635"/>
    <cellStyle name="常规 5 2 2 4 7" xfId="32975"/>
    <cellStyle name="常规 5 2 2 4 8" xfId="32977"/>
    <cellStyle name="常规 5 2 2 5" xfId="32978"/>
    <cellStyle name="常规 5 2 2 5 2" xfId="18419"/>
    <cellStyle name="常规 5 2 2 5 2 2" xfId="18421"/>
    <cellStyle name="常规 5 2 2 5 2 2 2" xfId="32979"/>
    <cellStyle name="常规 5 2 2 5 2 3" xfId="32980"/>
    <cellStyle name="常规 5 2 2 5 2 4" xfId="32982"/>
    <cellStyle name="常规 5 2 2 5 3" xfId="1646"/>
    <cellStyle name="常规 5 2 2 5 3 2" xfId="222"/>
    <cellStyle name="常规 5 2 2 5 4" xfId="1649"/>
    <cellStyle name="常规 5 2 2 5 5" xfId="32984"/>
    <cellStyle name="常规 5 2 2 5 6" xfId="32986"/>
    <cellStyle name="常规 5 2 2 6" xfId="32987"/>
    <cellStyle name="常规 5 2 2 6 2" xfId="18455"/>
    <cellStyle name="常规 5 2 2 6 2 2" xfId="32988"/>
    <cellStyle name="常规 5 2 2 6 3" xfId="1236"/>
    <cellStyle name="常规 5 2 2 6 4" xfId="32989"/>
    <cellStyle name="常规 5 2 2 7" xfId="26972"/>
    <cellStyle name="常规 5 2 2 7 2" xfId="32990"/>
    <cellStyle name="常规 5 2 2 7 2 2" xfId="32991"/>
    <cellStyle name="常规 5 2 2 7 3" xfId="32992"/>
    <cellStyle name="常规 5 2 2 7 4" xfId="32993"/>
    <cellStyle name="常规 5 2 2 8" xfId="18432"/>
    <cellStyle name="常规 5 2 2 8 2" xfId="32994"/>
    <cellStyle name="常规 5 2 2 9" xfId="19612"/>
    <cellStyle name="常规 5 2 2 9 2" xfId="19614"/>
    <cellStyle name="常规 5 2 3" xfId="7384"/>
    <cellStyle name="常规 5 2 3 10" xfId="27875"/>
    <cellStyle name="常规 5 2 3 11" xfId="1654"/>
    <cellStyle name="常规 5 2 3 2" xfId="32995"/>
    <cellStyle name="常规 5 2 3 2 10" xfId="32996"/>
    <cellStyle name="常规 5 2 3 2 2" xfId="32997"/>
    <cellStyle name="常规 5 2 3 2 2 2" xfId="32998"/>
    <cellStyle name="常规 5 2 3 2 2 2 2" xfId="32999"/>
    <cellStyle name="常规 5 2 3 2 2 2 2 2" xfId="959"/>
    <cellStyle name="常规 5 2 3 2 2 2 2 2 2" xfId="3915"/>
    <cellStyle name="常规 5 2 3 2 2 2 2 3" xfId="3920"/>
    <cellStyle name="常规 5 2 3 2 2 2 2 4" xfId="21414"/>
    <cellStyle name="常规 5 2 3 2 2 2 3" xfId="33000"/>
    <cellStyle name="常规 5 2 3 2 2 2 3 2" xfId="974"/>
    <cellStyle name="常规 5 2 3 2 2 2 4" xfId="31103"/>
    <cellStyle name="常规 5 2 3 2 2 2 5" xfId="31105"/>
    <cellStyle name="常规 5 2 3 2 2 3" xfId="22697"/>
    <cellStyle name="常规 5 2 3 2 2 3 2" xfId="724"/>
    <cellStyle name="常规 5 2 3 2 2 3 2 2" xfId="1063"/>
    <cellStyle name="常规 5 2 3 2 2 3 3" xfId="33001"/>
    <cellStyle name="常规 5 2 3 2 2 3 4" xfId="31108"/>
    <cellStyle name="常规 5 2 3 2 2 4" xfId="33002"/>
    <cellStyle name="常规 5 2 3 2 2 4 2" xfId="33003"/>
    <cellStyle name="常规 5 2 3 2 2 4 2 2" xfId="5074"/>
    <cellStyle name="常规 5 2 3 2 2 4 3" xfId="33004"/>
    <cellStyle name="常规 5 2 3 2 2 4 4" xfId="31112"/>
    <cellStyle name="常规 5 2 3 2 2 5" xfId="22383"/>
    <cellStyle name="常规 5 2 3 2 2 5 2" xfId="33005"/>
    <cellStyle name="常规 5 2 3 2 2 6" xfId="33006"/>
    <cellStyle name="常规 5 2 3 2 2 7" xfId="33007"/>
    <cellStyle name="常规 5 2 3 2 2 8" xfId="33008"/>
    <cellStyle name="常规 5 2 3 2 3" xfId="33009"/>
    <cellStyle name="常规 5 2 3 2 3 2" xfId="33010"/>
    <cellStyle name="常规 5 2 3 2 3 2 2" xfId="33011"/>
    <cellStyle name="常规 5 2 3 2 3 2 2 2" xfId="21752"/>
    <cellStyle name="常规 5 2 3 2 3 2 3" xfId="2627"/>
    <cellStyle name="常规 5 2 3 2 3 2 4" xfId="30832"/>
    <cellStyle name="常规 5 2 3 2 3 3" xfId="33012"/>
    <cellStyle name="常规 5 2 3 2 3 3 2" xfId="33013"/>
    <cellStyle name="常规 5 2 3 2 3 4" xfId="33014"/>
    <cellStyle name="常规 5 2 3 2 3 5" xfId="33015"/>
    <cellStyle name="常规 5 2 3 2 3 6" xfId="33016"/>
    <cellStyle name="常规 5 2 3 2 4" xfId="33017"/>
    <cellStyle name="常规 5 2 3 2 4 2" xfId="33018"/>
    <cellStyle name="常规 5 2 3 2 4 2 2" xfId="33020"/>
    <cellStyle name="常规 5 2 3 2 4 3" xfId="33021"/>
    <cellStyle name="常规 5 2 3 2 4 4" xfId="12941"/>
    <cellStyle name="常规 5 2 3 2 5" xfId="26078"/>
    <cellStyle name="常规 5 2 3 2 5 2" xfId="29833"/>
    <cellStyle name="常规 5 2 3 2 5 2 2" xfId="9509"/>
    <cellStyle name="常规 5 2 3 2 5 3" xfId="29839"/>
    <cellStyle name="常规 5 2 3 2 5 4" xfId="29844"/>
    <cellStyle name="常规 5 2 3 2 6" xfId="29852"/>
    <cellStyle name="常规 5 2 3 2 6 2" xfId="29854"/>
    <cellStyle name="常规 5 2 3 2 7" xfId="29859"/>
    <cellStyle name="常规 5 2 3 2 7 2" xfId="29861"/>
    <cellStyle name="常规 5 2 3 2 8" xfId="29866"/>
    <cellStyle name="常规 5 2 3 2 9" xfId="29872"/>
    <cellStyle name="常规 5 2 3 3" xfId="33023"/>
    <cellStyle name="常规 5 2 3 3 2" xfId="33024"/>
    <cellStyle name="常规 5 2 3 3 2 2" xfId="13201"/>
    <cellStyle name="常规 5 2 3 3 2 2 2" xfId="13205"/>
    <cellStyle name="常规 5 2 3 3 2 2 2 2" xfId="4685"/>
    <cellStyle name="常规 5 2 3 3 2 2 3" xfId="33025"/>
    <cellStyle name="常规 5 2 3 3 2 2 4" xfId="31153"/>
    <cellStyle name="常规 5 2 3 3 2 3" xfId="13209"/>
    <cellStyle name="常规 5 2 3 3 2 3 2" xfId="854"/>
    <cellStyle name="常规 5 2 3 3 2 4" xfId="13213"/>
    <cellStyle name="常规 5 2 3 3 2 5" xfId="33026"/>
    <cellStyle name="常规 5 2 3 3 3" xfId="33027"/>
    <cellStyle name="常规 5 2 3 3 3 2" xfId="13328"/>
    <cellStyle name="常规 5 2 3 3 3 2 2" xfId="13331"/>
    <cellStyle name="常规 5 2 3 3 3 3" xfId="13342"/>
    <cellStyle name="常规 5 2 3 3 3 4" xfId="13345"/>
    <cellStyle name="常规 5 2 3 3 4" xfId="33028"/>
    <cellStyle name="常规 5 2 3 3 4 2" xfId="13388"/>
    <cellStyle name="常规 5 2 3 3 4 2 2" xfId="33029"/>
    <cellStyle name="常规 5 2 3 3 4 3" xfId="13391"/>
    <cellStyle name="常规 5 2 3 3 4 4" xfId="13395"/>
    <cellStyle name="常规 5 2 3 3 5" xfId="29883"/>
    <cellStyle name="常规 5 2 3 3 5 2" xfId="13414"/>
    <cellStyle name="常规 5 2 3 3 6" xfId="29917"/>
    <cellStyle name="常规 5 2 3 3 7" xfId="29942"/>
    <cellStyle name="常规 5 2 3 3 8" xfId="29952"/>
    <cellStyle name="常规 5 2 3 4" xfId="495"/>
    <cellStyle name="常规 5 2 3 4 2" xfId="1133"/>
    <cellStyle name="常规 5 2 3 4 2 2" xfId="1142"/>
    <cellStyle name="常规 5 2 3 4 2 2 2" xfId="1155"/>
    <cellStyle name="常规 5 2 3 4 2 3" xfId="1166"/>
    <cellStyle name="常规 5 2 3 4 2 4" xfId="4953"/>
    <cellStyle name="常规 5 2 3 4 3" xfId="1175"/>
    <cellStyle name="常规 5 2 3 4 3 2" xfId="146"/>
    <cellStyle name="常规 5 2 3 4 4" xfId="1184"/>
    <cellStyle name="常规 5 2 3 4 5" xfId="1189"/>
    <cellStyle name="常规 5 2 3 4 6" xfId="29970"/>
    <cellStyle name="常规 5 2 3 5" xfId="1196"/>
    <cellStyle name="常规 5 2 3 5 2" xfId="1198"/>
    <cellStyle name="常规 5 2 3 5 2 2" xfId="1213"/>
    <cellStyle name="常规 5 2 3 5 3" xfId="1219"/>
    <cellStyle name="常规 5 2 3 5 4" xfId="33030"/>
    <cellStyle name="常规 5 2 3 6" xfId="1224"/>
    <cellStyle name="常规 5 2 3 6 2" xfId="1230"/>
    <cellStyle name="常规 5 2 3 6 2 2" xfId="33031"/>
    <cellStyle name="常规 5 2 3 6 3" xfId="3042"/>
    <cellStyle name="常规 5 2 3 6 4" xfId="33032"/>
    <cellStyle name="常规 5 2 3 7" xfId="1233"/>
    <cellStyle name="常规 5 2 3 7 2" xfId="1010"/>
    <cellStyle name="常规 5 2 3 8" xfId="1239"/>
    <cellStyle name="常规 5 2 3 8 2" xfId="33033"/>
    <cellStyle name="常规 5 2 3 9" xfId="1241"/>
    <cellStyle name="常规 5 2 4" xfId="33034"/>
    <cellStyle name="常规 5 2 4 2" xfId="33035"/>
    <cellStyle name="常规 5 2 4 2 2" xfId="33037"/>
    <cellStyle name="常规 5 2 4 2 2 2" xfId="22820"/>
    <cellStyle name="常规 5 2 4 2 2 2 2" xfId="26756"/>
    <cellStyle name="常规 5 2 4 2 2 3" xfId="22765"/>
    <cellStyle name="常规 5 2 4 2 2 4" xfId="3568"/>
    <cellStyle name="常规 5 2 4 2 3" xfId="33039"/>
    <cellStyle name="常规 5 2 4 2 3 2" xfId="22833"/>
    <cellStyle name="常规 5 2 4 2 4" xfId="33041"/>
    <cellStyle name="常规 5 2 4 2 5" xfId="30019"/>
    <cellStyle name="常规 5 2 4 3" xfId="33043"/>
    <cellStyle name="常规 5 2 4 3 2" xfId="33045"/>
    <cellStyle name="常规 5 2 4 3 2 2" xfId="13710"/>
    <cellStyle name="常规 5 2 4 3 3" xfId="33047"/>
    <cellStyle name="常规 5 2 4 3 4" xfId="33048"/>
    <cellStyle name="常规 5 2 4 4" xfId="1244"/>
    <cellStyle name="常规 5 2 4 4 2" xfId="1248"/>
    <cellStyle name="常规 5 2 4 4 2 2" xfId="1254"/>
    <cellStyle name="常规 5 2 4 4 3" xfId="1137"/>
    <cellStyle name="常规 5 2 4 4 4" xfId="1163"/>
    <cellStyle name="常规 5 2 4 5" xfId="1293"/>
    <cellStyle name="常规 5 2 4 5 2" xfId="176"/>
    <cellStyle name="常规 5 2 4 6" xfId="793"/>
    <cellStyle name="常规 5 2 4 7" xfId="882"/>
    <cellStyle name="常规 5 2 4 8" xfId="905"/>
    <cellStyle name="常规 5 2 5" xfId="33049"/>
    <cellStyle name="常规 5 2 5 2" xfId="16103"/>
    <cellStyle name="常规 5 2 5 2 2" xfId="16105"/>
    <cellStyle name="常规 5 2 5 2 2 2" xfId="22987"/>
    <cellStyle name="常规 5 2 5 2 3" xfId="33050"/>
    <cellStyle name="常规 5 2 5 2 4" xfId="24013"/>
    <cellStyle name="常规 5 2 5 3" xfId="16108"/>
    <cellStyle name="常规 5 2 5 3 2" xfId="15723"/>
    <cellStyle name="常规 5 2 5 4" xfId="186"/>
    <cellStyle name="常规 5 2 5 5" xfId="200"/>
    <cellStyle name="常规 5 2 5 6" xfId="32"/>
    <cellStyle name="常规 5 2 6" xfId="33051"/>
    <cellStyle name="常规 5 2 6 2" xfId="16135"/>
    <cellStyle name="常规 5 2 6 2 2" xfId="33052"/>
    <cellStyle name="常规 5 2 6 3" xfId="16138"/>
    <cellStyle name="常规 5 2 6 4" xfId="303"/>
    <cellStyle name="常规 5 2 7" xfId="32205"/>
    <cellStyle name="常规 5 2 7 2" xfId="16151"/>
    <cellStyle name="常规 5 2 7 2 2" xfId="33053"/>
    <cellStyle name="常规 5 2 7 3" xfId="33054"/>
    <cellStyle name="常规 5 2 7 4" xfId="1347"/>
    <cellStyle name="常规 5 2 8" xfId="21383"/>
    <cellStyle name="常规 5 2 8 2" xfId="22429"/>
    <cellStyle name="常规 5 2 9" xfId="33056"/>
    <cellStyle name="常规 5 2 9 2" xfId="33057"/>
    <cellStyle name="常规 5 20" xfId="726"/>
    <cellStyle name="常规 5 3" xfId="33058"/>
    <cellStyle name="常规 5 3 10" xfId="11821"/>
    <cellStyle name="常规 5 3 11" xfId="28395"/>
    <cellStyle name="常规 5 3 12" xfId="28401"/>
    <cellStyle name="常规 5 3 2" xfId="33059"/>
    <cellStyle name="常规 5 3 2 10" xfId="27772"/>
    <cellStyle name="常规 5 3 2 11" xfId="33060"/>
    <cellStyle name="常规 5 3 2 12" xfId="22547"/>
    <cellStyle name="常规 5 3 2 2" xfId="33061"/>
    <cellStyle name="常规 5 3 2 2 10" xfId="33062"/>
    <cellStyle name="常规 5 3 2 2 2" xfId="33063"/>
    <cellStyle name="常规 5 3 2 2 2 2" xfId="33064"/>
    <cellStyle name="常规 5 3 2 2 2 2 2" xfId="32404"/>
    <cellStyle name="常规 5 3 2 2 2 2 2 2" xfId="33065"/>
    <cellStyle name="常规 5 3 2 2 2 2 2 2 2" xfId="32947"/>
    <cellStyle name="常规 5 3 2 2 2 2 2 3" xfId="16456"/>
    <cellStyle name="常规 5 3 2 2 2 2 2 4" xfId="30791"/>
    <cellStyle name="常规 5 3 2 2 2 2 3" xfId="32406"/>
    <cellStyle name="常规 5 3 2 2 2 2 3 2" xfId="33066"/>
    <cellStyle name="常规 5 3 2 2 2 2 4" xfId="21545"/>
    <cellStyle name="常规 5 3 2 2 2 2 5" xfId="2099"/>
    <cellStyle name="常规 5 3 2 2 2 3" xfId="4874"/>
    <cellStyle name="常规 5 3 2 2 2 3 2" xfId="32413"/>
    <cellStyle name="常规 5 3 2 2 2 3 2 2" xfId="33067"/>
    <cellStyle name="常规 5 3 2 2 2 3 3" xfId="32415"/>
    <cellStyle name="常规 5 3 2 2 2 3 4" xfId="21550"/>
    <cellStyle name="常规 5 3 2 2 2 4" xfId="33068"/>
    <cellStyle name="常规 5 3 2 2 2 4 2" xfId="33069"/>
    <cellStyle name="常规 5 3 2 2 2 4 2 2" xfId="33070"/>
    <cellStyle name="常规 5 3 2 2 2 4 3" xfId="33071"/>
    <cellStyle name="常规 5 3 2 2 2 4 4" xfId="21553"/>
    <cellStyle name="常规 5 3 2 2 2 5" xfId="22403"/>
    <cellStyle name="常规 5 3 2 2 2 5 2" xfId="33072"/>
    <cellStyle name="常规 5 3 2 2 2 6" xfId="33073"/>
    <cellStyle name="常规 5 3 2 2 2 7" xfId="33074"/>
    <cellStyle name="常规 5 3 2 2 2 8" xfId="33075"/>
    <cellStyle name="常规 5 3 2 2 3" xfId="33076"/>
    <cellStyle name="常规 5 3 2 2 3 2" xfId="33077"/>
    <cellStyle name="常规 5 3 2 2 3 2 2" xfId="33078"/>
    <cellStyle name="常规 5 3 2 2 3 2 2 2" xfId="31163"/>
    <cellStyle name="常规 5 3 2 2 3 2 3" xfId="33079"/>
    <cellStyle name="常规 5 3 2 2 3 2 4" xfId="21624"/>
    <cellStyle name="常规 5 3 2 2 3 3" xfId="33080"/>
    <cellStyle name="常规 5 3 2 2 3 3 2" xfId="30858"/>
    <cellStyle name="常规 5 3 2 2 3 4" xfId="33081"/>
    <cellStyle name="常规 5 3 2 2 3 5" xfId="33082"/>
    <cellStyle name="常规 5 3 2 2 3 6" xfId="33083"/>
    <cellStyle name="常规 5 3 2 2 4" xfId="33084"/>
    <cellStyle name="常规 5 3 2 2 4 2" xfId="18163"/>
    <cellStyle name="常规 5 3 2 2 4 2 2" xfId="18165"/>
    <cellStyle name="常规 5 3 2 2 4 3" xfId="18171"/>
    <cellStyle name="常规 5 3 2 2 4 4" xfId="18175"/>
    <cellStyle name="常规 5 3 2 2 5" xfId="33085"/>
    <cellStyle name="常规 5 3 2 2 5 2" xfId="12377"/>
    <cellStyle name="常规 5 3 2 2 5 2 2" xfId="12379"/>
    <cellStyle name="常规 5 3 2 2 5 3" xfId="12382"/>
    <cellStyle name="常规 5 3 2 2 5 4" xfId="12384"/>
    <cellStyle name="常规 5 3 2 2 6" xfId="6717"/>
    <cellStyle name="常规 5 3 2 2 6 2" xfId="18185"/>
    <cellStyle name="常规 5 3 2 2 7" xfId="19872"/>
    <cellStyle name="常规 5 3 2 2 7 2" xfId="33086"/>
    <cellStyle name="常规 5 3 2 2 8" xfId="19874"/>
    <cellStyle name="常规 5 3 2 2 9" xfId="13478"/>
    <cellStyle name="常规 5 3 2 3" xfId="33087"/>
    <cellStyle name="常规 5 3 2 3 10" xfId="15008"/>
    <cellStyle name="常规 5 3 2 3 11" xfId="15011"/>
    <cellStyle name="常规 5 3 2 3 2" xfId="33088"/>
    <cellStyle name="常规 5 3 2 3 2 10" xfId="33089"/>
    <cellStyle name="常规 5 3 2 3 2 2" xfId="6340"/>
    <cellStyle name="常规 5 3 2 3 2 2 2" xfId="32600"/>
    <cellStyle name="常规 5 3 2 3 2 2 2 2" xfId="21800"/>
    <cellStyle name="常规 5 3 2 3 2 2 2 2 2" xfId="31738"/>
    <cellStyle name="常规 5 3 2 3 2 2 2 2 2 2" xfId="33090"/>
    <cellStyle name="常规 5 3 2 3 2 2 2 2 3" xfId="31741"/>
    <cellStyle name="常规 5 3 2 3 2 2 2 2 4" xfId="33091"/>
    <cellStyle name="常规 5 3 2 3 2 2 2 3" xfId="21804"/>
    <cellStyle name="常规 5 3 2 3 2 2 2 3 2" xfId="26984"/>
    <cellStyle name="常规 5 3 2 3 2 2 2 4" xfId="26988"/>
    <cellStyle name="常规 5 3 2 3 2 2 2 5" xfId="26991"/>
    <cellStyle name="常规 5 3 2 3 2 2 3" xfId="32602"/>
    <cellStyle name="常规 5 3 2 3 2 2 3 2" xfId="33092"/>
    <cellStyle name="常规 5 3 2 3 2 2 3 2 2" xfId="33093"/>
    <cellStyle name="常规 5 3 2 3 2 2 3 3" xfId="26997"/>
    <cellStyle name="常规 5 3 2 3 2 2 3 4" xfId="33094"/>
    <cellStyle name="常规 5 3 2 3 2 2 4" xfId="21734"/>
    <cellStyle name="常规 5 3 2 3 2 2 4 2" xfId="21737"/>
    <cellStyle name="常规 5 3 2 3 2 2 4 2 2" xfId="27471"/>
    <cellStyle name="常规 5 3 2 3 2 2 4 3" xfId="33095"/>
    <cellStyle name="常规 5 3 2 3 2 2 4 4" xfId="28081"/>
    <cellStyle name="常规 5 3 2 3 2 2 5" xfId="21740"/>
    <cellStyle name="常规 5 3 2 3 2 2 5 2" xfId="33097"/>
    <cellStyle name="常规 5 3 2 3 2 2 6" xfId="21743"/>
    <cellStyle name="常规 5 3 2 3 2 2 7" xfId="33098"/>
    <cellStyle name="常规 5 3 2 3 2 2 8" xfId="33099"/>
    <cellStyle name="常规 5 3 2 3 2 3" xfId="19463"/>
    <cellStyle name="常规 5 3 2 3 2 3 2" xfId="32612"/>
    <cellStyle name="常规 5 3 2 3 2 3 2 2" xfId="4412"/>
    <cellStyle name="常规 5 3 2 3 2 3 2 2 2" xfId="33100"/>
    <cellStyle name="常规 5 3 2 3 2 3 2 3" xfId="27002"/>
    <cellStyle name="常规 5 3 2 3 2 3 2 4" xfId="16525"/>
    <cellStyle name="常规 5 3 2 3 2 3 3" xfId="32614"/>
    <cellStyle name="常规 5 3 2 3 2 3 3 2" xfId="4416"/>
    <cellStyle name="常规 5 3 2 3 2 3 4" xfId="21749"/>
    <cellStyle name="常规 5 3 2 3 2 3 5" xfId="33101"/>
    <cellStyle name="常规 5 3 2 3 2 3 6" xfId="33102"/>
    <cellStyle name="常规 5 3 2 3 2 4" xfId="19465"/>
    <cellStyle name="常规 5 3 2 3 2 4 2" xfId="33103"/>
    <cellStyle name="常规 5 3 2 3 2 4 2 2" xfId="4540"/>
    <cellStyle name="常规 5 3 2 3 2 4 3" xfId="25946"/>
    <cellStyle name="常规 5 3 2 3 2 4 4" xfId="21755"/>
    <cellStyle name="常规 5 3 2 3 2 5" xfId="33104"/>
    <cellStyle name="常规 5 3 2 3 2 5 2" xfId="33105"/>
    <cellStyle name="常规 5 3 2 3 2 5 2 2" xfId="4616"/>
    <cellStyle name="常规 5 3 2 3 2 5 3" xfId="25950"/>
    <cellStyle name="常规 5 3 2 3 2 5 4" xfId="33107"/>
    <cellStyle name="常规 5 3 2 3 2 6" xfId="33108"/>
    <cellStyle name="常规 5 3 2 3 2 6 2" xfId="31959"/>
    <cellStyle name="常规 5 3 2 3 2 7" xfId="33109"/>
    <cellStyle name="常规 5 3 2 3 2 7 2" xfId="33110"/>
    <cellStyle name="常规 5 3 2 3 2 8" xfId="33111"/>
    <cellStyle name="常规 5 3 2 3 2 9" xfId="6168"/>
    <cellStyle name="常规 5 3 2 3 3" xfId="33112"/>
    <cellStyle name="常规 5 3 2 3 3 2" xfId="19474"/>
    <cellStyle name="常规 5 3 2 3 3 2 2" xfId="33113"/>
    <cellStyle name="常规 5 3 2 3 3 2 2 2" xfId="11315"/>
    <cellStyle name="常规 5 3 2 3 3 2 2 2 2" xfId="24842"/>
    <cellStyle name="常规 5 3 2 3 3 2 2 3" xfId="14588"/>
    <cellStyle name="常规 5 3 2 3 3 2 2 4" xfId="33114"/>
    <cellStyle name="常规 5 3 2 3 3 2 3" xfId="33115"/>
    <cellStyle name="常规 5 3 2 3 3 2 3 2" xfId="6075"/>
    <cellStyle name="常规 5 3 2 3 3 2 4" xfId="21784"/>
    <cellStyle name="常规 5 3 2 3 3 2 5" xfId="33116"/>
    <cellStyle name="常规 5 3 2 3 3 3" xfId="33117"/>
    <cellStyle name="常规 5 3 2 3 3 3 2" xfId="33118"/>
    <cellStyle name="常规 5 3 2 3 3 3 2 2" xfId="4683"/>
    <cellStyle name="常规 5 3 2 3 3 3 3" xfId="33119"/>
    <cellStyle name="常规 5 3 2 3 3 3 4" xfId="33120"/>
    <cellStyle name="常规 5 3 2 3 3 4" xfId="33121"/>
    <cellStyle name="常规 5 3 2 3 3 4 2" xfId="33122"/>
    <cellStyle name="常规 5 3 2 3 3 4 2 2" xfId="33123"/>
    <cellStyle name="常规 5 3 2 3 3 4 3" xfId="25957"/>
    <cellStyle name="常规 5 3 2 3 3 4 4" xfId="33125"/>
    <cellStyle name="常规 5 3 2 3 3 5" xfId="33126"/>
    <cellStyle name="常规 5 3 2 3 3 5 2" xfId="33127"/>
    <cellStyle name="常规 5 3 2 3 3 6" xfId="33128"/>
    <cellStyle name="常规 5 3 2 3 3 7" xfId="33129"/>
    <cellStyle name="常规 5 3 2 3 3 8" xfId="33130"/>
    <cellStyle name="常规 5 3 2 3 4" xfId="33131"/>
    <cellStyle name="常规 5 3 2 3 4 2" xfId="18201"/>
    <cellStyle name="常规 5 3 2 3 4 2 2" xfId="18203"/>
    <cellStyle name="常规 5 3 2 3 4 2 2 2" xfId="22603"/>
    <cellStyle name="常规 5 3 2 3 4 2 3" xfId="31735"/>
    <cellStyle name="常规 5 3 2 3 4 2 4" xfId="31739"/>
    <cellStyle name="常规 5 3 2 3 4 3" xfId="18205"/>
    <cellStyle name="常规 5 3 2 3 4 3 2" xfId="33132"/>
    <cellStyle name="常规 5 3 2 3 4 4" xfId="18207"/>
    <cellStyle name="常规 5 3 2 3 4 5" xfId="33133"/>
    <cellStyle name="常规 5 3 2 3 4 6" xfId="33134"/>
    <cellStyle name="常规 5 3 2 3 5" xfId="33135"/>
    <cellStyle name="常规 5 3 2 3 5 2" xfId="18211"/>
    <cellStyle name="常规 5 3 2 3 5 2 2" xfId="33136"/>
    <cellStyle name="常规 5 3 2 3 5 3" xfId="18213"/>
    <cellStyle name="常规 5 3 2 3 5 4" xfId="33137"/>
    <cellStyle name="常规 5 3 2 3 6" xfId="19877"/>
    <cellStyle name="常规 5 3 2 3 6 2" xfId="18219"/>
    <cellStyle name="常规 5 3 2 3 6 2 2" xfId="27467"/>
    <cellStyle name="常规 5 3 2 3 6 3" xfId="18222"/>
    <cellStyle name="常规 5 3 2 3 6 4" xfId="22023"/>
    <cellStyle name="常规 5 3 2 3 7" xfId="27474"/>
    <cellStyle name="常规 5 3 2 3 7 2" xfId="27476"/>
    <cellStyle name="常规 5 3 2 3 8" xfId="27480"/>
    <cellStyle name="常规 5 3 2 3 8 2" xfId="25519"/>
    <cellStyle name="常规 5 3 2 3 9" xfId="27484"/>
    <cellStyle name="常规 5 3 2 4" xfId="29310"/>
    <cellStyle name="常规 5 3 2 4 2" xfId="33138"/>
    <cellStyle name="常规 5 3 2 4 2 2" xfId="19548"/>
    <cellStyle name="常规 5 3 2 4 2 2 2" xfId="19550"/>
    <cellStyle name="常规 5 3 2 4 2 2 2 2" xfId="33139"/>
    <cellStyle name="常规 5 3 2 4 2 2 3" xfId="33140"/>
    <cellStyle name="常规 5 3 2 4 2 2 4" xfId="4348"/>
    <cellStyle name="常规 5 3 2 4 2 3" xfId="19553"/>
    <cellStyle name="常规 5 3 2 4 2 3 2" xfId="19556"/>
    <cellStyle name="常规 5 3 2 4 2 4" xfId="19559"/>
    <cellStyle name="常规 5 3 2 4 2 5" xfId="19562"/>
    <cellStyle name="常规 5 3 2 4 3" xfId="33141"/>
    <cellStyle name="常规 5 3 2 4 3 2" xfId="19594"/>
    <cellStyle name="常规 5 3 2 4 3 2 2" xfId="33142"/>
    <cellStyle name="常规 5 3 2 4 3 3" xfId="19597"/>
    <cellStyle name="常规 5 3 2 4 3 4" xfId="19599"/>
    <cellStyle name="常规 5 3 2 4 4" xfId="33143"/>
    <cellStyle name="常规 5 3 2 4 4 2" xfId="18239"/>
    <cellStyle name="常规 5 3 2 4 4 2 2" xfId="33144"/>
    <cellStyle name="常规 5 3 2 4 4 3" xfId="17436"/>
    <cellStyle name="常规 5 3 2 4 4 4" xfId="33146"/>
    <cellStyle name="常规 5 3 2 4 5" xfId="33147"/>
    <cellStyle name="常规 5 3 2 4 5 2" xfId="33148"/>
    <cellStyle name="常规 5 3 2 4 6" xfId="27489"/>
    <cellStyle name="常规 5 3 2 4 7" xfId="27497"/>
    <cellStyle name="常规 5 3 2 4 8" xfId="27502"/>
    <cellStyle name="常规 5 3 2 5" xfId="33149"/>
    <cellStyle name="常规 5 3 2 5 2" xfId="33150"/>
    <cellStyle name="常规 5 3 2 5 2 2" xfId="33151"/>
    <cellStyle name="常规 5 3 2 5 2 2 2" xfId="33152"/>
    <cellStyle name="常规 5 3 2 5 2 3" xfId="33153"/>
    <cellStyle name="常规 5 3 2 5 2 4" xfId="33155"/>
    <cellStyle name="常规 5 3 2 5 3" xfId="33157"/>
    <cellStyle name="常规 5 3 2 5 3 2" xfId="33158"/>
    <cellStyle name="常规 5 3 2 5 4" xfId="33159"/>
    <cellStyle name="常规 5 3 2 5 5" xfId="33160"/>
    <cellStyle name="常规 5 3 2 5 6" xfId="27511"/>
    <cellStyle name="常规 5 3 2 6" xfId="24664"/>
    <cellStyle name="常规 5 3 2 6 2" xfId="33161"/>
    <cellStyle name="常规 5 3 2 6 2 2" xfId="33162"/>
    <cellStyle name="常规 5 3 2 6 3" xfId="33163"/>
    <cellStyle name="常规 5 3 2 6 4" xfId="28731"/>
    <cellStyle name="常规 5 3 2 7" xfId="33164"/>
    <cellStyle name="常规 5 3 2 7 2" xfId="33165"/>
    <cellStyle name="常规 5 3 2 7 2 2" xfId="33166"/>
    <cellStyle name="常规 5 3 2 7 3" xfId="33167"/>
    <cellStyle name="常规 5 3 2 7 4" xfId="33168"/>
    <cellStyle name="常规 5 3 2 8" xfId="33169"/>
    <cellStyle name="常规 5 3 2 8 2" xfId="29533"/>
    <cellStyle name="常规 5 3 2 9" xfId="33170"/>
    <cellStyle name="常规 5 3 2 9 2" xfId="29542"/>
    <cellStyle name="常规 5 3 3" xfId="33171"/>
    <cellStyle name="常规 5 3 3 10" xfId="33172"/>
    <cellStyle name="常规 5 3 3 11" xfId="15939"/>
    <cellStyle name="常规 5 3 3 2" xfId="33173"/>
    <cellStyle name="常规 5 3 3 2 10" xfId="23140"/>
    <cellStyle name="常规 5 3 3 2 2" xfId="33174"/>
    <cellStyle name="常规 5 3 3 2 2 2" xfId="33175"/>
    <cellStyle name="常规 5 3 3 2 2 2 2" xfId="33176"/>
    <cellStyle name="常规 5 3 3 2 2 2 2 2" xfId="17394"/>
    <cellStyle name="常规 5 3 3 2 2 2 2 2 2" xfId="33177"/>
    <cellStyle name="常规 5 3 3 2 2 2 2 3" xfId="17397"/>
    <cellStyle name="常规 5 3 3 2 2 2 2 4" xfId="33178"/>
    <cellStyle name="常规 5 3 3 2 2 2 3" xfId="33179"/>
    <cellStyle name="常规 5 3 3 2 2 2 3 2" xfId="33180"/>
    <cellStyle name="常规 5 3 3 2 2 2 4" xfId="21915"/>
    <cellStyle name="常规 5 3 3 2 2 2 5" xfId="3060"/>
    <cellStyle name="常规 5 3 3 2 2 3" xfId="22935"/>
    <cellStyle name="常规 5 3 3 2 2 3 2" xfId="33181"/>
    <cellStyle name="常规 5 3 3 2 2 3 2 2" xfId="33182"/>
    <cellStyle name="常规 5 3 3 2 2 3 3" xfId="33183"/>
    <cellStyle name="常规 5 3 3 2 2 3 4" xfId="21928"/>
    <cellStyle name="常规 5 3 3 2 2 4" xfId="33184"/>
    <cellStyle name="常规 5 3 3 2 2 4 2" xfId="30689"/>
    <cellStyle name="常规 5 3 3 2 2 4 2 2" xfId="33185"/>
    <cellStyle name="常规 5 3 3 2 2 4 3" xfId="30691"/>
    <cellStyle name="常规 5 3 3 2 2 4 4" xfId="21933"/>
    <cellStyle name="常规 5 3 3 2 2 5" xfId="33186"/>
    <cellStyle name="常规 5 3 3 2 2 5 2" xfId="33187"/>
    <cellStyle name="常规 5 3 3 2 2 6" xfId="33188"/>
    <cellStyle name="常规 5 3 3 2 2 7" xfId="33189"/>
    <cellStyle name="常规 5 3 3 2 2 8" xfId="3725"/>
    <cellStyle name="常规 5 3 3 2 3" xfId="33190"/>
    <cellStyle name="常规 5 3 3 2 3 2" xfId="33191"/>
    <cellStyle name="常规 5 3 3 2 3 2 2" xfId="33192"/>
    <cellStyle name="常规 5 3 3 2 3 2 2 2" xfId="33145"/>
    <cellStyle name="常规 5 3 3 2 3 2 3" xfId="33193"/>
    <cellStyle name="常规 5 3 3 2 3 2 4" xfId="22041"/>
    <cellStyle name="常规 5 3 3 2 3 3" xfId="33194"/>
    <cellStyle name="常规 5 3 3 2 3 3 2" xfId="33195"/>
    <cellStyle name="常规 5 3 3 2 3 4" xfId="33196"/>
    <cellStyle name="常规 5 3 3 2 3 5" xfId="33197"/>
    <cellStyle name="常规 5 3 3 2 3 6" xfId="33198"/>
    <cellStyle name="常规 5 3 3 2 4" xfId="33199"/>
    <cellStyle name="常规 5 3 3 2 4 2" xfId="5871"/>
    <cellStyle name="常规 5 3 3 2 4 2 2" xfId="5874"/>
    <cellStyle name="常规 5 3 3 2 4 3" xfId="5877"/>
    <cellStyle name="常规 5 3 3 2 4 4" xfId="5860"/>
    <cellStyle name="常规 5 3 3 2 5" xfId="30146"/>
    <cellStyle name="常规 5 3 3 2 5 2" xfId="18663"/>
    <cellStyle name="常规 5 3 3 2 5 2 2" xfId="9650"/>
    <cellStyle name="常规 5 3 3 2 5 3" xfId="18666"/>
    <cellStyle name="常规 5 3 3 2 5 4" xfId="30156"/>
    <cellStyle name="常规 5 3 3 2 6" xfId="30165"/>
    <cellStyle name="常规 5 3 3 2 6 2" xfId="18673"/>
    <cellStyle name="常规 5 3 3 2 7" xfId="30169"/>
    <cellStyle name="常规 5 3 3 2 7 2" xfId="30171"/>
    <cellStyle name="常规 5 3 3 2 8" xfId="30175"/>
    <cellStyle name="常规 5 3 3 2 9" xfId="30181"/>
    <cellStyle name="常规 5 3 3 3" xfId="33200"/>
    <cellStyle name="常规 5 3 3 3 2" xfId="24610"/>
    <cellStyle name="常规 5 3 3 3 2 2" xfId="19725"/>
    <cellStyle name="常规 5 3 3 3 2 2 2" xfId="24028"/>
    <cellStyle name="常规 5 3 3 3 2 2 2 2" xfId="24031"/>
    <cellStyle name="常规 5 3 3 3 2 2 3" xfId="24045"/>
    <cellStyle name="常规 5 3 3 3 2 2 4" xfId="22149"/>
    <cellStyle name="常规 5 3 3 3 2 3" xfId="19727"/>
    <cellStyle name="常规 5 3 3 3 2 3 2" xfId="24075"/>
    <cellStyle name="常规 5 3 3 3 2 4" xfId="9611"/>
    <cellStyle name="常规 5 3 3 3 2 5" xfId="33201"/>
    <cellStyle name="常规 5 3 3 3 3" xfId="33202"/>
    <cellStyle name="常规 5 3 3 3 3 2" xfId="19736"/>
    <cellStyle name="常规 5 3 3 3 3 2 2" xfId="24421"/>
    <cellStyle name="常规 5 3 3 3 3 3" xfId="33203"/>
    <cellStyle name="常规 5 3 3 3 3 4" xfId="33204"/>
    <cellStyle name="常规 5 3 3 3 4" xfId="33205"/>
    <cellStyle name="常规 5 3 3 3 4 2" xfId="18682"/>
    <cellStyle name="常规 5 3 3 3 4 2 2" xfId="24816"/>
    <cellStyle name="常规 5 3 3 3 4 3" xfId="18684"/>
    <cellStyle name="常规 5 3 3 3 4 4" xfId="18657"/>
    <cellStyle name="常规 5 3 3 3 5" xfId="30190"/>
    <cellStyle name="常规 5 3 3 3 5 2" xfId="30194"/>
    <cellStyle name="常规 5 3 3 3 6" xfId="27539"/>
    <cellStyle name="常规 5 3 3 3 7" xfId="27555"/>
    <cellStyle name="常规 5 3 3 3 8" xfId="27569"/>
    <cellStyle name="常规 5 3 3 4" xfId="1382"/>
    <cellStyle name="常规 5 3 3 4 2" xfId="1384"/>
    <cellStyle name="常规 5 3 3 4 2 2" xfId="1388"/>
    <cellStyle name="常规 5 3 3 4 2 2 2" xfId="20306"/>
    <cellStyle name="常规 5 3 3 4 2 3" xfId="20334"/>
    <cellStyle name="常规 5 3 3 4 2 4" xfId="20348"/>
    <cellStyle name="常规 5 3 3 4 3" xfId="1396"/>
    <cellStyle name="常规 5 3 3 4 3 2" xfId="20782"/>
    <cellStyle name="常规 5 3 3 4 4" xfId="33206"/>
    <cellStyle name="常规 5 3 3 4 5" xfId="30205"/>
    <cellStyle name="常规 5 3 3 4 6" xfId="27580"/>
    <cellStyle name="常规 5 3 3 5" xfId="1399"/>
    <cellStyle name="常规 5 3 3 5 2" xfId="1403"/>
    <cellStyle name="常规 5 3 3 5 2 2" xfId="33207"/>
    <cellStyle name="常规 5 3 3 5 3" xfId="33208"/>
    <cellStyle name="常规 5 3 3 5 4" xfId="16314"/>
    <cellStyle name="常规 5 3 3 6" xfId="1408"/>
    <cellStyle name="常规 5 3 3 6 2" xfId="1411"/>
    <cellStyle name="常规 5 3 3 6 2 2" xfId="33209"/>
    <cellStyle name="常规 5 3 3 6 3" xfId="33210"/>
    <cellStyle name="常规 5 3 3 6 4" xfId="16332"/>
    <cellStyle name="常规 5 3 3 7" xfId="1226"/>
    <cellStyle name="常规 5 3 3 7 2" xfId="33211"/>
    <cellStyle name="常规 5 3 3 8" xfId="33212"/>
    <cellStyle name="常规 5 3 3 8 2" xfId="29558"/>
    <cellStyle name="常规 5 3 3 9" xfId="14528"/>
    <cellStyle name="常规 5 3 4" xfId="33213"/>
    <cellStyle name="常规 5 3 4 2" xfId="33214"/>
    <cellStyle name="常规 5 3 4 2 2" xfId="33215"/>
    <cellStyle name="常规 5 3 4 2 2 2" xfId="23207"/>
    <cellStyle name="常规 5 3 4 2 2 2 2" xfId="28374"/>
    <cellStyle name="常规 5 3 4 2 2 3" xfId="23210"/>
    <cellStyle name="常规 5 3 4 2 2 4" xfId="23213"/>
    <cellStyle name="常规 5 3 4 2 3" xfId="33216"/>
    <cellStyle name="常规 5 3 4 2 3 2" xfId="23223"/>
    <cellStyle name="常规 5 3 4 2 4" xfId="5016"/>
    <cellStyle name="常规 5 3 4 2 5" xfId="30220"/>
    <cellStyle name="常规 5 3 4 3" xfId="33217"/>
    <cellStyle name="常规 5 3 4 3 2" xfId="33218"/>
    <cellStyle name="常规 5 3 4 3 2 2" xfId="23242"/>
    <cellStyle name="常规 5 3 4 3 3" xfId="33219"/>
    <cellStyle name="常规 5 3 4 3 4" xfId="33220"/>
    <cellStyle name="常规 5 3 4 4" xfId="1413"/>
    <cellStyle name="常规 5 3 4 4 2" xfId="1419"/>
    <cellStyle name="常规 5 3 4 4 2 2" xfId="28798"/>
    <cellStyle name="常规 5 3 4 4 3" xfId="33221"/>
    <cellStyle name="常规 5 3 4 4 4" xfId="33222"/>
    <cellStyle name="常规 5 3 4 5" xfId="1421"/>
    <cellStyle name="常规 5 3 4 5 2" xfId="33223"/>
    <cellStyle name="常规 5 3 4 6" xfId="33224"/>
    <cellStyle name="常规 5 3 4 7" xfId="33225"/>
    <cellStyle name="常规 5 3 4 8" xfId="33226"/>
    <cellStyle name="常规 5 3 5" xfId="33227"/>
    <cellStyle name="常规 5 3 5 2" xfId="33228"/>
    <cellStyle name="常规 5 3 5 2 2" xfId="33229"/>
    <cellStyle name="常规 5 3 5 2 2 2" xfId="23339"/>
    <cellStyle name="常规 5 3 5 2 3" xfId="33230"/>
    <cellStyle name="常规 5 3 5 2 4" xfId="33231"/>
    <cellStyle name="常规 5 3 5 3" xfId="33232"/>
    <cellStyle name="常规 5 3 5 3 2" xfId="33233"/>
    <cellStyle name="常规 5 3 5 4" xfId="1423"/>
    <cellStyle name="常规 5 3 5 5" xfId="33234"/>
    <cellStyle name="常规 5 3 5 6" xfId="33235"/>
    <cellStyle name="常规 5 3 6" xfId="33236"/>
    <cellStyle name="常规 5 3 6 2" xfId="33237"/>
    <cellStyle name="常规 5 3 6 2 2" xfId="33238"/>
    <cellStyle name="常规 5 3 6 3" xfId="33239"/>
    <cellStyle name="常规 5 3 6 4" xfId="313"/>
    <cellStyle name="常规 5 3 7" xfId="26608"/>
    <cellStyle name="常规 5 3 7 2" xfId="26610"/>
    <cellStyle name="常规 5 3 7 2 2" xfId="26612"/>
    <cellStyle name="常规 5 3 7 3" xfId="26615"/>
    <cellStyle name="常规 5 3 7 4" xfId="26618"/>
    <cellStyle name="常规 5 3 8" xfId="26620"/>
    <cellStyle name="常规 5 3 8 2" xfId="26622"/>
    <cellStyle name="常规 5 3 9" xfId="26624"/>
    <cellStyle name="常规 5 3 9 2" xfId="33240"/>
    <cellStyle name="常规 5 4" xfId="33241"/>
    <cellStyle name="常规 5 4 10" xfId="2065"/>
    <cellStyle name="常规 5 4 11" xfId="2080"/>
    <cellStyle name="常规 5 4 12" xfId="25425"/>
    <cellStyle name="常规 5 4 2" xfId="33242"/>
    <cellStyle name="常规 5 4 2 10" xfId="8397"/>
    <cellStyle name="常规 5 4 2 11" xfId="31411"/>
    <cellStyle name="常规 5 4 2 12" xfId="33243"/>
    <cellStyle name="常规 5 4 2 2" xfId="33244"/>
    <cellStyle name="常规 5 4 2 2 10" xfId="2351"/>
    <cellStyle name="常规 5 4 2 2 2" xfId="11143"/>
    <cellStyle name="常规 5 4 2 2 2 2" xfId="11145"/>
    <cellStyle name="常规 5 4 2 2 2 2 2" xfId="1634"/>
    <cellStyle name="常规 5 4 2 2 2 2 2 2" xfId="33247"/>
    <cellStyle name="常规 5 4 2 2 2 2 2 2 2" xfId="33248"/>
    <cellStyle name="常规 5 4 2 2 2 2 2 3" xfId="27092"/>
    <cellStyle name="常规 5 4 2 2 2 2 2 4" xfId="33249"/>
    <cellStyle name="常规 5 4 2 2 2 2 3" xfId="32974"/>
    <cellStyle name="常规 5 4 2 2 2 2 3 2" xfId="33251"/>
    <cellStyle name="常规 5 4 2 2 2 2 4" xfId="32976"/>
    <cellStyle name="常规 5 4 2 2 2 2 5" xfId="29580"/>
    <cellStyle name="常规 5 4 2 2 2 3" xfId="33252"/>
    <cellStyle name="常规 5 4 2 2 2 3 2" xfId="32985"/>
    <cellStyle name="常规 5 4 2 2 2 3 2 2" xfId="33253"/>
    <cellStyle name="常规 5 4 2 2 2 3 3" xfId="33254"/>
    <cellStyle name="常规 5 4 2 2 2 3 4" xfId="33255"/>
    <cellStyle name="常规 5 4 2 2 2 4" xfId="30877"/>
    <cellStyle name="常规 5 4 2 2 2 4 2" xfId="33256"/>
    <cellStyle name="常规 5 4 2 2 2 4 2 2" xfId="33257"/>
    <cellStyle name="常规 5 4 2 2 2 4 3" xfId="33258"/>
    <cellStyle name="常规 5 4 2 2 2 4 4" xfId="33259"/>
    <cellStyle name="常规 5 4 2 2 2 5" xfId="33260"/>
    <cellStyle name="常规 5 4 2 2 2 5 2" xfId="33261"/>
    <cellStyle name="常规 5 4 2 2 2 6" xfId="26862"/>
    <cellStyle name="常规 5 4 2 2 2 7" xfId="7557"/>
    <cellStyle name="常规 5 4 2 2 2 8" xfId="25450"/>
    <cellStyle name="常规 5 4 2 2 3" xfId="5692"/>
    <cellStyle name="常规 5 4 2 2 3 2" xfId="33262"/>
    <cellStyle name="常规 5 4 2 2 3 2 2" xfId="29971"/>
    <cellStyle name="常规 5 4 2 2 3 2 2 2" xfId="29973"/>
    <cellStyle name="常规 5 4 2 2 3 2 3" xfId="29978"/>
    <cellStyle name="常规 5 4 2 2 3 2 4" xfId="29983"/>
    <cellStyle name="常规 5 4 2 2 3 3" xfId="33263"/>
    <cellStyle name="常规 5 4 2 2 3 3 2" xfId="29992"/>
    <cellStyle name="常规 5 4 2 2 3 4" xfId="33264"/>
    <cellStyle name="常规 5 4 2 2 3 5" xfId="33265"/>
    <cellStyle name="常规 5 4 2 2 3 6" xfId="33266"/>
    <cellStyle name="常规 5 4 2 2 4" xfId="11149"/>
    <cellStyle name="常规 5 4 2 2 4 2" xfId="21084"/>
    <cellStyle name="常规 5 4 2 2 4 2 2" xfId="1290"/>
    <cellStyle name="常规 5 4 2 2 4 3" xfId="21086"/>
    <cellStyle name="常规 5 4 2 2 4 4" xfId="33267"/>
    <cellStyle name="常规 5 4 2 2 5" xfId="33268"/>
    <cellStyle name="常规 5 4 2 2 5 2" xfId="33269"/>
    <cellStyle name="常规 5 4 2 2 5 2 2" xfId="30104"/>
    <cellStyle name="常规 5 4 2 2 5 3" xfId="33270"/>
    <cellStyle name="常规 5 4 2 2 5 4" xfId="33271"/>
    <cellStyle name="常规 5 4 2 2 6" xfId="19965"/>
    <cellStyle name="常规 5 4 2 2 6 2" xfId="19967"/>
    <cellStyle name="常规 5 4 2 2 7" xfId="19969"/>
    <cellStyle name="常规 5 4 2 2 7 2" xfId="33272"/>
    <cellStyle name="常规 5 4 2 2 8" xfId="19971"/>
    <cellStyle name="常规 5 4 2 2 9" xfId="33273"/>
    <cellStyle name="常规 5 4 2 3" xfId="33274"/>
    <cellStyle name="常规 5 4 2 3 10" xfId="33275"/>
    <cellStyle name="常规 5 4 2 3 11" xfId="33276"/>
    <cellStyle name="常规 5 4 2 3 2" xfId="33277"/>
    <cellStyle name="常规 5 4 2 3 2 10" xfId="19791"/>
    <cellStyle name="常规 5 4 2 3 2 2" xfId="5740"/>
    <cellStyle name="常规 5 4 2 3 2 2 2" xfId="27490"/>
    <cellStyle name="常规 5 4 2 3 2 2 2 2" xfId="27492"/>
    <cellStyle name="常规 5 4 2 3 2 2 2 2 2" xfId="27494"/>
    <cellStyle name="常规 5 4 2 3 2 2 2 2 2 2" xfId="33278"/>
    <cellStyle name="常规 5 4 2 3 2 2 2 2 3" xfId="33280"/>
    <cellStyle name="常规 5 4 2 3 2 2 2 2 4" xfId="33281"/>
    <cellStyle name="常规 5 4 2 3 2 2 2 3" xfId="27152"/>
    <cellStyle name="常规 5 4 2 3 2 2 2 3 2" xfId="27154"/>
    <cellStyle name="常规 5 4 2 3 2 2 2 4" xfId="22046"/>
    <cellStyle name="常规 5 4 2 3 2 2 2 5" xfId="26482"/>
    <cellStyle name="常规 5 4 2 3 2 2 3" xfId="27498"/>
    <cellStyle name="常规 5 4 2 3 2 2 3 2" xfId="27500"/>
    <cellStyle name="常规 5 4 2 3 2 2 3 2 2" xfId="33282"/>
    <cellStyle name="常规 5 4 2 3 2 2 3 3" xfId="27157"/>
    <cellStyle name="常规 5 4 2 3 2 2 3 4" xfId="29467"/>
    <cellStyle name="常规 5 4 2 3 2 2 4" xfId="27503"/>
    <cellStyle name="常规 5 4 2 3 2 2 4 2" xfId="33283"/>
    <cellStyle name="常规 5 4 2 3 2 2 4 2 2" xfId="33284"/>
    <cellStyle name="常规 5 4 2 3 2 2 4 3" xfId="33285"/>
    <cellStyle name="常规 5 4 2 3 2 2 4 4" xfId="33286"/>
    <cellStyle name="常规 5 4 2 3 2 2 5" xfId="27506"/>
    <cellStyle name="常规 5 4 2 3 2 2 5 2" xfId="33287"/>
    <cellStyle name="常规 5 4 2 3 2 2 6" xfId="27508"/>
    <cellStyle name="常规 5 4 2 3 2 2 7" xfId="33288"/>
    <cellStyle name="常规 5 4 2 3 2 2 8" xfId="33289"/>
    <cellStyle name="常规 5 4 2 3 2 3" xfId="19880"/>
    <cellStyle name="常规 5 4 2 3 2 3 2" xfId="27512"/>
    <cellStyle name="常规 5 4 2 3 2 3 2 2" xfId="27514"/>
    <cellStyle name="常规 5 4 2 3 2 3 2 2 2" xfId="33290"/>
    <cellStyle name="常规 5 4 2 3 2 3 2 3" xfId="27161"/>
    <cellStyle name="常规 5 4 2 3 2 3 2 4" xfId="22058"/>
    <cellStyle name="常规 5 4 2 3 2 3 3" xfId="27516"/>
    <cellStyle name="常规 5 4 2 3 2 3 3 2" xfId="24529"/>
    <cellStyle name="常规 5 4 2 3 2 3 4" xfId="27518"/>
    <cellStyle name="常规 5 4 2 3 2 3 5" xfId="33291"/>
    <cellStyle name="常规 5 4 2 3 2 3 6" xfId="33292"/>
    <cellStyle name="常规 5 4 2 3 2 4" xfId="19883"/>
    <cellStyle name="常规 5 4 2 3 2 4 2" xfId="27520"/>
    <cellStyle name="常规 5 4 2 3 2 4 2 2" xfId="27522"/>
    <cellStyle name="常规 5 4 2 3 2 4 3" xfId="26170"/>
    <cellStyle name="常规 5 4 2 3 2 4 4" xfId="26176"/>
    <cellStyle name="常规 5 4 2 3 2 5" xfId="27524"/>
    <cellStyle name="常规 5 4 2 3 2 5 2" xfId="27526"/>
    <cellStyle name="常规 5 4 2 3 2 5 2 2" xfId="33293"/>
    <cellStyle name="常规 5 4 2 3 2 5 3" xfId="26182"/>
    <cellStyle name="常规 5 4 2 3 2 5 4" xfId="29717"/>
    <cellStyle name="常规 5 4 2 3 2 6" xfId="27528"/>
    <cellStyle name="常规 5 4 2 3 2 6 2" xfId="27530"/>
    <cellStyle name="常规 5 4 2 3 2 7" xfId="27532"/>
    <cellStyle name="常规 5 4 2 3 2 7 2" xfId="33294"/>
    <cellStyle name="常规 5 4 2 3 2 8" xfId="25461"/>
    <cellStyle name="常规 5 4 2 3 2 9" xfId="33295"/>
    <cellStyle name="常规 5 4 2 3 3" xfId="33296"/>
    <cellStyle name="常规 5 4 2 3 3 2" xfId="19895"/>
    <cellStyle name="常规 5 4 2 3 3 2 2" xfId="27581"/>
    <cellStyle name="常规 5 4 2 3 3 2 2 2" xfId="27584"/>
    <cellStyle name="常规 5 4 2 3 3 2 2 2 2" xfId="27588"/>
    <cellStyle name="常规 5 4 2 3 3 2 2 3" xfId="15348"/>
    <cellStyle name="常规 5 4 2 3 3 2 2 4" xfId="27605"/>
    <cellStyle name="常规 5 4 2 3 3 2 3" xfId="27609"/>
    <cellStyle name="常规 5 4 2 3 3 2 3 2" xfId="27612"/>
    <cellStyle name="常规 5 4 2 3 3 2 4" xfId="27623"/>
    <cellStyle name="常规 5 4 2 3 3 2 5" xfId="3603"/>
    <cellStyle name="常规 5 4 2 3 3 3" xfId="27630"/>
    <cellStyle name="常规 5 4 2 3 3 3 2" xfId="16325"/>
    <cellStyle name="常规 5 4 2 3 3 3 2 2" xfId="27633"/>
    <cellStyle name="常规 5 4 2 3 3 3 3" xfId="16329"/>
    <cellStyle name="常规 5 4 2 3 3 3 4" xfId="27642"/>
    <cellStyle name="常规 5 4 2 3 3 4" xfId="24132"/>
    <cellStyle name="常规 5 4 2 3 3 4 2" xfId="16343"/>
    <cellStyle name="常规 5 4 2 3 3 4 2 2" xfId="24136"/>
    <cellStyle name="常规 5 4 2 3 3 4 3" xfId="24152"/>
    <cellStyle name="常规 5 4 2 3 3 4 4" xfId="24161"/>
    <cellStyle name="常规 5 4 2 3 3 5" xfId="24171"/>
    <cellStyle name="常规 5 4 2 3 3 5 2" xfId="16352"/>
    <cellStyle name="常规 5 4 2 3 3 6" xfId="24187"/>
    <cellStyle name="常规 5 4 2 3 3 7" xfId="24194"/>
    <cellStyle name="常规 5 4 2 3 3 8" xfId="24197"/>
    <cellStyle name="常规 5 4 2 3 4" xfId="33297"/>
    <cellStyle name="常规 5 4 2 3 4 2" xfId="12077"/>
    <cellStyle name="常规 5 4 2 3 4 2 2" xfId="12081"/>
    <cellStyle name="常规 5 4 2 3 4 2 2 2" xfId="27653"/>
    <cellStyle name="常规 5 4 2 3 4 2 3" xfId="27657"/>
    <cellStyle name="常规 5 4 2 3 4 2 4" xfId="27660"/>
    <cellStyle name="常规 5 4 2 3 4 3" xfId="12084"/>
    <cellStyle name="常规 5 4 2 3 4 3 2" xfId="16367"/>
    <cellStyle name="常规 5 4 2 3 4 4" xfId="12088"/>
    <cellStyle name="常规 5 4 2 3 4 5" xfId="24253"/>
    <cellStyle name="常规 5 4 2 3 4 6" xfId="24284"/>
    <cellStyle name="常规 5 4 2 3 5" xfId="33298"/>
    <cellStyle name="常规 5 4 2 3 5 2" xfId="27669"/>
    <cellStyle name="常规 5 4 2 3 5 2 2" xfId="27672"/>
    <cellStyle name="常规 5 4 2 3 5 3" xfId="27674"/>
    <cellStyle name="常规 5 4 2 3 5 4" xfId="24307"/>
    <cellStyle name="常规 5 4 2 3 6" xfId="19974"/>
    <cellStyle name="常规 5 4 2 3 6 2" xfId="19978"/>
    <cellStyle name="常规 5 4 2 3 6 2 2" xfId="27693"/>
    <cellStyle name="常规 5 4 2 3 6 3" xfId="27679"/>
    <cellStyle name="常规 5 4 2 3 6 4" xfId="22199"/>
    <cellStyle name="常规 5 4 2 3 7" xfId="19981"/>
    <cellStyle name="常规 5 4 2 3 7 2" xfId="27685"/>
    <cellStyle name="常规 5 4 2 3 8" xfId="19984"/>
    <cellStyle name="常规 5 4 2 3 8 2" xfId="27700"/>
    <cellStyle name="常规 5 4 2 3 9" xfId="27704"/>
    <cellStyle name="常规 5 4 2 4" xfId="32859"/>
    <cellStyle name="常规 5 4 2 4 2" xfId="32861"/>
    <cellStyle name="常规 5 4 2 4 2 2" xfId="19988"/>
    <cellStyle name="常规 5 4 2 4 2 2 2" xfId="19992"/>
    <cellStyle name="常规 5 4 2 4 2 2 2 2" xfId="27711"/>
    <cellStyle name="常规 5 4 2 4 2 2 3" xfId="27717"/>
    <cellStyle name="常规 5 4 2 4 2 2 4" xfId="27721"/>
    <cellStyle name="常规 5 4 2 4 2 3" xfId="19999"/>
    <cellStyle name="常规 5 4 2 4 2 3 2" xfId="20003"/>
    <cellStyle name="常规 5 4 2 4 2 4" xfId="20009"/>
    <cellStyle name="常规 5 4 2 4 2 5" xfId="20013"/>
    <cellStyle name="常规 5 4 2 4 3" xfId="32863"/>
    <cellStyle name="常规 5 4 2 4 3 2" xfId="20048"/>
    <cellStyle name="常规 5 4 2 4 3 2 2" xfId="27745"/>
    <cellStyle name="常规 5 4 2 4 3 3" xfId="20052"/>
    <cellStyle name="常规 5 4 2 4 3 4" xfId="20056"/>
    <cellStyle name="常规 5 4 2 4 4" xfId="32865"/>
    <cellStyle name="常规 5 4 2 4 4 2" xfId="20066"/>
    <cellStyle name="常规 5 4 2 4 4 2 2" xfId="15211"/>
    <cellStyle name="常规 5 4 2 4 4 3" xfId="27761"/>
    <cellStyle name="常规 5 4 2 4 4 4" xfId="24424"/>
    <cellStyle name="常规 5 4 2 4 5" xfId="32867"/>
    <cellStyle name="常规 5 4 2 4 5 2" xfId="27765"/>
    <cellStyle name="常规 5 4 2 4 6" xfId="19993"/>
    <cellStyle name="常规 5 4 2 4 7" xfId="27718"/>
    <cellStyle name="常规 5 4 2 4 8" xfId="27722"/>
    <cellStyle name="常规 5 4 2 5" xfId="32869"/>
    <cellStyle name="常规 5 4 2 5 2" xfId="32871"/>
    <cellStyle name="常规 5 4 2 5 2 2" xfId="27781"/>
    <cellStyle name="常规 5 4 2 5 2 2 2" xfId="27784"/>
    <cellStyle name="常规 5 4 2 5 2 3" xfId="4354"/>
    <cellStyle name="常规 5 4 2 5 2 4" xfId="2655"/>
    <cellStyle name="常规 5 4 2 5 3" xfId="32873"/>
    <cellStyle name="常规 5 4 2 5 3 2" xfId="27790"/>
    <cellStyle name="常规 5 4 2 5 4" xfId="32875"/>
    <cellStyle name="常规 5 4 2 5 5" xfId="33299"/>
    <cellStyle name="常规 5 4 2 5 6" xfId="20004"/>
    <cellStyle name="常规 5 4 2 6" xfId="32877"/>
    <cellStyle name="常规 5 4 2 6 2" xfId="32879"/>
    <cellStyle name="常规 5 4 2 6 2 2" xfId="27806"/>
    <cellStyle name="常规 5 4 2 6 3" xfId="7799"/>
    <cellStyle name="常规 5 4 2 6 4" xfId="32881"/>
    <cellStyle name="常规 5 4 2 7" xfId="22347"/>
    <cellStyle name="常规 5 4 2 7 2" xfId="22350"/>
    <cellStyle name="常规 5 4 2 7 2 2" xfId="33300"/>
    <cellStyle name="常规 5 4 2 7 3" xfId="33301"/>
    <cellStyle name="常规 5 4 2 7 4" xfId="33302"/>
    <cellStyle name="常规 5 4 2 8" xfId="22353"/>
    <cellStyle name="常规 5 4 2 8 2" xfId="29640"/>
    <cellStyle name="常规 5 4 2 9" xfId="22356"/>
    <cellStyle name="常规 5 4 2 9 2" xfId="33303"/>
    <cellStyle name="常规 5 4 3" xfId="33304"/>
    <cellStyle name="常规 5 4 3 10" xfId="33305"/>
    <cellStyle name="常规 5 4 3 11" xfId="33307"/>
    <cellStyle name="常规 5 4 3 2" xfId="33308"/>
    <cellStyle name="常规 5 4 3 2 10" xfId="20230"/>
    <cellStyle name="常规 5 4 3 2 2" xfId="33309"/>
    <cellStyle name="常规 5 4 3 2 2 2" xfId="33310"/>
    <cellStyle name="常规 5 4 3 2 2 2 2" xfId="33311"/>
    <cellStyle name="常规 5 4 3 2 2 2 2 2" xfId="16824"/>
    <cellStyle name="常规 5 4 3 2 2 2 2 2 2" xfId="16827"/>
    <cellStyle name="常规 5 4 3 2 2 2 2 3" xfId="16830"/>
    <cellStyle name="常规 5 4 3 2 2 2 2 4" xfId="16832"/>
    <cellStyle name="常规 5 4 3 2 2 2 3" xfId="33312"/>
    <cellStyle name="常规 5 4 3 2 2 2 3 2" xfId="16838"/>
    <cellStyle name="常规 5 4 3 2 2 2 4" xfId="31519"/>
    <cellStyle name="常规 5 4 3 2 2 2 5" xfId="29624"/>
    <cellStyle name="常规 5 4 3 2 2 3" xfId="28132"/>
    <cellStyle name="常规 5 4 3 2 2 3 2" xfId="33313"/>
    <cellStyle name="常规 5 4 3 2 2 3 2 2" xfId="16882"/>
    <cellStyle name="常规 5 4 3 2 2 3 3" xfId="33314"/>
    <cellStyle name="常规 5 4 3 2 2 3 4" xfId="31524"/>
    <cellStyle name="常规 5 4 3 2 2 4" xfId="696"/>
    <cellStyle name="常规 5 4 3 2 2 4 2" xfId="33315"/>
    <cellStyle name="常规 5 4 3 2 2 4 2 2" xfId="33316"/>
    <cellStyle name="常规 5 4 3 2 2 4 3" xfId="33317"/>
    <cellStyle name="常规 5 4 3 2 2 4 4" xfId="31527"/>
    <cellStyle name="常规 5 4 3 2 2 5" xfId="33318"/>
    <cellStyle name="常规 5 4 3 2 2 5 2" xfId="33319"/>
    <cellStyle name="常规 5 4 3 2 2 6" xfId="33320"/>
    <cellStyle name="常规 5 4 3 2 2 7" xfId="13224"/>
    <cellStyle name="常规 5 4 3 2 2 8" xfId="25480"/>
    <cellStyle name="常规 5 4 3 2 3" xfId="6281"/>
    <cellStyle name="常规 5 4 3 2 3 2" xfId="33321"/>
    <cellStyle name="常规 5 4 3 2 3 2 2" xfId="30759"/>
    <cellStyle name="常规 5 4 3 2 3 2 2 2" xfId="32324"/>
    <cellStyle name="常规 5 4 3 2 3 2 3" xfId="32328"/>
    <cellStyle name="常规 5 4 3 2 3 2 4" xfId="31560"/>
    <cellStyle name="常规 5 4 3 2 3 3" xfId="33322"/>
    <cellStyle name="常规 5 4 3 2 3 3 2" xfId="32342"/>
    <cellStyle name="常规 5 4 3 2 3 4" xfId="2601"/>
    <cellStyle name="常规 5 4 3 2 3 5" xfId="33323"/>
    <cellStyle name="常规 5 4 3 2 3 6" xfId="33324"/>
    <cellStyle name="常规 5 4 3 2 4" xfId="10037"/>
    <cellStyle name="常规 5 4 3 2 4 2" xfId="33325"/>
    <cellStyle name="常规 5 4 3 2 4 2 2" xfId="11789"/>
    <cellStyle name="常规 5 4 3 2 4 3" xfId="33326"/>
    <cellStyle name="常规 5 4 3 2 4 4" xfId="33327"/>
    <cellStyle name="常规 5 4 3 2 5" xfId="33328"/>
    <cellStyle name="常规 5 4 3 2 5 2" xfId="33329"/>
    <cellStyle name="常规 5 4 3 2 5 2 2" xfId="12338"/>
    <cellStyle name="常规 5 4 3 2 5 3" xfId="33330"/>
    <cellStyle name="常规 5 4 3 2 5 4" xfId="33331"/>
    <cellStyle name="常规 5 4 3 2 6" xfId="20030"/>
    <cellStyle name="常规 5 4 3 2 6 2" xfId="20033"/>
    <cellStyle name="常规 5 4 3 2 7" xfId="20035"/>
    <cellStyle name="常规 5 4 3 2 7 2" xfId="33332"/>
    <cellStyle name="常规 5 4 3 2 8" xfId="20037"/>
    <cellStyle name="常规 5 4 3 2 9" xfId="33333"/>
    <cellStyle name="常规 5 4 3 3" xfId="33334"/>
    <cellStyle name="常规 5 4 3 3 2" xfId="33335"/>
    <cellStyle name="常规 5 4 3 3 2 2" xfId="20179"/>
    <cellStyle name="常规 5 4 3 3 2 2 2" xfId="27852"/>
    <cellStyle name="常规 5 4 3 3 2 2 2 2" xfId="27854"/>
    <cellStyle name="常规 5 4 3 3 2 2 3" xfId="27857"/>
    <cellStyle name="常规 5 4 3 3 2 2 4" xfId="27861"/>
    <cellStyle name="常规 5 4 3 3 2 3" xfId="20182"/>
    <cellStyle name="常规 5 4 3 3 2 3 2" xfId="27865"/>
    <cellStyle name="常规 5 4 3 3 2 4" xfId="9682"/>
    <cellStyle name="常规 5 4 3 3 2 5" xfId="27872"/>
    <cellStyle name="常规 5 4 3 3 3" xfId="33336"/>
    <cellStyle name="常规 5 4 3 3 3 2" xfId="20195"/>
    <cellStyle name="常规 5 4 3 3 3 2 2" xfId="27916"/>
    <cellStyle name="常规 5 4 3 3 3 3" xfId="27959"/>
    <cellStyle name="常规 5 4 3 3 3 4" xfId="24539"/>
    <cellStyle name="常规 5 4 3 3 4" xfId="33337"/>
    <cellStyle name="常规 5 4 3 3 4 2" xfId="27986"/>
    <cellStyle name="常规 5 4 3 3 4 2 2" xfId="27990"/>
    <cellStyle name="常规 5 4 3 3 4 3" xfId="27996"/>
    <cellStyle name="常规 5 4 3 3 4 4" xfId="24608"/>
    <cellStyle name="常规 5 4 3 3 5" xfId="33338"/>
    <cellStyle name="常规 5 4 3 3 5 2" xfId="28010"/>
    <cellStyle name="常规 5 4 3 3 6" xfId="20044"/>
    <cellStyle name="常规 5 4 3 3 7" xfId="27739"/>
    <cellStyle name="常规 5 4 3 3 8" xfId="27743"/>
    <cellStyle name="常规 5 4 3 4" xfId="21"/>
    <cellStyle name="常规 5 4 3 4 2" xfId="1447"/>
    <cellStyle name="常规 5 4 3 4 2 2" xfId="1456"/>
    <cellStyle name="常规 5 4 3 4 2 2 2" xfId="1461"/>
    <cellStyle name="常规 5 4 3 4 2 3" xfId="1468"/>
    <cellStyle name="常规 5 4 3 4 2 4" xfId="28054"/>
    <cellStyle name="常规 5 4 3 4 3" xfId="1473"/>
    <cellStyle name="常规 5 4 3 4 3 2" xfId="1483"/>
    <cellStyle name="常规 5 4 3 4 4" xfId="1488"/>
    <cellStyle name="常规 5 4 3 4 5" xfId="547"/>
    <cellStyle name="常规 5 4 3 4 6" xfId="27746"/>
    <cellStyle name="常规 5 4 3 5" xfId="1495"/>
    <cellStyle name="常规 5 4 3 5 2" xfId="1499"/>
    <cellStyle name="常规 5 4 3 5 2 2" xfId="869"/>
    <cellStyle name="常规 5 4 3 5 3" xfId="1507"/>
    <cellStyle name="常规 5 4 3 5 4" xfId="16406"/>
    <cellStyle name="常规 5 4 3 6" xfId="1511"/>
    <cellStyle name="常规 5 4 3 6 2" xfId="1520"/>
    <cellStyle name="常规 5 4 3 6 2 2" xfId="3430"/>
    <cellStyle name="常规 5 4 3 6 3" xfId="3450"/>
    <cellStyle name="常规 5 4 3 6 4" xfId="16414"/>
    <cellStyle name="常规 5 4 3 7" xfId="804"/>
    <cellStyle name="常规 5 4 3 7 2" xfId="814"/>
    <cellStyle name="常规 5 4 3 8" xfId="835"/>
    <cellStyle name="常规 5 4 3 8 2" xfId="33339"/>
    <cellStyle name="常规 5 4 3 9" xfId="867"/>
    <cellStyle name="常规 5 4 4" xfId="33340"/>
    <cellStyle name="常规 5 4 4 2" xfId="33341"/>
    <cellStyle name="常规 5 4 4 2 2" xfId="33342"/>
    <cellStyle name="常规 5 4 4 2 2 2" xfId="28972"/>
    <cellStyle name="常规 5 4 4 2 2 2 2" xfId="33343"/>
    <cellStyle name="常规 5 4 4 2 2 3" xfId="28974"/>
    <cellStyle name="常规 5 4 4 2 2 4" xfId="28976"/>
    <cellStyle name="常规 5 4 4 2 3" xfId="33344"/>
    <cellStyle name="常规 5 4 4 2 3 2" xfId="28984"/>
    <cellStyle name="常规 5 4 4 2 4" xfId="1391"/>
    <cellStyle name="常规 5 4 4 2 5" xfId="33345"/>
    <cellStyle name="常规 5 4 4 3" xfId="33346"/>
    <cellStyle name="常规 5 4 4 3 2" xfId="33347"/>
    <cellStyle name="常规 5 4 4 3 2 2" xfId="28147"/>
    <cellStyle name="常规 5 4 4 3 3" xfId="33348"/>
    <cellStyle name="常规 5 4 4 3 4" xfId="5099"/>
    <cellStyle name="常规 5 4 4 4" xfId="1531"/>
    <cellStyle name="常规 5 4 4 4 2" xfId="1536"/>
    <cellStyle name="常规 5 4 4 4 2 2" xfId="1540"/>
    <cellStyle name="常规 5 4 4 4 3" xfId="1334"/>
    <cellStyle name="常规 5 4 4 4 4" xfId="14972"/>
    <cellStyle name="常规 5 4 4 5" xfId="1544"/>
    <cellStyle name="常规 5 4 4 5 2" xfId="258"/>
    <cellStyle name="常规 5 4 4 6" xfId="1072"/>
    <cellStyle name="常规 5 4 4 7" xfId="887"/>
    <cellStyle name="常规 5 4 4 8" xfId="16491"/>
    <cellStyle name="常规 5 4 5" xfId="33349"/>
    <cellStyle name="常规 5 4 5 2" xfId="11807"/>
    <cellStyle name="常规 5 4 5 2 2" xfId="11809"/>
    <cellStyle name="常规 5 4 5 2 2 2" xfId="11812"/>
    <cellStyle name="常规 5 4 5 2 3" xfId="11814"/>
    <cellStyle name="常规 5 4 5 2 4" xfId="5200"/>
    <cellStyle name="常规 5 4 5 3" xfId="11816"/>
    <cellStyle name="常规 5 4 5 3 2" xfId="11818"/>
    <cellStyle name="常规 5 4 5 4" xfId="1559"/>
    <cellStyle name="常规 5 4 5 5" xfId="1567"/>
    <cellStyle name="常规 5 4 5 6" xfId="11825"/>
    <cellStyle name="常规 5 4 6" xfId="20502"/>
    <cellStyle name="常规 5 4 6 2" xfId="11832"/>
    <cellStyle name="常规 5 4 6 2 2" xfId="11834"/>
    <cellStyle name="常规 5 4 6 3" xfId="11836"/>
    <cellStyle name="常规 5 4 6 4" xfId="65"/>
    <cellStyle name="常规 5 4 7" xfId="26629"/>
    <cellStyle name="常规 5 4 7 2" xfId="9672"/>
    <cellStyle name="常规 5 4 7 2 2" xfId="33350"/>
    <cellStyle name="常规 5 4 7 3" xfId="9674"/>
    <cellStyle name="常规 5 4 7 4" xfId="500"/>
    <cellStyle name="常规 5 4 8" xfId="26631"/>
    <cellStyle name="常规 5 4 8 2" xfId="9706"/>
    <cellStyle name="常规 5 4 9" xfId="26633"/>
    <cellStyle name="常规 5 4 9 2" xfId="33351"/>
    <cellStyle name="常规 5 5" xfId="33352"/>
    <cellStyle name="常规 5 5 10" xfId="33353"/>
    <cellStyle name="常规 5 5 11" xfId="33354"/>
    <cellStyle name="常规 5 5 12" xfId="33355"/>
    <cellStyle name="常规 5 5 2" xfId="33356"/>
    <cellStyle name="常规 5 5 2 10" xfId="8806"/>
    <cellStyle name="常规 5 5 2 11" xfId="8830"/>
    <cellStyle name="常规 5 5 2 12" xfId="8835"/>
    <cellStyle name="常规 5 5 2 2" xfId="19162"/>
    <cellStyle name="常规 5 5 2 2 10" xfId="19459"/>
    <cellStyle name="常规 5 5 2 2 2" xfId="19165"/>
    <cellStyle name="常规 5 5 2 2 2 2" xfId="19168"/>
    <cellStyle name="常规 5 5 2 2 2 2 2" xfId="33357"/>
    <cellStyle name="常规 5 5 2 2 2 2 2 2" xfId="33358"/>
    <cellStyle name="常规 5 5 2 2 2 2 2 2 2" xfId="1556"/>
    <cellStyle name="常规 5 5 2 2 2 2 2 3" xfId="27320"/>
    <cellStyle name="常规 5 5 2 2 2 2 2 4" xfId="32125"/>
    <cellStyle name="常规 5 5 2 2 2 2 3" xfId="33359"/>
    <cellStyle name="常规 5 5 2 2 2 2 3 2" xfId="33360"/>
    <cellStyle name="常规 5 5 2 2 2 2 4" xfId="32449"/>
    <cellStyle name="常规 5 5 2 2 2 2 5" xfId="32451"/>
    <cellStyle name="常规 5 5 2 2 2 3" xfId="27822"/>
    <cellStyle name="常规 5 5 2 2 2 3 2" xfId="33361"/>
    <cellStyle name="常规 5 5 2 2 2 3 2 2" xfId="33362"/>
    <cellStyle name="常规 5 5 2 2 2 3 3" xfId="33363"/>
    <cellStyle name="常规 5 5 2 2 2 3 4" xfId="33364"/>
    <cellStyle name="常规 5 5 2 2 2 4" xfId="27826"/>
    <cellStyle name="常规 5 5 2 2 2 4 2" xfId="30922"/>
    <cellStyle name="常规 5 5 2 2 2 4 2 2" xfId="33365"/>
    <cellStyle name="常规 5 5 2 2 2 4 3" xfId="33366"/>
    <cellStyle name="常规 5 5 2 2 2 4 4" xfId="33367"/>
    <cellStyle name="常规 5 5 2 2 2 5" xfId="27829"/>
    <cellStyle name="常规 5 5 2 2 2 5 2" xfId="33368"/>
    <cellStyle name="常规 5 5 2 2 2 6" xfId="30924"/>
    <cellStyle name="常规 5 5 2 2 2 7" xfId="33369"/>
    <cellStyle name="常规 5 5 2 2 2 8" xfId="25516"/>
    <cellStyle name="常规 5 5 2 2 3" xfId="6929"/>
    <cellStyle name="常规 5 5 2 2 3 2" xfId="4911"/>
    <cellStyle name="常规 5 5 2 2 3 2 2" xfId="4915"/>
    <cellStyle name="常规 5 5 2 2 3 2 2 2" xfId="33370"/>
    <cellStyle name="常规 5 5 2 2 3 2 3" xfId="33371"/>
    <cellStyle name="常规 5 5 2 2 3 2 4" xfId="33372"/>
    <cellStyle name="常规 5 5 2 2 3 3" xfId="4919"/>
    <cellStyle name="常规 5 5 2 2 3 3 2" xfId="625"/>
    <cellStyle name="常规 5 5 2 2 3 4" xfId="4926"/>
    <cellStyle name="常规 5 5 2 2 3 5" xfId="2361"/>
    <cellStyle name="常规 5 5 2 2 3 6" xfId="33373"/>
    <cellStyle name="常规 5 5 2 2 4" xfId="6933"/>
    <cellStyle name="常规 5 5 2 2 4 2" xfId="21438"/>
    <cellStyle name="常规 5 5 2 2 4 2 2" xfId="17855"/>
    <cellStyle name="常规 5 5 2 2 4 3" xfId="21440"/>
    <cellStyle name="常规 5 5 2 2 4 4" xfId="20615"/>
    <cellStyle name="常规 5 5 2 2 5" xfId="33374"/>
    <cellStyle name="常规 5 5 2 2 5 2" xfId="33375"/>
    <cellStyle name="常规 5 5 2 2 5 2 2" xfId="17939"/>
    <cellStyle name="常规 5 5 2 2 5 3" xfId="33376"/>
    <cellStyle name="常规 5 5 2 2 5 4" xfId="20691"/>
    <cellStyle name="常规 5 5 2 2 6" xfId="33377"/>
    <cellStyle name="常规 5 5 2 2 6 2" xfId="17672"/>
    <cellStyle name="常规 5 5 2 2 7" xfId="33378"/>
    <cellStyle name="常规 5 5 2 2 7 2" xfId="33379"/>
    <cellStyle name="常规 5 5 2 2 8" xfId="33380"/>
    <cellStyle name="常规 5 5 2 2 9" xfId="32151"/>
    <cellStyle name="常规 5 5 2 3" xfId="19172"/>
    <cellStyle name="常规 5 5 2 3 10" xfId="33106"/>
    <cellStyle name="常规 5 5 2 3 11" xfId="33381"/>
    <cellStyle name="常规 5 5 2 3 2" xfId="19175"/>
    <cellStyle name="常规 5 5 2 3 2 10" xfId="14258"/>
    <cellStyle name="常规 5 5 2 3 2 2" xfId="7095"/>
    <cellStyle name="常规 5 5 2 3 2 2 2" xfId="28930"/>
    <cellStyle name="常规 5 5 2 3 2 2 2 2" xfId="33382"/>
    <cellStyle name="常规 5 5 2 3 2 2 2 2 2" xfId="4769"/>
    <cellStyle name="常规 5 5 2 3 2 2 2 2 2 2" xfId="33383"/>
    <cellStyle name="常规 5 5 2 3 2 2 2 2 3" xfId="33384"/>
    <cellStyle name="常规 5 5 2 3 2 2 2 2 4" xfId="29392"/>
    <cellStyle name="常规 5 5 2 3 2 2 2 3" xfId="25783"/>
    <cellStyle name="常规 5 5 2 3 2 2 2 3 2" xfId="25973"/>
    <cellStyle name="常规 5 5 2 3 2 2 2 4" xfId="27356"/>
    <cellStyle name="常规 5 5 2 3 2 2 2 5" xfId="27358"/>
    <cellStyle name="常规 5 5 2 3 2 2 3" xfId="24567"/>
    <cellStyle name="常规 5 5 2 3 2 2 3 2" xfId="33385"/>
    <cellStyle name="常规 5 5 2 3 2 2 3 2 2" xfId="29691"/>
    <cellStyle name="常规 5 5 2 3 2 2 3 3" xfId="27360"/>
    <cellStyle name="常规 5 5 2 3 2 2 3 4" xfId="32334"/>
    <cellStyle name="常规 5 5 2 3 2 2 4" xfId="33386"/>
    <cellStyle name="常规 5 5 2 3 2 2 4 2" xfId="33387"/>
    <cellStyle name="常规 5 5 2 3 2 2 4 2 2" xfId="29776"/>
    <cellStyle name="常规 5 5 2 3 2 2 4 3" xfId="33388"/>
    <cellStyle name="常规 5 5 2 3 2 2 4 4" xfId="33389"/>
    <cellStyle name="常规 5 5 2 3 2 2 5" xfId="33390"/>
    <cellStyle name="常规 5 5 2 3 2 2 5 2" xfId="33391"/>
    <cellStyle name="常规 5 5 2 3 2 2 6" xfId="33392"/>
    <cellStyle name="常规 5 5 2 3 2 2 7" xfId="33393"/>
    <cellStyle name="常规 5 5 2 3 2 2 8" xfId="33394"/>
    <cellStyle name="常规 5 5 2 3 2 3" xfId="20377"/>
    <cellStyle name="常规 5 5 2 3 2 3 2" xfId="33395"/>
    <cellStyle name="常规 5 5 2 3 2 3 2 2" xfId="33396"/>
    <cellStyle name="常规 5 5 2 3 2 3 2 2 2" xfId="154"/>
    <cellStyle name="常规 5 5 2 3 2 3 2 3" xfId="9379"/>
    <cellStyle name="常规 5 5 2 3 2 3 2 4" xfId="33397"/>
    <cellStyle name="常规 5 5 2 3 2 3 3" xfId="33398"/>
    <cellStyle name="常规 5 5 2 3 2 3 3 2" xfId="33399"/>
    <cellStyle name="常规 5 5 2 3 2 3 4" xfId="33400"/>
    <cellStyle name="常规 5 5 2 3 2 3 5" xfId="19128"/>
    <cellStyle name="常规 5 5 2 3 2 3 6" xfId="19130"/>
    <cellStyle name="常规 5 5 2 3 2 4" xfId="20381"/>
    <cellStyle name="常规 5 5 2 3 2 4 2" xfId="33401"/>
    <cellStyle name="常规 5 5 2 3 2 4 2 2" xfId="33402"/>
    <cellStyle name="常规 5 5 2 3 2 4 3" xfId="26334"/>
    <cellStyle name="常规 5 5 2 3 2 4 4" xfId="14896"/>
    <cellStyle name="常规 5 5 2 3 2 5" xfId="33403"/>
    <cellStyle name="常规 5 5 2 3 2 5 2" xfId="33404"/>
    <cellStyle name="常规 5 5 2 3 2 5 2 2" xfId="19627"/>
    <cellStyle name="常规 5 5 2 3 2 5 3" xfId="33405"/>
    <cellStyle name="常规 5 5 2 3 2 5 4" xfId="33406"/>
    <cellStyle name="常规 5 5 2 3 2 6" xfId="33407"/>
    <cellStyle name="常规 5 5 2 3 2 6 2" xfId="33408"/>
    <cellStyle name="常规 5 5 2 3 2 7" xfId="33409"/>
    <cellStyle name="常规 5 5 2 3 2 7 2" xfId="33410"/>
    <cellStyle name="常规 5 5 2 3 2 8" xfId="33411"/>
    <cellStyle name="常规 5 5 2 3 2 9" xfId="6054"/>
    <cellStyle name="常规 5 5 2 3 3" xfId="6936"/>
    <cellStyle name="常规 5 5 2 3 3 2" xfId="5653"/>
    <cellStyle name="常规 5 5 2 3 3 2 2" xfId="33412"/>
    <cellStyle name="常规 5 5 2 3 3 2 2 2" xfId="25048"/>
    <cellStyle name="常规 5 5 2 3 3 2 2 2 2" xfId="33413"/>
    <cellStyle name="常规 5 5 2 3 3 2 2 3" xfId="27366"/>
    <cellStyle name="常规 5 5 2 3 3 2 2 4" xfId="33414"/>
    <cellStyle name="常规 5 5 2 3 3 2 3" xfId="33415"/>
    <cellStyle name="常规 5 5 2 3 3 2 3 2" xfId="33416"/>
    <cellStyle name="常规 5 5 2 3 3 2 4" xfId="18716"/>
    <cellStyle name="常规 5 5 2 3 3 2 5" xfId="33417"/>
    <cellStyle name="常规 5 5 2 3 3 3" xfId="28932"/>
    <cellStyle name="常规 5 5 2 3 3 3 2" xfId="33419"/>
    <cellStyle name="常规 5 5 2 3 3 3 2 2" xfId="33420"/>
    <cellStyle name="常规 5 5 2 3 3 3 3" xfId="33422"/>
    <cellStyle name="常规 5 5 2 3 3 3 4" xfId="33423"/>
    <cellStyle name="常规 5 5 2 3 3 4" xfId="29138"/>
    <cellStyle name="常规 5 5 2 3 3 4 2" xfId="29140"/>
    <cellStyle name="常规 5 5 2 3 3 4 2 2" xfId="8927"/>
    <cellStyle name="常规 5 5 2 3 3 4 3" xfId="29148"/>
    <cellStyle name="常规 5 5 2 3 3 4 4" xfId="29154"/>
    <cellStyle name="常规 5 5 2 3 3 5" xfId="29170"/>
    <cellStyle name="常规 5 5 2 3 3 5 2" xfId="29172"/>
    <cellStyle name="常规 5 5 2 3 3 6" xfId="29181"/>
    <cellStyle name="常规 5 5 2 3 3 7" xfId="29187"/>
    <cellStyle name="常规 5 5 2 3 3 8" xfId="29189"/>
    <cellStyle name="常规 5 5 2 3 4" xfId="33424"/>
    <cellStyle name="常规 5 5 2 3 4 2" xfId="28934"/>
    <cellStyle name="常规 5 5 2 3 4 2 2" xfId="18075"/>
    <cellStyle name="常规 5 5 2 3 4 2 2 2" xfId="9221"/>
    <cellStyle name="常规 5 5 2 3 4 2 3" xfId="31916"/>
    <cellStyle name="常规 5 5 2 3 4 2 4" xfId="31919"/>
    <cellStyle name="常规 5 5 2 3 4 3" xfId="28936"/>
    <cellStyle name="常规 5 5 2 3 4 3 2" xfId="33425"/>
    <cellStyle name="常规 5 5 2 3 4 4" xfId="20737"/>
    <cellStyle name="常规 5 5 2 3 4 5" xfId="20747"/>
    <cellStyle name="常规 5 5 2 3 4 6" xfId="20752"/>
    <cellStyle name="常规 5 5 2 3 5" xfId="33426"/>
    <cellStyle name="常规 5 5 2 3 5 2" xfId="33427"/>
    <cellStyle name="常规 5 5 2 3 5 2 2" xfId="33428"/>
    <cellStyle name="常规 5 5 2 3 5 3" xfId="33429"/>
    <cellStyle name="常规 5 5 2 3 5 4" xfId="20759"/>
    <cellStyle name="常规 5 5 2 3 6" xfId="27774"/>
    <cellStyle name="常规 5 5 2 3 6 2" xfId="17687"/>
    <cellStyle name="常规 5 5 2 3 6 2 2" xfId="33430"/>
    <cellStyle name="常规 5 5 2 3 6 3" xfId="33431"/>
    <cellStyle name="常规 5 5 2 3 6 4" xfId="20768"/>
    <cellStyle name="常规 5 5 2 3 7" xfId="27776"/>
    <cellStyle name="常规 5 5 2 3 7 2" xfId="33432"/>
    <cellStyle name="常规 5 5 2 3 8" xfId="27778"/>
    <cellStyle name="常规 5 5 2 3 8 2" xfId="33433"/>
    <cellStyle name="常规 5 5 2 3 9" xfId="33434"/>
    <cellStyle name="常规 5 5 2 4" xfId="19178"/>
    <cellStyle name="常规 5 5 2 4 2" xfId="32886"/>
    <cellStyle name="常规 5 5 2 4 2 2" xfId="20467"/>
    <cellStyle name="常规 5 5 2 4 2 2 2" xfId="20473"/>
    <cellStyle name="常规 5 5 2 4 2 2 2 2" xfId="32889"/>
    <cellStyle name="常规 5 5 2 4 2 2 3" xfId="29399"/>
    <cellStyle name="常规 5 5 2 4 2 2 4" xfId="32891"/>
    <cellStyle name="常规 5 5 2 4 2 3" xfId="20479"/>
    <cellStyle name="常规 5 5 2 4 2 3 2" xfId="20484"/>
    <cellStyle name="常规 5 5 2 4 2 4" xfId="20491"/>
    <cellStyle name="常规 5 5 2 4 2 5" xfId="20497"/>
    <cellStyle name="常规 5 5 2 4 3" xfId="32893"/>
    <cellStyle name="常规 5 5 2 4 3 2" xfId="20525"/>
    <cellStyle name="常规 5 5 2 4 3 2 2" xfId="21631"/>
    <cellStyle name="常规 5 5 2 4 3 3" xfId="20530"/>
    <cellStyle name="常规 5 5 2 4 3 4" xfId="20534"/>
    <cellStyle name="常规 5 5 2 4 4" xfId="32895"/>
    <cellStyle name="常规 5 5 2 4 4 2" xfId="20546"/>
    <cellStyle name="常规 5 5 2 4 4 2 2" xfId="26159"/>
    <cellStyle name="常规 5 5 2 4 4 3" xfId="32897"/>
    <cellStyle name="常规 5 5 2 4 4 4" xfId="20789"/>
    <cellStyle name="常规 5 5 2 4 5" xfId="32899"/>
    <cellStyle name="常规 5 5 2 4 5 2" xfId="32901"/>
    <cellStyle name="常规 5 5 2 4 6" xfId="27785"/>
    <cellStyle name="常规 5 5 2 4 7" xfId="32903"/>
    <cellStyle name="常规 5 5 2 4 8" xfId="32905"/>
    <cellStyle name="常规 5 5 2 5" xfId="19181"/>
    <cellStyle name="常规 5 5 2 5 2" xfId="25110"/>
    <cellStyle name="常规 5 5 2 5 2 2" xfId="25113"/>
    <cellStyle name="常规 5 5 2 5 2 2 2" xfId="21744"/>
    <cellStyle name="常规 5 5 2 5 2 3" xfId="26816"/>
    <cellStyle name="常规 5 5 2 5 2 4" xfId="32907"/>
    <cellStyle name="常规 5 5 2 5 3" xfId="25116"/>
    <cellStyle name="常规 5 5 2 5 3 2" xfId="25119"/>
    <cellStyle name="常规 5 5 2 5 4" xfId="32909"/>
    <cellStyle name="常规 5 5 2 5 5" xfId="32911"/>
    <cellStyle name="常规 5 5 2 5 6" xfId="4358"/>
    <cellStyle name="常规 5 5 2 6" xfId="19184"/>
    <cellStyle name="常规 5 5 2 6 2" xfId="25169"/>
    <cellStyle name="常规 5 5 2 6 2 2" xfId="15306"/>
    <cellStyle name="常规 5 5 2 6 3" xfId="7820"/>
    <cellStyle name="常规 5 5 2 6 4" xfId="32913"/>
    <cellStyle name="常规 5 5 2 7" xfId="22364"/>
    <cellStyle name="常规 5 5 2 7 2" xfId="25185"/>
    <cellStyle name="常规 5 5 2 7 2 2" xfId="32915"/>
    <cellStyle name="常规 5 5 2 7 3" xfId="32917"/>
    <cellStyle name="常规 5 5 2 7 4" xfId="32919"/>
    <cellStyle name="常规 5 5 2 8" xfId="32921"/>
    <cellStyle name="常规 5 5 2 8 2" xfId="32923"/>
    <cellStyle name="常规 5 5 2 9" xfId="32925"/>
    <cellStyle name="常规 5 5 2 9 2" xfId="32927"/>
    <cellStyle name="常规 5 5 3" xfId="12415"/>
    <cellStyle name="常规 5 5 3 10" xfId="33435"/>
    <cellStyle name="常规 5 5 3 11" xfId="33436"/>
    <cellStyle name="常规 5 5 3 2" xfId="19193"/>
    <cellStyle name="常规 5 5 3 2 10" xfId="7186"/>
    <cellStyle name="常规 5 5 3 2 2" xfId="33437"/>
    <cellStyle name="常规 5 5 3 2 2 2" xfId="33438"/>
    <cellStyle name="常规 5 5 3 2 2 2 2" xfId="33439"/>
    <cellStyle name="常规 5 5 3 2 2 2 2 2" xfId="33440"/>
    <cellStyle name="常规 5 5 3 2 2 2 2 2 2" xfId="30975"/>
    <cellStyle name="常规 5 5 3 2 2 2 2 3" xfId="27393"/>
    <cellStyle name="常规 5 5 3 2 2 2 2 4" xfId="33441"/>
    <cellStyle name="常规 5 5 3 2 2 2 3" xfId="33443"/>
    <cellStyle name="常规 5 5 3 2 2 2 3 2" xfId="25394"/>
    <cellStyle name="常规 5 5 3 2 2 2 4" xfId="31793"/>
    <cellStyle name="常规 5 5 3 2 2 2 5" xfId="31795"/>
    <cellStyle name="常规 5 5 3 2 2 3" xfId="33444"/>
    <cellStyle name="常规 5 5 3 2 2 3 2" xfId="30681"/>
    <cellStyle name="常规 5 5 3 2 2 3 2 2" xfId="33445"/>
    <cellStyle name="常规 5 5 3 2 2 3 3" xfId="5463"/>
    <cellStyle name="常规 5 5 3 2 2 3 4" xfId="31249"/>
    <cellStyle name="常规 5 5 3 2 2 4" xfId="30936"/>
    <cellStyle name="常规 5 5 3 2 2 4 2" xfId="30718"/>
    <cellStyle name="常规 5 5 3 2 2 4 2 2" xfId="33446"/>
    <cellStyle name="常规 5 5 3 2 2 4 3" xfId="33447"/>
    <cellStyle name="常规 5 5 3 2 2 4 4" xfId="31800"/>
    <cellStyle name="常规 5 5 3 2 2 5" xfId="33448"/>
    <cellStyle name="常规 5 5 3 2 2 5 2" xfId="33449"/>
    <cellStyle name="常规 5 5 3 2 2 6" xfId="33450"/>
    <cellStyle name="常规 5 5 3 2 2 7" xfId="33451"/>
    <cellStyle name="常规 5 5 3 2 2 8" xfId="33452"/>
    <cellStyle name="常规 5 5 3 2 3" xfId="5494"/>
    <cellStyle name="常规 5 5 3 2 3 2" xfId="33453"/>
    <cellStyle name="常规 5 5 3 2 3 2 2" xfId="33454"/>
    <cellStyle name="常规 5 5 3 2 3 2 2 2" xfId="26071"/>
    <cellStyle name="常规 5 5 3 2 3 2 3" xfId="33455"/>
    <cellStyle name="常规 5 5 3 2 3 2 4" xfId="31811"/>
    <cellStyle name="常规 5 5 3 2 3 3" xfId="33456"/>
    <cellStyle name="常规 5 5 3 2 3 3 2" xfId="33457"/>
    <cellStyle name="常规 5 5 3 2 3 4" xfId="33458"/>
    <cellStyle name="常规 5 5 3 2 3 5" xfId="33459"/>
    <cellStyle name="常规 5 5 3 2 3 6" xfId="33460"/>
    <cellStyle name="常规 5 5 3 2 4" xfId="10186"/>
    <cellStyle name="常规 5 5 3 2 4 2" xfId="33461"/>
    <cellStyle name="常规 5 5 3 2 4 2 2" xfId="18333"/>
    <cellStyle name="常规 5 5 3 2 4 3" xfId="33462"/>
    <cellStyle name="常规 5 5 3 2 4 4" xfId="33463"/>
    <cellStyle name="常规 5 5 3 2 5" xfId="33465"/>
    <cellStyle name="常规 5 5 3 2 5 2" xfId="33466"/>
    <cellStyle name="常规 5 5 3 2 5 2 2" xfId="18453"/>
    <cellStyle name="常规 5 5 3 2 5 3" xfId="33467"/>
    <cellStyle name="常规 5 5 3 2 5 4" xfId="33468"/>
    <cellStyle name="常规 5 5 3 2 6" xfId="33469"/>
    <cellStyle name="常规 5 5 3 2 6 2" xfId="33470"/>
    <cellStyle name="常规 5 5 3 2 7" xfId="33471"/>
    <cellStyle name="常规 5 5 3 2 7 2" xfId="33472"/>
    <cellStyle name="常规 5 5 3 2 8" xfId="33473"/>
    <cellStyle name="常规 5 5 3 2 9" xfId="32156"/>
    <cellStyle name="常规 5 5 3 3" xfId="19196"/>
    <cellStyle name="常规 5 5 3 3 2" xfId="33474"/>
    <cellStyle name="常规 5 5 3 3 2 2" xfId="20657"/>
    <cellStyle name="常规 5 5 3 3 2 2 2" xfId="31266"/>
    <cellStyle name="常规 5 5 3 3 2 2 2 2" xfId="33475"/>
    <cellStyle name="常规 5 5 3 3 2 2 3" xfId="24643"/>
    <cellStyle name="常规 5 5 3 3 2 2 4" xfId="31845"/>
    <cellStyle name="常规 5 5 3 3 2 3" xfId="20659"/>
    <cellStyle name="常规 5 5 3 3 2 3 2" xfId="33476"/>
    <cellStyle name="常规 5 5 3 3 2 4" xfId="20661"/>
    <cellStyle name="常规 5 5 3 3 2 5" xfId="33477"/>
    <cellStyle name="常规 5 5 3 3 3" xfId="33478"/>
    <cellStyle name="常规 5 5 3 3 3 2" xfId="20672"/>
    <cellStyle name="常规 5 5 3 3 3 2 2" xfId="33479"/>
    <cellStyle name="常规 5 5 3 3 3 3" xfId="33480"/>
    <cellStyle name="常规 5 5 3 3 3 4" xfId="29395"/>
    <cellStyle name="常规 5 5 3 3 4" xfId="33481"/>
    <cellStyle name="常规 5 5 3 3 4 2" xfId="33482"/>
    <cellStyle name="常规 5 5 3 3 4 2 2" xfId="18584"/>
    <cellStyle name="常规 5 5 3 3 4 3" xfId="33483"/>
    <cellStyle name="常规 5 5 3 3 4 4" xfId="29446"/>
    <cellStyle name="常规 5 5 3 3 5" xfId="33484"/>
    <cellStyle name="常规 5 5 3 3 5 2" xfId="33485"/>
    <cellStyle name="常规 5 5 3 3 6" xfId="27788"/>
    <cellStyle name="常规 5 5 3 3 7" xfId="33486"/>
    <cellStyle name="常规 5 5 3 3 8" xfId="33487"/>
    <cellStyle name="常规 5 5 3 4" xfId="539"/>
    <cellStyle name="常规 5 5 3 4 2" xfId="78"/>
    <cellStyle name="常规 5 5 3 4 2 2" xfId="544"/>
    <cellStyle name="常规 5 5 3 4 2 2 2" xfId="21923"/>
    <cellStyle name="常规 5 5 3 4 2 3" xfId="26828"/>
    <cellStyle name="常规 5 5 3 4 2 4" xfId="32931"/>
    <cellStyle name="常规 5 5 3 4 3" xfId="54"/>
    <cellStyle name="常规 5 5 3 4 3 2" xfId="32933"/>
    <cellStyle name="常规 5 5 3 4 4" xfId="32935"/>
    <cellStyle name="常规 5 5 3 4 5" xfId="32937"/>
    <cellStyle name="常规 5 5 3 4 6" xfId="33488"/>
    <cellStyle name="常规 5 5 3 5" xfId="558"/>
    <cellStyle name="常规 5 5 3 5 2" xfId="562"/>
    <cellStyle name="常规 5 5 3 5 2 2" xfId="25432"/>
    <cellStyle name="常规 5 5 3 5 3" xfId="25436"/>
    <cellStyle name="常规 5 5 3 5 4" xfId="16447"/>
    <cellStyle name="常规 5 5 3 6" xfId="325"/>
    <cellStyle name="常规 5 5 3 6 2" xfId="287"/>
    <cellStyle name="常规 5 5 3 6 2 2" xfId="25559"/>
    <cellStyle name="常规 5 5 3 6 3" xfId="25563"/>
    <cellStyle name="常规 5 5 3 6 4" xfId="30787"/>
    <cellStyle name="常规 5 5 3 7" xfId="32939"/>
    <cellStyle name="常规 5 5 3 7 2" xfId="25590"/>
    <cellStyle name="常规 5 5 3 8" xfId="32941"/>
    <cellStyle name="常规 5 5 3 8 2" xfId="33489"/>
    <cellStyle name="常规 5 5 3 9" xfId="32943"/>
    <cellStyle name="常规 5 5 4" xfId="33490"/>
    <cellStyle name="常规 5 5 4 2" xfId="19201"/>
    <cellStyle name="常规 5 5 4 2 2" xfId="33491"/>
    <cellStyle name="常规 5 5 4 2 2 2" xfId="29164"/>
    <cellStyle name="常规 5 5 4 2 2 2 2" xfId="33492"/>
    <cellStyle name="常规 5 5 4 2 2 3" xfId="29166"/>
    <cellStyle name="常规 5 5 4 2 2 4" xfId="29168"/>
    <cellStyle name="常规 5 5 4 2 3" xfId="6946"/>
    <cellStyle name="常规 5 5 4 2 3 2" xfId="29179"/>
    <cellStyle name="常规 5 5 4 2 4" xfId="33493"/>
    <cellStyle name="常规 5 5 4 2 5" xfId="31772"/>
    <cellStyle name="常规 5 5 4 3" xfId="33494"/>
    <cellStyle name="常规 5 5 4 3 2" xfId="33495"/>
    <cellStyle name="常规 5 5 4 3 2 2" xfId="29217"/>
    <cellStyle name="常规 5 5 4 3 3" xfId="33496"/>
    <cellStyle name="常规 5 5 4 3 4" xfId="33497"/>
    <cellStyle name="常规 5 5 4 4" xfId="638"/>
    <cellStyle name="常规 5 5 4 4 2" xfId="643"/>
    <cellStyle name="常规 5 5 4 4 2 2" xfId="239"/>
    <cellStyle name="常规 5 5 4 4 3" xfId="1591"/>
    <cellStyle name="常规 5 5 4 4 4" xfId="32946"/>
    <cellStyle name="常规 5 5 4 5" xfId="647"/>
    <cellStyle name="常规 5 5 4 5 2" xfId="453"/>
    <cellStyle name="常规 5 5 4 6" xfId="652"/>
    <cellStyle name="常规 5 5 4 7" xfId="32949"/>
    <cellStyle name="常规 5 5 4 8" xfId="32951"/>
    <cellStyle name="常规 5 5 5" xfId="33498"/>
    <cellStyle name="常规 5 5 5 2" xfId="11857"/>
    <cellStyle name="常规 5 5 5 2 2" xfId="1120"/>
    <cellStyle name="常规 5 5 5 2 2 2" xfId="1379"/>
    <cellStyle name="常规 5 5 5 2 3" xfId="747"/>
    <cellStyle name="常规 5 5 5 2 4" xfId="1582"/>
    <cellStyle name="常规 5 5 5 3" xfId="11859"/>
    <cellStyle name="常规 5 5 5 3 2" xfId="33499"/>
    <cellStyle name="常规 5 5 5 4" xfId="673"/>
    <cellStyle name="常规 5 5 5 5" xfId="32954"/>
    <cellStyle name="常规 5 5 5 6" xfId="32956"/>
    <cellStyle name="常规 5 5 6" xfId="33500"/>
    <cellStyle name="常规 5 5 6 2" xfId="11865"/>
    <cellStyle name="常规 5 5 6 2 2" xfId="25922"/>
    <cellStyle name="常规 5 5 6 3" xfId="33501"/>
    <cellStyle name="常规 5 5 6 4" xfId="1600"/>
    <cellStyle name="常规 5 5 7" xfId="26636"/>
    <cellStyle name="常规 5 5 7 2" xfId="11873"/>
    <cellStyle name="常规 5 5 7 2 2" xfId="30324"/>
    <cellStyle name="常规 5 5 7 3" xfId="33502"/>
    <cellStyle name="常规 5 5 7 4" xfId="32961"/>
    <cellStyle name="常规 5 5 8" xfId="26638"/>
    <cellStyle name="常规 5 5 8 2" xfId="33504"/>
    <cellStyle name="常规 5 5 9" xfId="26640"/>
    <cellStyle name="常规 5 5 9 2" xfId="33505"/>
    <cellStyle name="常规 5 6" xfId="33506"/>
    <cellStyle name="常规 5 6 10" xfId="2406"/>
    <cellStyle name="常规 5 6 11" xfId="2409"/>
    <cellStyle name="常规 5 6 12" xfId="33507"/>
    <cellStyle name="常规 5 6 2" xfId="29787"/>
    <cellStyle name="常规 5 6 2 10" xfId="33508"/>
    <cellStyle name="常规 5 6 2 11" xfId="33418"/>
    <cellStyle name="常规 5 6 2 12" xfId="33421"/>
    <cellStyle name="常规 5 6 2 2" xfId="19277"/>
    <cellStyle name="常规 5 6 2 2 10" xfId="22419"/>
    <cellStyle name="常规 5 6 2 2 2" xfId="19280"/>
    <cellStyle name="常规 5 6 2 2 2 2" xfId="19282"/>
    <cellStyle name="常规 5 6 2 2 2 2 2" xfId="33509"/>
    <cellStyle name="常规 5 6 2 2 2 2 2 2" xfId="33510"/>
    <cellStyle name="常规 5 6 2 2 2 2 2 2 2" xfId="33511"/>
    <cellStyle name="常规 5 6 2 2 2 2 2 3" xfId="27495"/>
    <cellStyle name="常规 5 6 2 2 2 2 2 4" xfId="33279"/>
    <cellStyle name="常规 5 6 2 2 2 2 3" xfId="33512"/>
    <cellStyle name="常规 5 6 2 2 2 2 3 2" xfId="33513"/>
    <cellStyle name="常规 5 6 2 2 2 2 4" xfId="33514"/>
    <cellStyle name="常规 5 6 2 2 2 2 5" xfId="33515"/>
    <cellStyle name="常规 5 6 2 2 2 3" xfId="33516"/>
    <cellStyle name="常规 5 6 2 2 2 3 2" xfId="33517"/>
    <cellStyle name="常规 5 6 2 2 2 3 2 2" xfId="33518"/>
    <cellStyle name="常规 5 6 2 2 2 3 3" xfId="33519"/>
    <cellStyle name="常规 5 6 2 2 2 3 4" xfId="33520"/>
    <cellStyle name="常规 5 6 2 2 2 4" xfId="33521"/>
    <cellStyle name="常规 5 6 2 2 2 4 2" xfId="33522"/>
    <cellStyle name="常规 5 6 2 2 2 4 2 2" xfId="33523"/>
    <cellStyle name="常规 5 6 2 2 2 4 3" xfId="33524"/>
    <cellStyle name="常规 5 6 2 2 2 4 4" xfId="33525"/>
    <cellStyle name="常规 5 6 2 2 2 5" xfId="33526"/>
    <cellStyle name="常规 5 6 2 2 2 5 2" xfId="33527"/>
    <cellStyle name="常规 5 6 2 2 2 6" xfId="33528"/>
    <cellStyle name="常规 5 6 2 2 2 7" xfId="33529"/>
    <cellStyle name="常规 5 6 2 2 2 8" xfId="33530"/>
    <cellStyle name="常规 5 6 2 2 3" xfId="6972"/>
    <cellStyle name="常规 5 6 2 2 3 2" xfId="33531"/>
    <cellStyle name="常规 5 6 2 2 3 2 2" xfId="29554"/>
    <cellStyle name="常规 5 6 2 2 3 2 2 2" xfId="33532"/>
    <cellStyle name="常规 5 6 2 2 3 2 3" xfId="7896"/>
    <cellStyle name="常规 5 6 2 2 3 2 4" xfId="7899"/>
    <cellStyle name="常规 5 6 2 2 3 3" xfId="20585"/>
    <cellStyle name="常规 5 6 2 2 3 3 2" xfId="33533"/>
    <cellStyle name="常规 5 6 2 2 3 4" xfId="33534"/>
    <cellStyle name="常规 5 6 2 2 3 5" xfId="33535"/>
    <cellStyle name="常规 5 6 2 2 3 6" xfId="33536"/>
    <cellStyle name="常规 5 6 2 2 4" xfId="19284"/>
    <cellStyle name="常规 5 6 2 2 4 2" xfId="17781"/>
    <cellStyle name="常规 5 6 2 2 4 2 2" xfId="33537"/>
    <cellStyle name="常规 5 6 2 2 4 3" xfId="21795"/>
    <cellStyle name="常规 5 6 2 2 4 4" xfId="33538"/>
    <cellStyle name="常规 5 6 2 2 5" xfId="33539"/>
    <cellStyle name="常规 5 6 2 2 5 2" xfId="33540"/>
    <cellStyle name="常规 5 6 2 2 5 2 2" xfId="33541"/>
    <cellStyle name="常规 5 6 2 2 5 3" xfId="33542"/>
    <cellStyle name="常规 5 6 2 2 5 4" xfId="33543"/>
    <cellStyle name="常规 5 6 2 2 6" xfId="22334"/>
    <cellStyle name="常规 5 6 2 2 6 2" xfId="33544"/>
    <cellStyle name="常规 5 6 2 2 7" xfId="22336"/>
    <cellStyle name="常规 5 6 2 2 7 2" xfId="31742"/>
    <cellStyle name="常规 5 6 2 2 8" xfId="33545"/>
    <cellStyle name="常规 5 6 2 2 9" xfId="33546"/>
    <cellStyle name="常规 5 6 2 3" xfId="19286"/>
    <cellStyle name="常规 5 6 2 3 10" xfId="29774"/>
    <cellStyle name="常规 5 6 2 3 11" xfId="29327"/>
    <cellStyle name="常规 5 6 2 3 2" xfId="19289"/>
    <cellStyle name="常规 5 6 2 3 2 10" xfId="33549"/>
    <cellStyle name="常规 5 6 2 3 2 2" xfId="6618"/>
    <cellStyle name="常规 5 6 2 3 2 2 2" xfId="26085"/>
    <cellStyle name="常规 5 6 2 3 2 2 2 2" xfId="26088"/>
    <cellStyle name="常规 5 6 2 3 2 2 2 2 2" xfId="30020"/>
    <cellStyle name="常规 5 6 2 3 2 2 2 2 2 2" xfId="26878"/>
    <cellStyle name="常规 5 6 2 3 2 2 2 2 3" xfId="30033"/>
    <cellStyle name="常规 5 6 2 3 2 2 2 2 4" xfId="30044"/>
    <cellStyle name="常规 5 6 2 3 2 2 2 3" xfId="27589"/>
    <cellStyle name="常规 5 6 2 3 2 2 2 3 2" xfId="27592"/>
    <cellStyle name="常规 5 6 2 3 2 2 2 4" xfId="27596"/>
    <cellStyle name="常规 5 6 2 3 2 2 2 5" xfId="27599"/>
    <cellStyle name="常规 5 6 2 3 2 2 3" xfId="24778"/>
    <cellStyle name="常规 5 6 2 3 2 2 3 2" xfId="26091"/>
    <cellStyle name="常规 5 6 2 3 2 2 3 2 2" xfId="24016"/>
    <cellStyle name="常规 5 6 2 3 2 2 3 3" xfId="27602"/>
    <cellStyle name="常规 5 6 2 3 2 2 3 4" xfId="30101"/>
    <cellStyle name="常规 5 6 2 3 2 2 4" xfId="26094"/>
    <cellStyle name="常规 5 6 2 3 2 2 4 2" xfId="30113"/>
    <cellStyle name="常规 5 6 2 3 2 2 4 2 2" xfId="30115"/>
    <cellStyle name="常规 5 6 2 3 2 2 4 3" xfId="30118"/>
    <cellStyle name="常规 5 6 2 3 2 2 4 4" xfId="30120"/>
    <cellStyle name="常规 5 6 2 3 2 2 5" xfId="30124"/>
    <cellStyle name="常规 5 6 2 3 2 2 5 2" xfId="30126"/>
    <cellStyle name="常规 5 6 2 3 2 2 6" xfId="30132"/>
    <cellStyle name="常规 5 6 2 3 2 2 7" xfId="30134"/>
    <cellStyle name="常规 5 6 2 3 2 2 8" xfId="11870"/>
    <cellStyle name="常规 5 6 2 3 2 3" xfId="33550"/>
    <cellStyle name="常规 5 6 2 3 2 3 2" xfId="26118"/>
    <cellStyle name="常规 5 6 2 3 2 3 2 2" xfId="30218"/>
    <cellStyle name="常规 5 6 2 3 2 3 2 2 2" xfId="30221"/>
    <cellStyle name="常规 5 6 2 3 2 3 2 3" xfId="27616"/>
    <cellStyle name="常规 5 6 2 3 2 3 2 4" xfId="30271"/>
    <cellStyle name="常规 5 6 2 3 2 3 3" xfId="26121"/>
    <cellStyle name="常规 5 6 2 3 2 3 3 2" xfId="30286"/>
    <cellStyle name="常规 5 6 2 3 2 3 4" xfId="30301"/>
    <cellStyle name="常规 5 6 2 3 2 3 5" xfId="30312"/>
    <cellStyle name="常规 5 6 2 3 2 3 6" xfId="30318"/>
    <cellStyle name="常规 5 6 2 3 2 4" xfId="33551"/>
    <cellStyle name="常规 5 6 2 3 2 4 2" xfId="33552"/>
    <cellStyle name="常规 5 6 2 3 2 4 2 2" xfId="33553"/>
    <cellStyle name="常规 5 6 2 3 2 4 3" xfId="26383"/>
    <cellStyle name="常规 5 6 2 3 2 4 4" xfId="26512"/>
    <cellStyle name="常规 5 6 2 3 2 5" xfId="33554"/>
    <cellStyle name="常规 5 6 2 3 2 5 2" xfId="33555"/>
    <cellStyle name="常规 5 6 2 3 2 5 2 2" xfId="31770"/>
    <cellStyle name="常规 5 6 2 3 2 5 3" xfId="33556"/>
    <cellStyle name="常规 5 6 2 3 2 5 4" xfId="33557"/>
    <cellStyle name="常规 5 6 2 3 2 6" xfId="33558"/>
    <cellStyle name="常规 5 6 2 3 2 6 2" xfId="33559"/>
    <cellStyle name="常规 5 6 2 3 2 7" xfId="3405"/>
    <cellStyle name="常规 5 6 2 3 2 7 2" xfId="31645"/>
    <cellStyle name="常规 5 6 2 3 2 8" xfId="33560"/>
    <cellStyle name="常规 5 6 2 3 2 9" xfId="19567"/>
    <cellStyle name="常规 5 6 2 3 3" xfId="19291"/>
    <cellStyle name="常规 5 6 2 3 3 2" xfId="33561"/>
    <cellStyle name="常规 5 6 2 3 3 2 2" xfId="26281"/>
    <cellStyle name="常规 5 6 2 3 3 2 2 2" xfId="29740"/>
    <cellStyle name="常规 5 6 2 3 3 2 2 2 2" xfId="32356"/>
    <cellStyle name="常规 5 6 2 3 3 2 2 3" xfId="27636"/>
    <cellStyle name="常规 5 6 2 3 3 2 2 4" xfId="32375"/>
    <cellStyle name="常规 5 6 2 3 3 2 3" xfId="8705"/>
    <cellStyle name="常规 5 6 2 3 3 2 3 2" xfId="8708"/>
    <cellStyle name="常规 5 6 2 3 3 2 4" xfId="8711"/>
    <cellStyle name="常规 5 6 2 3 3 2 5" xfId="32431"/>
    <cellStyle name="常规 5 6 2 3 3 3" xfId="33562"/>
    <cellStyle name="常规 5 6 2 3 3 3 2" xfId="32520"/>
    <cellStyle name="常规 5 6 2 3 3 3 2 2" xfId="32522"/>
    <cellStyle name="常规 5 6 2 3 3 3 3" xfId="8715"/>
    <cellStyle name="常规 5 6 2 3 3 3 4" xfId="8721"/>
    <cellStyle name="常规 5 6 2 3 3 4" xfId="31436"/>
    <cellStyle name="常规 5 6 2 3 3 4 2" xfId="31438"/>
    <cellStyle name="常规 5 6 2 3 3 4 2 2" xfId="31441"/>
    <cellStyle name="常规 5 6 2 3 3 4 3" xfId="8726"/>
    <cellStyle name="常规 5 6 2 3 3 4 4" xfId="31453"/>
    <cellStyle name="常规 5 6 2 3 3 5" xfId="31464"/>
    <cellStyle name="常规 5 6 2 3 3 5 2" xfId="31467"/>
    <cellStyle name="常规 5 6 2 3 3 6" xfId="31480"/>
    <cellStyle name="常规 5 6 2 3 3 7" xfId="3411"/>
    <cellStyle name="常规 5 6 2 3 3 8" xfId="3563"/>
    <cellStyle name="常规 5 6 2 3 4" xfId="19293"/>
    <cellStyle name="常规 5 6 2 3 4 2" xfId="33563"/>
    <cellStyle name="常规 5 6 2 3 4 2 2" xfId="33564"/>
    <cellStyle name="常规 5 6 2 3 4 2 2 2" xfId="33565"/>
    <cellStyle name="常规 5 6 2 3 4 2 3" xfId="33566"/>
    <cellStyle name="常规 5 6 2 3 4 2 4" xfId="33567"/>
    <cellStyle name="常规 5 6 2 3 4 3" xfId="33568"/>
    <cellStyle name="常规 5 6 2 3 4 3 2" xfId="33569"/>
    <cellStyle name="常规 5 6 2 3 4 4" xfId="31494"/>
    <cellStyle name="常规 5 6 2 3 4 5" xfId="31530"/>
    <cellStyle name="常规 5 6 2 3 4 6" xfId="31572"/>
    <cellStyle name="常规 5 6 2 3 5" xfId="30330"/>
    <cellStyle name="常规 5 6 2 3 5 2" xfId="30332"/>
    <cellStyle name="常规 5 6 2 3 5 2 2" xfId="26416"/>
    <cellStyle name="常规 5 6 2 3 5 3" xfId="30344"/>
    <cellStyle name="常规 5 6 2 3 5 4" xfId="30351"/>
    <cellStyle name="常规 5 6 2 3 6" xfId="27803"/>
    <cellStyle name="常规 5 6 2 3 6 2" xfId="30371"/>
    <cellStyle name="常规 5 6 2 3 6 2 2" xfId="30373"/>
    <cellStyle name="常规 5 6 2 3 6 3" xfId="30378"/>
    <cellStyle name="常规 5 6 2 3 6 4" xfId="30382"/>
    <cellStyle name="常规 5 6 2 3 7" xfId="30388"/>
    <cellStyle name="常规 5 6 2 3 7 2" xfId="30390"/>
    <cellStyle name="常规 5 6 2 3 8" xfId="30396"/>
    <cellStyle name="常规 5 6 2 3 8 2" xfId="30398"/>
    <cellStyle name="常规 5 6 2 3 9" xfId="30404"/>
    <cellStyle name="常规 5 6 2 4" xfId="19296"/>
    <cellStyle name="常规 5 6 2 4 2" xfId="19217"/>
    <cellStyle name="常规 5 6 2 4 2 2" xfId="26135"/>
    <cellStyle name="常规 5 6 2 4 2 2 2" xfId="26138"/>
    <cellStyle name="常规 5 6 2 4 2 2 2 2" xfId="25375"/>
    <cellStyle name="常规 5 6 2 4 2 2 3" xfId="983"/>
    <cellStyle name="常规 5 6 2 4 2 2 4" xfId="12711"/>
    <cellStyle name="常规 5 6 2 4 2 3" xfId="26140"/>
    <cellStyle name="常规 5 6 2 4 2 3 2" xfId="33570"/>
    <cellStyle name="常规 5 6 2 4 2 4" xfId="26142"/>
    <cellStyle name="常规 5 6 2 4 2 5" xfId="33571"/>
    <cellStyle name="常规 5 6 2 4 3" xfId="26145"/>
    <cellStyle name="常规 5 6 2 4 3 2" xfId="26147"/>
    <cellStyle name="常规 5 6 2 4 3 2 2" xfId="29986"/>
    <cellStyle name="常规 5 6 2 4 3 3" xfId="33573"/>
    <cellStyle name="常规 5 6 2 4 3 4" xfId="31628"/>
    <cellStyle name="常规 5 6 2 4 4" xfId="26150"/>
    <cellStyle name="常规 5 6 2 4 4 2" xfId="26152"/>
    <cellStyle name="常规 5 6 2 4 4 2 2" xfId="33574"/>
    <cellStyle name="常规 5 6 2 4 4 3" xfId="33575"/>
    <cellStyle name="常规 5 6 2 4 4 4" xfId="31657"/>
    <cellStyle name="常规 5 6 2 4 5" xfId="30414"/>
    <cellStyle name="常规 5 6 2 4 5 2" xfId="30416"/>
    <cellStyle name="常规 5 6 2 4 6" xfId="30462"/>
    <cellStyle name="常规 5 6 2 4 7" xfId="30482"/>
    <cellStyle name="常规 5 6 2 4 8" xfId="30492"/>
    <cellStyle name="常规 5 6 2 5" xfId="19300"/>
    <cellStyle name="常规 5 6 2 5 2" xfId="19306"/>
    <cellStyle name="常规 5 6 2 5 2 2" xfId="26316"/>
    <cellStyle name="常规 5 6 2 5 2 2 2" xfId="27509"/>
    <cellStyle name="常规 5 6 2 5 2 3" xfId="33576"/>
    <cellStyle name="常规 5 6 2 5 2 4" xfId="33577"/>
    <cellStyle name="常规 5 6 2 5 3" xfId="26319"/>
    <cellStyle name="常规 5 6 2 5 3 2" xfId="7157"/>
    <cellStyle name="常规 5 6 2 5 4" xfId="26321"/>
    <cellStyle name="常规 5 6 2 5 5" xfId="30508"/>
    <cellStyle name="常规 5 6 2 5 6" xfId="4461"/>
    <cellStyle name="常规 5 6 2 6" xfId="4282"/>
    <cellStyle name="常规 5 6 2 6 2" xfId="4286"/>
    <cellStyle name="常规 5 6 2 6 2 2" xfId="29808"/>
    <cellStyle name="常规 5 6 2 6 3" xfId="29810"/>
    <cellStyle name="常规 5 6 2 6 4" xfId="492"/>
    <cellStyle name="常规 5 6 2 7" xfId="4294"/>
    <cellStyle name="常规 5 6 2 7 2" xfId="26430"/>
    <cellStyle name="常规 5 6 2 7 2 2" xfId="33578"/>
    <cellStyle name="常规 5 6 2 7 3" xfId="26432"/>
    <cellStyle name="常规 5 6 2 7 4" xfId="33579"/>
    <cellStyle name="常规 5 6 2 8" xfId="33580"/>
    <cellStyle name="常规 5 6 2 8 2" xfId="26448"/>
    <cellStyle name="常规 5 6 2 9" xfId="33581"/>
    <cellStyle name="常规 5 6 2 9 2" xfId="33583"/>
    <cellStyle name="常规 5 6 3" xfId="29789"/>
    <cellStyle name="常规 5 6 3 10" xfId="7794"/>
    <cellStyle name="常规 5 6 3 11" xfId="29191"/>
    <cellStyle name="常规 5 6 3 2" xfId="19330"/>
    <cellStyle name="常规 5 6 3 2 10" xfId="9510"/>
    <cellStyle name="常规 5 6 3 2 2" xfId="19334"/>
    <cellStyle name="常规 5 6 3 2 2 2" xfId="19336"/>
    <cellStyle name="常规 5 6 3 2 2 2 2" xfId="33584"/>
    <cellStyle name="常规 5 6 3 2 2 2 2 2" xfId="33585"/>
    <cellStyle name="常规 5 6 3 2 2 2 2 2 2" xfId="8064"/>
    <cellStyle name="常规 5 6 3 2 2 2 2 3" xfId="27713"/>
    <cellStyle name="常规 5 6 3 2 2 2 2 4" xfId="4451"/>
    <cellStyle name="常规 5 6 3 2 2 2 3" xfId="33586"/>
    <cellStyle name="常规 5 6 3 2 2 2 3 2" xfId="33587"/>
    <cellStyle name="常规 5 6 3 2 2 2 4" xfId="18735"/>
    <cellStyle name="常规 5 6 3 2 2 2 5" xfId="32071"/>
    <cellStyle name="常规 5 6 3 2 2 3" xfId="33588"/>
    <cellStyle name="常规 5 6 3 2 2 3 2" xfId="9899"/>
    <cellStyle name="常规 5 6 3 2 2 3 2 2" xfId="9901"/>
    <cellStyle name="常规 5 6 3 2 2 3 3" xfId="117"/>
    <cellStyle name="常规 5 6 3 2 2 3 4" xfId="9963"/>
    <cellStyle name="常规 5 6 3 2 2 4" xfId="33589"/>
    <cellStyle name="常规 5 6 3 2 2 4 2" xfId="10002"/>
    <cellStyle name="常规 5 6 3 2 2 4 2 2" xfId="10004"/>
    <cellStyle name="常规 5 6 3 2 2 4 3" xfId="10010"/>
    <cellStyle name="常规 5 6 3 2 2 4 4" xfId="10014"/>
    <cellStyle name="常规 5 6 3 2 2 5" xfId="33590"/>
    <cellStyle name="常规 5 6 3 2 2 5 2" xfId="10022"/>
    <cellStyle name="常规 5 6 3 2 2 6" xfId="25002"/>
    <cellStyle name="常规 5 6 3 2 2 7" xfId="25005"/>
    <cellStyle name="常规 5 6 3 2 2 8" xfId="25007"/>
    <cellStyle name="常规 5 6 3 2 3" xfId="19339"/>
    <cellStyle name="常规 5 6 3 2 3 2" xfId="33591"/>
    <cellStyle name="常规 5 6 3 2 3 2 2" xfId="31859"/>
    <cellStyle name="常规 5 6 3 2 3 2 2 2" xfId="33592"/>
    <cellStyle name="常规 5 6 3 2 3 2 3" xfId="31861"/>
    <cellStyle name="常规 5 6 3 2 3 2 4" xfId="18746"/>
    <cellStyle name="常规 5 6 3 2 3 3" xfId="7544"/>
    <cellStyle name="常规 5 6 3 2 3 3 2" xfId="5059"/>
    <cellStyle name="常规 5 6 3 2 3 4" xfId="29698"/>
    <cellStyle name="常规 5 6 3 2 3 5" xfId="33593"/>
    <cellStyle name="常规 5 6 3 2 3 6" xfId="25010"/>
    <cellStyle name="常规 5 6 3 2 4" xfId="10349"/>
    <cellStyle name="常规 5 6 3 2 4 2" xfId="33594"/>
    <cellStyle name="常规 5 6 3 2 4 2 2" xfId="30799"/>
    <cellStyle name="常规 5 6 3 2 4 3" xfId="33595"/>
    <cellStyle name="常规 5 6 3 2 4 4" xfId="33596"/>
    <cellStyle name="常规 5 6 3 2 5" xfId="33597"/>
    <cellStyle name="常规 5 6 3 2 5 2" xfId="33598"/>
    <cellStyle name="常规 5 6 3 2 5 2 2" xfId="33599"/>
    <cellStyle name="常规 5 6 3 2 5 3" xfId="33600"/>
    <cellStyle name="常规 5 6 3 2 5 4" xfId="33601"/>
    <cellStyle name="常规 5 6 3 2 6" xfId="33602"/>
    <cellStyle name="常规 5 6 3 2 6 2" xfId="33603"/>
    <cellStyle name="常规 5 6 3 2 7" xfId="33604"/>
    <cellStyle name="常规 5 6 3 2 7 2" xfId="33605"/>
    <cellStyle name="常规 5 6 3 2 8" xfId="33606"/>
    <cellStyle name="常规 5 6 3 2 9" xfId="33607"/>
    <cellStyle name="常规 5 6 3 3" xfId="19342"/>
    <cellStyle name="常规 5 6 3 3 2" xfId="19345"/>
    <cellStyle name="常规 5 6 3 3 2 2" xfId="33608"/>
    <cellStyle name="常规 5 6 3 3 2 2 2" xfId="31457"/>
    <cellStyle name="常规 5 6 3 3 2 2 2 2" xfId="33609"/>
    <cellStyle name="常规 5 6 3 3 2 2 3" xfId="33610"/>
    <cellStyle name="常规 5 6 3 3 2 2 4" xfId="32116"/>
    <cellStyle name="常规 5 6 3 3 2 3" xfId="33611"/>
    <cellStyle name="常规 5 6 3 3 2 3 2" xfId="10065"/>
    <cellStyle name="常规 5 6 3 3 2 4" xfId="33612"/>
    <cellStyle name="常规 5 6 3 3 2 5" xfId="33613"/>
    <cellStyle name="常规 5 6 3 3 3" xfId="21148"/>
    <cellStyle name="常规 5 6 3 3 3 2" xfId="33614"/>
    <cellStyle name="常规 5 6 3 3 3 2 2" xfId="30654"/>
    <cellStyle name="常规 5 6 3 3 3 3" xfId="7550"/>
    <cellStyle name="常规 5 6 3 3 3 4" xfId="31731"/>
    <cellStyle name="常规 5 6 3 3 4" xfId="33615"/>
    <cellStyle name="常规 5 6 3 3 4 2" xfId="33616"/>
    <cellStyle name="常规 5 6 3 3 4 2 2" xfId="33617"/>
    <cellStyle name="常规 5 6 3 3 4 3" xfId="33618"/>
    <cellStyle name="常规 5 6 3 3 4 4" xfId="31782"/>
    <cellStyle name="常规 5 6 3 3 5" xfId="30547"/>
    <cellStyle name="常规 5 6 3 3 5 2" xfId="30549"/>
    <cellStyle name="常规 5 6 3 3 6" xfId="30565"/>
    <cellStyle name="常规 5 6 3 3 7" xfId="30572"/>
    <cellStyle name="常规 5 6 3 3 8" xfId="30577"/>
    <cellStyle name="常规 5 6 3 4" xfId="773"/>
    <cellStyle name="常规 5 6 3 4 2" xfId="953"/>
    <cellStyle name="常规 5 6 3 4 2 2" xfId="33619"/>
    <cellStyle name="常规 5 6 3 4 2 2 2" xfId="31521"/>
    <cellStyle name="常规 5 6 3 4 2 3" xfId="33620"/>
    <cellStyle name="常规 5 6 3 4 2 4" xfId="33621"/>
    <cellStyle name="常规 5 6 3 4 3" xfId="33622"/>
    <cellStyle name="常规 5 6 3 4 3 2" xfId="33623"/>
    <cellStyle name="常规 5 6 3 4 4" xfId="33624"/>
    <cellStyle name="常规 5 6 3 4 5" xfId="30587"/>
    <cellStyle name="常规 5 6 3 4 6" xfId="30594"/>
    <cellStyle name="常规 5 6 3 5" xfId="962"/>
    <cellStyle name="常规 5 6 3 5 2" xfId="30008"/>
    <cellStyle name="常规 5 6 3 5 2 2" xfId="30010"/>
    <cellStyle name="常规 5 6 3 5 3" xfId="30012"/>
    <cellStyle name="常规 5 6 3 5 4" xfId="33625"/>
    <cellStyle name="常规 5 6 3 6" xfId="3742"/>
    <cellStyle name="常规 5 6 3 6 2" xfId="3747"/>
    <cellStyle name="常规 5 6 3 6 2 2" xfId="30092"/>
    <cellStyle name="常规 5 6 3 6 3" xfId="30094"/>
    <cellStyle name="常规 5 6 3 6 4" xfId="33626"/>
    <cellStyle name="常规 5 6 3 7" xfId="3756"/>
    <cellStyle name="常规 5 6 3 7 2" xfId="30111"/>
    <cellStyle name="常规 5 6 3 8" xfId="33627"/>
    <cellStyle name="常规 5 6 3 8 2" xfId="33628"/>
    <cellStyle name="常规 5 6 3 9" xfId="33547"/>
    <cellStyle name="常规 5 6 4" xfId="29791"/>
    <cellStyle name="常规 5 6 4 2" xfId="19356"/>
    <cellStyle name="常规 5 6 4 2 2" xfId="33629"/>
    <cellStyle name="常规 5 6 4 2 2 2" xfId="29417"/>
    <cellStyle name="常规 5 6 4 2 2 2 2" xfId="33630"/>
    <cellStyle name="常规 5 6 4 2 2 3" xfId="29419"/>
    <cellStyle name="常规 5 6 4 2 2 4" xfId="29421"/>
    <cellStyle name="常规 5 6 4 2 3" xfId="33631"/>
    <cellStyle name="常规 5 6 4 2 3 2" xfId="29428"/>
    <cellStyle name="常规 5 6 4 2 4" xfId="33632"/>
    <cellStyle name="常规 5 6 4 2 5" xfId="31899"/>
    <cellStyle name="常规 5 6 4 3" xfId="19359"/>
    <cellStyle name="常规 5 6 4 3 2" xfId="33633"/>
    <cellStyle name="常规 5 6 4 3 2 2" xfId="29484"/>
    <cellStyle name="常规 5 6 4 3 3" xfId="33635"/>
    <cellStyle name="常规 5 6 4 3 4" xfId="33637"/>
    <cellStyle name="常规 5 6 4 4" xfId="716"/>
    <cellStyle name="常规 5 6 4 4 2" xfId="32967"/>
    <cellStyle name="常规 5 6 4 4 2 2" xfId="33639"/>
    <cellStyle name="常规 5 6 4 4 3" xfId="33640"/>
    <cellStyle name="常规 5 6 4 4 4" xfId="33642"/>
    <cellStyle name="常规 5 6 4 5" xfId="32970"/>
    <cellStyle name="常规 5 6 4 5 2" xfId="30213"/>
    <cellStyle name="常规 5 6 4 6" xfId="3771"/>
    <cellStyle name="常规 5 6 4 7" xfId="33643"/>
    <cellStyle name="常规 5 6 4 8" xfId="33645"/>
    <cellStyle name="常规 5 6 5" xfId="29793"/>
    <cellStyle name="常规 5 6 5 2" xfId="11888"/>
    <cellStyle name="常规 5 6 5 2 2" xfId="33647"/>
    <cellStyle name="常规 5 6 5 2 2 2" xfId="29593"/>
    <cellStyle name="常规 5 6 5 2 3" xfId="33648"/>
    <cellStyle name="常规 5 6 5 2 4" xfId="33649"/>
    <cellStyle name="常规 5 6 5 3" xfId="33650"/>
    <cellStyle name="常规 5 6 5 3 2" xfId="33652"/>
    <cellStyle name="常规 5 6 5 4" xfId="1105"/>
    <cellStyle name="常规 5 6 5 5" xfId="33653"/>
    <cellStyle name="常规 5 6 5 6" xfId="21351"/>
    <cellStyle name="常规 5 6 6" xfId="33655"/>
    <cellStyle name="常规 5 6 6 2" xfId="19367"/>
    <cellStyle name="常规 5 6 6 2 2" xfId="33656"/>
    <cellStyle name="常规 5 6 6 3" xfId="33657"/>
    <cellStyle name="常规 5 6 6 4" xfId="33245"/>
    <cellStyle name="常规 5 6 7" xfId="26643"/>
    <cellStyle name="常规 5 6 7 2" xfId="33659"/>
    <cellStyle name="常规 5 6 7 2 2" xfId="33660"/>
    <cellStyle name="常规 5 6 7 3" xfId="32556"/>
    <cellStyle name="常规 5 6 7 4" xfId="33250"/>
    <cellStyle name="常规 5 6 8" xfId="33661"/>
    <cellStyle name="常规 5 6 8 2" xfId="33662"/>
    <cellStyle name="常规 5 6 9" xfId="33663"/>
    <cellStyle name="常规 5 6 9 2" xfId="33664"/>
    <cellStyle name="常规 5 7" xfId="33665"/>
    <cellStyle name="常规 5 7 10" xfId="20280"/>
    <cellStyle name="常规 5 7 11" xfId="14272"/>
    <cellStyle name="常规 5 7 12" xfId="14279"/>
    <cellStyle name="常规 5 7 2" xfId="26351"/>
    <cellStyle name="常规 5 7 2 10" xfId="1393"/>
    <cellStyle name="常规 5 7 2 11" xfId="5951"/>
    <cellStyle name="常规 5 7 2 12" xfId="8249"/>
    <cellStyle name="常规 5 7 2 2" xfId="19388"/>
    <cellStyle name="常规 5 7 2 2 10" xfId="33666"/>
    <cellStyle name="常规 5 7 2 2 2" xfId="29748"/>
    <cellStyle name="常规 5 7 2 2 2 2" xfId="11284"/>
    <cellStyle name="常规 5 7 2 2 2 2 2" xfId="9779"/>
    <cellStyle name="常规 5 7 2 2 2 2 2 2" xfId="7410"/>
    <cellStyle name="常规 5 7 2 2 2 2 2 2 2" xfId="33667"/>
    <cellStyle name="常规 5 7 2 2 2 2 2 3" xfId="6808"/>
    <cellStyle name="常规 5 7 2 2 2 2 2 4" xfId="33668"/>
    <cellStyle name="常规 5 7 2 2 2 2 3" xfId="9781"/>
    <cellStyle name="常规 5 7 2 2 2 2 3 2" xfId="33669"/>
    <cellStyle name="常规 5 7 2 2 2 2 4" xfId="33670"/>
    <cellStyle name="常规 5 7 2 2 2 2 5" xfId="33671"/>
    <cellStyle name="常规 5 7 2 2 2 3" xfId="11286"/>
    <cellStyle name="常规 5 7 2 2 2 3 2" xfId="9798"/>
    <cellStyle name="常规 5 7 2 2 2 3 2 2" xfId="33672"/>
    <cellStyle name="常规 5 7 2 2 2 3 3" xfId="33673"/>
    <cellStyle name="常规 5 7 2 2 2 3 4" xfId="33674"/>
    <cellStyle name="常规 5 7 2 2 2 4" xfId="33675"/>
    <cellStyle name="常规 5 7 2 2 2 4 2" xfId="33676"/>
    <cellStyle name="常规 5 7 2 2 2 4 2 2" xfId="33677"/>
    <cellStyle name="常规 5 7 2 2 2 4 3" xfId="17299"/>
    <cellStyle name="常规 5 7 2 2 2 4 4" xfId="33678"/>
    <cellStyle name="常规 5 7 2 2 2 5" xfId="32446"/>
    <cellStyle name="常规 5 7 2 2 2 5 2" xfId="33679"/>
    <cellStyle name="常规 5 7 2 2 2 6" xfId="26679"/>
    <cellStyle name="常规 5 7 2 2 2 7" xfId="25019"/>
    <cellStyle name="常规 5 7 2 2 2 8" xfId="26681"/>
    <cellStyle name="常规 5 7 2 2 3" xfId="33680"/>
    <cellStyle name="常规 5 7 2 2 3 2" xfId="11293"/>
    <cellStyle name="常规 5 7 2 2 3 2 2" xfId="33681"/>
    <cellStyle name="常规 5 7 2 2 3 2 2 2" xfId="7878"/>
    <cellStyle name="常规 5 7 2 2 3 2 3" xfId="3230"/>
    <cellStyle name="常规 5 7 2 2 3 2 4" xfId="16751"/>
    <cellStyle name="常规 5 7 2 2 3 3" xfId="33682"/>
    <cellStyle name="常规 5 7 2 2 3 3 2" xfId="33683"/>
    <cellStyle name="常规 5 7 2 2 3 4" xfId="33684"/>
    <cellStyle name="常规 5 7 2 2 3 5" xfId="5274"/>
    <cellStyle name="常规 5 7 2 2 3 6" xfId="6907"/>
    <cellStyle name="常规 5 7 2 2 4" xfId="33685"/>
    <cellStyle name="常规 5 7 2 2 4 2" xfId="11302"/>
    <cellStyle name="常规 5 7 2 2 4 2 2" xfId="33686"/>
    <cellStyle name="常规 5 7 2 2 4 3" xfId="22216"/>
    <cellStyle name="常规 5 7 2 2 4 4" xfId="30421"/>
    <cellStyle name="常规 5 7 2 2 5" xfId="31637"/>
    <cellStyle name="常规 5 7 2 2 5 2" xfId="33687"/>
    <cellStyle name="常规 5 7 2 2 5 2 2" xfId="15421"/>
    <cellStyle name="常规 5 7 2 2 5 3" xfId="33688"/>
    <cellStyle name="常规 5 7 2 2 5 4" xfId="33689"/>
    <cellStyle name="常规 5 7 2 2 6" xfId="33690"/>
    <cellStyle name="常规 5 7 2 2 6 2" xfId="24743"/>
    <cellStyle name="常规 5 7 2 2 7" xfId="29499"/>
    <cellStyle name="常规 5 7 2 2 7 2" xfId="24849"/>
    <cellStyle name="常规 5 7 2 2 8" xfId="29501"/>
    <cellStyle name="常规 5 7 2 2 9" xfId="26719"/>
    <cellStyle name="常规 5 7 2 3" xfId="19390"/>
    <cellStyle name="常规 5 7 2 3 10" xfId="27547"/>
    <cellStyle name="常规 5 7 2 3 11" xfId="27550"/>
    <cellStyle name="常规 5 7 2 3 2" xfId="33691"/>
    <cellStyle name="常规 5 7 2 3 2 10" xfId="33464"/>
    <cellStyle name="常规 5 7 2 3 2 2" xfId="7829"/>
    <cellStyle name="常规 5 7 2 3 2 2 2" xfId="33692"/>
    <cellStyle name="常规 5 7 2 3 2 2 2 2" xfId="33693"/>
    <cellStyle name="常规 5 7 2 3 2 2 2 2 2" xfId="33694"/>
    <cellStyle name="常规 5 7 2 3 2 2 2 2 2 2" xfId="28720"/>
    <cellStyle name="常规 5 7 2 3 2 2 2 2 3" xfId="33695"/>
    <cellStyle name="常规 5 7 2 3 2 2 2 2 4" xfId="30304"/>
    <cellStyle name="常规 5 7 2 3 2 2 2 3" xfId="27919"/>
    <cellStyle name="常规 5 7 2 3 2 2 2 3 2" xfId="27921"/>
    <cellStyle name="常规 5 7 2 3 2 2 2 4" xfId="27924"/>
    <cellStyle name="常规 5 7 2 3 2 2 2 5" xfId="27926"/>
    <cellStyle name="常规 5 7 2 3 2 2 3" xfId="33696"/>
    <cellStyle name="常规 5 7 2 3 2 2 3 2" xfId="33697"/>
    <cellStyle name="常规 5 7 2 3 2 2 3 2 2" xfId="33698"/>
    <cellStyle name="常规 5 7 2 3 2 2 3 3" xfId="27930"/>
    <cellStyle name="常规 5 7 2 3 2 2 3 4" xfId="33699"/>
    <cellStyle name="常规 5 7 2 3 2 2 4" xfId="33700"/>
    <cellStyle name="常规 5 7 2 3 2 2 4 2" xfId="33701"/>
    <cellStyle name="常规 5 7 2 3 2 2 4 2 2" xfId="33702"/>
    <cellStyle name="常规 5 7 2 3 2 2 4 3" xfId="33703"/>
    <cellStyle name="常规 5 7 2 3 2 2 4 4" xfId="33704"/>
    <cellStyle name="常规 5 7 2 3 2 2 5" xfId="33705"/>
    <cellStyle name="常规 5 7 2 3 2 2 5 2" xfId="33706"/>
    <cellStyle name="常规 5 7 2 3 2 2 6" xfId="33707"/>
    <cellStyle name="常规 5 7 2 3 2 2 7" xfId="33708"/>
    <cellStyle name="常规 5 7 2 3 2 2 8" xfId="12429"/>
    <cellStyle name="常规 5 7 2 3 2 3" xfId="33709"/>
    <cellStyle name="常规 5 7 2 3 2 3 2" xfId="33710"/>
    <cellStyle name="常规 5 7 2 3 2 3 2 2" xfId="33711"/>
    <cellStyle name="常规 5 7 2 3 2 3 2 2 2" xfId="33712"/>
    <cellStyle name="常规 5 7 2 3 2 3 2 3" xfId="27940"/>
    <cellStyle name="常规 5 7 2 3 2 3 2 4" xfId="5069"/>
    <cellStyle name="常规 5 7 2 3 2 3 3" xfId="33713"/>
    <cellStyle name="常规 5 7 2 3 2 3 3 2" xfId="33714"/>
    <cellStyle name="常规 5 7 2 3 2 3 4" xfId="33715"/>
    <cellStyle name="常规 5 7 2 3 2 3 5" xfId="33716"/>
    <cellStyle name="常规 5 7 2 3 2 3 6" xfId="33717"/>
    <cellStyle name="常规 5 7 2 3 2 4" xfId="19155"/>
    <cellStyle name="常规 5 7 2 3 2 4 2" xfId="6960"/>
    <cellStyle name="常规 5 7 2 3 2 4 2 2" xfId="6962"/>
    <cellStyle name="常规 5 7 2 3 2 4 3" xfId="17880"/>
    <cellStyle name="常规 5 7 2 3 2 4 4" xfId="33718"/>
    <cellStyle name="常规 5 7 2 3 2 5" xfId="19158"/>
    <cellStyle name="常规 5 7 2 3 2 5 2" xfId="6982"/>
    <cellStyle name="常规 5 7 2 3 2 5 2 2" xfId="33719"/>
    <cellStyle name="常规 5 7 2 3 2 5 3" xfId="33720"/>
    <cellStyle name="常规 5 7 2 3 2 5 4" xfId="33721"/>
    <cellStyle name="常规 5 7 2 3 2 6" xfId="19160"/>
    <cellStyle name="常规 5 7 2 3 2 6 2" xfId="21419"/>
    <cellStyle name="常规 5 7 2 3 2 7" xfId="33722"/>
    <cellStyle name="常规 5 7 2 3 2 7 2" xfId="21425"/>
    <cellStyle name="常规 5 7 2 3 2 8" xfId="20092"/>
    <cellStyle name="常规 5 7 2 3 2 9" xfId="33723"/>
    <cellStyle name="常规 5 7 2 3 3" xfId="33724"/>
    <cellStyle name="常规 5 7 2 3 3 2" xfId="33725"/>
    <cellStyle name="常规 5 7 2 3 3 2 2" xfId="33726"/>
    <cellStyle name="常规 5 7 2 3 3 2 2 2" xfId="32084"/>
    <cellStyle name="常规 5 7 2 3 3 2 2 2 2" xfId="33727"/>
    <cellStyle name="常规 5 7 2 3 3 2 2 3" xfId="27964"/>
    <cellStyle name="常规 5 7 2 3 3 2 2 4" xfId="30823"/>
    <cellStyle name="常规 5 7 2 3 3 2 3" xfId="33728"/>
    <cellStyle name="常规 5 7 2 3 3 2 3 2" xfId="16610"/>
    <cellStyle name="常规 5 7 2 3 3 2 4" xfId="33729"/>
    <cellStyle name="常规 5 7 2 3 3 2 5" xfId="33730"/>
    <cellStyle name="常规 5 7 2 3 3 3" xfId="33732"/>
    <cellStyle name="常规 5 7 2 3 3 3 2" xfId="4700"/>
    <cellStyle name="常规 5 7 2 3 3 3 2 2" xfId="30742"/>
    <cellStyle name="常规 5 7 2 3 3 3 3" xfId="33733"/>
    <cellStyle name="常规 5 7 2 3 3 3 4" xfId="33734"/>
    <cellStyle name="常规 5 7 2 3 3 4" xfId="19163"/>
    <cellStyle name="常规 5 7 2 3 3 4 2" xfId="19166"/>
    <cellStyle name="常规 5 7 2 3 3 4 2 2" xfId="33735"/>
    <cellStyle name="常规 5 7 2 3 3 4 3" xfId="33737"/>
    <cellStyle name="常规 5 7 2 3 3 4 4" xfId="27824"/>
    <cellStyle name="常规 5 7 2 3 3 5" xfId="6927"/>
    <cellStyle name="常规 5 7 2 3 3 5 2" xfId="33738"/>
    <cellStyle name="常规 5 7 2 3 3 6" xfId="6931"/>
    <cellStyle name="常规 5 7 2 3 3 7" xfId="33739"/>
    <cellStyle name="常规 5 7 2 3 3 8" xfId="33740"/>
    <cellStyle name="常规 5 7 2 3 4" xfId="33741"/>
    <cellStyle name="常规 5 7 2 3 4 2" xfId="33742"/>
    <cellStyle name="常规 5 7 2 3 4 2 2" xfId="33743"/>
    <cellStyle name="常规 5 7 2 3 4 2 2 2" xfId="33744"/>
    <cellStyle name="常规 5 7 2 3 4 2 3" xfId="33745"/>
    <cellStyle name="常规 5 7 2 3 4 2 4" xfId="33746"/>
    <cellStyle name="常规 5 7 2 3 4 3" xfId="33747"/>
    <cellStyle name="常规 5 7 2 3 4 3 2" xfId="33748"/>
    <cellStyle name="常规 5 7 2 3 4 4" xfId="19173"/>
    <cellStyle name="常规 5 7 2 3 4 5" xfId="33749"/>
    <cellStyle name="常规 5 7 2 3 4 6" xfId="33750"/>
    <cellStyle name="常规 5 7 2 3 5" xfId="33751"/>
    <cellStyle name="常规 5 7 2 3 5 2" xfId="33752"/>
    <cellStyle name="常规 5 7 2 3 5 2 2" xfId="33753"/>
    <cellStyle name="常规 5 7 2 3 5 3" xfId="33754"/>
    <cellStyle name="常规 5 7 2 3 5 4" xfId="32888"/>
    <cellStyle name="常规 5 7 2 3 6" xfId="33755"/>
    <cellStyle name="常规 5 7 2 3 6 2" xfId="33756"/>
    <cellStyle name="常规 5 7 2 3 6 2 2" xfId="33757"/>
    <cellStyle name="常规 5 7 2 3 6 3" xfId="33758"/>
    <cellStyle name="常规 5 7 2 3 6 4" xfId="25108"/>
    <cellStyle name="常规 5 7 2 3 7" xfId="33759"/>
    <cellStyle name="常规 5 7 2 3 7 2" xfId="33760"/>
    <cellStyle name="常规 5 7 2 3 8" xfId="33761"/>
    <cellStyle name="常规 5 7 2 3 8 2" xfId="33762"/>
    <cellStyle name="常规 5 7 2 3 9" xfId="33763"/>
    <cellStyle name="常规 5 7 2 4" xfId="33764"/>
    <cellStyle name="常规 5 7 2 4 2" xfId="33765"/>
    <cellStyle name="常规 5 7 2 4 2 2" xfId="33766"/>
    <cellStyle name="常规 5 7 2 4 2 2 2" xfId="33767"/>
    <cellStyle name="常规 5 7 2 4 2 2 2 2" xfId="33768"/>
    <cellStyle name="常规 5 7 2 4 2 2 3" xfId="33769"/>
    <cellStyle name="常规 5 7 2 4 2 2 4" xfId="33770"/>
    <cellStyle name="常规 5 7 2 4 2 3" xfId="33771"/>
    <cellStyle name="常规 5 7 2 4 2 3 2" xfId="33772"/>
    <cellStyle name="常规 5 7 2 4 2 4" xfId="19190"/>
    <cellStyle name="常规 5 7 2 4 2 5" xfId="33773"/>
    <cellStyle name="常规 5 7 2 4 3" xfId="33774"/>
    <cellStyle name="常规 5 7 2 4 3 2" xfId="33775"/>
    <cellStyle name="常规 5 7 2 4 3 2 2" xfId="33776"/>
    <cellStyle name="常规 5 7 2 4 3 3" xfId="33777"/>
    <cellStyle name="常规 5 7 2 4 3 4" xfId="33778"/>
    <cellStyle name="常规 5 7 2 4 4" xfId="33779"/>
    <cellStyle name="常规 5 7 2 4 4 2" xfId="33780"/>
    <cellStyle name="常规 5 7 2 4 4 2 2" xfId="33781"/>
    <cellStyle name="常规 5 7 2 4 4 3" xfId="33782"/>
    <cellStyle name="常规 5 7 2 4 4 4" xfId="33783"/>
    <cellStyle name="常规 5 7 2 4 5" xfId="33784"/>
    <cellStyle name="常规 5 7 2 4 5 2" xfId="33442"/>
    <cellStyle name="常规 5 7 2 4 6" xfId="33785"/>
    <cellStyle name="常规 5 7 2 4 7" xfId="33786"/>
    <cellStyle name="常规 5 7 2 4 8" xfId="33787"/>
    <cellStyle name="常规 5 7 2 5" xfId="33788"/>
    <cellStyle name="常规 5 7 2 5 2" xfId="33789"/>
    <cellStyle name="常规 5 7 2 5 2 2" xfId="33790"/>
    <cellStyle name="常规 5 7 2 5 2 2 2" xfId="33791"/>
    <cellStyle name="常规 5 7 2 5 2 3" xfId="33792"/>
    <cellStyle name="常规 5 7 2 5 2 4" xfId="33793"/>
    <cellStyle name="常规 5 7 2 5 3" xfId="33794"/>
    <cellStyle name="常规 5 7 2 5 3 2" xfId="33795"/>
    <cellStyle name="常规 5 7 2 5 4" xfId="33796"/>
    <cellStyle name="常规 5 7 2 5 5" xfId="33797"/>
    <cellStyle name="常规 5 7 2 5 6" xfId="33798"/>
    <cellStyle name="常规 5 7 2 6" xfId="33799"/>
    <cellStyle name="常规 5 7 2 6 2" xfId="33800"/>
    <cellStyle name="常规 5 7 2 6 2 2" xfId="33801"/>
    <cellStyle name="常规 5 7 2 6 3" xfId="33802"/>
    <cellStyle name="常规 5 7 2 6 4" xfId="33803"/>
    <cellStyle name="常规 5 7 2 7" xfId="33804"/>
    <cellStyle name="常规 5 7 2 7 2" xfId="33805"/>
    <cellStyle name="常规 5 7 2 7 2 2" xfId="33806"/>
    <cellStyle name="常规 5 7 2 7 3" xfId="33807"/>
    <cellStyle name="常规 5 7 2 7 4" xfId="33808"/>
    <cellStyle name="常规 5 7 2 8" xfId="33809"/>
    <cellStyle name="常规 5 7 2 8 2" xfId="33810"/>
    <cellStyle name="常规 5 7 2 9" xfId="33811"/>
    <cellStyle name="常规 5 7 2 9 2" xfId="33813"/>
    <cellStyle name="常规 5 7 3" xfId="33814"/>
    <cellStyle name="常规 5 7 3 10" xfId="33815"/>
    <cellStyle name="常规 5 7 3 11" xfId="33816"/>
    <cellStyle name="常规 5 7 3 2" xfId="33817"/>
    <cellStyle name="常规 5 7 3 2 10" xfId="33818"/>
    <cellStyle name="常规 5 7 3 2 2" xfId="33819"/>
    <cellStyle name="常规 5 7 3 2 2 2" xfId="33820"/>
    <cellStyle name="常规 5 7 3 2 2 2 2" xfId="33821"/>
    <cellStyle name="常规 5 7 3 2 2 2 2 2" xfId="33822"/>
    <cellStyle name="常规 5 7 3 2 2 2 2 2 2" xfId="33823"/>
    <cellStyle name="常规 5 7 3 2 2 2 2 3" xfId="33824"/>
    <cellStyle name="常规 5 7 3 2 2 2 2 4" xfId="33825"/>
    <cellStyle name="常规 5 7 3 2 2 2 3" xfId="33826"/>
    <cellStyle name="常规 5 7 3 2 2 2 3 2" xfId="33827"/>
    <cellStyle name="常规 5 7 3 2 2 2 4" xfId="33828"/>
    <cellStyle name="常规 5 7 3 2 2 2 5" xfId="33829"/>
    <cellStyle name="常规 5 7 3 2 2 3" xfId="33830"/>
    <cellStyle name="常规 5 7 3 2 2 3 2" xfId="33831"/>
    <cellStyle name="常规 5 7 3 2 2 3 2 2" xfId="33832"/>
    <cellStyle name="常规 5 7 3 2 2 3 3" xfId="33833"/>
    <cellStyle name="常规 5 7 3 2 2 3 4" xfId="33834"/>
    <cellStyle name="常规 5 7 3 2 2 4" xfId="33835"/>
    <cellStyle name="常规 5 7 3 2 2 4 2" xfId="33836"/>
    <cellStyle name="常规 5 7 3 2 2 4 2 2" xfId="33837"/>
    <cellStyle name="常规 5 7 3 2 2 4 3" xfId="33838"/>
    <cellStyle name="常规 5 7 3 2 2 4 4" xfId="33839"/>
    <cellStyle name="常规 5 7 3 2 2 5" xfId="33840"/>
    <cellStyle name="常规 5 7 3 2 2 5 2" xfId="33841"/>
    <cellStyle name="常规 5 7 3 2 2 6" xfId="33842"/>
    <cellStyle name="常规 5 7 3 2 2 7" xfId="33843"/>
    <cellStyle name="常规 5 7 3 2 2 8" xfId="33844"/>
    <cellStyle name="常规 5 7 3 2 3" xfId="33845"/>
    <cellStyle name="常规 5 7 3 2 3 2" xfId="33846"/>
    <cellStyle name="常规 5 7 3 2 3 2 2" xfId="33847"/>
    <cellStyle name="常规 5 7 3 2 3 2 2 2" xfId="33848"/>
    <cellStyle name="常规 5 7 3 2 3 2 3" xfId="33849"/>
    <cellStyle name="常规 5 7 3 2 3 2 4" xfId="33850"/>
    <cellStyle name="常规 5 7 3 2 3 3" xfId="33851"/>
    <cellStyle name="常规 5 7 3 2 3 3 2" xfId="33852"/>
    <cellStyle name="常规 5 7 3 2 3 4" xfId="2426"/>
    <cellStyle name="常规 5 7 3 2 3 5" xfId="33853"/>
    <cellStyle name="常规 5 7 3 2 3 6" xfId="33854"/>
    <cellStyle name="常规 5 7 3 2 4" xfId="33855"/>
    <cellStyle name="常规 5 7 3 2 4 2" xfId="33856"/>
    <cellStyle name="常规 5 7 3 2 4 2 2" xfId="33857"/>
    <cellStyle name="常规 5 7 3 2 4 3" xfId="33858"/>
    <cellStyle name="常规 5 7 3 2 4 4" xfId="33859"/>
    <cellStyle name="常规 5 7 3 2 5" xfId="2550"/>
    <cellStyle name="常规 5 7 3 2 5 2" xfId="33860"/>
    <cellStyle name="常规 5 7 3 2 5 2 2" xfId="33861"/>
    <cellStyle name="常规 5 7 3 2 5 3" xfId="33862"/>
    <cellStyle name="常规 5 7 3 2 5 4" xfId="33863"/>
    <cellStyle name="常规 5 7 3 2 6" xfId="33864"/>
    <cellStyle name="常规 5 7 3 2 6 2" xfId="33865"/>
    <cellStyle name="常规 5 7 3 2 7" xfId="33866"/>
    <cellStyle name="常规 5 7 3 2 7 2" xfId="33867"/>
    <cellStyle name="常规 5 7 3 2 8" xfId="33868"/>
    <cellStyle name="常规 5 7 3 2 9" xfId="33869"/>
    <cellStyle name="常规 5 7 3 3" xfId="33870"/>
    <cellStyle name="常规 5 7 3 3 2" xfId="33871"/>
    <cellStyle name="常规 5 7 3 3 2 2" xfId="33872"/>
    <cellStyle name="常规 5 7 3 3 2 2 2" xfId="33873"/>
    <cellStyle name="常规 5 7 3 3 2 2 2 2" xfId="33874"/>
    <cellStyle name="常规 5 7 3 3 2 2 3" xfId="33875"/>
    <cellStyle name="常规 5 7 3 3 2 2 4" xfId="33876"/>
    <cellStyle name="常规 5 7 3 3 2 3" xfId="33877"/>
    <cellStyle name="常规 5 7 3 3 2 3 2" xfId="33878"/>
    <cellStyle name="常规 5 7 3 3 2 4" xfId="19262"/>
    <cellStyle name="常规 5 7 3 3 2 5" xfId="19268"/>
    <cellStyle name="常规 5 7 3 3 3" xfId="33879"/>
    <cellStyle name="常规 5 7 3 3 3 2" xfId="33880"/>
    <cellStyle name="常规 5 7 3 3 3 3" xfId="33881"/>
    <cellStyle name="常规 5 7 3 3 4" xfId="33882"/>
    <cellStyle name="常规 5 7 3 3 4 2" xfId="33883"/>
    <cellStyle name="常规 5 7 3 3 4 2 2" xfId="33884"/>
    <cellStyle name="常规 5 7 3 3 4 3" xfId="33885"/>
    <cellStyle name="常规 5 7 3 3 4 4" xfId="19287"/>
    <cellStyle name="常规 5 7 3 3 5" xfId="33886"/>
    <cellStyle name="常规 5 7 3 3 5 2" xfId="33887"/>
    <cellStyle name="常规 5 7 3 3 6" xfId="33888"/>
    <cellStyle name="常规 5 7 3 3 7" xfId="33889"/>
    <cellStyle name="常规 5 7 3 3 8" xfId="33890"/>
    <cellStyle name="常规 5 7 3 4" xfId="33891"/>
    <cellStyle name="常规 5 7 3 4 2" xfId="33892"/>
    <cellStyle name="常规 5 7 3 4 2 2" xfId="33893"/>
    <cellStyle name="常规 5 7 3 4 2 2 2" xfId="33894"/>
    <cellStyle name="常规 5 7 3 4 2 3" xfId="33895"/>
    <cellStyle name="常规 5 7 3 4 2 4" xfId="19319"/>
    <cellStyle name="常规 5 7 3 4 3" xfId="33896"/>
    <cellStyle name="常规 5 7 3 4 4" xfId="33897"/>
    <cellStyle name="常规 5 7 3 4 5" xfId="33898"/>
    <cellStyle name="常规 5 7 3 4 6" xfId="33899"/>
    <cellStyle name="常规 5 7 3 5" xfId="33900"/>
    <cellStyle name="常规 5 7 3 5 2" xfId="33901"/>
    <cellStyle name="常规 5 7 3 5 3" xfId="33902"/>
    <cellStyle name="常规 5 7 3 5 4" xfId="33903"/>
    <cellStyle name="常规 5 7 3 6" xfId="33904"/>
    <cellStyle name="常规 5 7 3 6 2" xfId="33905"/>
    <cellStyle name="常规 5 7 3 6 2 2" xfId="33906"/>
    <cellStyle name="常规 5 7 3 6 3" xfId="33907"/>
    <cellStyle name="常规 5 7 3 6 4" xfId="33908"/>
    <cellStyle name="常规 5 7 3 7" xfId="33909"/>
    <cellStyle name="常规 5 7 3 7 2" xfId="33910"/>
    <cellStyle name="常规 5 7 3 8" xfId="33911"/>
    <cellStyle name="常规 5 7 3 8 2" xfId="33912"/>
    <cellStyle name="常规 5 7 3 9" xfId="33913"/>
    <cellStyle name="常规 5 7 4" xfId="33915"/>
    <cellStyle name="常规 5 7 4 2" xfId="33916"/>
    <cellStyle name="常规 5 7 4 2 2" xfId="33917"/>
    <cellStyle name="常规 5 7 4 2 2 2" xfId="33918"/>
    <cellStyle name="常规 5 7 4 2 2 2 2" xfId="33919"/>
    <cellStyle name="常规 5 7 4 2 2 3" xfId="33920"/>
    <cellStyle name="常规 5 7 4 2 2 4" xfId="33921"/>
    <cellStyle name="常规 5 7 4 2 3" xfId="33922"/>
    <cellStyle name="常规 5 7 4 2 4" xfId="33923"/>
    <cellStyle name="常规 5 7 4 3" xfId="33924"/>
    <cellStyle name="常规 5 7 4 3 2" xfId="33926"/>
    <cellStyle name="常规 5 7 4 3 3" xfId="33928"/>
    <cellStyle name="常规 5 7 4 4" xfId="33930"/>
    <cellStyle name="常规 5 7 4 4 2" xfId="33932"/>
    <cellStyle name="常规 5 7 4 4 2 2" xfId="33934"/>
    <cellStyle name="常规 5 7 4 4 3" xfId="33935"/>
    <cellStyle name="常规 5 7 4 4 4" xfId="33937"/>
    <cellStyle name="常规 5 7 4 5" xfId="33939"/>
    <cellStyle name="常规 5 7 4 6" xfId="33941"/>
    <cellStyle name="常规 5 7 4 7" xfId="33943"/>
    <cellStyle name="常规 5 7 4 8" xfId="33945"/>
    <cellStyle name="常规 5 7 5" xfId="33947"/>
    <cellStyle name="常规 5 7 5 2" xfId="33948"/>
    <cellStyle name="常规 5 7 5 2 2" xfId="33949"/>
    <cellStyle name="常规 5 7 5 2 2 2" xfId="33950"/>
    <cellStyle name="常规 5 7 5 2 3" xfId="33951"/>
    <cellStyle name="常规 5 7 5 2 4" xfId="33952"/>
    <cellStyle name="常规 5 7 5 3" xfId="33953"/>
    <cellStyle name="常规 5 7 5 4" xfId="33955"/>
    <cellStyle name="常规 5 7 5 5" xfId="33957"/>
    <cellStyle name="常规 5 7 5 6" xfId="33959"/>
    <cellStyle name="常规 5 7 6" xfId="33961"/>
    <cellStyle name="常规 5 7 6 2" xfId="33962"/>
    <cellStyle name="常规 5 7 6 3" xfId="33963"/>
    <cellStyle name="常规 5 7 6 4" xfId="33965"/>
    <cellStyle name="常规 5 7 7" xfId="33967"/>
    <cellStyle name="常规 5 7 7 2" xfId="33968"/>
    <cellStyle name="常规 5 7 7 2 2" xfId="33969"/>
    <cellStyle name="常规 5 7 7 3" xfId="33970"/>
    <cellStyle name="常规 5 7 7 4" xfId="33972"/>
    <cellStyle name="常规 5 7 8" xfId="33974"/>
    <cellStyle name="常规 5 7 8 2" xfId="33975"/>
    <cellStyle name="常规 5 7 9" xfId="33976"/>
    <cellStyle name="常规 5 7 9 2" xfId="33977"/>
    <cellStyle name="常规 5 8" xfId="33978"/>
    <cellStyle name="常规 5 8 10" xfId="33979"/>
    <cellStyle name="常规 5 8 11" xfId="33980"/>
    <cellStyle name="常规 5 8 12" xfId="33981"/>
    <cellStyle name="常规 5 8 13" xfId="33982"/>
    <cellStyle name="常规 5 8 2" xfId="33983"/>
    <cellStyle name="常规 5 8 2 10" xfId="33984"/>
    <cellStyle name="常规 5 8 2 11" xfId="6036"/>
    <cellStyle name="常规 5 8 2 12" xfId="33985"/>
    <cellStyle name="常规 5 8 2 13" xfId="33986"/>
    <cellStyle name="常规 5 8 2 2" xfId="33987"/>
    <cellStyle name="常规 5 8 2 2 10" xfId="33988"/>
    <cellStyle name="常规 5 8 2 2 11" xfId="33989"/>
    <cellStyle name="常规 5 8 2 2 2" xfId="33990"/>
    <cellStyle name="常规 5 8 2 2 2 2" xfId="33991"/>
    <cellStyle name="常规 5 8 2 2 2 2 2" xfId="33992"/>
    <cellStyle name="常规 5 8 2 2 2 2 2 2" xfId="33993"/>
    <cellStyle name="常规 5 8 2 2 2 2 2 2 2" xfId="33994"/>
    <cellStyle name="常规 5 8 2 2 2 2 2 3" xfId="33995"/>
    <cellStyle name="常规 5 8 2 2 2 2 2 4" xfId="33996"/>
    <cellStyle name="常规 5 8 2 2 2 2 3" xfId="33997"/>
    <cellStyle name="常规 5 8 2 2 2 2 4" xfId="33998"/>
    <cellStyle name="常规 5 8 2 2 2 3" xfId="33999"/>
    <cellStyle name="常规 5 8 2 2 2 3 2" xfId="34000"/>
    <cellStyle name="常规 5 8 2 2 2 3 3" xfId="34001"/>
    <cellStyle name="常规 5 8 2 2 2 4" xfId="34002"/>
    <cellStyle name="常规 5 8 2 2 2 4 2" xfId="34003"/>
    <cellStyle name="常规 5 8 2 2 2 4 2 2" xfId="34004"/>
    <cellStyle name="常规 5 8 2 2 2 4 3" xfId="34005"/>
    <cellStyle name="常规 5 8 2 2 2 4 4" xfId="34006"/>
    <cellStyle name="常规 5 8 2 2 2 5" xfId="34007"/>
    <cellStyle name="常规 5 8 2 2 2 6" xfId="34008"/>
    <cellStyle name="常规 5 8 2 2 2 7" xfId="34009"/>
    <cellStyle name="常规 5 8 2 2 2 8" xfId="14248"/>
    <cellStyle name="常规 5 8 2 2 3" xfId="34010"/>
    <cellStyle name="常规 5 8 2 2 3 2" xfId="34011"/>
    <cellStyle name="常规 5 8 2 2 3 2 2" xfId="34012"/>
    <cellStyle name="常规 5 8 2 2 3 2 2 2" xfId="34013"/>
    <cellStyle name="常规 5 8 2 2 3 2 3" xfId="34014"/>
    <cellStyle name="常规 5 8 2 2 3 2 4" xfId="34015"/>
    <cellStyle name="常规 5 8 2 2 3 3" xfId="34016"/>
    <cellStyle name="常规 5 8 2 2 3 4" xfId="34017"/>
    <cellStyle name="常规 5 8 2 2 3 5" xfId="34018"/>
    <cellStyle name="常规 5 8 2 2 3 6" xfId="34019"/>
    <cellStyle name="常规 5 8 2 2 4" xfId="34020"/>
    <cellStyle name="常规 5 8 2 2 4 2" xfId="22596"/>
    <cellStyle name="常规 5 8 2 2 4 3" xfId="22598"/>
    <cellStyle name="常规 5 8 2 2 4 4" xfId="34021"/>
    <cellStyle name="常规 5 8 2 2 5" xfId="34022"/>
    <cellStyle name="常规 5 8 2 2 5 2" xfId="34023"/>
    <cellStyle name="常规 5 8 2 2 5 2 2" xfId="34024"/>
    <cellStyle name="常规 5 8 2 2 5 3" xfId="34025"/>
    <cellStyle name="常规 5 8 2 2 5 4" xfId="34026"/>
    <cellStyle name="常规 5 8 2 2 6" xfId="34027"/>
    <cellStyle name="常规 5 8 2 2 6 2" xfId="34028"/>
    <cellStyle name="常规 5 8 2 2 7" xfId="34029"/>
    <cellStyle name="常规 5 8 2 2 7 2" xfId="34030"/>
    <cellStyle name="常规 5 8 2 2 8" xfId="34031"/>
    <cellStyle name="常规 5 8 2 2 9" xfId="34032"/>
    <cellStyle name="常规 5 8 2 3" xfId="34033"/>
    <cellStyle name="常规 5 8 2 3 10" xfId="34034"/>
    <cellStyle name="常规 5 8 2 3 11" xfId="34035"/>
    <cellStyle name="常规 5 8 2 3 12" xfId="34036"/>
    <cellStyle name="常规 5 8 2 3 2" xfId="34037"/>
    <cellStyle name="常规 5 8 2 3 2 10" xfId="34038"/>
    <cellStyle name="常规 5 8 2 3 2 11" xfId="34039"/>
    <cellStyle name="常规 5 8 2 3 2 2" xfId="34040"/>
    <cellStyle name="常规 5 8 2 3 2 2 2" xfId="34041"/>
    <cellStyle name="常规 5 8 2 3 2 2 2 2" xfId="34042"/>
    <cellStyle name="常规 5 8 2 3 2 2 2 2 2" xfId="34043"/>
    <cellStyle name="常规 5 8 2 3 2 2 2 2 2 2" xfId="34044"/>
    <cellStyle name="常规 5 8 2 3 2 2 2 2 3" xfId="34045"/>
    <cellStyle name="常规 5 8 2 3 2 2 2 2 4" xfId="34046"/>
    <cellStyle name="常规 5 8 2 3 2 2 2 3" xfId="34047"/>
    <cellStyle name="常规 5 8 2 3 2 2 2 4" xfId="2345"/>
    <cellStyle name="常规 5 8 2 3 2 2 3" xfId="34048"/>
    <cellStyle name="常规 5 8 2 3 2 2 3 2" xfId="34049"/>
    <cellStyle name="常规 5 8 2 3 2 2 3 3" xfId="34050"/>
    <cellStyle name="常规 5 8 2 3 2 2 4" xfId="34051"/>
    <cellStyle name="常规 5 8 2 3 2 2 4 2" xfId="26725"/>
    <cellStyle name="常规 5 8 2 3 2 2 4 2 2" xfId="30901"/>
    <cellStyle name="常规 5 8 2 3 2 2 4 3" xfId="26910"/>
    <cellStyle name="常规 5 8 2 3 2 2 4 4" xfId="1777"/>
    <cellStyle name="常规 5 8 2 3 2 2 5" xfId="34052"/>
    <cellStyle name="常规 5 8 2 3 2 2 6" xfId="34053"/>
    <cellStyle name="常规 5 8 2 3 2 2 7" xfId="34054"/>
    <cellStyle name="常规 5 8 2 3 2 2 8" xfId="34055"/>
    <cellStyle name="常规 5 8 2 3 2 3" xfId="34056"/>
    <cellStyle name="常规 5 8 2 3 2 3 2" xfId="34057"/>
    <cellStyle name="常规 5 8 2 3 2 3 2 2" xfId="34058"/>
    <cellStyle name="常规 5 8 2 3 2 3 2 2 2" xfId="34059"/>
    <cellStyle name="常规 5 8 2 3 2 3 2 3" xfId="34060"/>
    <cellStyle name="常规 5 8 2 3 2 3 2 4" xfId="34061"/>
    <cellStyle name="常规 5 8 2 3 2 3 3" xfId="34062"/>
    <cellStyle name="常规 5 8 2 3 2 3 4" xfId="34063"/>
    <cellStyle name="常规 5 8 2 3 2 3 5" xfId="34064"/>
    <cellStyle name="常规 5 8 2 3 2 3 6" xfId="34065"/>
    <cellStyle name="常规 5 8 2 3 2 4" xfId="13160"/>
    <cellStyle name="常规 5 8 2 3 2 4 2" xfId="13163"/>
    <cellStyle name="常规 5 8 2 3 2 4 3" xfId="34066"/>
    <cellStyle name="常规 5 8 2 3 2 4 4" xfId="34067"/>
    <cellStyle name="常规 5 8 2 3 2 5" xfId="13168"/>
    <cellStyle name="常规 5 8 2 3 2 5 2" xfId="34068"/>
    <cellStyle name="常规 5 8 2 3 2 5 2 2" xfId="34069"/>
    <cellStyle name="常规 5 8 2 3 2 5 3" xfId="34070"/>
    <cellStyle name="常规 5 8 2 3 2 5 4" xfId="34071"/>
    <cellStyle name="常规 5 8 2 3 2 6" xfId="13171"/>
    <cellStyle name="常规 5 8 2 3 2 6 2" xfId="34072"/>
    <cellStyle name="常规 5 8 2 3 2 7" xfId="34073"/>
    <cellStyle name="常规 5 8 2 3 2 7 2" xfId="25668"/>
    <cellStyle name="常规 5 8 2 3 2 8" xfId="1523"/>
    <cellStyle name="常规 5 8 2 3 2 9" xfId="3449"/>
    <cellStyle name="常规 5 8 2 3 3" xfId="34074"/>
    <cellStyle name="常规 5 8 2 3 3 2" xfId="34075"/>
    <cellStyle name="常规 5 8 2 3 3 2 2" xfId="34076"/>
    <cellStyle name="常规 5 8 2 3 3 2 2 2" xfId="33731"/>
    <cellStyle name="常规 5 8 2 3 3 2 2 2 2" xfId="34077"/>
    <cellStyle name="常规 5 8 2 3 3 2 2 3" xfId="34078"/>
    <cellStyle name="常规 5 8 2 3 3 2 2 4" xfId="34079"/>
    <cellStyle name="常规 5 8 2 3 3 2 3" xfId="34080"/>
    <cellStyle name="常规 5 8 2 3 3 2 4" xfId="34081"/>
    <cellStyle name="常规 5 8 2 3 3 3" xfId="34082"/>
    <cellStyle name="常规 5 8 2 3 3 3 2" xfId="34083"/>
    <cellStyle name="常规 5 8 2 3 3 3 3" xfId="34084"/>
    <cellStyle name="常规 5 8 2 3 3 4" xfId="13178"/>
    <cellStyle name="常规 5 8 2 3 3 4 2" xfId="13182"/>
    <cellStyle name="常规 5 8 2 3 3 4 2 2" xfId="34085"/>
    <cellStyle name="常规 5 8 2 3 3 4 3" xfId="34087"/>
    <cellStyle name="常规 5 8 2 3 3 4 4" xfId="34088"/>
    <cellStyle name="常规 5 8 2 3 3 5" xfId="13186"/>
    <cellStyle name="常规 5 8 2 3 3 6" xfId="19427"/>
    <cellStyle name="常规 5 8 2 3 3 7" xfId="34089"/>
    <cellStyle name="常规 5 8 2 3 3 8" xfId="819"/>
    <cellStyle name="常规 5 8 2 3 4" xfId="34090"/>
    <cellStyle name="常规 5 8 2 3 4 2" xfId="34091"/>
    <cellStyle name="常规 5 8 2 3 4 2 2" xfId="34092"/>
    <cellStyle name="常规 5 8 2 3 4 2 2 2" xfId="34093"/>
    <cellStyle name="常规 5 8 2 3 4 2 3" xfId="34094"/>
    <cellStyle name="常规 5 8 2 3 4 2 4" xfId="34095"/>
    <cellStyle name="常规 5 8 2 3 4 3" xfId="34096"/>
    <cellStyle name="常规 5 8 2 3 4 4" xfId="13193"/>
    <cellStyle name="常规 5 8 2 3 4 5" xfId="34097"/>
    <cellStyle name="常规 5 8 2 3 4 6" xfId="34098"/>
    <cellStyle name="常规 5 8 2 3 5" xfId="34099"/>
    <cellStyle name="常规 5 8 2 3 5 2" xfId="34100"/>
    <cellStyle name="常规 5 8 2 3 5 3" xfId="34101"/>
    <cellStyle name="常规 5 8 2 3 5 4" xfId="13204"/>
    <cellStyle name="常规 5 8 2 3 6" xfId="34102"/>
    <cellStyle name="常规 5 8 2 3 6 2" xfId="34103"/>
    <cellStyle name="常规 5 8 2 3 6 2 2" xfId="34104"/>
    <cellStyle name="常规 5 8 2 3 6 3" xfId="34105"/>
    <cellStyle name="常规 5 8 2 3 6 4" xfId="855"/>
    <cellStyle name="常规 5 8 2 3 7" xfId="34106"/>
    <cellStyle name="常规 5 8 2 3 7 2" xfId="34107"/>
    <cellStyle name="常规 5 8 2 3 8" xfId="34108"/>
    <cellStyle name="常规 5 8 2 3 8 2" xfId="34109"/>
    <cellStyle name="常规 5 8 2 3 9" xfId="34110"/>
    <cellStyle name="常规 5 8 2 4" xfId="34111"/>
    <cellStyle name="常规 5 8 2 4 2" xfId="34112"/>
    <cellStyle name="常规 5 8 2 4 2 2" xfId="34113"/>
    <cellStyle name="常规 5 8 2 4 2 2 2" xfId="34114"/>
    <cellStyle name="常规 5 8 2 4 2 2 2 2" xfId="34115"/>
    <cellStyle name="常规 5 8 2 4 2 2 3" xfId="34116"/>
    <cellStyle name="常规 5 8 2 4 2 2 4" xfId="34117"/>
    <cellStyle name="常规 5 8 2 4 2 3" xfId="34118"/>
    <cellStyle name="常规 5 8 2 4 2 4" xfId="13269"/>
    <cellStyle name="常规 5 8 2 4 3" xfId="34119"/>
    <cellStyle name="常规 5 8 2 4 3 2" xfId="34120"/>
    <cellStyle name="常规 5 8 2 4 3 3" xfId="34121"/>
    <cellStyle name="常规 5 8 2 4 4" xfId="34122"/>
    <cellStyle name="常规 5 8 2 4 4 2" xfId="34123"/>
    <cellStyle name="常规 5 8 2 4 4 2 2" xfId="34124"/>
    <cellStyle name="常规 5 8 2 4 4 3" xfId="34125"/>
    <cellStyle name="常规 5 8 2 4 4 4" xfId="34126"/>
    <cellStyle name="常规 5 8 2 4 5" xfId="34127"/>
    <cellStyle name="常规 5 8 2 4 6" xfId="34128"/>
    <cellStyle name="常规 5 8 2 4 7" xfId="34129"/>
    <cellStyle name="常规 5 8 2 4 8" xfId="34130"/>
    <cellStyle name="常规 5 8 2 5" xfId="34131"/>
    <cellStyle name="常规 5 8 2 5 2" xfId="34132"/>
    <cellStyle name="常规 5 8 2 5 2 2" xfId="34133"/>
    <cellStyle name="常规 5 8 2 5 2 2 2" xfId="30130"/>
    <cellStyle name="常规 5 8 2 5 2 3" xfId="34134"/>
    <cellStyle name="常规 5 8 2 5 2 4" xfId="34135"/>
    <cellStyle name="常规 5 8 2 5 3" xfId="34136"/>
    <cellStyle name="常规 5 8 2 5 4" xfId="34137"/>
    <cellStyle name="常规 5 8 2 5 5" xfId="34138"/>
    <cellStyle name="常规 5 8 2 5 6" xfId="34139"/>
    <cellStyle name="常规 5 8 2 6" xfId="34140"/>
    <cellStyle name="常规 5 8 2 6 2" xfId="34141"/>
    <cellStyle name="常规 5 8 2 6 3" xfId="34142"/>
    <cellStyle name="常规 5 8 2 6 4" xfId="28996"/>
    <cellStyle name="常规 5 8 2 7" xfId="34143"/>
    <cellStyle name="常规 5 8 2 7 2" xfId="8843"/>
    <cellStyle name="常规 5 8 2 7 2 2" xfId="8845"/>
    <cellStyle name="常规 5 8 2 7 3" xfId="8851"/>
    <cellStyle name="常规 5 8 2 7 4" xfId="8854"/>
    <cellStyle name="常规 5 8 2 8" xfId="34144"/>
    <cellStyle name="常规 5 8 2 8 2" xfId="34145"/>
    <cellStyle name="常规 5 8 2 9" xfId="34146"/>
    <cellStyle name="常规 5 8 2 9 2" xfId="34147"/>
    <cellStyle name="常规 5 8 3" xfId="34148"/>
    <cellStyle name="常规 5 8 3 10" xfId="16515"/>
    <cellStyle name="常规 5 8 3 11" xfId="15981"/>
    <cellStyle name="常规 5 8 3 12" xfId="34149"/>
    <cellStyle name="常规 5 8 3 2" xfId="34150"/>
    <cellStyle name="常规 5 8 3 2 10" xfId="34151"/>
    <cellStyle name="常规 5 8 3 2 11" xfId="34152"/>
    <cellStyle name="常规 5 8 3 2 2" xfId="34153"/>
    <cellStyle name="常规 5 8 3 2 2 2" xfId="34154"/>
    <cellStyle name="常规 5 8 3 2 2 2 2" xfId="34155"/>
    <cellStyle name="常规 5 8 3 2 2 2 2 2" xfId="34156"/>
    <cellStyle name="常规 5 8 3 2 2 2 2 2 2" xfId="34157"/>
    <cellStyle name="常规 5 8 3 2 2 2 2 3" xfId="34158"/>
    <cellStyle name="常规 5 8 3 2 2 2 2 4" xfId="34159"/>
    <cellStyle name="常规 5 8 3 2 2 2 3" xfId="34160"/>
    <cellStyle name="常规 5 8 3 2 2 2 4" xfId="34161"/>
    <cellStyle name="常规 5 8 3 2 2 3" xfId="34162"/>
    <cellStyle name="常规 5 8 3 2 2 3 2" xfId="34163"/>
    <cellStyle name="常规 5 8 3 2 2 3 3" xfId="34164"/>
    <cellStyle name="常规 5 8 3 2 2 4" xfId="34165"/>
    <cellStyle name="常规 5 8 3 2 2 4 2" xfId="34166"/>
    <cellStyle name="常规 5 8 3 2 2 4 2 2" xfId="34167"/>
    <cellStyle name="常规 5 8 3 2 2 4 3" xfId="34168"/>
    <cellStyle name="常规 5 8 3 2 2 4 4" xfId="34169"/>
    <cellStyle name="常规 5 8 3 2 2 5" xfId="34170"/>
    <cellStyle name="常规 5 8 3 2 2 6" xfId="34171"/>
    <cellStyle name="常规 5 8 3 2 2 7" xfId="34172"/>
    <cellStyle name="常规 5 8 3 2 2 8" xfId="34173"/>
    <cellStyle name="常规 5 8 3 2 3" xfId="34174"/>
    <cellStyle name="常规 5 8 3 2 3 2" xfId="34175"/>
    <cellStyle name="常规 5 8 3 2 3 2 2" xfId="34176"/>
    <cellStyle name="常规 5 8 3 2 3 2 2 2" xfId="34177"/>
    <cellStyle name="常规 5 8 3 2 3 2 3" xfId="34178"/>
    <cellStyle name="常规 5 8 3 2 3 2 4" xfId="34179"/>
    <cellStyle name="常规 5 8 3 2 3 3" xfId="34180"/>
    <cellStyle name="常规 5 8 3 2 3 4" xfId="34181"/>
    <cellStyle name="常规 5 8 3 2 3 5" xfId="34182"/>
    <cellStyle name="常规 5 8 3 2 3 6" xfId="34183"/>
    <cellStyle name="常规 5 8 3 2 4" xfId="34184"/>
    <cellStyle name="常规 5 8 3 2 4 2" xfId="34185"/>
    <cellStyle name="常规 5 8 3 2 4 3" xfId="34186"/>
    <cellStyle name="常规 5 8 3 2 4 4" xfId="34187"/>
    <cellStyle name="常规 5 8 3 2 5" xfId="34188"/>
    <cellStyle name="常规 5 8 3 2 5 2" xfId="34189"/>
    <cellStyle name="常规 5 8 3 2 5 2 2" xfId="34190"/>
    <cellStyle name="常规 5 8 3 2 5 3" xfId="34191"/>
    <cellStyle name="常规 5 8 3 2 5 4" xfId="34192"/>
    <cellStyle name="常规 5 8 3 2 6" xfId="34193"/>
    <cellStyle name="常规 5 8 3 2 6 2" xfId="23422"/>
    <cellStyle name="常规 5 8 3 2 7" xfId="34194"/>
    <cellStyle name="常规 5 8 3 2 7 2" xfId="34195"/>
    <cellStyle name="常规 5 8 3 2 8" xfId="34196"/>
    <cellStyle name="常规 5 8 3 2 9" xfId="34197"/>
    <cellStyle name="常规 5 8 3 3" xfId="34198"/>
    <cellStyle name="常规 5 8 3 3 2" xfId="34199"/>
    <cellStyle name="常规 5 8 3 3 2 2" xfId="34200"/>
    <cellStyle name="常规 5 8 3 3 2 2 2" xfId="34201"/>
    <cellStyle name="常规 5 8 3 3 2 2 2 2" xfId="34202"/>
    <cellStyle name="常规 5 8 3 3 2 2 3" xfId="34203"/>
    <cellStyle name="常规 5 8 3 3 2 2 4" xfId="34204"/>
    <cellStyle name="常规 5 8 3 3 2 3" xfId="34205"/>
    <cellStyle name="常规 5 8 3 3 2 4" xfId="13487"/>
    <cellStyle name="常规 5 8 3 3 3" xfId="34206"/>
    <cellStyle name="常规 5 8 3 3 3 2" xfId="34207"/>
    <cellStyle name="常规 5 8 3 3 3 3" xfId="34208"/>
    <cellStyle name="常规 5 8 3 3 4" xfId="34209"/>
    <cellStyle name="常规 5 8 3 3 4 2" xfId="34210"/>
    <cellStyle name="常规 5 8 3 3 4 2 2" xfId="34211"/>
    <cellStyle name="常规 5 8 3 3 4 3" xfId="34212"/>
    <cellStyle name="常规 5 8 3 3 4 4" xfId="34213"/>
    <cellStyle name="常规 5 8 3 3 5" xfId="34214"/>
    <cellStyle name="常规 5 8 3 3 6" xfId="34215"/>
    <cellStyle name="常规 5 8 3 3 7" xfId="34216"/>
    <cellStyle name="常规 5 8 3 3 8" xfId="34217"/>
    <cellStyle name="常规 5 8 3 4" xfId="34218"/>
    <cellStyle name="常规 5 8 3 4 2" xfId="34219"/>
    <cellStyle name="常规 5 8 3 4 2 2" xfId="34220"/>
    <cellStyle name="常规 5 8 3 4 2 2 2" xfId="34221"/>
    <cellStyle name="常规 5 8 3 4 2 3" xfId="34222"/>
    <cellStyle name="常规 5 8 3 4 2 4" xfId="34223"/>
    <cellStyle name="常规 5 8 3 4 3" xfId="34224"/>
    <cellStyle name="常规 5 8 3 4 4" xfId="34225"/>
    <cellStyle name="常规 5 8 3 4 5" xfId="34226"/>
    <cellStyle name="常规 5 8 3 4 6" xfId="34227"/>
    <cellStyle name="常规 5 8 3 5" xfId="34228"/>
    <cellStyle name="常规 5 8 3 5 2" xfId="34229"/>
    <cellStyle name="常规 5 8 3 5 3" xfId="34230"/>
    <cellStyle name="常规 5 8 3 5 4" xfId="34231"/>
    <cellStyle name="常规 5 8 3 6" xfId="34232"/>
    <cellStyle name="常规 5 8 3 6 2" xfId="34233"/>
    <cellStyle name="常规 5 8 3 6 2 2" xfId="34234"/>
    <cellStyle name="常规 5 8 3 6 3" xfId="34235"/>
    <cellStyle name="常规 5 8 3 6 4" xfId="34236"/>
    <cellStyle name="常规 5 8 3 7" xfId="34237"/>
    <cellStyle name="常规 5 8 3 7 2" xfId="9046"/>
    <cellStyle name="常规 5 8 3 8" xfId="34238"/>
    <cellStyle name="常规 5 8 3 8 2" xfId="34239"/>
    <cellStyle name="常规 5 8 3 9" xfId="34240"/>
    <cellStyle name="常规 5 8 4" xfId="34241"/>
    <cellStyle name="常规 5 8 4 2" xfId="34242"/>
    <cellStyle name="常规 5 8 4 2 2" xfId="34243"/>
    <cellStyle name="常规 5 8 4 2 2 2" xfId="34244"/>
    <cellStyle name="常规 5 8 4 2 2 2 2" xfId="34245"/>
    <cellStyle name="常规 5 8 4 2 2 3" xfId="34246"/>
    <cellStyle name="常规 5 8 4 2 2 4" xfId="34247"/>
    <cellStyle name="常规 5 8 4 2 3" xfId="34248"/>
    <cellStyle name="常规 5 8 4 2 4" xfId="34249"/>
    <cellStyle name="常规 5 8 4 3" xfId="34250"/>
    <cellStyle name="常规 5 8 4 3 2" xfId="34252"/>
    <cellStyle name="常规 5 8 4 3 3" xfId="34253"/>
    <cellStyle name="常规 5 8 4 4" xfId="34254"/>
    <cellStyle name="常规 5 8 4 4 2" xfId="34256"/>
    <cellStyle name="常规 5 8 4 4 2 2" xfId="34257"/>
    <cellStyle name="常规 5 8 4 4 3" xfId="34258"/>
    <cellStyle name="常规 5 8 4 4 4" xfId="34259"/>
    <cellStyle name="常规 5 8 4 5" xfId="34260"/>
    <cellStyle name="常规 5 8 4 6" xfId="34262"/>
    <cellStyle name="常规 5 8 4 7" xfId="34264"/>
    <cellStyle name="常规 5 8 4 8" xfId="34265"/>
    <cellStyle name="常规 5 8 5" xfId="34266"/>
    <cellStyle name="常规 5 8 5 2" xfId="34267"/>
    <cellStyle name="常规 5 8 5 2 2" xfId="34268"/>
    <cellStyle name="常规 5 8 5 2 2 2" xfId="34269"/>
    <cellStyle name="常规 5 8 5 2 3" xfId="34270"/>
    <cellStyle name="常规 5 8 5 2 4" xfId="34271"/>
    <cellStyle name="常规 5 8 5 3" xfId="34272"/>
    <cellStyle name="常规 5 8 5 4" xfId="34274"/>
    <cellStyle name="常规 5 8 5 5" xfId="34276"/>
    <cellStyle name="常规 5 8 5 6" xfId="34277"/>
    <cellStyle name="常规 5 8 6" xfId="34278"/>
    <cellStyle name="常规 5 8 6 2" xfId="34279"/>
    <cellStyle name="常规 5 8 6 3" xfId="34280"/>
    <cellStyle name="常规 5 8 6 4" xfId="34281"/>
    <cellStyle name="常规 5 8 7" xfId="34282"/>
    <cellStyle name="常规 5 8 7 2" xfId="34283"/>
    <cellStyle name="常规 5 8 7 2 2" xfId="34284"/>
    <cellStyle name="常规 5 8 7 3" xfId="34285"/>
    <cellStyle name="常规 5 8 7 4" xfId="34286"/>
    <cellStyle name="常规 5 8 8" xfId="34287"/>
    <cellStyle name="常规 5 8 8 2" xfId="34288"/>
    <cellStyle name="常规 5 8 9" xfId="34289"/>
    <cellStyle name="常规 5 8 9 2" xfId="34290"/>
    <cellStyle name="常规 5 9" xfId="34291"/>
    <cellStyle name="常规 5 9 10" xfId="34292"/>
    <cellStyle name="常规 5 9 11" xfId="34293"/>
    <cellStyle name="常规 5 9 12" xfId="34294"/>
    <cellStyle name="常规 5 9 13" xfId="34295"/>
    <cellStyle name="常规 5 9 2" xfId="34296"/>
    <cellStyle name="常规 5 9 2 10" xfId="34297"/>
    <cellStyle name="常规 5 9 2 11" xfId="34298"/>
    <cellStyle name="常规 5 9 2 12" xfId="34299"/>
    <cellStyle name="常规 5 9 2 13" xfId="34300"/>
    <cellStyle name="常规 5 9 2 2" xfId="34301"/>
    <cellStyle name="常规 5 9 2 2 10" xfId="34302"/>
    <cellStyle name="常规 5 9 2 2 11" xfId="34303"/>
    <cellStyle name="常规 5 9 2 2 2" xfId="34304"/>
    <cellStyle name="常规 5 9 2 2 2 2" xfId="34305"/>
    <cellStyle name="常规 5 9 2 2 2 2 2" xfId="34306"/>
    <cellStyle name="常规 5 9 2 2 2 2 2 2" xfId="34307"/>
    <cellStyle name="常规 5 9 2 2 2 2 2 2 2" xfId="34308"/>
    <cellStyle name="常规 5 9 2 2 2 2 2 3" xfId="34309"/>
    <cellStyle name="常规 5 9 2 2 2 2 2 4" xfId="34310"/>
    <cellStyle name="常规 5 9 2 2 2 2 3" xfId="34311"/>
    <cellStyle name="常规 5 9 2 2 2 2 4" xfId="34312"/>
    <cellStyle name="常规 5 9 2 2 2 3" xfId="34313"/>
    <cellStyle name="常规 5 9 2 2 2 3 2" xfId="34314"/>
    <cellStyle name="常规 5 9 2 2 2 3 3" xfId="34315"/>
    <cellStyle name="常规 5 9 2 2 2 4" xfId="34316"/>
    <cellStyle name="常规 5 9 2 2 2 4 2" xfId="34317"/>
    <cellStyle name="常规 5 9 2 2 2 4 2 2" xfId="34318"/>
    <cellStyle name="常规 5 9 2 2 2 4 3" xfId="34319"/>
    <cellStyle name="常规 5 9 2 2 2 4 4" xfId="34320"/>
    <cellStyle name="常规 5 9 2 2 2 5" xfId="34321"/>
    <cellStyle name="常规 5 9 2 2 2 6" xfId="34322"/>
    <cellStyle name="常规 5 9 2 2 2 7" xfId="34323"/>
    <cellStyle name="常规 5 9 2 2 2 8" xfId="34324"/>
    <cellStyle name="常规 5 9 2 2 3" xfId="34325"/>
    <cellStyle name="常规 5 9 2 2 3 2" xfId="34326"/>
    <cellStyle name="常规 5 9 2 2 3 2 2" xfId="34327"/>
    <cellStyle name="常规 5 9 2 2 3 2 2 2" xfId="34328"/>
    <cellStyle name="常规 5 9 2 2 3 2 3" xfId="34329"/>
    <cellStyle name="常规 5 9 2 2 3 2 4" xfId="34330"/>
    <cellStyle name="常规 5 9 2 2 3 3" xfId="34331"/>
    <cellStyle name="常规 5 9 2 2 3 4" xfId="34332"/>
    <cellStyle name="常规 5 9 2 2 3 5" xfId="34333"/>
    <cellStyle name="常规 5 9 2 2 3 6" xfId="34334"/>
    <cellStyle name="常规 5 9 2 2 4" xfId="34335"/>
    <cellStyle name="常规 5 9 2 2 4 2" xfId="22995"/>
    <cellStyle name="常规 5 9 2 2 4 3" xfId="15718"/>
    <cellStyle name="常规 5 9 2 2 4 4" xfId="34336"/>
    <cellStyle name="常规 5 9 2 2 5" xfId="29016"/>
    <cellStyle name="常规 5 9 2 2 5 2" xfId="34337"/>
    <cellStyle name="常规 5 9 2 2 5 2 2" xfId="34338"/>
    <cellStyle name="常规 5 9 2 2 5 3" xfId="34339"/>
    <cellStyle name="常规 5 9 2 2 5 4" xfId="34340"/>
    <cellStyle name="常规 5 9 2 2 6" xfId="34341"/>
    <cellStyle name="常规 5 9 2 2 6 2" xfId="34342"/>
    <cellStyle name="常规 5 9 2 2 7" xfId="34343"/>
    <cellStyle name="常规 5 9 2 2 7 2" xfId="34344"/>
    <cellStyle name="常规 5 9 2 2 8" xfId="34345"/>
    <cellStyle name="常规 5 9 2 2 9" xfId="34346"/>
    <cellStyle name="常规 5 9 2 3" xfId="34347"/>
    <cellStyle name="常规 5 9 2 3 10" xfId="34348"/>
    <cellStyle name="常规 5 9 2 3 11" xfId="34349"/>
    <cellStyle name="常规 5 9 2 3 12" xfId="34350"/>
    <cellStyle name="常规 5 9 2 3 2" xfId="34351"/>
    <cellStyle name="常规 5 9 2 3 2 10" xfId="34352"/>
    <cellStyle name="常规 5 9 2 3 2 11" xfId="34353"/>
    <cellStyle name="常规 5 9 2 3 2 2" xfId="17693"/>
    <cellStyle name="常规 5 9 2 3 2 2 2" xfId="34354"/>
    <cellStyle name="常规 5 9 2 3 2 2 2 2" xfId="34355"/>
    <cellStyle name="常规 5 9 2 3 2 2 2 2 2" xfId="34356"/>
    <cellStyle name="常规 5 9 2 3 2 2 2 2 2 2" xfId="34357"/>
    <cellStyle name="常规 5 9 2 3 2 2 2 2 3" xfId="34358"/>
    <cellStyle name="常规 5 9 2 3 2 2 2 2 4" xfId="34359"/>
    <cellStyle name="常规 5 9 2 3 2 2 2 3" xfId="34360"/>
    <cellStyle name="常规 5 9 2 3 2 2 2 4" xfId="27905"/>
    <cellStyle name="常规 5 9 2 3 2 2 3" xfId="34361"/>
    <cellStyle name="常规 5 9 2 3 2 2 3 2" xfId="34362"/>
    <cellStyle name="常规 5 9 2 3 2 2 3 3" xfId="34363"/>
    <cellStyle name="常规 5 9 2 3 2 2 4" xfId="34364"/>
    <cellStyle name="常规 5 9 2 3 2 2 4 2" xfId="31078"/>
    <cellStyle name="常规 5 9 2 3 2 2 4 2 2" xfId="31080"/>
    <cellStyle name="常规 5 9 2 3 2 2 4 3" xfId="28765"/>
    <cellStyle name="常规 5 9 2 3 2 2 4 4" xfId="14987"/>
    <cellStyle name="常规 5 9 2 3 2 2 5" xfId="34365"/>
    <cellStyle name="常规 5 9 2 3 2 2 6" xfId="34366"/>
    <cellStyle name="常规 5 9 2 3 2 2 7" xfId="34367"/>
    <cellStyle name="常规 5 9 2 3 2 2 8" xfId="34368"/>
    <cellStyle name="常规 5 9 2 3 2 3" xfId="34369"/>
    <cellStyle name="常规 5 9 2 3 2 3 2" xfId="34370"/>
    <cellStyle name="常规 5 9 2 3 2 3 2 2" xfId="21243"/>
    <cellStyle name="常规 5 9 2 3 2 3 2 2 2" xfId="34371"/>
    <cellStyle name="常规 5 9 2 3 2 3 2 3" xfId="34372"/>
    <cellStyle name="常规 5 9 2 3 2 3 2 4" xfId="34373"/>
    <cellStyle name="常规 5 9 2 3 2 3 3" xfId="34374"/>
    <cellStyle name="常规 5 9 2 3 2 3 4" xfId="34375"/>
    <cellStyle name="常规 5 9 2 3 2 3 5" xfId="34376"/>
    <cellStyle name="常规 5 9 2 3 2 3 6" xfId="34377"/>
    <cellStyle name="常规 5 9 2 3 2 4" xfId="34378"/>
    <cellStyle name="常规 5 9 2 3 2 4 2" xfId="34379"/>
    <cellStyle name="常规 5 9 2 3 2 4 3" xfId="34380"/>
    <cellStyle name="常规 5 9 2 3 2 4 4" xfId="34381"/>
    <cellStyle name="常规 5 9 2 3 2 5" xfId="34382"/>
    <cellStyle name="常规 5 9 2 3 2 5 2" xfId="34383"/>
    <cellStyle name="常规 5 9 2 3 2 5 2 2" xfId="34384"/>
    <cellStyle name="常规 5 9 2 3 2 5 3" xfId="34385"/>
    <cellStyle name="常规 5 9 2 3 2 5 4" xfId="34386"/>
    <cellStyle name="常规 5 9 2 3 2 6" xfId="34387"/>
    <cellStyle name="常规 5 9 2 3 2 6 2" xfId="34388"/>
    <cellStyle name="常规 5 9 2 3 2 7" xfId="34389"/>
    <cellStyle name="常规 5 9 2 3 2 7 2" xfId="34390"/>
    <cellStyle name="常规 5 9 2 3 2 8" xfId="2676"/>
    <cellStyle name="常规 5 9 2 3 2 9" xfId="2689"/>
    <cellStyle name="常规 5 9 2 3 3" xfId="34391"/>
    <cellStyle name="常规 5 9 2 3 3 2" xfId="34392"/>
    <cellStyle name="常规 5 9 2 3 3 2 2" xfId="34393"/>
    <cellStyle name="常规 5 9 2 3 3 2 2 2" xfId="34394"/>
    <cellStyle name="常规 5 9 2 3 3 2 2 2 2" xfId="34395"/>
    <cellStyle name="常规 5 9 2 3 3 2 2 3" xfId="34396"/>
    <cellStyle name="常规 5 9 2 3 3 2 2 4" xfId="34397"/>
    <cellStyle name="常规 5 9 2 3 3 2 3" xfId="34398"/>
    <cellStyle name="常规 5 9 2 3 3 2 4" xfId="34399"/>
    <cellStyle name="常规 5 9 2 3 3 3" xfId="34400"/>
    <cellStyle name="常规 5 9 2 3 3 3 2" xfId="34401"/>
    <cellStyle name="常规 5 9 2 3 3 3 3" xfId="34402"/>
    <cellStyle name="常规 5 9 2 3 3 4" xfId="34403"/>
    <cellStyle name="常规 5 9 2 3 3 4 2" xfId="34404"/>
    <cellStyle name="常规 5 9 2 3 3 4 2 2" xfId="34405"/>
    <cellStyle name="常规 5 9 2 3 3 4 3" xfId="34407"/>
    <cellStyle name="常规 5 9 2 3 3 4 4" xfId="34408"/>
    <cellStyle name="常规 5 9 2 3 3 5" xfId="34409"/>
    <cellStyle name="常规 5 9 2 3 3 6" xfId="34410"/>
    <cellStyle name="常规 5 9 2 3 3 7" xfId="34411"/>
    <cellStyle name="常规 5 9 2 3 3 8" xfId="2702"/>
    <cellStyle name="常规 5 9 2 3 4" xfId="34412"/>
    <cellStyle name="常规 5 9 2 3 4 2" xfId="34413"/>
    <cellStyle name="常规 5 9 2 3 4 2 2" xfId="34414"/>
    <cellStyle name="常规 5 9 2 3 4 2 2 2" xfId="34415"/>
    <cellStyle name="常规 5 9 2 3 4 2 3" xfId="34416"/>
    <cellStyle name="常规 5 9 2 3 4 2 4" xfId="34417"/>
    <cellStyle name="常规 5 9 2 3 4 3" xfId="34418"/>
    <cellStyle name="常规 5 9 2 3 4 4" xfId="34419"/>
    <cellStyle name="常规 5 9 2 3 4 5" xfId="34420"/>
    <cellStyle name="常规 5 9 2 3 4 6" xfId="34421"/>
    <cellStyle name="常规 5 9 2 3 5" xfId="34422"/>
    <cellStyle name="常规 5 9 2 3 5 2" xfId="34423"/>
    <cellStyle name="常规 5 9 2 3 5 3" xfId="34424"/>
    <cellStyle name="常规 5 9 2 3 5 4" xfId="34425"/>
    <cellStyle name="常规 5 9 2 3 6" xfId="34426"/>
    <cellStyle name="常规 5 9 2 3 6 2" xfId="34427"/>
    <cellStyle name="常规 5 9 2 3 6 2 2" xfId="34428"/>
    <cellStyle name="常规 5 9 2 3 6 3" xfId="34429"/>
    <cellStyle name="常规 5 9 2 3 6 4" xfId="34430"/>
    <cellStyle name="常规 5 9 2 3 7" xfId="34431"/>
    <cellStyle name="常规 5 9 2 3 7 2" xfId="34432"/>
    <cellStyle name="常规 5 9 2 3 8" xfId="34433"/>
    <cellStyle name="常规 5 9 2 3 8 2" xfId="34434"/>
    <cellStyle name="常规 5 9 2 3 9" xfId="34435"/>
    <cellStyle name="常规 5 9 2 4" xfId="34436"/>
    <cellStyle name="常规 5 9 2 4 2" xfId="34437"/>
    <cellStyle name="常规 5 9 2 4 2 2" xfId="34438"/>
    <cellStyle name="常规 5 9 2 4 2 2 2" xfId="34439"/>
    <cellStyle name="常规 5 9 2 4 2 2 2 2" xfId="34440"/>
    <cellStyle name="常规 5 9 2 4 2 2 3" xfId="34441"/>
    <cellStyle name="常规 5 9 2 4 2 2 4" xfId="34442"/>
    <cellStyle name="常规 5 9 2 4 2 3" xfId="34443"/>
    <cellStyle name="常规 5 9 2 4 2 4" xfId="34444"/>
    <cellStyle name="常规 5 9 2 4 3" xfId="34445"/>
    <cellStyle name="常规 5 9 2 4 3 2" xfId="34446"/>
    <cellStyle name="常规 5 9 2 4 3 3" xfId="34447"/>
    <cellStyle name="常规 5 9 2 4 4" xfId="34448"/>
    <cellStyle name="常规 5 9 2 4 4 2" xfId="34449"/>
    <cellStyle name="常规 5 9 2 4 4 2 2" xfId="34450"/>
    <cellStyle name="常规 5 9 2 4 4 3" xfId="34451"/>
    <cellStyle name="常规 5 9 2 4 4 4" xfId="34452"/>
    <cellStyle name="常规 5 9 2 4 5" xfId="34453"/>
    <cellStyle name="常规 5 9 2 4 6" xfId="34454"/>
    <cellStyle name="常规 5 9 2 4 7" xfId="34455"/>
    <cellStyle name="常规 5 9 2 4 8" xfId="34456"/>
    <cellStyle name="常规 5 9 2 5" xfId="34457"/>
    <cellStyle name="常规 5 9 2 5 2" xfId="34458"/>
    <cellStyle name="常规 5 9 2 5 2 2" xfId="34459"/>
    <cellStyle name="常规 5 9 2 5 2 2 2" xfId="34460"/>
    <cellStyle name="常规 5 9 2 5 2 3" xfId="34461"/>
    <cellStyle name="常规 5 9 2 5 2 4" xfId="34462"/>
    <cellStyle name="常规 5 9 2 5 3" xfId="34463"/>
    <cellStyle name="常规 5 9 2 5 4" xfId="34464"/>
    <cellStyle name="常规 5 9 2 5 5" xfId="34465"/>
    <cellStyle name="常规 5 9 2 5 6" xfId="34467"/>
    <cellStyle name="常规 5 9 2 6" xfId="34468"/>
    <cellStyle name="常规 5 9 2 6 2" xfId="34469"/>
    <cellStyle name="常规 5 9 2 6 3" xfId="34470"/>
    <cellStyle name="常规 5 9 2 6 4" xfId="34471"/>
    <cellStyle name="常规 5 9 2 7" xfId="34472"/>
    <cellStyle name="常规 5 9 2 7 2" xfId="34473"/>
    <cellStyle name="常规 5 9 2 7 2 2" xfId="34474"/>
    <cellStyle name="常规 5 9 2 7 3" xfId="34475"/>
    <cellStyle name="常规 5 9 2 7 4" xfId="34476"/>
    <cellStyle name="常规 5 9 2 8" xfId="34477"/>
    <cellStyle name="常规 5 9 2 8 2" xfId="34478"/>
    <cellStyle name="常规 5 9 2 9" xfId="34479"/>
    <cellStyle name="常规 5 9 2 9 2" xfId="34480"/>
    <cellStyle name="常规 5 9 3" xfId="34481"/>
    <cellStyle name="常规 5 9 3 10" xfId="34482"/>
    <cellStyle name="常规 5 9 3 11" xfId="34483"/>
    <cellStyle name="常规 5 9 3 12" xfId="34484"/>
    <cellStyle name="常规 5 9 3 2" xfId="34485"/>
    <cellStyle name="常规 5 9 3 2 10" xfId="34486"/>
    <cellStyle name="常规 5 9 3 2 11" xfId="34487"/>
    <cellStyle name="常规 5 9 3 2 2" xfId="34488"/>
    <cellStyle name="常规 5 9 3 2 2 2" xfId="34489"/>
    <cellStyle name="常规 5 9 3 2 2 2 2" xfId="34490"/>
    <cellStyle name="常规 5 9 3 2 2 2 2 2" xfId="34491"/>
    <cellStyle name="常规 5 9 3 2 2 2 2 2 2" xfId="34492"/>
    <cellStyle name="常规 5 9 3 2 2 2 2 3" xfId="34493"/>
    <cellStyle name="常规 5 9 3 2 2 2 2 4" xfId="34494"/>
    <cellStyle name="常规 5 9 3 2 2 2 3" xfId="34495"/>
    <cellStyle name="常规 5 9 3 2 2 2 4" xfId="34497"/>
    <cellStyle name="常规 5 9 3 2 2 3" xfId="34499"/>
    <cellStyle name="常规 5 9 3 2 2 3 2" xfId="34500"/>
    <cellStyle name="常规 5 9 3 2 2 3 3" xfId="34501"/>
    <cellStyle name="常规 5 9 3 2 2 4" xfId="34502"/>
    <cellStyle name="常规 5 9 3 2 2 4 2" xfId="34503"/>
    <cellStyle name="常规 5 9 3 2 2 4 2 2" xfId="34504"/>
    <cellStyle name="常规 5 9 3 2 2 4 3" xfId="34505"/>
    <cellStyle name="常规 5 9 3 2 2 4 4" xfId="34506"/>
    <cellStyle name="常规 5 9 3 2 2 5" xfId="34507"/>
    <cellStyle name="常规 5 9 3 2 2 6" xfId="34508"/>
    <cellStyle name="常规 5 9 3 2 2 7" xfId="34509"/>
    <cellStyle name="常规 5 9 3 2 2 8" xfId="34510"/>
    <cellStyle name="常规 5 9 3 2 3" xfId="34511"/>
    <cellStyle name="常规 5 9 3 2 3 2" xfId="34512"/>
    <cellStyle name="常规 5 9 3 2 3 2 2" xfId="34513"/>
    <cellStyle name="常规 5 9 3 2 3 2 2 2" xfId="34514"/>
    <cellStyle name="常规 5 9 3 2 3 2 3" xfId="34515"/>
    <cellStyle name="常规 5 9 3 2 3 2 4" xfId="34516"/>
    <cellStyle name="常规 5 9 3 2 3 3" xfId="34517"/>
    <cellStyle name="常规 5 9 3 2 3 4" xfId="34518"/>
    <cellStyle name="常规 5 9 3 2 3 5" xfId="34519"/>
    <cellStyle name="常规 5 9 3 2 3 6" xfId="34520"/>
    <cellStyle name="常规 5 9 3 2 4" xfId="34521"/>
    <cellStyle name="常规 5 9 3 2 4 2" xfId="34522"/>
    <cellStyle name="常规 5 9 3 2 4 3" xfId="34523"/>
    <cellStyle name="常规 5 9 3 2 4 4" xfId="34524"/>
    <cellStyle name="常规 5 9 3 2 5" xfId="34525"/>
    <cellStyle name="常规 5 9 3 2 5 2" xfId="34526"/>
    <cellStyle name="常规 5 9 3 2 5 2 2" xfId="34527"/>
    <cellStyle name="常规 5 9 3 2 5 3" xfId="34528"/>
    <cellStyle name="常规 5 9 3 2 5 4" xfId="34529"/>
    <cellStyle name="常规 5 9 3 2 6" xfId="34530"/>
    <cellStyle name="常规 5 9 3 2 6 2" xfId="34531"/>
    <cellStyle name="常规 5 9 3 2 7" xfId="34532"/>
    <cellStyle name="常规 5 9 3 2 7 2" xfId="34533"/>
    <cellStyle name="常规 5 9 3 2 8" xfId="34534"/>
    <cellStyle name="常规 5 9 3 2 9" xfId="34535"/>
    <cellStyle name="常规 5 9 3 3" xfId="34536"/>
    <cellStyle name="常规 5 9 3 3 2" xfId="34537"/>
    <cellStyle name="常规 5 9 3 3 2 2" xfId="34538"/>
    <cellStyle name="常规 5 9 3 3 2 2 2" xfId="34539"/>
    <cellStyle name="常规 5 9 3 3 2 2 2 2" xfId="34540"/>
    <cellStyle name="常规 5 9 3 3 2 2 3" xfId="34541"/>
    <cellStyle name="常规 5 9 3 3 2 2 4" xfId="34543"/>
    <cellStyle name="常规 5 9 3 3 2 3" xfId="34545"/>
    <cellStyle name="常规 5 9 3 3 2 4" xfId="34546"/>
    <cellStyle name="常规 5 9 3 3 3" xfId="34547"/>
    <cellStyle name="常规 5 9 3 3 3 2" xfId="34548"/>
    <cellStyle name="常规 5 9 3 3 3 3" xfId="34549"/>
    <cellStyle name="常规 5 9 3 3 4" xfId="34550"/>
    <cellStyle name="常规 5 9 3 3 4 2" xfId="34551"/>
    <cellStyle name="常规 5 9 3 3 4 2 2" xfId="34552"/>
    <cellStyle name="常规 5 9 3 3 4 3" xfId="34553"/>
    <cellStyle name="常规 5 9 3 3 4 4" xfId="34554"/>
    <cellStyle name="常规 5 9 3 3 5" xfId="34555"/>
    <cellStyle name="常规 5 9 3 3 6" xfId="34556"/>
    <cellStyle name="常规 5 9 3 3 7" xfId="34557"/>
    <cellStyle name="常规 5 9 3 3 8" xfId="34558"/>
    <cellStyle name="常规 5 9 3 4" xfId="34559"/>
    <cellStyle name="常规 5 9 3 4 2" xfId="34560"/>
    <cellStyle name="常规 5 9 3 4 2 2" xfId="34561"/>
    <cellStyle name="常规 5 9 3 4 2 2 2" xfId="34562"/>
    <cellStyle name="常规 5 9 3 4 2 3" xfId="34563"/>
    <cellStyle name="常规 5 9 3 4 2 4" xfId="34564"/>
    <cellStyle name="常规 5 9 3 4 3" xfId="34565"/>
    <cellStyle name="常规 5 9 3 4 4" xfId="34566"/>
    <cellStyle name="常规 5 9 3 4 5" xfId="34567"/>
    <cellStyle name="常规 5 9 3 4 6" xfId="34568"/>
    <cellStyle name="常规 5 9 3 5" xfId="34569"/>
    <cellStyle name="常规 5 9 3 5 2" xfId="34570"/>
    <cellStyle name="常规 5 9 3 5 3" xfId="34571"/>
    <cellStyle name="常规 5 9 3 5 4" xfId="34572"/>
    <cellStyle name="常规 5 9 3 6" xfId="34573"/>
    <cellStyle name="常规 5 9 3 6 2" xfId="34574"/>
    <cellStyle name="常规 5 9 3 6 2 2" xfId="34575"/>
    <cellStyle name="常规 5 9 3 6 3" xfId="34576"/>
    <cellStyle name="常规 5 9 3 6 4" xfId="34577"/>
    <cellStyle name="常规 5 9 3 7" xfId="34578"/>
    <cellStyle name="常规 5 9 3 7 2" xfId="34579"/>
    <cellStyle name="常规 5 9 3 8" xfId="34580"/>
    <cellStyle name="常规 5 9 3 8 2" xfId="34581"/>
    <cellStyle name="常规 5 9 3 9" xfId="34582"/>
    <cellStyle name="常规 5 9 4" xfId="34583"/>
    <cellStyle name="常规 5 9 4 2" xfId="34584"/>
    <cellStyle name="常规 5 9 4 2 2" xfId="34585"/>
    <cellStyle name="常规 5 9 4 2 2 2" xfId="34586"/>
    <cellStyle name="常规 5 9 4 2 2 2 2" xfId="34587"/>
    <cellStyle name="常规 5 9 4 2 2 3" xfId="34588"/>
    <cellStyle name="常规 5 9 4 2 2 4" xfId="34589"/>
    <cellStyle name="常规 5 9 4 2 3" xfId="34590"/>
    <cellStyle name="常规 5 9 4 2 4" xfId="34591"/>
    <cellStyle name="常规 5 9 4 3" xfId="34592"/>
    <cellStyle name="常规 5 9 4 3 2" xfId="34593"/>
    <cellStyle name="常规 5 9 4 3 3" xfId="34594"/>
    <cellStyle name="常规 5 9 4 4" xfId="34595"/>
    <cellStyle name="常规 5 9 4 4 2" xfId="34596"/>
    <cellStyle name="常规 5 9 4 4 2 2" xfId="34597"/>
    <cellStyle name="常规 5 9 4 4 3" xfId="34598"/>
    <cellStyle name="常规 5 9 4 4 4" xfId="34599"/>
    <cellStyle name="常规 5 9 4 5" xfId="34600"/>
    <cellStyle name="常规 5 9 4 6" xfId="34601"/>
    <cellStyle name="常规 5 9 4 7" xfId="34602"/>
    <cellStyle name="常规 5 9 4 8" xfId="34603"/>
    <cellStyle name="常规 5 9 5" xfId="34604"/>
    <cellStyle name="常规 5 9 5 2" xfId="34605"/>
    <cellStyle name="常规 5 9 5 2 2" xfId="34606"/>
    <cellStyle name="常规 5 9 5 2 2 2" xfId="34607"/>
    <cellStyle name="常规 5 9 5 2 3" xfId="34608"/>
    <cellStyle name="常规 5 9 5 2 4" xfId="34609"/>
    <cellStyle name="常规 5 9 5 3" xfId="34610"/>
    <cellStyle name="常规 5 9 5 4" xfId="34611"/>
    <cellStyle name="常规 5 9 5 5" xfId="34612"/>
    <cellStyle name="常规 5 9 5 6" xfId="34613"/>
    <cellStyle name="常规 5 9 6" xfId="34614"/>
    <cellStyle name="常规 5 9 6 2" xfId="34615"/>
    <cellStyle name="常规 5 9 6 3" xfId="34616"/>
    <cellStyle name="常规 5 9 6 4" xfId="34617"/>
    <cellStyle name="常规 5 9 7" xfId="34618"/>
    <cellStyle name="常规 5 9 7 2" xfId="34619"/>
    <cellStyle name="常规 5 9 7 2 2" xfId="34620"/>
    <cellStyle name="常规 5 9 7 3" xfId="34621"/>
    <cellStyle name="常规 5 9 7 4" xfId="34622"/>
    <cellStyle name="常规 5 9 8" xfId="34623"/>
    <cellStyle name="常规 5 9 8 2" xfId="34624"/>
    <cellStyle name="常规 5 9 9" xfId="34625"/>
    <cellStyle name="常规 5 9 9 2" xfId="34626"/>
    <cellStyle name="常规 6" xfId="34627"/>
    <cellStyle name="常规 6 10" xfId="34628"/>
    <cellStyle name="常规 6 10 10" xfId="34629"/>
    <cellStyle name="常规 6 10 11" xfId="34630"/>
    <cellStyle name="常规 6 10 12" xfId="34631"/>
    <cellStyle name="常规 6 10 13" xfId="34632"/>
    <cellStyle name="常规 6 10 2" xfId="34633"/>
    <cellStyle name="常规 6 10 2 10" xfId="34634"/>
    <cellStyle name="常规 6 10 2 11" xfId="34635"/>
    <cellStyle name="常规 6 10 2 2" xfId="34636"/>
    <cellStyle name="常规 6 10 2 2 2" xfId="34637"/>
    <cellStyle name="常规 6 10 2 2 2 2" xfId="34638"/>
    <cellStyle name="常规 6 10 2 2 2 2 2" xfId="34639"/>
    <cellStyle name="常规 6 10 2 2 2 2 2 2" xfId="34640"/>
    <cellStyle name="常规 6 10 2 2 2 2 3" xfId="34641"/>
    <cellStyle name="常规 6 10 2 2 2 2 4" xfId="34642"/>
    <cellStyle name="常规 6 10 2 2 2 3" xfId="34643"/>
    <cellStyle name="常规 6 10 2 2 2 4" xfId="34644"/>
    <cellStyle name="常规 6 10 2 2 3" xfId="34645"/>
    <cellStyle name="常规 6 10 2 2 3 2" xfId="34646"/>
    <cellStyle name="常规 6 10 2 2 3 3" xfId="34647"/>
    <cellStyle name="常规 6 10 2 2 4" xfId="34648"/>
    <cellStyle name="常规 6 10 2 2 4 2" xfId="34649"/>
    <cellStyle name="常规 6 10 2 2 4 2 2" xfId="34650"/>
    <cellStyle name="常规 6 10 2 2 4 3" xfId="34651"/>
    <cellStyle name="常规 6 10 2 2 4 4" xfId="34652"/>
    <cellStyle name="常规 6 10 2 2 5" xfId="34653"/>
    <cellStyle name="常规 6 10 2 2 6" xfId="34655"/>
    <cellStyle name="常规 6 10 2 2 7" xfId="34657"/>
    <cellStyle name="常规 6 10 2 2 8" xfId="34658"/>
    <cellStyle name="常规 6 10 2 3" xfId="34659"/>
    <cellStyle name="常规 6 10 2 3 2" xfId="34660"/>
    <cellStyle name="常规 6 10 2 3 2 2" xfId="34661"/>
    <cellStyle name="常规 6 10 2 3 2 2 2" xfId="34662"/>
    <cellStyle name="常规 6 10 2 3 2 3" xfId="34663"/>
    <cellStyle name="常规 6 10 2 3 2 4" xfId="34664"/>
    <cellStyle name="常规 6 10 2 3 3" xfId="34665"/>
    <cellStyle name="常规 6 10 2 3 4" xfId="34666"/>
    <cellStyle name="常规 6 10 2 3 5" xfId="34667"/>
    <cellStyle name="常规 6 10 2 3 6" xfId="34668"/>
    <cellStyle name="常规 6 10 2 4" xfId="34669"/>
    <cellStyle name="常规 6 10 2 4 2" xfId="34670"/>
    <cellStyle name="常规 6 10 2 4 3" xfId="34671"/>
    <cellStyle name="常规 6 10 2 4 4" xfId="34672"/>
    <cellStyle name="常规 6 10 2 5" xfId="34673"/>
    <cellStyle name="常规 6 10 2 5 2" xfId="34674"/>
    <cellStyle name="常规 6 10 2 5 2 2" xfId="34675"/>
    <cellStyle name="常规 6 10 2 5 3" xfId="34676"/>
    <cellStyle name="常规 6 10 2 5 4" xfId="34677"/>
    <cellStyle name="常规 6 10 2 6" xfId="34678"/>
    <cellStyle name="常规 6 10 2 6 2" xfId="34679"/>
    <cellStyle name="常规 6 10 2 7" xfId="34680"/>
    <cellStyle name="常规 6 10 2 7 2" xfId="34681"/>
    <cellStyle name="常规 6 10 2 8" xfId="34682"/>
    <cellStyle name="常规 6 10 2 9" xfId="34683"/>
    <cellStyle name="常规 6 10 3" xfId="34684"/>
    <cellStyle name="常规 6 10 3 10" xfId="34685"/>
    <cellStyle name="常规 6 10 3 11" xfId="34686"/>
    <cellStyle name="常规 6 10 3 12" xfId="34687"/>
    <cellStyle name="常规 6 10 3 2" xfId="34688"/>
    <cellStyle name="常规 6 10 3 2 10" xfId="34689"/>
    <cellStyle name="常规 6 10 3 2 11" xfId="34690"/>
    <cellStyle name="常规 6 10 3 2 2" xfId="34691"/>
    <cellStyle name="常规 6 10 3 2 2 2" xfId="34692"/>
    <cellStyle name="常规 6 10 3 2 2 2 2" xfId="34693"/>
    <cellStyle name="常规 6 10 3 2 2 2 2 2" xfId="34694"/>
    <cellStyle name="常规 6 10 3 2 2 2 2 2 2" xfId="34695"/>
    <cellStyle name="常规 6 10 3 2 2 2 2 3" xfId="34696"/>
    <cellStyle name="常规 6 10 3 2 2 2 2 4" xfId="34697"/>
    <cellStyle name="常规 6 10 3 2 2 2 3" xfId="34698"/>
    <cellStyle name="常规 6 10 3 2 2 2 4" xfId="34699"/>
    <cellStyle name="常规 6 10 3 2 2 3" xfId="34700"/>
    <cellStyle name="常规 6 10 3 2 2 3 2" xfId="34701"/>
    <cellStyle name="常规 6 10 3 2 2 3 3" xfId="34702"/>
    <cellStyle name="常规 6 10 3 2 2 4" xfId="34703"/>
    <cellStyle name="常规 6 10 3 2 2 4 2" xfId="34704"/>
    <cellStyle name="常规 6 10 3 2 2 4 2 2" xfId="34705"/>
    <cellStyle name="常规 6 10 3 2 2 4 3" xfId="34706"/>
    <cellStyle name="常规 6 10 3 2 2 4 4" xfId="34707"/>
    <cellStyle name="常规 6 10 3 2 2 5" xfId="34708"/>
    <cellStyle name="常规 6 10 3 2 2 6" xfId="34709"/>
    <cellStyle name="常规 6 10 3 2 2 7" xfId="34710"/>
    <cellStyle name="常规 6 10 3 2 2 8" xfId="34711"/>
    <cellStyle name="常规 6 10 3 2 3" xfId="34712"/>
    <cellStyle name="常规 6 10 3 2 3 2" xfId="34713"/>
    <cellStyle name="常规 6 10 3 2 3 2 2" xfId="34714"/>
    <cellStyle name="常规 6 10 3 2 3 2 2 2" xfId="34715"/>
    <cellStyle name="常规 6 10 3 2 3 2 3" xfId="34716"/>
    <cellStyle name="常规 6 10 3 2 3 2 4" xfId="34717"/>
    <cellStyle name="常规 6 10 3 2 3 3" xfId="34718"/>
    <cellStyle name="常规 6 10 3 2 3 4" xfId="34719"/>
    <cellStyle name="常规 6 10 3 2 3 5" xfId="34720"/>
    <cellStyle name="常规 6 10 3 2 3 6" xfId="34721"/>
    <cellStyle name="常规 6 10 3 2 4" xfId="34722"/>
    <cellStyle name="常规 6 10 3 2 4 2" xfId="34723"/>
    <cellStyle name="常规 6 10 3 2 4 3" xfId="34724"/>
    <cellStyle name="常规 6 10 3 2 4 4" xfId="34725"/>
    <cellStyle name="常规 6 10 3 2 5" xfId="34726"/>
    <cellStyle name="常规 6 10 3 2 5 2" xfId="34728"/>
    <cellStyle name="常规 6 10 3 2 5 2 2" xfId="34730"/>
    <cellStyle name="常规 6 10 3 2 5 3" xfId="34732"/>
    <cellStyle name="常规 6 10 3 2 5 4" xfId="34734"/>
    <cellStyle name="常规 6 10 3 2 6" xfId="34736"/>
    <cellStyle name="常规 6 10 3 2 6 2" xfId="34738"/>
    <cellStyle name="常规 6 10 3 2 7" xfId="34739"/>
    <cellStyle name="常规 6 10 3 2 7 2" xfId="34740"/>
    <cellStyle name="常规 6 10 3 2 8" xfId="34741"/>
    <cellStyle name="常规 6 10 3 2 9" xfId="295"/>
    <cellStyle name="常规 6 10 3 3" xfId="34742"/>
    <cellStyle name="常规 6 10 3 3 2" xfId="34743"/>
    <cellStyle name="常规 6 10 3 3 2 2" xfId="34744"/>
    <cellStyle name="常规 6 10 3 3 2 2 2" xfId="34745"/>
    <cellStyle name="常规 6 10 3 3 2 2 2 2" xfId="34746"/>
    <cellStyle name="常规 6 10 3 3 2 2 3" xfId="34747"/>
    <cellStyle name="常规 6 10 3 3 2 2 4" xfId="764"/>
    <cellStyle name="常规 6 10 3 3 2 3" xfId="34748"/>
    <cellStyle name="常规 6 10 3 3 2 4" xfId="34749"/>
    <cellStyle name="常规 6 10 3 3 3" xfId="34750"/>
    <cellStyle name="常规 6 10 3 3 3 2" xfId="34751"/>
    <cellStyle name="常规 6 10 3 3 3 3" xfId="34752"/>
    <cellStyle name="常规 6 10 3 3 4" xfId="34753"/>
    <cellStyle name="常规 6 10 3 3 4 2" xfId="34754"/>
    <cellStyle name="常规 6 10 3 3 4 2 2" xfId="34755"/>
    <cellStyle name="常规 6 10 3 3 4 3" xfId="34756"/>
    <cellStyle name="常规 6 10 3 3 4 4" xfId="34757"/>
    <cellStyle name="常规 6 10 3 3 5" xfId="34758"/>
    <cellStyle name="常规 6 10 3 3 6" xfId="34760"/>
    <cellStyle name="常规 6 10 3 3 7" xfId="34762"/>
    <cellStyle name="常规 6 10 3 3 8" xfId="34763"/>
    <cellStyle name="常规 6 10 3 4" xfId="34764"/>
    <cellStyle name="常规 6 10 3 4 2" xfId="34765"/>
    <cellStyle name="常规 6 10 3 4 2 2" xfId="34766"/>
    <cellStyle name="常规 6 10 3 4 2 2 2" xfId="34767"/>
    <cellStyle name="常规 6 10 3 4 2 3" xfId="34768"/>
    <cellStyle name="常规 6 10 3 4 2 4" xfId="34769"/>
    <cellStyle name="常规 6 10 3 4 3" xfId="34770"/>
    <cellStyle name="常规 6 10 3 4 4" xfId="34771"/>
    <cellStyle name="常规 6 10 3 4 5" xfId="34772"/>
    <cellStyle name="常规 6 10 3 4 6" xfId="34774"/>
    <cellStyle name="常规 6 10 3 5" xfId="34776"/>
    <cellStyle name="常规 6 10 3 5 2" xfId="34777"/>
    <cellStyle name="常规 6 10 3 5 3" xfId="34778"/>
    <cellStyle name="常规 6 10 3 5 4" xfId="34779"/>
    <cellStyle name="常规 6 10 3 6" xfId="34780"/>
    <cellStyle name="常规 6 10 3 6 2" xfId="34781"/>
    <cellStyle name="常规 6 10 3 6 2 2" xfId="34782"/>
    <cellStyle name="常规 6 10 3 6 3" xfId="34783"/>
    <cellStyle name="常规 6 10 3 6 4" xfId="34784"/>
    <cellStyle name="常规 6 10 3 7" xfId="34785"/>
    <cellStyle name="常规 6 10 3 7 2" xfId="34786"/>
    <cellStyle name="常规 6 10 3 8" xfId="34787"/>
    <cellStyle name="常规 6 10 3 8 2" xfId="34788"/>
    <cellStyle name="常规 6 10 3 9" xfId="34789"/>
    <cellStyle name="常规 6 10 4" xfId="34790"/>
    <cellStyle name="常规 6 10 4 2" xfId="34791"/>
    <cellStyle name="常规 6 10 4 2 2" xfId="34792"/>
    <cellStyle name="常规 6 10 4 2 2 2" xfId="34793"/>
    <cellStyle name="常规 6 10 4 2 2 2 2" xfId="34794"/>
    <cellStyle name="常规 6 10 4 2 2 3" xfId="34795"/>
    <cellStyle name="常规 6 10 4 2 2 4" xfId="34796"/>
    <cellStyle name="常规 6 10 4 2 3" xfId="34797"/>
    <cellStyle name="常规 6 10 4 2 4" xfId="34798"/>
    <cellStyle name="常规 6 10 4 3" xfId="34799"/>
    <cellStyle name="常规 6 10 4 3 2" xfId="34800"/>
    <cellStyle name="常规 6 10 4 3 3" xfId="34801"/>
    <cellStyle name="常规 6 10 4 4" xfId="34802"/>
    <cellStyle name="常规 6 10 4 4 2" xfId="34803"/>
    <cellStyle name="常规 6 10 4 4 2 2" xfId="34804"/>
    <cellStyle name="常规 6 10 4 4 3" xfId="34805"/>
    <cellStyle name="常规 6 10 4 4 4" xfId="34806"/>
    <cellStyle name="常规 6 10 4 5" xfId="34807"/>
    <cellStyle name="常规 6 10 4 6" xfId="34808"/>
    <cellStyle name="常规 6 10 4 7" xfId="34809"/>
    <cellStyle name="常规 6 10 4 8" xfId="34810"/>
    <cellStyle name="常规 6 10 5" xfId="34811"/>
    <cellStyle name="常规 6 10 5 2" xfId="34812"/>
    <cellStyle name="常规 6 10 5 2 2" xfId="34813"/>
    <cellStyle name="常规 6 10 5 2 2 2" xfId="34814"/>
    <cellStyle name="常规 6 10 5 2 3" xfId="34815"/>
    <cellStyle name="常规 6 10 5 2 4" xfId="34816"/>
    <cellStyle name="常规 6 10 5 3" xfId="34817"/>
    <cellStyle name="常规 6 10 5 4" xfId="34818"/>
    <cellStyle name="常规 6 10 5 5" xfId="34819"/>
    <cellStyle name="常规 6 10 5 6" xfId="34820"/>
    <cellStyle name="常规 6 10 6" xfId="34821"/>
    <cellStyle name="常规 6 10 6 2" xfId="34822"/>
    <cellStyle name="常规 6 10 6 3" xfId="34823"/>
    <cellStyle name="常规 6 10 6 4" xfId="34824"/>
    <cellStyle name="常规 6 10 7" xfId="34825"/>
    <cellStyle name="常规 6 10 7 2" xfId="34826"/>
    <cellStyle name="常规 6 10 7 2 2" xfId="14372"/>
    <cellStyle name="常规 6 10 7 3" xfId="34827"/>
    <cellStyle name="常规 6 10 7 4" xfId="34828"/>
    <cellStyle name="常规 6 10 8" xfId="34829"/>
    <cellStyle name="常规 6 10 8 2" xfId="34830"/>
    <cellStyle name="常规 6 10 9" xfId="34831"/>
    <cellStyle name="常规 6 10 9 2" xfId="34832"/>
    <cellStyle name="常规 6 11" xfId="34833"/>
    <cellStyle name="常规 6 11 10" xfId="34834"/>
    <cellStyle name="常规 6 11 11" xfId="34835"/>
    <cellStyle name="常规 6 11 12" xfId="34836"/>
    <cellStyle name="常规 6 11 2" xfId="34837"/>
    <cellStyle name="常规 6 11 2 10" xfId="34838"/>
    <cellStyle name="常规 6 11 2 11" xfId="34839"/>
    <cellStyle name="常规 6 11 2 2" xfId="34840"/>
    <cellStyle name="常规 6 11 2 2 2" xfId="34841"/>
    <cellStyle name="常规 6 11 2 2 2 2" xfId="34842"/>
    <cellStyle name="常规 6 11 2 2 2 2 2" xfId="21816"/>
    <cellStyle name="常规 6 11 2 2 2 2 2 2" xfId="34843"/>
    <cellStyle name="常规 6 11 2 2 2 2 3" xfId="34844"/>
    <cellStyle name="常规 6 11 2 2 2 2 4" xfId="34845"/>
    <cellStyle name="常规 6 11 2 2 2 3" xfId="34846"/>
    <cellStyle name="常规 6 11 2 2 2 4" xfId="34847"/>
    <cellStyle name="常规 6 11 2 2 3" xfId="34848"/>
    <cellStyle name="常规 6 11 2 2 3 2" xfId="34849"/>
    <cellStyle name="常规 6 11 2 2 3 3" xfId="34850"/>
    <cellStyle name="常规 6 11 2 2 4" xfId="34851"/>
    <cellStyle name="常规 6 11 2 2 4 2" xfId="34852"/>
    <cellStyle name="常规 6 11 2 2 4 2 2" xfId="34853"/>
    <cellStyle name="常规 6 11 2 2 4 3" xfId="34854"/>
    <cellStyle name="常规 6 11 2 2 4 4" xfId="34855"/>
    <cellStyle name="常规 6 11 2 2 5" xfId="34856"/>
    <cellStyle name="常规 6 11 2 2 6" xfId="34857"/>
    <cellStyle name="常规 6 11 2 2 7" xfId="34858"/>
    <cellStyle name="常规 6 11 2 2 8" xfId="34859"/>
    <cellStyle name="常规 6 11 2 3" xfId="34860"/>
    <cellStyle name="常规 6 11 2 3 2" xfId="34861"/>
    <cellStyle name="常规 6 11 2 3 2 2" xfId="34862"/>
    <cellStyle name="常规 6 11 2 3 2 2 2" xfId="6080"/>
    <cellStyle name="常规 6 11 2 3 2 3" xfId="34863"/>
    <cellStyle name="常规 6 11 2 3 2 4" xfId="34864"/>
    <cellStyle name="常规 6 11 2 3 3" xfId="34865"/>
    <cellStyle name="常规 6 11 2 3 4" xfId="34866"/>
    <cellStyle name="常规 6 11 2 3 5" xfId="34867"/>
    <cellStyle name="常规 6 11 2 3 6" xfId="34868"/>
    <cellStyle name="常规 6 11 2 4" xfId="34869"/>
    <cellStyle name="常规 6 11 2 4 2" xfId="34870"/>
    <cellStyle name="常规 6 11 2 4 3" xfId="34871"/>
    <cellStyle name="常规 6 11 2 4 4" xfId="8144"/>
    <cellStyle name="常规 6 11 2 5" xfId="34872"/>
    <cellStyle name="常规 6 11 2 5 2" xfId="34873"/>
    <cellStyle name="常规 6 11 2 5 2 2" xfId="34874"/>
    <cellStyle name="常规 6 11 2 5 3" xfId="34875"/>
    <cellStyle name="常规 6 11 2 5 4" xfId="34876"/>
    <cellStyle name="常规 6 11 2 6" xfId="34877"/>
    <cellStyle name="常规 6 11 2 6 2" xfId="34878"/>
    <cellStyle name="常规 6 11 2 7" xfId="34879"/>
    <cellStyle name="常规 6 11 2 7 2" xfId="34880"/>
    <cellStyle name="常规 6 11 2 8" xfId="34881"/>
    <cellStyle name="常规 6 11 2 9" xfId="34882"/>
    <cellStyle name="常规 6 11 3" xfId="34883"/>
    <cellStyle name="常规 6 11 3 2" xfId="34884"/>
    <cellStyle name="常规 6 11 3 2 2" xfId="34885"/>
    <cellStyle name="常规 6 11 3 2 2 2" xfId="34886"/>
    <cellStyle name="常规 6 11 3 2 2 2 2" xfId="34887"/>
    <cellStyle name="常规 6 11 3 2 2 3" xfId="34888"/>
    <cellStyle name="常规 6 11 3 2 2 4" xfId="34889"/>
    <cellStyle name="常规 6 11 3 2 3" xfId="34890"/>
    <cellStyle name="常规 6 11 3 2 4" xfId="12572"/>
    <cellStyle name="常规 6 11 3 3" xfId="34891"/>
    <cellStyle name="常规 6 11 3 3 2" xfId="34892"/>
    <cellStyle name="常规 6 11 3 3 3" xfId="34893"/>
    <cellStyle name="常规 6 11 3 4" xfId="34894"/>
    <cellStyle name="常规 6 11 3 4 2" xfId="34895"/>
    <cellStyle name="常规 6 11 3 4 2 2" xfId="34896"/>
    <cellStyle name="常规 6 11 3 4 3" xfId="34897"/>
    <cellStyle name="常规 6 11 3 4 4" xfId="8155"/>
    <cellStyle name="常规 6 11 3 5" xfId="34898"/>
    <cellStyle name="常规 6 11 3 6" xfId="34899"/>
    <cellStyle name="常规 6 11 3 7" xfId="34900"/>
    <cellStyle name="常规 6 11 3 8" xfId="34901"/>
    <cellStyle name="常规 6 11 4" xfId="34902"/>
    <cellStyle name="常规 6 11 4 2" xfId="34903"/>
    <cellStyle name="常规 6 11 4 2 2" xfId="34904"/>
    <cellStyle name="常规 6 11 4 2 2 2" xfId="34905"/>
    <cellStyle name="常规 6 11 4 2 3" xfId="34906"/>
    <cellStyle name="常规 6 11 4 2 4" xfId="12590"/>
    <cellStyle name="常规 6 11 4 3" xfId="34907"/>
    <cellStyle name="常规 6 11 4 4" xfId="34908"/>
    <cellStyle name="常规 6 11 4 5" xfId="34909"/>
    <cellStyle name="常规 6 11 4 6" xfId="34910"/>
    <cellStyle name="常规 6 11 5" xfId="34911"/>
    <cellStyle name="常规 6 11 5 2" xfId="34912"/>
    <cellStyle name="常规 6 11 5 3" xfId="34913"/>
    <cellStyle name="常规 6 11 5 4" xfId="34914"/>
    <cellStyle name="常规 6 11 6" xfId="34915"/>
    <cellStyle name="常规 6 11 6 2" xfId="34916"/>
    <cellStyle name="常规 6 11 6 2 2" xfId="34917"/>
    <cellStyle name="常规 6 11 6 3" xfId="34918"/>
    <cellStyle name="常规 6 11 6 4" xfId="34919"/>
    <cellStyle name="常规 6 11 7" xfId="34920"/>
    <cellStyle name="常规 6 11 7 2" xfId="34921"/>
    <cellStyle name="常规 6 11 8" xfId="34922"/>
    <cellStyle name="常规 6 11 8 2" xfId="34923"/>
    <cellStyle name="常规 6 11 9" xfId="34924"/>
    <cellStyle name="常规 6 12" xfId="34925"/>
    <cellStyle name="常规 6 12 10" xfId="34926"/>
    <cellStyle name="常规 6 12 2" xfId="13795"/>
    <cellStyle name="常规 6 12 2 2" xfId="27173"/>
    <cellStyle name="常规 6 12 2 2 2" xfId="27175"/>
    <cellStyle name="常规 6 12 2 2 2 2" xfId="17594"/>
    <cellStyle name="常规 6 12 2 2 3" xfId="27181"/>
    <cellStyle name="常规 6 12 2 2 4" xfId="12613"/>
    <cellStyle name="常规 6 12 2 3" xfId="21982"/>
    <cellStyle name="常规 6 12 2 4" xfId="12778"/>
    <cellStyle name="常规 6 12 3" xfId="27188"/>
    <cellStyle name="常规 6 12 3 2" xfId="27190"/>
    <cellStyle name="常规 6 12 3 3" xfId="27194"/>
    <cellStyle name="常规 6 12 4" xfId="27197"/>
    <cellStyle name="常规 6 12 4 2" xfId="27199"/>
    <cellStyle name="常规 6 12 4 2 2" xfId="21456"/>
    <cellStyle name="常规 6 12 4 3" xfId="27201"/>
    <cellStyle name="常规 6 12 4 4" xfId="27203"/>
    <cellStyle name="常规 6 12 5" xfId="27205"/>
    <cellStyle name="常规 6 12 6" xfId="27211"/>
    <cellStyle name="常规 6 12 7" xfId="27215"/>
    <cellStyle name="常规 6 12 8" xfId="34927"/>
    <cellStyle name="常规 6 12 9" xfId="34928"/>
    <cellStyle name="常规 6 13" xfId="34929"/>
    <cellStyle name="常规 6 13 2" xfId="14302"/>
    <cellStyle name="常规 6 13 2 2" xfId="14305"/>
    <cellStyle name="常规 6 13 2 2 2" xfId="14308"/>
    <cellStyle name="常规 6 13 2 3" xfId="14311"/>
    <cellStyle name="常规 6 13 2 4" xfId="14315"/>
    <cellStyle name="常规 6 13 3" xfId="14317"/>
    <cellStyle name="常规 6 13 4" xfId="14322"/>
    <cellStyle name="常规 6 13 5" xfId="14325"/>
    <cellStyle name="常规 6 13 6" xfId="12554"/>
    <cellStyle name="常规 6 14" xfId="34930"/>
    <cellStyle name="常规 6 14 2" xfId="10085"/>
    <cellStyle name="常规 6 14 3" xfId="14362"/>
    <cellStyle name="常规 6 14 4" xfId="14365"/>
    <cellStyle name="常规 6 15" xfId="34931"/>
    <cellStyle name="常规 6 15 2" xfId="14383"/>
    <cellStyle name="常规 6 15 2 2" xfId="34933"/>
    <cellStyle name="常规 6 15 3" xfId="27273"/>
    <cellStyle name="常规 6 15 4" xfId="27276"/>
    <cellStyle name="常规 6 16" xfId="34934"/>
    <cellStyle name="常规 6 16 2" xfId="14393"/>
    <cellStyle name="常规 6 17" xfId="34936"/>
    <cellStyle name="常规 6 17 2" xfId="27281"/>
    <cellStyle name="常规 6 18" xfId="34937"/>
    <cellStyle name="常规 6 19" xfId="24327"/>
    <cellStyle name="常规 6 2" xfId="34938"/>
    <cellStyle name="常规 6 2 10" xfId="21814"/>
    <cellStyle name="常规 6 2 11" xfId="34939"/>
    <cellStyle name="常规 6 2 12" xfId="21736"/>
    <cellStyle name="常规 6 2 13" xfId="33096"/>
    <cellStyle name="常规 6 2 2" xfId="34940"/>
    <cellStyle name="常规 6 2 2 10" xfId="34941"/>
    <cellStyle name="常规 6 2 2 11" xfId="34942"/>
    <cellStyle name="常规 6 2 2 12" xfId="34943"/>
    <cellStyle name="常规 6 2 2 13" xfId="34944"/>
    <cellStyle name="常规 6 2 2 2" xfId="34945"/>
    <cellStyle name="常规 6 2 2 2 10" xfId="34946"/>
    <cellStyle name="常规 6 2 2 2 11" xfId="34947"/>
    <cellStyle name="常规 6 2 2 2 2" xfId="29601"/>
    <cellStyle name="常规 6 2 2 2 2 2" xfId="34948"/>
    <cellStyle name="常规 6 2 2 2 2 2 2" xfId="34949"/>
    <cellStyle name="常规 6 2 2 2 2 2 2 2" xfId="34950"/>
    <cellStyle name="常规 6 2 2 2 2 2 2 2 2" xfId="34951"/>
    <cellStyle name="常规 6 2 2 2 2 2 2 3" xfId="34952"/>
    <cellStyle name="常规 6 2 2 2 2 2 2 4" xfId="34953"/>
    <cellStyle name="常规 6 2 2 2 2 2 3" xfId="34954"/>
    <cellStyle name="常规 6 2 2 2 2 2 4" xfId="34955"/>
    <cellStyle name="常规 6 2 2 2 2 3" xfId="34956"/>
    <cellStyle name="常规 6 2 2 2 2 3 2" xfId="34957"/>
    <cellStyle name="常规 6 2 2 2 2 3 3" xfId="34958"/>
    <cellStyle name="常规 6 2 2 2 2 4" xfId="34959"/>
    <cellStyle name="常规 6 2 2 2 2 4 2" xfId="23788"/>
    <cellStyle name="常规 6 2 2 2 2 4 2 2" xfId="34960"/>
    <cellStyle name="常规 6 2 2 2 2 4 3" xfId="34961"/>
    <cellStyle name="常规 6 2 2 2 2 4 4" xfId="34962"/>
    <cellStyle name="常规 6 2 2 2 2 5" xfId="34963"/>
    <cellStyle name="常规 6 2 2 2 2 6" xfId="34964"/>
    <cellStyle name="常规 6 2 2 2 2 7" xfId="34965"/>
    <cellStyle name="常规 6 2 2 2 2 8" xfId="34966"/>
    <cellStyle name="常规 6 2 2 2 3" xfId="29603"/>
    <cellStyle name="常规 6 2 2 2 3 2" xfId="34967"/>
    <cellStyle name="常规 6 2 2 2 3 2 2" xfId="34968"/>
    <cellStyle name="常规 6 2 2 2 3 2 2 2" xfId="34969"/>
    <cellStyle name="常规 6 2 2 2 3 2 3" xfId="34970"/>
    <cellStyle name="常规 6 2 2 2 3 2 4" xfId="34971"/>
    <cellStyle name="常规 6 2 2 2 3 3" xfId="34972"/>
    <cellStyle name="常规 6 2 2 2 3 4" xfId="34973"/>
    <cellStyle name="常规 6 2 2 2 3 5" xfId="34974"/>
    <cellStyle name="常规 6 2 2 2 3 6" xfId="34975"/>
    <cellStyle name="常规 6 2 2 2 4" xfId="34976"/>
    <cellStyle name="常规 6 2 2 2 4 2" xfId="34977"/>
    <cellStyle name="常规 6 2 2 2 4 3" xfId="34978"/>
    <cellStyle name="常规 6 2 2 2 4 4" xfId="34979"/>
    <cellStyle name="常规 6 2 2 2 5" xfId="34980"/>
    <cellStyle name="常规 6 2 2 2 5 2" xfId="34981"/>
    <cellStyle name="常规 6 2 2 2 5 2 2" xfId="34982"/>
    <cellStyle name="常规 6 2 2 2 5 3" xfId="34983"/>
    <cellStyle name="常规 6 2 2 2 5 4" xfId="34984"/>
    <cellStyle name="常规 6 2 2 2 6" xfId="34985"/>
    <cellStyle name="常规 6 2 2 2 6 2" xfId="34986"/>
    <cellStyle name="常规 6 2 2 2 7" xfId="34987"/>
    <cellStyle name="常规 6 2 2 2 7 2" xfId="34988"/>
    <cellStyle name="常规 6 2 2 2 8" xfId="34989"/>
    <cellStyle name="常规 6 2 2 2 9" xfId="34990"/>
    <cellStyle name="常规 6 2 2 3" xfId="34991"/>
    <cellStyle name="常规 6 2 2 3 10" xfId="34992"/>
    <cellStyle name="常规 6 2 2 3 11" xfId="34993"/>
    <cellStyle name="常规 6 2 2 3 12" xfId="4458"/>
    <cellStyle name="常规 6 2 2 3 2" xfId="34994"/>
    <cellStyle name="常规 6 2 2 3 2 10" xfId="34995"/>
    <cellStyle name="常规 6 2 2 3 2 11" xfId="34996"/>
    <cellStyle name="常规 6 2 2 3 2 2" xfId="34997"/>
    <cellStyle name="常规 6 2 2 3 2 2 2" xfId="34998"/>
    <cellStyle name="常规 6 2 2 3 2 2 2 2" xfId="34999"/>
    <cellStyle name="常规 6 2 2 3 2 2 2 2 2" xfId="20248"/>
    <cellStyle name="常规 6 2 2 3 2 2 2 2 2 2" xfId="35000"/>
    <cellStyle name="常规 6 2 2 3 2 2 2 2 3" xfId="20254"/>
    <cellStyle name="常规 6 2 2 3 2 2 2 2 4" xfId="35001"/>
    <cellStyle name="常规 6 2 2 3 2 2 2 3" xfId="35002"/>
    <cellStyle name="常规 6 2 2 3 2 2 2 4" xfId="25557"/>
    <cellStyle name="常规 6 2 2 3 2 2 3" xfId="35003"/>
    <cellStyle name="常规 6 2 2 3 2 2 3 2" xfId="35004"/>
    <cellStyle name="常规 6 2 2 3 2 2 3 3" xfId="35005"/>
    <cellStyle name="常规 6 2 2 3 2 2 4" xfId="35006"/>
    <cellStyle name="常规 6 2 2 3 2 2 4 2" xfId="35007"/>
    <cellStyle name="常规 6 2 2 3 2 2 4 2 2" xfId="35008"/>
    <cellStyle name="常规 6 2 2 3 2 2 4 3" xfId="35009"/>
    <cellStyle name="常规 6 2 2 3 2 2 4 4" xfId="35010"/>
    <cellStyle name="常规 6 2 2 3 2 2 5" xfId="35011"/>
    <cellStyle name="常规 6 2 2 3 2 2 6" xfId="35012"/>
    <cellStyle name="常规 6 2 2 3 2 2 7" xfId="35013"/>
    <cellStyle name="常规 6 2 2 3 2 2 8" xfId="35014"/>
    <cellStyle name="常规 6 2 2 3 2 3" xfId="35015"/>
    <cellStyle name="常规 6 2 2 3 2 3 2" xfId="35016"/>
    <cellStyle name="常规 6 2 2 3 2 3 2 2" xfId="35017"/>
    <cellStyle name="常规 6 2 2 3 2 3 2 2 2" xfId="35018"/>
    <cellStyle name="常规 6 2 2 3 2 3 2 3" xfId="35019"/>
    <cellStyle name="常规 6 2 2 3 2 3 2 4" xfId="35020"/>
    <cellStyle name="常规 6 2 2 3 2 3 3" xfId="35021"/>
    <cellStyle name="常规 6 2 2 3 2 3 4" xfId="35022"/>
    <cellStyle name="常规 6 2 2 3 2 3 5" xfId="35023"/>
    <cellStyle name="常规 6 2 2 3 2 3 6" xfId="35024"/>
    <cellStyle name="常规 6 2 2 3 2 4" xfId="35025"/>
    <cellStyle name="常规 6 2 2 3 2 4 2" xfId="35026"/>
    <cellStyle name="常规 6 2 2 3 2 4 3" xfId="35027"/>
    <cellStyle name="常规 6 2 2 3 2 4 4" xfId="35028"/>
    <cellStyle name="常规 6 2 2 3 2 5" xfId="35029"/>
    <cellStyle name="常规 6 2 2 3 2 5 2" xfId="35030"/>
    <cellStyle name="常规 6 2 2 3 2 5 2 2" xfId="22511"/>
    <cellStyle name="常规 6 2 2 3 2 5 3" xfId="35031"/>
    <cellStyle name="常规 6 2 2 3 2 5 4" xfId="35032"/>
    <cellStyle name="常规 6 2 2 3 2 6" xfId="35033"/>
    <cellStyle name="常规 6 2 2 3 2 6 2" xfId="35034"/>
    <cellStyle name="常规 6 2 2 3 2 7" xfId="35035"/>
    <cellStyle name="常规 6 2 2 3 2 7 2" xfId="35036"/>
    <cellStyle name="常规 6 2 2 3 2 8" xfId="35037"/>
    <cellStyle name="常规 6 2 2 3 2 9" xfId="35038"/>
    <cellStyle name="常规 6 2 2 3 3" xfId="35039"/>
    <cellStyle name="常规 6 2 2 3 3 2" xfId="35040"/>
    <cellStyle name="常规 6 2 2 3 3 2 2" xfId="35041"/>
    <cellStyle name="常规 6 2 2 3 3 2 2 2" xfId="35042"/>
    <cellStyle name="常规 6 2 2 3 3 2 2 2 2" xfId="35043"/>
    <cellStyle name="常规 6 2 2 3 3 2 2 3" xfId="35044"/>
    <cellStyle name="常规 6 2 2 3 3 2 2 4" xfId="35045"/>
    <cellStyle name="常规 6 2 2 3 3 2 3" xfId="35046"/>
    <cellStyle name="常规 6 2 2 3 3 2 4" xfId="35047"/>
    <cellStyle name="常规 6 2 2 3 3 3" xfId="35048"/>
    <cellStyle name="常规 6 2 2 3 3 3 2" xfId="35049"/>
    <cellStyle name="常规 6 2 2 3 3 3 3" xfId="35050"/>
    <cellStyle name="常规 6 2 2 3 3 4" xfId="35051"/>
    <cellStyle name="常规 6 2 2 3 3 4 2" xfId="35052"/>
    <cellStyle name="常规 6 2 2 3 3 4 2 2" xfId="35053"/>
    <cellStyle name="常规 6 2 2 3 3 4 3" xfId="35054"/>
    <cellStyle name="常规 6 2 2 3 3 4 4" xfId="35055"/>
    <cellStyle name="常规 6 2 2 3 3 5" xfId="35056"/>
    <cellStyle name="常规 6 2 2 3 3 6" xfId="35057"/>
    <cellStyle name="常规 6 2 2 3 3 7" xfId="35058"/>
    <cellStyle name="常规 6 2 2 3 3 8" xfId="35059"/>
    <cellStyle name="常规 6 2 2 3 4" xfId="35060"/>
    <cellStyle name="常规 6 2 2 3 4 2" xfId="35061"/>
    <cellStyle name="常规 6 2 2 3 4 2 2" xfId="35062"/>
    <cellStyle name="常规 6 2 2 3 4 2 2 2" xfId="35063"/>
    <cellStyle name="常规 6 2 2 3 4 2 3" xfId="35064"/>
    <cellStyle name="常规 6 2 2 3 4 2 4" xfId="35065"/>
    <cellStyle name="常规 6 2 2 3 4 3" xfId="35066"/>
    <cellStyle name="常规 6 2 2 3 4 4" xfId="35067"/>
    <cellStyle name="常规 6 2 2 3 4 5" xfId="35068"/>
    <cellStyle name="常规 6 2 2 3 4 6" xfId="35069"/>
    <cellStyle name="常规 6 2 2 3 5" xfId="35070"/>
    <cellStyle name="常规 6 2 2 3 5 2" xfId="35071"/>
    <cellStyle name="常规 6 2 2 3 5 3" xfId="35072"/>
    <cellStyle name="常规 6 2 2 3 5 4" xfId="35073"/>
    <cellStyle name="常规 6 2 2 3 6" xfId="35074"/>
    <cellStyle name="常规 6 2 2 3 6 2" xfId="35075"/>
    <cellStyle name="常规 6 2 2 3 6 2 2" xfId="35076"/>
    <cellStyle name="常规 6 2 2 3 6 3" xfId="35077"/>
    <cellStyle name="常规 6 2 2 3 6 4" xfId="35078"/>
    <cellStyle name="常规 6 2 2 3 7" xfId="35079"/>
    <cellStyle name="常规 6 2 2 3 7 2" xfId="35080"/>
    <cellStyle name="常规 6 2 2 3 8" xfId="35081"/>
    <cellStyle name="常规 6 2 2 3 8 2" xfId="16777"/>
    <cellStyle name="常规 6 2 2 3 9" xfId="35082"/>
    <cellStyle name="常规 6 2 2 4" xfId="35083"/>
    <cellStyle name="常规 6 2 2 4 2" xfId="35084"/>
    <cellStyle name="常规 6 2 2 4 2 2" xfId="35085"/>
    <cellStyle name="常规 6 2 2 4 2 2 2" xfId="35086"/>
    <cellStyle name="常规 6 2 2 4 2 2 2 2" xfId="35087"/>
    <cellStyle name="常规 6 2 2 4 2 2 3" xfId="35088"/>
    <cellStyle name="常规 6 2 2 4 2 2 4" xfId="35089"/>
    <cellStyle name="常规 6 2 2 4 2 3" xfId="35090"/>
    <cellStyle name="常规 6 2 2 4 2 4" xfId="35091"/>
    <cellStyle name="常规 6 2 2 4 3" xfId="35092"/>
    <cellStyle name="常规 6 2 2 4 3 2" xfId="35093"/>
    <cellStyle name="常规 6 2 2 4 3 3" xfId="35094"/>
    <cellStyle name="常规 6 2 2 4 4" xfId="35095"/>
    <cellStyle name="常规 6 2 2 4 4 2" xfId="35096"/>
    <cellStyle name="常规 6 2 2 4 4 2 2" xfId="35097"/>
    <cellStyle name="常规 6 2 2 4 4 3" xfId="35098"/>
    <cellStyle name="常规 6 2 2 4 4 4" xfId="35099"/>
    <cellStyle name="常规 6 2 2 4 5" xfId="35100"/>
    <cellStyle name="常规 6 2 2 4 6" xfId="35101"/>
    <cellStyle name="常规 6 2 2 4 7" xfId="35102"/>
    <cellStyle name="常规 6 2 2 4 8" xfId="35103"/>
    <cellStyle name="常规 6 2 2 5" xfId="35104"/>
    <cellStyle name="常规 6 2 2 5 2" xfId="4613"/>
    <cellStyle name="常规 6 2 2 5 2 2" xfId="18846"/>
    <cellStyle name="常规 6 2 2 5 2 2 2" xfId="35105"/>
    <cellStyle name="常规 6 2 2 5 2 3" xfId="35106"/>
    <cellStyle name="常规 6 2 2 5 2 4" xfId="35107"/>
    <cellStyle name="常规 6 2 2 5 3" xfId="18848"/>
    <cellStyle name="常规 6 2 2 5 4" xfId="18850"/>
    <cellStyle name="常规 6 2 2 5 5" xfId="35108"/>
    <cellStyle name="常规 6 2 2 5 6" xfId="35109"/>
    <cellStyle name="常规 6 2 2 6" xfId="35110"/>
    <cellStyle name="常规 6 2 2 6 2" xfId="18879"/>
    <cellStyle name="常规 6 2 2 6 3" xfId="18881"/>
    <cellStyle name="常规 6 2 2 6 4" xfId="35111"/>
    <cellStyle name="常规 6 2 2 7" xfId="35112"/>
    <cellStyle name="常规 6 2 2 7 2" xfId="35113"/>
    <cellStyle name="常规 6 2 2 7 2 2" xfId="35114"/>
    <cellStyle name="常规 6 2 2 7 3" xfId="35115"/>
    <cellStyle name="常规 6 2 2 7 4" xfId="35116"/>
    <cellStyle name="常规 6 2 2 8" xfId="35117"/>
    <cellStyle name="常规 6 2 2 8 2" xfId="35118"/>
    <cellStyle name="常规 6 2 2 9" xfId="35119"/>
    <cellStyle name="常规 6 2 2 9 2" xfId="35120"/>
    <cellStyle name="常规 6 2 3" xfId="7390"/>
    <cellStyle name="常规 6 2 3 10" xfId="19579"/>
    <cellStyle name="常规 6 2 3 11" xfId="35121"/>
    <cellStyle name="常规 6 2 3 12" xfId="35122"/>
    <cellStyle name="常规 6 2 3 2" xfId="35123"/>
    <cellStyle name="常规 6 2 3 2 10" xfId="35124"/>
    <cellStyle name="常规 6 2 3 2 11" xfId="35125"/>
    <cellStyle name="常规 6 2 3 2 2" xfId="35126"/>
    <cellStyle name="常规 6 2 3 2 2 2" xfId="35127"/>
    <cellStyle name="常规 6 2 3 2 2 2 2" xfId="35128"/>
    <cellStyle name="常规 6 2 3 2 2 2 2 2" xfId="35129"/>
    <cellStyle name="常规 6 2 3 2 2 2 2 2 2" xfId="35130"/>
    <cellStyle name="常规 6 2 3 2 2 2 2 3" xfId="35131"/>
    <cellStyle name="常规 6 2 3 2 2 2 2 4" xfId="35132"/>
    <cellStyle name="常规 6 2 3 2 2 2 3" xfId="35133"/>
    <cellStyle name="常规 6 2 3 2 2 2 4" xfId="35134"/>
    <cellStyle name="常规 6 2 3 2 2 3" xfId="35135"/>
    <cellStyle name="常规 6 2 3 2 2 3 2" xfId="35136"/>
    <cellStyle name="常规 6 2 3 2 2 3 3" xfId="35137"/>
    <cellStyle name="常规 6 2 3 2 2 4" xfId="35138"/>
    <cellStyle name="常规 6 2 3 2 2 4 2" xfId="24724"/>
    <cellStyle name="常规 6 2 3 2 2 4 2 2" xfId="35139"/>
    <cellStyle name="常规 6 2 3 2 2 4 3" xfId="35140"/>
    <cellStyle name="常规 6 2 3 2 2 4 4" xfId="35141"/>
    <cellStyle name="常规 6 2 3 2 2 5" xfId="35142"/>
    <cellStyle name="常规 6 2 3 2 2 6" xfId="35143"/>
    <cellStyle name="常规 6 2 3 2 2 7" xfId="35144"/>
    <cellStyle name="常规 6 2 3 2 2 8" xfId="35145"/>
    <cellStyle name="常规 6 2 3 2 3" xfId="35146"/>
    <cellStyle name="常规 6 2 3 2 3 2" xfId="35147"/>
    <cellStyle name="常规 6 2 3 2 3 2 2" xfId="35148"/>
    <cellStyle name="常规 6 2 3 2 3 2 2 2" xfId="35149"/>
    <cellStyle name="常规 6 2 3 2 3 2 3" xfId="35150"/>
    <cellStyle name="常规 6 2 3 2 3 2 4" xfId="35151"/>
    <cellStyle name="常规 6 2 3 2 3 3" xfId="35152"/>
    <cellStyle name="常规 6 2 3 2 3 4" xfId="35153"/>
    <cellStyle name="常规 6 2 3 2 3 5" xfId="35154"/>
    <cellStyle name="常规 6 2 3 2 3 6" xfId="35155"/>
    <cellStyle name="常规 6 2 3 2 4" xfId="35156"/>
    <cellStyle name="常规 6 2 3 2 4 2" xfId="35157"/>
    <cellStyle name="常规 6 2 3 2 4 3" xfId="35158"/>
    <cellStyle name="常规 6 2 3 2 4 4" xfId="12985"/>
    <cellStyle name="常规 6 2 3 2 5" xfId="35159"/>
    <cellStyle name="常规 6 2 3 2 5 2" xfId="35160"/>
    <cellStyle name="常规 6 2 3 2 5 2 2" xfId="35161"/>
    <cellStyle name="常规 6 2 3 2 5 3" xfId="35162"/>
    <cellStyle name="常规 6 2 3 2 5 4" xfId="35163"/>
    <cellStyle name="常规 6 2 3 2 6" xfId="35164"/>
    <cellStyle name="常规 6 2 3 2 6 2" xfId="35165"/>
    <cellStyle name="常规 6 2 3 2 7" xfId="35166"/>
    <cellStyle name="常规 6 2 3 2 7 2" xfId="35167"/>
    <cellStyle name="常规 6 2 3 2 8" xfId="35168"/>
    <cellStyle name="常规 6 2 3 2 9" xfId="35169"/>
    <cellStyle name="常规 6 2 3 3" xfId="35170"/>
    <cellStyle name="常规 6 2 3 3 2" xfId="35171"/>
    <cellStyle name="常规 6 2 3 3 2 2" xfId="35172"/>
    <cellStyle name="常规 6 2 3 3 2 2 2" xfId="35173"/>
    <cellStyle name="常规 6 2 3 3 2 2 2 2" xfId="35174"/>
    <cellStyle name="常规 6 2 3 3 2 2 3" xfId="35175"/>
    <cellStyle name="常规 6 2 3 3 2 2 4" xfId="35176"/>
    <cellStyle name="常规 6 2 3 3 2 3" xfId="35177"/>
    <cellStyle name="常规 6 2 3 3 2 4" xfId="35178"/>
    <cellStyle name="常规 6 2 3 3 3" xfId="35179"/>
    <cellStyle name="常规 6 2 3 3 3 2" xfId="35180"/>
    <cellStyle name="常规 6 2 3 3 3 3" xfId="35181"/>
    <cellStyle name="常规 6 2 3 3 4" xfId="35182"/>
    <cellStyle name="常规 6 2 3 3 4 2" xfId="35183"/>
    <cellStyle name="常规 6 2 3 3 4 2 2" xfId="35184"/>
    <cellStyle name="常规 6 2 3 3 4 3" xfId="35185"/>
    <cellStyle name="常规 6 2 3 3 4 4" xfId="35186"/>
    <cellStyle name="常规 6 2 3 3 5" xfId="35187"/>
    <cellStyle name="常规 6 2 3 3 6" xfId="35188"/>
    <cellStyle name="常规 6 2 3 3 7" xfId="35189"/>
    <cellStyle name="常规 6 2 3 3 8" xfId="35190"/>
    <cellStyle name="常规 6 2 3 4" xfId="35191"/>
    <cellStyle name="常规 6 2 3 4 2" xfId="35192"/>
    <cellStyle name="常规 6 2 3 4 2 2" xfId="35193"/>
    <cellStyle name="常规 6 2 3 4 2 2 2" xfId="35194"/>
    <cellStyle name="常规 6 2 3 4 2 3" xfId="35195"/>
    <cellStyle name="常规 6 2 3 4 2 4" xfId="35196"/>
    <cellStyle name="常规 6 2 3 4 3" xfId="35197"/>
    <cellStyle name="常规 6 2 3 4 4" xfId="35198"/>
    <cellStyle name="常规 6 2 3 4 5" xfId="35199"/>
    <cellStyle name="常规 6 2 3 4 6" xfId="35200"/>
    <cellStyle name="常规 6 2 3 5" xfId="35201"/>
    <cellStyle name="常规 6 2 3 5 2" xfId="35202"/>
    <cellStyle name="常规 6 2 3 5 3" xfId="35203"/>
    <cellStyle name="常规 6 2 3 5 4" xfId="35204"/>
    <cellStyle name="常规 6 2 3 6" xfId="35205"/>
    <cellStyle name="常规 6 2 3 6 2" xfId="35206"/>
    <cellStyle name="常规 6 2 3 6 2 2" xfId="35207"/>
    <cellStyle name="常规 6 2 3 6 3" xfId="35208"/>
    <cellStyle name="常规 6 2 3 6 4" xfId="35209"/>
    <cellStyle name="常规 6 2 3 7" xfId="35210"/>
    <cellStyle name="常规 6 2 3 7 2" xfId="35211"/>
    <cellStyle name="常规 6 2 3 8" xfId="35212"/>
    <cellStyle name="常规 6 2 3 8 2" xfId="35213"/>
    <cellStyle name="常规 6 2 3 9" xfId="35214"/>
    <cellStyle name="常规 6 2 4" xfId="35215"/>
    <cellStyle name="常规 6 2 4 2" xfId="35216"/>
    <cellStyle name="常规 6 2 4 2 2" xfId="35217"/>
    <cellStyle name="常规 6 2 4 2 2 2" xfId="35218"/>
    <cellStyle name="常规 6 2 4 2 2 2 2" xfId="26599"/>
    <cellStyle name="常规 6 2 4 2 2 3" xfId="35219"/>
    <cellStyle name="常规 6 2 4 2 2 4" xfId="35220"/>
    <cellStyle name="常规 6 2 4 2 3" xfId="35221"/>
    <cellStyle name="常规 6 2 4 2 4" xfId="35222"/>
    <cellStyle name="常规 6 2 4 3" xfId="35223"/>
    <cellStyle name="常规 6 2 4 3 2" xfId="35224"/>
    <cellStyle name="常规 6 2 4 3 3" xfId="35225"/>
    <cellStyle name="常规 6 2 4 4" xfId="35226"/>
    <cellStyle name="常规 6 2 4 4 2" xfId="35227"/>
    <cellStyle name="常规 6 2 4 4 2 2" xfId="35228"/>
    <cellStyle name="常规 6 2 4 4 3" xfId="35229"/>
    <cellStyle name="常规 6 2 4 4 4" xfId="35230"/>
    <cellStyle name="常规 6 2 4 5" xfId="35231"/>
    <cellStyle name="常规 6 2 4 6" xfId="35232"/>
    <cellStyle name="常规 6 2 4 7" xfId="35233"/>
    <cellStyle name="常规 6 2 4 8" xfId="35234"/>
    <cellStyle name="常规 6 2 5" xfId="35235"/>
    <cellStyle name="常规 6 2 5 2" xfId="35236"/>
    <cellStyle name="常规 6 2 5 2 2" xfId="35237"/>
    <cellStyle name="常规 6 2 5 2 2 2" xfId="35238"/>
    <cellStyle name="常规 6 2 5 2 3" xfId="35239"/>
    <cellStyle name="常规 6 2 5 2 4" xfId="35240"/>
    <cellStyle name="常规 6 2 5 3" xfId="35241"/>
    <cellStyle name="常规 6 2 5 4" xfId="35242"/>
    <cellStyle name="常规 6 2 5 5" xfId="35243"/>
    <cellStyle name="常规 6 2 5 6" xfId="35244"/>
    <cellStyle name="常规 6 2 6" xfId="35245"/>
    <cellStyle name="常规 6 2 6 2" xfId="35246"/>
    <cellStyle name="常规 6 2 6 3" xfId="35247"/>
    <cellStyle name="常规 6 2 6 4" xfId="35248"/>
    <cellStyle name="常规 6 2 7" xfId="35249"/>
    <cellStyle name="常规 6 2 7 2" xfId="35250"/>
    <cellStyle name="常规 6 2 7 2 2" xfId="35251"/>
    <cellStyle name="常规 6 2 7 3" xfId="35252"/>
    <cellStyle name="常规 6 2 7 4" xfId="35253"/>
    <cellStyle name="常规 6 2 8" xfId="35254"/>
    <cellStyle name="常规 6 2 8 2" xfId="35255"/>
    <cellStyle name="常规 6 2 9" xfId="35256"/>
    <cellStyle name="常规 6 2 9 2" xfId="35257"/>
    <cellStyle name="常规 6 20" xfId="34932"/>
    <cellStyle name="常规 6 21" xfId="34935"/>
    <cellStyle name="常规 6 3" xfId="35258"/>
    <cellStyle name="常规 6 3 10" xfId="35259"/>
    <cellStyle name="常规 6 3 11" xfId="35260"/>
    <cellStyle name="常规 6 3 12" xfId="35261"/>
    <cellStyle name="常规 6 3 13" xfId="35262"/>
    <cellStyle name="常规 6 3 2" xfId="35263"/>
    <cellStyle name="常规 6 3 2 10" xfId="35264"/>
    <cellStyle name="常规 6 3 2 11" xfId="35265"/>
    <cellStyle name="常规 6 3 2 12" xfId="35266"/>
    <cellStyle name="常规 6 3 2 13" xfId="35267"/>
    <cellStyle name="常规 6 3 2 2" xfId="35268"/>
    <cellStyle name="常规 6 3 2 2 10" xfId="35269"/>
    <cellStyle name="常规 6 3 2 2 11" xfId="35270"/>
    <cellStyle name="常规 6 3 2 2 2" xfId="35271"/>
    <cellStyle name="常规 6 3 2 2 2 2" xfId="35272"/>
    <cellStyle name="常规 6 3 2 2 2 2 2" xfId="35273"/>
    <cellStyle name="常规 6 3 2 2 2 2 2 2" xfId="35274"/>
    <cellStyle name="常规 6 3 2 2 2 2 2 2 2" xfId="35275"/>
    <cellStyle name="常规 6 3 2 2 2 2 2 3" xfId="35276"/>
    <cellStyle name="常规 6 3 2 2 2 2 2 4" xfId="35277"/>
    <cellStyle name="常规 6 3 2 2 2 2 3" xfId="35278"/>
    <cellStyle name="常规 6 3 2 2 2 2 4" xfId="35279"/>
    <cellStyle name="常规 6 3 2 2 2 3" xfId="35280"/>
    <cellStyle name="常规 6 3 2 2 2 3 2" xfId="35281"/>
    <cellStyle name="常规 6 3 2 2 2 3 3" xfId="35282"/>
    <cellStyle name="常规 6 3 2 2 2 4" xfId="35283"/>
    <cellStyle name="常规 6 3 2 2 2 4 2" xfId="29265"/>
    <cellStyle name="常规 6 3 2 2 2 4 2 2" xfId="22318"/>
    <cellStyle name="常规 6 3 2 2 2 4 3" xfId="35284"/>
    <cellStyle name="常规 6 3 2 2 2 4 4" xfId="35285"/>
    <cellStyle name="常规 6 3 2 2 2 5" xfId="35286"/>
    <cellStyle name="常规 6 3 2 2 2 6" xfId="35287"/>
    <cellStyle name="常规 6 3 2 2 2 7" xfId="35288"/>
    <cellStyle name="常规 6 3 2 2 2 8" xfId="35289"/>
    <cellStyle name="常规 6 3 2 2 3" xfId="35290"/>
    <cellStyle name="常规 6 3 2 2 3 2" xfId="35291"/>
    <cellStyle name="常规 6 3 2 2 3 2 2" xfId="35292"/>
    <cellStyle name="常规 6 3 2 2 3 2 2 2" xfId="35293"/>
    <cellStyle name="常规 6 3 2 2 3 2 3" xfId="15955"/>
    <cellStyle name="常规 6 3 2 2 3 2 4" xfId="15958"/>
    <cellStyle name="常规 6 3 2 2 3 3" xfId="35294"/>
    <cellStyle name="常规 6 3 2 2 3 4" xfId="35295"/>
    <cellStyle name="常规 6 3 2 2 3 5" xfId="35296"/>
    <cellStyle name="常规 6 3 2 2 3 6" xfId="35297"/>
    <cellStyle name="常规 6 3 2 2 4" xfId="35298"/>
    <cellStyle name="常规 6 3 2 2 4 2" xfId="15990"/>
    <cellStyle name="常规 6 3 2 2 4 3" xfId="15997"/>
    <cellStyle name="常规 6 3 2 2 4 4" xfId="35299"/>
    <cellStyle name="常规 6 3 2 2 5" xfId="35300"/>
    <cellStyle name="常规 6 3 2 2 5 2" xfId="35301"/>
    <cellStyle name="常规 6 3 2 2 5 2 2" xfId="35302"/>
    <cellStyle name="常规 6 3 2 2 5 3" xfId="35303"/>
    <cellStyle name="常规 6 3 2 2 5 4" xfId="35304"/>
    <cellStyle name="常规 6 3 2 2 6" xfId="35305"/>
    <cellStyle name="常规 6 3 2 2 6 2" xfId="16022"/>
    <cellStyle name="常规 6 3 2 2 7" xfId="35306"/>
    <cellStyle name="常规 6 3 2 2 7 2" xfId="35307"/>
    <cellStyle name="常规 6 3 2 2 8" xfId="35308"/>
    <cellStyle name="常规 6 3 2 2 9" xfId="35309"/>
    <cellStyle name="常规 6 3 2 3" xfId="35310"/>
    <cellStyle name="常规 6 3 2 3 10" xfId="384"/>
    <cellStyle name="常规 6 3 2 3 11" xfId="397"/>
    <cellStyle name="常规 6 3 2 3 12" xfId="35311"/>
    <cellStyle name="常规 6 3 2 3 2" xfId="35312"/>
    <cellStyle name="常规 6 3 2 3 2 10" xfId="35313"/>
    <cellStyle name="常规 6 3 2 3 2 11" xfId="35314"/>
    <cellStyle name="常规 6 3 2 3 2 2" xfId="35315"/>
    <cellStyle name="常规 6 3 2 3 2 2 2" xfId="35316"/>
    <cellStyle name="常规 6 3 2 3 2 2 2 2" xfId="35317"/>
    <cellStyle name="常规 6 3 2 3 2 2 2 2 2" xfId="35318"/>
    <cellStyle name="常规 6 3 2 3 2 2 2 2 2 2" xfId="35319"/>
    <cellStyle name="常规 6 3 2 3 2 2 2 2 3" xfId="35320"/>
    <cellStyle name="常规 6 3 2 3 2 2 2 2 4" xfId="35321"/>
    <cellStyle name="常规 6 3 2 3 2 2 2 3" xfId="35322"/>
    <cellStyle name="常规 6 3 2 3 2 2 2 4" xfId="33124"/>
    <cellStyle name="常规 6 3 2 3 2 2 3" xfId="35323"/>
    <cellStyle name="常规 6 3 2 3 2 2 3 2" xfId="35324"/>
    <cellStyle name="常规 6 3 2 3 2 2 3 3" xfId="35325"/>
    <cellStyle name="常规 6 3 2 3 2 2 4" xfId="35326"/>
    <cellStyle name="常规 6 3 2 3 2 2 4 2" xfId="35327"/>
    <cellStyle name="常规 6 3 2 3 2 2 4 2 2" xfId="35328"/>
    <cellStyle name="常规 6 3 2 3 2 2 4 3" xfId="35329"/>
    <cellStyle name="常规 6 3 2 3 2 2 4 4" xfId="35330"/>
    <cellStyle name="常规 6 3 2 3 2 2 5" xfId="35331"/>
    <cellStyle name="常规 6 3 2 3 2 2 6" xfId="35332"/>
    <cellStyle name="常规 6 3 2 3 2 2 7" xfId="35333"/>
    <cellStyle name="常规 6 3 2 3 2 2 8" xfId="35335"/>
    <cellStyle name="常规 6 3 2 3 2 3" xfId="35337"/>
    <cellStyle name="常规 6 3 2 3 2 3 2" xfId="35338"/>
    <cellStyle name="常规 6 3 2 3 2 3 2 2" xfId="35339"/>
    <cellStyle name="常规 6 3 2 3 2 3 2 2 2" xfId="35340"/>
    <cellStyle name="常规 6 3 2 3 2 3 2 3" xfId="35341"/>
    <cellStyle name="常规 6 3 2 3 2 3 2 4" xfId="35342"/>
    <cellStyle name="常规 6 3 2 3 2 3 3" xfId="35343"/>
    <cellStyle name="常规 6 3 2 3 2 3 4" xfId="35344"/>
    <cellStyle name="常规 6 3 2 3 2 3 5" xfId="35345"/>
    <cellStyle name="常规 6 3 2 3 2 3 6" xfId="35346"/>
    <cellStyle name="常规 6 3 2 3 2 4" xfId="35347"/>
    <cellStyle name="常规 6 3 2 3 2 4 2" xfId="35348"/>
    <cellStyle name="常规 6 3 2 3 2 4 3" xfId="35349"/>
    <cellStyle name="常规 6 3 2 3 2 4 4" xfId="35350"/>
    <cellStyle name="常规 6 3 2 3 2 5" xfId="33036"/>
    <cellStyle name="常规 6 3 2 3 2 5 2" xfId="33038"/>
    <cellStyle name="常规 6 3 2 3 2 5 2 2" xfId="22819"/>
    <cellStyle name="常规 6 3 2 3 2 5 3" xfId="33040"/>
    <cellStyle name="常规 6 3 2 3 2 5 4" xfId="33042"/>
    <cellStyle name="常规 6 3 2 3 2 6" xfId="33044"/>
    <cellStyle name="常规 6 3 2 3 2 6 2" xfId="33046"/>
    <cellStyle name="常规 6 3 2 3 2 7" xfId="1245"/>
    <cellStyle name="常规 6 3 2 3 2 7 2" xfId="1249"/>
    <cellStyle name="常规 6 3 2 3 2 8" xfId="1294"/>
    <cellStyle name="常规 6 3 2 3 2 9" xfId="794"/>
    <cellStyle name="常规 6 3 2 3 3" xfId="35351"/>
    <cellStyle name="常规 6 3 2 3 3 2" xfId="35352"/>
    <cellStyle name="常规 6 3 2 3 3 2 2" xfId="35353"/>
    <cellStyle name="常规 6 3 2 3 3 2 2 2" xfId="35354"/>
    <cellStyle name="常规 6 3 2 3 3 2 2 2 2" xfId="35355"/>
    <cellStyle name="常规 6 3 2 3 3 2 2 3" xfId="35356"/>
    <cellStyle name="常规 6 3 2 3 3 2 2 4" xfId="35357"/>
    <cellStyle name="常规 6 3 2 3 3 2 3" xfId="35358"/>
    <cellStyle name="常规 6 3 2 3 3 2 4" xfId="35359"/>
    <cellStyle name="常规 6 3 2 3 3 3" xfId="35360"/>
    <cellStyle name="常规 6 3 2 3 3 3 2" xfId="35361"/>
    <cellStyle name="常规 6 3 2 3 3 3 3" xfId="35362"/>
    <cellStyle name="常规 6 3 2 3 3 4" xfId="35363"/>
    <cellStyle name="常规 6 3 2 3 3 4 2" xfId="35364"/>
    <cellStyle name="常规 6 3 2 3 3 4 2 2" xfId="35365"/>
    <cellStyle name="常规 6 3 2 3 3 4 3" xfId="35366"/>
    <cellStyle name="常规 6 3 2 3 3 4 4" xfId="35367"/>
    <cellStyle name="常规 6 3 2 3 3 5" xfId="16102"/>
    <cellStyle name="常规 6 3 2 3 3 6" xfId="16107"/>
    <cellStyle name="常规 6 3 2 3 3 7" xfId="185"/>
    <cellStyle name="常规 6 3 2 3 3 8" xfId="199"/>
    <cellStyle name="常规 6 3 2 3 4" xfId="35368"/>
    <cellStyle name="常规 6 3 2 3 4 2" xfId="35369"/>
    <cellStyle name="常规 6 3 2 3 4 2 2" xfId="35370"/>
    <cellStyle name="常规 6 3 2 3 4 2 2 2" xfId="35371"/>
    <cellStyle name="常规 6 3 2 3 4 2 3" xfId="35372"/>
    <cellStyle name="常规 6 3 2 3 4 2 4" xfId="35373"/>
    <cellStyle name="常规 6 3 2 3 4 3" xfId="35374"/>
    <cellStyle name="常规 6 3 2 3 4 4" xfId="35375"/>
    <cellStyle name="常规 6 3 2 3 4 5" xfId="16134"/>
    <cellStyle name="常规 6 3 2 3 4 6" xfId="16137"/>
    <cellStyle name="常规 6 3 2 3 5" xfId="35376"/>
    <cellStyle name="常规 6 3 2 3 5 2" xfId="35377"/>
    <cellStyle name="常规 6 3 2 3 5 3" xfId="35378"/>
    <cellStyle name="常规 6 3 2 3 5 4" xfId="35379"/>
    <cellStyle name="常规 6 3 2 3 6" xfId="35380"/>
    <cellStyle name="常规 6 3 2 3 6 2" xfId="35381"/>
    <cellStyle name="常规 6 3 2 3 6 2 2" xfId="35382"/>
    <cellStyle name="常规 6 3 2 3 6 3" xfId="35383"/>
    <cellStyle name="常规 6 3 2 3 6 4" xfId="35384"/>
    <cellStyle name="常规 6 3 2 3 7" xfId="35385"/>
    <cellStyle name="常规 6 3 2 3 7 2" xfId="35386"/>
    <cellStyle name="常规 6 3 2 3 8" xfId="35387"/>
    <cellStyle name="常规 6 3 2 3 8 2" xfId="25840"/>
    <cellStyle name="常规 6 3 2 3 9" xfId="35388"/>
    <cellStyle name="常规 6 3 2 4" xfId="35389"/>
    <cellStyle name="常规 6 3 2 4 2" xfId="35390"/>
    <cellStyle name="常规 6 3 2 4 2 2" xfId="35391"/>
    <cellStyle name="常规 6 3 2 4 2 2 2" xfId="35392"/>
    <cellStyle name="常规 6 3 2 4 2 2 2 2" xfId="35393"/>
    <cellStyle name="常规 6 3 2 4 2 2 3" xfId="35394"/>
    <cellStyle name="常规 6 3 2 4 2 2 4" xfId="35395"/>
    <cellStyle name="常规 6 3 2 4 2 3" xfId="35396"/>
    <cellStyle name="常规 6 3 2 4 2 4" xfId="35397"/>
    <cellStyle name="常规 6 3 2 4 3" xfId="35398"/>
    <cellStyle name="常规 6 3 2 4 3 2" xfId="35399"/>
    <cellStyle name="常规 6 3 2 4 3 3" xfId="35400"/>
    <cellStyle name="常规 6 3 2 4 4" xfId="35401"/>
    <cellStyle name="常规 6 3 2 4 4 2" xfId="35402"/>
    <cellStyle name="常规 6 3 2 4 4 2 2" xfId="35403"/>
    <cellStyle name="常规 6 3 2 4 4 3" xfId="35404"/>
    <cellStyle name="常规 6 3 2 4 4 4" xfId="35405"/>
    <cellStyle name="常规 6 3 2 4 5" xfId="35406"/>
    <cellStyle name="常规 6 3 2 4 6" xfId="35407"/>
    <cellStyle name="常规 6 3 2 4 7" xfId="35408"/>
    <cellStyle name="常规 6 3 2 4 8" xfId="35409"/>
    <cellStyle name="常规 6 3 2 5" xfId="35410"/>
    <cellStyle name="常规 6 3 2 5 2" xfId="35411"/>
    <cellStyle name="常规 6 3 2 5 2 2" xfId="35412"/>
    <cellStyle name="常规 6 3 2 5 2 2 2" xfId="35413"/>
    <cellStyle name="常规 6 3 2 5 2 3" xfId="35414"/>
    <cellStyle name="常规 6 3 2 5 2 4" xfId="35415"/>
    <cellStyle name="常规 6 3 2 5 3" xfId="35416"/>
    <cellStyle name="常规 6 3 2 5 4" xfId="35417"/>
    <cellStyle name="常规 6 3 2 5 5" xfId="35418"/>
    <cellStyle name="常规 6 3 2 5 6" xfId="35419"/>
    <cellStyle name="常规 6 3 2 6" xfId="35420"/>
    <cellStyle name="常规 6 3 2 6 2" xfId="35421"/>
    <cellStyle name="常规 6 3 2 6 3" xfId="35422"/>
    <cellStyle name="常规 6 3 2 6 4" xfId="29876"/>
    <cellStyle name="常规 6 3 2 7" xfId="35423"/>
    <cellStyle name="常规 6 3 2 7 2" xfId="35424"/>
    <cellStyle name="常规 6 3 2 7 2 2" xfId="35425"/>
    <cellStyle name="常规 6 3 2 7 3" xfId="35426"/>
    <cellStyle name="常规 6 3 2 7 4" xfId="35427"/>
    <cellStyle name="常规 6 3 2 8" xfId="35428"/>
    <cellStyle name="常规 6 3 2 8 2" xfId="35429"/>
    <cellStyle name="常规 6 3 2 9" xfId="35430"/>
    <cellStyle name="常规 6 3 2 9 2" xfId="35431"/>
    <cellStyle name="常规 6 3 3" xfId="35432"/>
    <cellStyle name="常规 6 3 3 10" xfId="35433"/>
    <cellStyle name="常规 6 3 3 11" xfId="35434"/>
    <cellStyle name="常规 6 3 3 12" xfId="35435"/>
    <cellStyle name="常规 6 3 3 2" xfId="35436"/>
    <cellStyle name="常规 6 3 3 2 10" xfId="35437"/>
    <cellStyle name="常规 6 3 3 2 11" xfId="35438"/>
    <cellStyle name="常规 6 3 3 2 2" xfId="35439"/>
    <cellStyle name="常规 6 3 3 2 2 2" xfId="35440"/>
    <cellStyle name="常规 6 3 3 2 2 2 2" xfId="35441"/>
    <cellStyle name="常规 6 3 3 2 2 2 2 2" xfId="35442"/>
    <cellStyle name="常规 6 3 3 2 2 2 2 2 2" xfId="35443"/>
    <cellStyle name="常规 6 3 3 2 2 2 2 3" xfId="35444"/>
    <cellStyle name="常规 6 3 3 2 2 2 2 4" xfId="35445"/>
    <cellStyle name="常规 6 3 3 2 2 2 3" xfId="35446"/>
    <cellStyle name="常规 6 3 3 2 2 2 4" xfId="35447"/>
    <cellStyle name="常规 6 3 3 2 2 3" xfId="35448"/>
    <cellStyle name="常规 6 3 3 2 2 3 2" xfId="35449"/>
    <cellStyle name="常规 6 3 3 2 2 3 3" xfId="35450"/>
    <cellStyle name="常规 6 3 3 2 2 4" xfId="35451"/>
    <cellStyle name="常规 6 3 3 2 2 4 2" xfId="29536"/>
    <cellStyle name="常规 6 3 3 2 2 4 2 2" xfId="35452"/>
    <cellStyle name="常规 6 3 3 2 2 4 3" xfId="35453"/>
    <cellStyle name="常规 6 3 3 2 2 4 4" xfId="35454"/>
    <cellStyle name="常规 6 3 3 2 2 5" xfId="35455"/>
    <cellStyle name="常规 6 3 3 2 2 6" xfId="35456"/>
    <cellStyle name="常规 6 3 3 2 2 7" xfId="35457"/>
    <cellStyle name="常规 6 3 3 2 2 8" xfId="35458"/>
    <cellStyle name="常规 6 3 3 2 3" xfId="35459"/>
    <cellStyle name="常规 6 3 3 2 3 2" xfId="35460"/>
    <cellStyle name="常规 6 3 3 2 3 2 2" xfId="35461"/>
    <cellStyle name="常规 6 3 3 2 3 2 2 2" xfId="35462"/>
    <cellStyle name="常规 6 3 3 2 3 2 3" xfId="16336"/>
    <cellStyle name="常规 6 3 3 2 3 2 4" xfId="16341"/>
    <cellStyle name="常规 6 3 3 2 3 3" xfId="35463"/>
    <cellStyle name="常规 6 3 3 2 3 4" xfId="35464"/>
    <cellStyle name="常规 6 3 3 2 3 5" xfId="35465"/>
    <cellStyle name="常规 6 3 3 2 3 6" xfId="35466"/>
    <cellStyle name="常规 6 3 3 2 4" xfId="35467"/>
    <cellStyle name="常规 6 3 3 2 4 2" xfId="35468"/>
    <cellStyle name="常规 6 3 3 2 4 3" xfId="35469"/>
    <cellStyle name="常规 6 3 3 2 4 4" xfId="13029"/>
    <cellStyle name="常规 6 3 3 2 5" xfId="35470"/>
    <cellStyle name="常规 6 3 3 2 5 2" xfId="35471"/>
    <cellStyle name="常规 6 3 3 2 5 2 2" xfId="35472"/>
    <cellStyle name="常规 6 3 3 2 5 3" xfId="35473"/>
    <cellStyle name="常规 6 3 3 2 5 4" xfId="35474"/>
    <cellStyle name="常规 6 3 3 2 6" xfId="35475"/>
    <cellStyle name="常规 6 3 3 2 6 2" xfId="16388"/>
    <cellStyle name="常规 6 3 3 2 7" xfId="35476"/>
    <cellStyle name="常规 6 3 3 2 7 2" xfId="35477"/>
    <cellStyle name="常规 6 3 3 2 8" xfId="35478"/>
    <cellStyle name="常规 6 3 3 2 9" xfId="35479"/>
    <cellStyle name="常规 6 3 3 3" xfId="35480"/>
    <cellStyle name="常规 6 3 3 3 2" xfId="35481"/>
    <cellStyle name="常规 6 3 3 3 2 2" xfId="35482"/>
    <cellStyle name="常规 6 3 3 3 2 2 2" xfId="35483"/>
    <cellStyle name="常规 6 3 3 3 2 2 2 2" xfId="35484"/>
    <cellStyle name="常规 6 3 3 3 2 2 3" xfId="35485"/>
    <cellStyle name="常规 6 3 3 3 2 2 4" xfId="35486"/>
    <cellStyle name="常规 6 3 3 3 2 3" xfId="35487"/>
    <cellStyle name="常规 6 3 3 3 2 4" xfId="35488"/>
    <cellStyle name="常规 6 3 3 3 3" xfId="35489"/>
    <cellStyle name="常规 6 3 3 3 3 2" xfId="35490"/>
    <cellStyle name="常规 6 3 3 3 3 3" xfId="35491"/>
    <cellStyle name="常规 6 3 3 3 4" xfId="35492"/>
    <cellStyle name="常规 6 3 3 3 4 2" xfId="35493"/>
    <cellStyle name="常规 6 3 3 3 4 2 2" xfId="35494"/>
    <cellStyle name="常规 6 3 3 3 4 3" xfId="35495"/>
    <cellStyle name="常规 6 3 3 3 4 4" xfId="35496"/>
    <cellStyle name="常规 6 3 3 3 5" xfId="35497"/>
    <cellStyle name="常规 6 3 3 3 6" xfId="35498"/>
    <cellStyle name="常规 6 3 3 3 7" xfId="35499"/>
    <cellStyle name="常规 6 3 3 3 8" xfId="35500"/>
    <cellStyle name="常规 6 3 3 4" xfId="35501"/>
    <cellStyle name="常规 6 3 3 4 2" xfId="35502"/>
    <cellStyle name="常规 6 3 3 4 2 2" xfId="35503"/>
    <cellStyle name="常规 6 3 3 4 2 2 2" xfId="35504"/>
    <cellStyle name="常规 6 3 3 4 2 3" xfId="35505"/>
    <cellStyle name="常规 6 3 3 4 2 4" xfId="35506"/>
    <cellStyle name="常规 6 3 3 4 3" xfId="35507"/>
    <cellStyle name="常规 6 3 3 4 4" xfId="35508"/>
    <cellStyle name="常规 6 3 3 4 5" xfId="35509"/>
    <cellStyle name="常规 6 3 3 4 6" xfId="35510"/>
    <cellStyle name="常规 6 3 3 5" xfId="35511"/>
    <cellStyle name="常规 6 3 3 5 2" xfId="35512"/>
    <cellStyle name="常规 6 3 3 5 3" xfId="35513"/>
    <cellStyle name="常规 6 3 3 5 4" xfId="514"/>
    <cellStyle name="常规 6 3 3 6" xfId="35514"/>
    <cellStyle name="常规 6 3 3 6 2" xfId="35515"/>
    <cellStyle name="常规 6 3 3 6 2 2" xfId="35516"/>
    <cellStyle name="常规 6 3 3 6 3" xfId="35517"/>
    <cellStyle name="常规 6 3 3 6 4" xfId="232"/>
    <cellStyle name="常规 6 3 3 7" xfId="35518"/>
    <cellStyle name="常规 6 3 3 7 2" xfId="35519"/>
    <cellStyle name="常规 6 3 3 8" xfId="35520"/>
    <cellStyle name="常规 6 3 3 8 2" xfId="35521"/>
    <cellStyle name="常规 6 3 3 9" xfId="35522"/>
    <cellStyle name="常规 6 3 4" xfId="35523"/>
    <cellStyle name="常规 6 3 4 2" xfId="35524"/>
    <cellStyle name="常规 6 3 4 2 2" xfId="35525"/>
    <cellStyle name="常规 6 3 4 2 2 2" xfId="35526"/>
    <cellStyle name="常规 6 3 4 2 2 2 2" xfId="35527"/>
    <cellStyle name="常规 6 3 4 2 2 3" xfId="35528"/>
    <cellStyle name="常规 6 3 4 2 2 4" xfId="11463"/>
    <cellStyle name="常规 6 3 4 2 3" xfId="35529"/>
    <cellStyle name="常规 6 3 4 2 4" xfId="35530"/>
    <cellStyle name="常规 6 3 4 3" xfId="35531"/>
    <cellStyle name="常规 6 3 4 3 2" xfId="35532"/>
    <cellStyle name="常规 6 3 4 3 3" xfId="35533"/>
    <cellStyle name="常规 6 3 4 4" xfId="35534"/>
    <cellStyle name="常规 6 3 4 4 2" xfId="35535"/>
    <cellStyle name="常规 6 3 4 4 2 2" xfId="35536"/>
    <cellStyle name="常规 6 3 4 4 3" xfId="35537"/>
    <cellStyle name="常规 6 3 4 4 4" xfId="35538"/>
    <cellStyle name="常规 6 3 4 5" xfId="35539"/>
    <cellStyle name="常规 6 3 4 6" xfId="35540"/>
    <cellStyle name="常规 6 3 4 7" xfId="35541"/>
    <cellStyle name="常规 6 3 4 8" xfId="35542"/>
    <cellStyle name="常规 6 3 5" xfId="35543"/>
    <cellStyle name="常规 6 3 5 2" xfId="35544"/>
    <cellStyle name="常规 6 3 5 2 2" xfId="3642"/>
    <cellStyle name="常规 6 3 5 2 2 2" xfId="35545"/>
    <cellStyle name="常规 6 3 5 2 3" xfId="4323"/>
    <cellStyle name="常规 6 3 5 2 4" xfId="35546"/>
    <cellStyle name="常规 6 3 5 3" xfId="35547"/>
    <cellStyle name="常规 6 3 5 4" xfId="35548"/>
    <cellStyle name="常规 6 3 5 5" xfId="35549"/>
    <cellStyle name="常规 6 3 5 6" xfId="35550"/>
    <cellStyle name="常规 6 3 6" xfId="35551"/>
    <cellStyle name="常规 6 3 6 2" xfId="35552"/>
    <cellStyle name="常规 6 3 6 3" xfId="35553"/>
    <cellStyle name="常规 6 3 6 4" xfId="35554"/>
    <cellStyle name="常规 6 3 7" xfId="35555"/>
    <cellStyle name="常规 6 3 7 2" xfId="35556"/>
    <cellStyle name="常规 6 3 7 2 2" xfId="35557"/>
    <cellStyle name="常规 6 3 7 3" xfId="35558"/>
    <cellStyle name="常规 6 3 7 4" xfId="35560"/>
    <cellStyle name="常规 6 3 8" xfId="35561"/>
    <cellStyle name="常规 6 3 8 2" xfId="35562"/>
    <cellStyle name="常规 6 3 9" xfId="35563"/>
    <cellStyle name="常规 6 3 9 2" xfId="35564"/>
    <cellStyle name="常规 6 4" xfId="35565"/>
    <cellStyle name="常规 6 4 10" xfId="35566"/>
    <cellStyle name="常规 6 4 11" xfId="35567"/>
    <cellStyle name="常规 6 4 12" xfId="35568"/>
    <cellStyle name="常规 6 4 13" xfId="35569"/>
    <cellStyle name="常规 6 4 2" xfId="35570"/>
    <cellStyle name="常规 6 4 2 10" xfId="23519"/>
    <cellStyle name="常规 6 4 2 11" xfId="23473"/>
    <cellStyle name="常规 6 4 2 12" xfId="20142"/>
    <cellStyle name="常规 6 4 2 13" xfId="20146"/>
    <cellStyle name="常规 6 4 2 2" xfId="27058"/>
    <cellStyle name="常规 6 4 2 2 10" xfId="35571"/>
    <cellStyle name="常规 6 4 2 2 11" xfId="35572"/>
    <cellStyle name="常规 6 4 2 2 2" xfId="35573"/>
    <cellStyle name="常规 6 4 2 2 2 2" xfId="35574"/>
    <cellStyle name="常规 6 4 2 2 2 2 2" xfId="30339"/>
    <cellStyle name="常规 6 4 2 2 2 2 2 2" xfId="35575"/>
    <cellStyle name="常规 6 4 2 2 2 2 2 2 2" xfId="35576"/>
    <cellStyle name="常规 6 4 2 2 2 2 2 3" xfId="35577"/>
    <cellStyle name="常规 6 4 2 2 2 2 2 4" xfId="35578"/>
    <cellStyle name="常规 6 4 2 2 2 2 3" xfId="30341"/>
    <cellStyle name="常规 6 4 2 2 2 2 4" xfId="35579"/>
    <cellStyle name="常规 6 4 2 2 2 3" xfId="35580"/>
    <cellStyle name="常规 6 4 2 2 2 3 2" xfId="35581"/>
    <cellStyle name="常规 6 4 2 2 2 3 3" xfId="35582"/>
    <cellStyle name="常规 6 4 2 2 2 4" xfId="35583"/>
    <cellStyle name="常规 6 4 2 2 2 4 2" xfId="28470"/>
    <cellStyle name="常规 6 4 2 2 2 4 2 2" xfId="35584"/>
    <cellStyle name="常规 6 4 2 2 2 4 3" xfId="31594"/>
    <cellStyle name="常规 6 4 2 2 2 4 4" xfId="35585"/>
    <cellStyle name="常规 6 4 2 2 2 5" xfId="27902"/>
    <cellStyle name="常规 6 4 2 2 2 6" xfId="35586"/>
    <cellStyle name="常规 6 4 2 2 2 7" xfId="14716"/>
    <cellStyle name="常规 6 4 2 2 2 8" xfId="35587"/>
    <cellStyle name="常规 6 4 2 2 3" xfId="35588"/>
    <cellStyle name="常规 6 4 2 2 3 2" xfId="35589"/>
    <cellStyle name="常规 6 4 2 2 3 2 2" xfId="35590"/>
    <cellStyle name="常规 6 4 2 2 3 2 2 2" xfId="35591"/>
    <cellStyle name="常规 6 4 2 2 3 2 3" xfId="35592"/>
    <cellStyle name="常规 6 4 2 2 3 2 4" xfId="35593"/>
    <cellStyle name="常规 6 4 2 2 3 3" xfId="35594"/>
    <cellStyle name="常规 6 4 2 2 3 4" xfId="35595"/>
    <cellStyle name="常规 6 4 2 2 3 5" xfId="35596"/>
    <cellStyle name="常规 6 4 2 2 3 6" xfId="35597"/>
    <cellStyle name="常规 6 4 2 2 4" xfId="35598"/>
    <cellStyle name="常规 6 4 2 2 4 2" xfId="35599"/>
    <cellStyle name="常规 6 4 2 2 4 3" xfId="35600"/>
    <cellStyle name="常规 6 4 2 2 4 4" xfId="35601"/>
    <cellStyle name="常规 6 4 2 2 5" xfId="35602"/>
    <cellStyle name="常规 6 4 2 2 5 2" xfId="35603"/>
    <cellStyle name="常规 6 4 2 2 5 2 2" xfId="35604"/>
    <cellStyle name="常规 6 4 2 2 5 3" xfId="35605"/>
    <cellStyle name="常规 6 4 2 2 5 4" xfId="35606"/>
    <cellStyle name="常规 6 4 2 2 6" xfId="35607"/>
    <cellStyle name="常规 6 4 2 2 6 2" xfId="35608"/>
    <cellStyle name="常规 6 4 2 2 7" xfId="35609"/>
    <cellStyle name="常规 6 4 2 2 7 2" xfId="35610"/>
    <cellStyle name="常规 6 4 2 2 8" xfId="35611"/>
    <cellStyle name="常规 6 4 2 2 9" xfId="35612"/>
    <cellStyle name="常规 6 4 2 3" xfId="35613"/>
    <cellStyle name="常规 6 4 2 3 10" xfId="35614"/>
    <cellStyle name="常规 6 4 2 3 11" xfId="35615"/>
    <cellStyle name="常规 6 4 2 3 12" xfId="35616"/>
    <cellStyle name="常规 6 4 2 3 2" xfId="35617"/>
    <cellStyle name="常规 6 4 2 3 2 10" xfId="35618"/>
    <cellStyle name="常规 6 4 2 3 2 11" xfId="35619"/>
    <cellStyle name="常规 6 4 2 3 2 2" xfId="35620"/>
    <cellStyle name="常规 6 4 2 3 2 2 2" xfId="21240"/>
    <cellStyle name="常规 6 4 2 3 2 2 2 2" xfId="30431"/>
    <cellStyle name="常规 6 4 2 3 2 2 2 2 2" xfId="35621"/>
    <cellStyle name="常规 6 4 2 3 2 2 2 2 2 2" xfId="35622"/>
    <cellStyle name="常规 6 4 2 3 2 2 2 2 3" xfId="35623"/>
    <cellStyle name="常规 6 4 2 3 2 2 2 2 4" xfId="35624"/>
    <cellStyle name="常规 6 4 2 3 2 2 2 3" xfId="35625"/>
    <cellStyle name="常规 6 4 2 3 2 2 2 4" xfId="24135"/>
    <cellStyle name="常规 6 4 2 3 2 2 3" xfId="30433"/>
    <cellStyle name="常规 6 4 2 3 2 2 3 2" xfId="30435"/>
    <cellStyle name="常规 6 4 2 3 2 2 3 3" xfId="35626"/>
    <cellStyle name="常规 6 4 2 3 2 2 4" xfId="26769"/>
    <cellStyle name="常规 6 4 2 3 2 2 4 2" xfId="35627"/>
    <cellStyle name="常规 6 4 2 3 2 2 4 2 2" xfId="35628"/>
    <cellStyle name="常规 6 4 2 3 2 2 4 3" xfId="35629"/>
    <cellStyle name="常规 6 4 2 3 2 2 4 4" xfId="35630"/>
    <cellStyle name="常规 6 4 2 3 2 2 5" xfId="29770"/>
    <cellStyle name="常规 6 4 2 3 2 2 6" xfId="30437"/>
    <cellStyle name="常规 6 4 2 3 2 2 7" xfId="35631"/>
    <cellStyle name="常规 6 4 2 3 2 2 8" xfId="35632"/>
    <cellStyle name="常规 6 4 2 3 2 3" xfId="35633"/>
    <cellStyle name="常规 6 4 2 3 2 3 2" xfId="30447"/>
    <cellStyle name="常规 6 4 2 3 2 3 2 2" xfId="35634"/>
    <cellStyle name="常规 6 4 2 3 2 3 2 2 2" xfId="35635"/>
    <cellStyle name="常规 6 4 2 3 2 3 2 3" xfId="35636"/>
    <cellStyle name="常规 6 4 2 3 2 3 2 4" xfId="35637"/>
    <cellStyle name="常规 6 4 2 3 2 3 3" xfId="30449"/>
    <cellStyle name="常规 6 4 2 3 2 3 4" xfId="35638"/>
    <cellStyle name="常规 6 4 2 3 2 3 5" xfId="35639"/>
    <cellStyle name="常规 6 4 2 3 2 3 6" xfId="35640"/>
    <cellStyle name="常规 6 4 2 3 2 4" xfId="35641"/>
    <cellStyle name="常规 6 4 2 3 2 4 2" xfId="35642"/>
    <cellStyle name="常规 6 4 2 3 2 4 3" xfId="35643"/>
    <cellStyle name="常规 6 4 2 3 2 4 4" xfId="35644"/>
    <cellStyle name="常规 6 4 2 3 2 5" xfId="35645"/>
    <cellStyle name="常规 6 4 2 3 2 5 2" xfId="35646"/>
    <cellStyle name="常规 6 4 2 3 2 5 2 2" xfId="34466"/>
    <cellStyle name="常规 6 4 2 3 2 5 3" xfId="35647"/>
    <cellStyle name="常规 6 4 2 3 2 5 4" xfId="35648"/>
    <cellStyle name="常规 6 4 2 3 2 6" xfId="35649"/>
    <cellStyle name="常规 6 4 2 3 2 6 2" xfId="35650"/>
    <cellStyle name="常规 6 4 2 3 2 7" xfId="35651"/>
    <cellStyle name="常规 6 4 2 3 2 7 2" xfId="35652"/>
    <cellStyle name="常规 6 4 2 3 2 8" xfId="35653"/>
    <cellStyle name="常规 6 4 2 3 2 9" xfId="35654"/>
    <cellStyle name="常规 6 4 2 3 3" xfId="35655"/>
    <cellStyle name="常规 6 4 2 3 3 2" xfId="35656"/>
    <cellStyle name="常规 6 4 2 3 3 2 2" xfId="17786"/>
    <cellStyle name="常规 6 4 2 3 3 2 2 2" xfId="35657"/>
    <cellStyle name="常规 6 4 2 3 3 2 2 2 2" xfId="35658"/>
    <cellStyle name="常规 6 4 2 3 3 2 2 3" xfId="35659"/>
    <cellStyle name="常规 6 4 2 3 3 2 2 4" xfId="35660"/>
    <cellStyle name="常规 6 4 2 3 3 2 3" xfId="30467"/>
    <cellStyle name="常规 6 4 2 3 3 2 4" xfId="35661"/>
    <cellStyle name="常规 6 4 2 3 3 3" xfId="35662"/>
    <cellStyle name="常规 6 4 2 3 3 3 2" xfId="35663"/>
    <cellStyle name="常规 6 4 2 3 3 3 3" xfId="35664"/>
    <cellStyle name="常规 6 4 2 3 3 4" xfId="35665"/>
    <cellStyle name="常规 6 4 2 3 3 4 2" xfId="35666"/>
    <cellStyle name="常规 6 4 2 3 3 4 2 2" xfId="35667"/>
    <cellStyle name="常规 6 4 2 3 3 4 3" xfId="35668"/>
    <cellStyle name="常规 6 4 2 3 3 4 4" xfId="35669"/>
    <cellStyle name="常规 6 4 2 3 3 5" xfId="35670"/>
    <cellStyle name="常规 6 4 2 3 3 6" xfId="35671"/>
    <cellStyle name="常规 6 4 2 3 3 7" xfId="35672"/>
    <cellStyle name="常规 6 4 2 3 3 8" xfId="35673"/>
    <cellStyle name="常规 6 4 2 3 4" xfId="35674"/>
    <cellStyle name="常规 6 4 2 3 4 2" xfId="35675"/>
    <cellStyle name="常规 6 4 2 3 4 2 2" xfId="35676"/>
    <cellStyle name="常规 6 4 2 3 4 2 2 2" xfId="35677"/>
    <cellStyle name="常规 6 4 2 3 4 2 3" xfId="35678"/>
    <cellStyle name="常规 6 4 2 3 4 2 4" xfId="35679"/>
    <cellStyle name="常规 6 4 2 3 4 3" xfId="35680"/>
    <cellStyle name="常规 6 4 2 3 4 4" xfId="35681"/>
    <cellStyle name="常规 6 4 2 3 4 5" xfId="35682"/>
    <cellStyle name="常规 6 4 2 3 4 6" xfId="35683"/>
    <cellStyle name="常规 6 4 2 3 5" xfId="35684"/>
    <cellStyle name="常规 6 4 2 3 5 2" xfId="35685"/>
    <cellStyle name="常规 6 4 2 3 5 3" xfId="35686"/>
    <cellStyle name="常规 6 4 2 3 5 4" xfId="35687"/>
    <cellStyle name="常规 6 4 2 3 6" xfId="35688"/>
    <cellStyle name="常规 6 4 2 3 6 2" xfId="35689"/>
    <cellStyle name="常规 6 4 2 3 6 2 2" xfId="35690"/>
    <cellStyle name="常规 6 4 2 3 6 3" xfId="35691"/>
    <cellStyle name="常规 6 4 2 3 6 4" xfId="35692"/>
    <cellStyle name="常规 6 4 2 3 7" xfId="35693"/>
    <cellStyle name="常规 6 4 2 3 7 2" xfId="35694"/>
    <cellStyle name="常规 6 4 2 3 8" xfId="35695"/>
    <cellStyle name="常规 6 4 2 3 8 2" xfId="35696"/>
    <cellStyle name="常规 6 4 2 3 9" xfId="35697"/>
    <cellStyle name="常规 6 4 2 4" xfId="35698"/>
    <cellStyle name="常规 6 4 2 4 2" xfId="35699"/>
    <cellStyle name="常规 6 4 2 4 2 2" xfId="35700"/>
    <cellStyle name="常规 6 4 2 4 2 2 2" xfId="35701"/>
    <cellStyle name="常规 6 4 2 4 2 2 2 2" xfId="35702"/>
    <cellStyle name="常规 6 4 2 4 2 2 3" xfId="35703"/>
    <cellStyle name="常规 6 4 2 4 2 2 4" xfId="35704"/>
    <cellStyle name="常规 6 4 2 4 2 3" xfId="35705"/>
    <cellStyle name="常规 6 4 2 4 2 4" xfId="35706"/>
    <cellStyle name="常规 6 4 2 4 3" xfId="35707"/>
    <cellStyle name="常规 6 4 2 4 3 2" xfId="35708"/>
    <cellStyle name="常规 6 4 2 4 3 3" xfId="35709"/>
    <cellStyle name="常规 6 4 2 4 4" xfId="35710"/>
    <cellStyle name="常规 6 4 2 4 4 2" xfId="35711"/>
    <cellStyle name="常规 6 4 2 4 4 2 2" xfId="35712"/>
    <cellStyle name="常规 6 4 2 4 4 3" xfId="35713"/>
    <cellStyle name="常规 6 4 2 4 4 4" xfId="35714"/>
    <cellStyle name="常规 6 4 2 4 5" xfId="35715"/>
    <cellStyle name="常规 6 4 2 4 6" xfId="35716"/>
    <cellStyle name="常规 6 4 2 4 7" xfId="35717"/>
    <cellStyle name="常规 6 4 2 4 8" xfId="35718"/>
    <cellStyle name="常规 6 4 2 5" xfId="35719"/>
    <cellStyle name="常规 6 4 2 5 2" xfId="35720"/>
    <cellStyle name="常规 6 4 2 5 2 2" xfId="35721"/>
    <cellStyle name="常规 6 4 2 5 2 2 2" xfId="35722"/>
    <cellStyle name="常规 6 4 2 5 2 3" xfId="4093"/>
    <cellStyle name="常规 6 4 2 5 2 4" xfId="4102"/>
    <cellStyle name="常规 6 4 2 5 3" xfId="35723"/>
    <cellStyle name="常规 6 4 2 5 4" xfId="35724"/>
    <cellStyle name="常规 6 4 2 5 5" xfId="35725"/>
    <cellStyle name="常规 6 4 2 5 6" xfId="35726"/>
    <cellStyle name="常规 6 4 2 6" xfId="35727"/>
    <cellStyle name="常规 6 4 2 6 2" xfId="35728"/>
    <cellStyle name="常规 6 4 2 6 3" xfId="35729"/>
    <cellStyle name="常规 6 4 2 6 4" xfId="35730"/>
    <cellStyle name="常规 6 4 2 7" xfId="35731"/>
    <cellStyle name="常规 6 4 2 7 2" xfId="35732"/>
    <cellStyle name="常规 6 4 2 7 2 2" xfId="35733"/>
    <cellStyle name="常规 6 4 2 7 3" xfId="35734"/>
    <cellStyle name="常规 6 4 2 7 4" xfId="35735"/>
    <cellStyle name="常规 6 4 2 8" xfId="35736"/>
    <cellStyle name="常规 6 4 2 8 2" xfId="35737"/>
    <cellStyle name="常规 6 4 2 9" xfId="35738"/>
    <cellStyle name="常规 6 4 2 9 2" xfId="35739"/>
    <cellStyle name="常规 6 4 3" xfId="35740"/>
    <cellStyle name="常规 6 4 3 10" xfId="9645"/>
    <cellStyle name="常规 6 4 3 11" xfId="35741"/>
    <cellStyle name="常规 6 4 3 12" xfId="35742"/>
    <cellStyle name="常规 6 4 3 2" xfId="35743"/>
    <cellStyle name="常规 6 4 3 2 10" xfId="35744"/>
    <cellStyle name="常规 6 4 3 2 11" xfId="35745"/>
    <cellStyle name="常规 6 4 3 2 2" xfId="35746"/>
    <cellStyle name="常规 6 4 3 2 2 2" xfId="35747"/>
    <cellStyle name="常规 6 4 3 2 2 2 2" xfId="35748"/>
    <cellStyle name="常规 6 4 3 2 2 2 2 2" xfId="35749"/>
    <cellStyle name="常规 6 4 3 2 2 2 2 2 2" xfId="35750"/>
    <cellStyle name="常规 6 4 3 2 2 2 2 3" xfId="35751"/>
    <cellStyle name="常规 6 4 3 2 2 2 2 4" xfId="35752"/>
    <cellStyle name="常规 6 4 3 2 2 2 3" xfId="35753"/>
    <cellStyle name="常规 6 4 3 2 2 2 4" xfId="35754"/>
    <cellStyle name="常规 6 4 3 2 2 3" xfId="28201"/>
    <cellStyle name="常规 6 4 3 2 2 3 2" xfId="28203"/>
    <cellStyle name="常规 6 4 3 2 2 3 3" xfId="35755"/>
    <cellStyle name="常规 6 4 3 2 2 4" xfId="28205"/>
    <cellStyle name="常规 6 4 3 2 2 4 2" xfId="31846"/>
    <cellStyle name="常规 6 4 3 2 2 4 2 2" xfId="35756"/>
    <cellStyle name="常规 6 4 3 2 2 4 3" xfId="31848"/>
    <cellStyle name="常规 6 4 3 2 2 4 4" xfId="35757"/>
    <cellStyle name="常规 6 4 3 2 2 5" xfId="9756"/>
    <cellStyle name="常规 6 4 3 2 2 6" xfId="35758"/>
    <cellStyle name="常规 6 4 3 2 2 7" xfId="35759"/>
    <cellStyle name="常规 6 4 3 2 2 8" xfId="35760"/>
    <cellStyle name="常规 6 4 3 2 3" xfId="35761"/>
    <cellStyle name="常规 6 4 3 2 3 2" xfId="35762"/>
    <cellStyle name="常规 6 4 3 2 3 2 2" xfId="35763"/>
    <cellStyle name="常规 6 4 3 2 3 2 2 2" xfId="35764"/>
    <cellStyle name="常规 6 4 3 2 3 2 3" xfId="35765"/>
    <cellStyle name="常规 6 4 3 2 3 2 4" xfId="35766"/>
    <cellStyle name="常规 6 4 3 2 3 3" xfId="2156"/>
    <cellStyle name="常规 6 4 3 2 3 4" xfId="35767"/>
    <cellStyle name="常规 6 4 3 2 3 5" xfId="35768"/>
    <cellStyle name="常规 6 4 3 2 3 6" xfId="35769"/>
    <cellStyle name="常规 6 4 3 2 4" xfId="35770"/>
    <cellStyle name="常规 6 4 3 2 4 2" xfId="35771"/>
    <cellStyle name="常规 6 4 3 2 4 3" xfId="35772"/>
    <cellStyle name="常规 6 4 3 2 4 4" xfId="35773"/>
    <cellStyle name="常规 6 4 3 2 5" xfId="35774"/>
    <cellStyle name="常规 6 4 3 2 5 2" xfId="35775"/>
    <cellStyle name="常规 6 4 3 2 5 2 2" xfId="35776"/>
    <cellStyle name="常规 6 4 3 2 5 3" xfId="35777"/>
    <cellStyle name="常规 6 4 3 2 5 4" xfId="35778"/>
    <cellStyle name="常规 6 4 3 2 6" xfId="35779"/>
    <cellStyle name="常规 6 4 3 2 6 2" xfId="21719"/>
    <cellStyle name="常规 6 4 3 2 7" xfId="35780"/>
    <cellStyle name="常规 6 4 3 2 7 2" xfId="35781"/>
    <cellStyle name="常规 6 4 3 2 8" xfId="35782"/>
    <cellStyle name="常规 6 4 3 2 9" xfId="35783"/>
    <cellStyle name="常规 6 4 3 3" xfId="35784"/>
    <cellStyle name="常规 6 4 3 3 2" xfId="35785"/>
    <cellStyle name="常规 6 4 3 3 2 2" xfId="35786"/>
    <cellStyle name="常规 6 4 3 3 2 2 2" xfId="35787"/>
    <cellStyle name="常规 6 4 3 3 2 2 2 2" xfId="35788"/>
    <cellStyle name="常规 6 4 3 3 2 2 3" xfId="35789"/>
    <cellStyle name="常规 6 4 3 3 2 2 4" xfId="35790"/>
    <cellStyle name="常规 6 4 3 3 2 3" xfId="21555"/>
    <cellStyle name="常规 6 4 3 3 2 4" xfId="35791"/>
    <cellStyle name="常规 6 4 3 3 3" xfId="35792"/>
    <cellStyle name="常规 6 4 3 3 3 2" xfId="35793"/>
    <cellStyle name="常规 6 4 3 3 3 3" xfId="35794"/>
    <cellStyle name="常规 6 4 3 3 4" xfId="35795"/>
    <cellStyle name="常规 6 4 3 3 4 2" xfId="35796"/>
    <cellStyle name="常规 6 4 3 3 4 2 2" xfId="35797"/>
    <cellStyle name="常规 6 4 3 3 4 3" xfId="35798"/>
    <cellStyle name="常规 6 4 3 3 4 4" xfId="35799"/>
    <cellStyle name="常规 6 4 3 3 5" xfId="35800"/>
    <cellStyle name="常规 6 4 3 3 6" xfId="35801"/>
    <cellStyle name="常规 6 4 3 3 7" xfId="35802"/>
    <cellStyle name="常规 6 4 3 3 8" xfId="35803"/>
    <cellStyle name="常规 6 4 3 4" xfId="35804"/>
    <cellStyle name="常规 6 4 3 4 2" xfId="35805"/>
    <cellStyle name="常规 6 4 3 4 2 2" xfId="35806"/>
    <cellStyle name="常规 6 4 3 4 2 2 2" xfId="35807"/>
    <cellStyle name="常规 6 4 3 4 2 3" xfId="21757"/>
    <cellStyle name="常规 6 4 3 4 2 4" xfId="35808"/>
    <cellStyle name="常规 6 4 3 4 3" xfId="2630"/>
    <cellStyle name="常规 6 4 3 4 4" xfId="35809"/>
    <cellStyle name="常规 6 4 3 4 5" xfId="35810"/>
    <cellStyle name="常规 6 4 3 4 6" xfId="35811"/>
    <cellStyle name="常规 6 4 3 5" xfId="35812"/>
    <cellStyle name="常规 6 4 3 5 2" xfId="35813"/>
    <cellStyle name="常规 6 4 3 5 3" xfId="35814"/>
    <cellStyle name="常规 6 4 3 5 4" xfId="16521"/>
    <cellStyle name="常规 6 4 3 6" xfId="35815"/>
    <cellStyle name="常规 6 4 3 6 2" xfId="35816"/>
    <cellStyle name="常规 6 4 3 6 2 2" xfId="35817"/>
    <cellStyle name="常规 6 4 3 6 3" xfId="35818"/>
    <cellStyle name="常规 6 4 3 6 4" xfId="16531"/>
    <cellStyle name="常规 6 4 3 7" xfId="35819"/>
    <cellStyle name="常规 6 4 3 7 2" xfId="35820"/>
    <cellStyle name="常规 6 4 3 8" xfId="35821"/>
    <cellStyle name="常规 6 4 3 8 2" xfId="35822"/>
    <cellStyle name="常规 6 4 3 9" xfId="35823"/>
    <cellStyle name="常规 6 4 4" xfId="35824"/>
    <cellStyle name="常规 6 4 4 2" xfId="35825"/>
    <cellStyle name="常规 6 4 4 2 2" xfId="35826"/>
    <cellStyle name="常规 6 4 4 2 2 2" xfId="35827"/>
    <cellStyle name="常规 6 4 4 2 2 2 2" xfId="30628"/>
    <cellStyle name="常规 6 4 4 2 2 3" xfId="28218"/>
    <cellStyle name="常规 6 4 4 2 2 4" xfId="35828"/>
    <cellStyle name="常规 6 4 4 2 3" xfId="35829"/>
    <cellStyle name="常规 6 4 4 2 4" xfId="35830"/>
    <cellStyle name="常规 6 4 4 3" xfId="35831"/>
    <cellStyle name="常规 6 4 4 3 2" xfId="35832"/>
    <cellStyle name="常规 6 4 4 3 3" xfId="35833"/>
    <cellStyle name="常规 6 4 4 4" xfId="35834"/>
    <cellStyle name="常规 6 4 4 4 2" xfId="35835"/>
    <cellStyle name="常规 6 4 4 4 2 2" xfId="22165"/>
    <cellStyle name="常规 6 4 4 4 3" xfId="35836"/>
    <cellStyle name="常规 6 4 4 4 4" xfId="35837"/>
    <cellStyle name="常规 6 4 4 5" xfId="35838"/>
    <cellStyle name="常规 6 4 4 6" xfId="35839"/>
    <cellStyle name="常规 6 4 4 7" xfId="35840"/>
    <cellStyle name="常规 6 4 4 8" xfId="35841"/>
    <cellStyle name="常规 6 4 5" xfId="35842"/>
    <cellStyle name="常规 6 4 5 2" xfId="35843"/>
    <cellStyle name="常规 6 4 5 2 2" xfId="35844"/>
    <cellStyle name="常规 6 4 5 2 2 2" xfId="35845"/>
    <cellStyle name="常规 6 4 5 2 3" xfId="35846"/>
    <cellStyle name="常规 6 4 5 2 4" xfId="35847"/>
    <cellStyle name="常规 6 4 5 3" xfId="35848"/>
    <cellStyle name="常规 6 4 5 4" xfId="35849"/>
    <cellStyle name="常规 6 4 5 5" xfId="35850"/>
    <cellStyle name="常规 6 4 5 6" xfId="35851"/>
    <cellStyle name="常规 6 4 6" xfId="35852"/>
    <cellStyle name="常规 6 4 6 2" xfId="35853"/>
    <cellStyle name="常规 6 4 6 3" xfId="35854"/>
    <cellStyle name="常规 6 4 6 4" xfId="35855"/>
    <cellStyle name="常规 6 4 7" xfId="35856"/>
    <cellStyle name="常规 6 4 7 2" xfId="35857"/>
    <cellStyle name="常规 6 4 7 2 2" xfId="35858"/>
    <cellStyle name="常规 6 4 7 3" xfId="35859"/>
    <cellStyle name="常规 6 4 7 4" xfId="35860"/>
    <cellStyle name="常规 6 4 8" xfId="35861"/>
    <cellStyle name="常规 6 4 8 2" xfId="35862"/>
    <cellStyle name="常规 6 4 9" xfId="35863"/>
    <cellStyle name="常规 6 4 9 2" xfId="35864"/>
    <cellStyle name="常规 6 5" xfId="35865"/>
    <cellStyle name="常规 6 5 10" xfId="35866"/>
    <cellStyle name="常规 6 5 11" xfId="35867"/>
    <cellStyle name="常规 6 5 12" xfId="35868"/>
    <cellStyle name="常规 6 5 13" xfId="35869"/>
    <cellStyle name="常规 6 5 2" xfId="35870"/>
    <cellStyle name="常规 6 5 2 10" xfId="35871"/>
    <cellStyle name="常规 6 5 2 11" xfId="35872"/>
    <cellStyle name="常规 6 5 2 12" xfId="35873"/>
    <cellStyle name="常规 6 5 2 13" xfId="35874"/>
    <cellStyle name="常规 6 5 2 2" xfId="13173"/>
    <cellStyle name="常规 6 5 2 2 10" xfId="35875"/>
    <cellStyle name="常规 6 5 2 2 11" xfId="35876"/>
    <cellStyle name="常规 6 5 2 2 2" xfId="13176"/>
    <cellStyle name="常规 6 5 2 2 2 2" xfId="13180"/>
    <cellStyle name="常规 6 5 2 2 2 2 2" xfId="35877"/>
    <cellStyle name="常规 6 5 2 2 2 2 2 2" xfId="35878"/>
    <cellStyle name="常规 6 5 2 2 2 2 2 2 2" xfId="35879"/>
    <cellStyle name="常规 6 5 2 2 2 2 2 3" xfId="35880"/>
    <cellStyle name="常规 6 5 2 2 2 2 2 4" xfId="35881"/>
    <cellStyle name="常规 6 5 2 2 2 2 3" xfId="35882"/>
    <cellStyle name="常规 6 5 2 2 2 2 4" xfId="35883"/>
    <cellStyle name="常规 6 5 2 2 2 3" xfId="35884"/>
    <cellStyle name="常规 6 5 2 2 2 3 2" xfId="35885"/>
    <cellStyle name="常规 6 5 2 2 2 3 3" xfId="35886"/>
    <cellStyle name="常规 6 5 2 2 2 4" xfId="35887"/>
    <cellStyle name="常规 6 5 2 2 2 4 2" xfId="20495"/>
    <cellStyle name="常规 6 5 2 2 2 4 2 2" xfId="35888"/>
    <cellStyle name="常规 6 5 2 2 2 4 3" xfId="35889"/>
    <cellStyle name="常规 6 5 2 2 2 4 4" xfId="35890"/>
    <cellStyle name="常规 6 5 2 2 2 5" xfId="35891"/>
    <cellStyle name="常规 6 5 2 2 2 6" xfId="35892"/>
    <cellStyle name="常规 6 5 2 2 2 7" xfId="26573"/>
    <cellStyle name="常规 6 5 2 2 2 8" xfId="35893"/>
    <cellStyle name="常规 6 5 2 2 3" xfId="13184"/>
    <cellStyle name="常规 6 5 2 2 3 2" xfId="35894"/>
    <cellStyle name="常规 6 5 2 2 3 2 2" xfId="35895"/>
    <cellStyle name="常规 6 5 2 2 3 2 2 2" xfId="35896"/>
    <cellStyle name="常规 6 5 2 2 3 2 3" xfId="35897"/>
    <cellStyle name="常规 6 5 2 2 3 2 4" xfId="35898"/>
    <cellStyle name="常规 6 5 2 2 3 3" xfId="35899"/>
    <cellStyle name="常规 6 5 2 2 3 4" xfId="35900"/>
    <cellStyle name="常规 6 5 2 2 3 5" xfId="35901"/>
    <cellStyle name="常规 6 5 2 2 3 6" xfId="35902"/>
    <cellStyle name="常规 6 5 2 2 4" xfId="35903"/>
    <cellStyle name="常规 6 5 2 2 4 2" xfId="35904"/>
    <cellStyle name="常规 6 5 2 2 4 3" xfId="35905"/>
    <cellStyle name="常规 6 5 2 2 4 4" xfId="35906"/>
    <cellStyle name="常规 6 5 2 2 5" xfId="35907"/>
    <cellStyle name="常规 6 5 2 2 5 2" xfId="35908"/>
    <cellStyle name="常规 6 5 2 2 5 2 2" xfId="35909"/>
    <cellStyle name="常规 6 5 2 2 5 3" xfId="35910"/>
    <cellStyle name="常规 6 5 2 2 5 4" xfId="35911"/>
    <cellStyle name="常规 6 5 2 2 6" xfId="35912"/>
    <cellStyle name="常规 6 5 2 2 6 2" xfId="35913"/>
    <cellStyle name="常规 6 5 2 2 7" xfId="35914"/>
    <cellStyle name="常规 6 5 2 2 7 2" xfId="35915"/>
    <cellStyle name="常规 6 5 2 2 8" xfId="35916"/>
    <cellStyle name="常规 6 5 2 2 9" xfId="35917"/>
    <cellStyle name="常规 6 5 2 3" xfId="13188"/>
    <cellStyle name="常规 6 5 2 3 10" xfId="35918"/>
    <cellStyle name="常规 6 5 2 3 11" xfId="35919"/>
    <cellStyle name="常规 6 5 2 3 12" xfId="35920"/>
    <cellStyle name="常规 6 5 2 3 2" xfId="13191"/>
    <cellStyle name="常规 6 5 2 3 2 10" xfId="35921"/>
    <cellStyle name="常规 6 5 2 3 2 11" xfId="35922"/>
    <cellStyle name="常规 6 5 2 3 2 2" xfId="8266"/>
    <cellStyle name="常规 6 5 2 3 2 2 2" xfId="35923"/>
    <cellStyle name="常规 6 5 2 3 2 2 2 2" xfId="8917"/>
    <cellStyle name="常规 6 5 2 3 2 2 2 2 2" xfId="8919"/>
    <cellStyle name="常规 6 5 2 3 2 2 2 2 2 2" xfId="35924"/>
    <cellStyle name="常规 6 5 2 3 2 2 2 2 3" xfId="35925"/>
    <cellStyle name="常规 6 5 2 3 2 2 2 2 4" xfId="35926"/>
    <cellStyle name="常规 6 5 2 3 2 2 2 3" xfId="8922"/>
    <cellStyle name="常规 6 5 2 3 2 2 2 4" xfId="8925"/>
    <cellStyle name="常规 6 5 2 3 2 2 3" xfId="35927"/>
    <cellStyle name="常规 6 5 2 3 2 2 3 2" xfId="35928"/>
    <cellStyle name="常规 6 5 2 3 2 2 3 3" xfId="35929"/>
    <cellStyle name="常规 6 5 2 3 2 2 4" xfId="35930"/>
    <cellStyle name="常规 6 5 2 3 2 2 4 2" xfId="35931"/>
    <cellStyle name="常规 6 5 2 3 2 2 4 2 2" xfId="35932"/>
    <cellStyle name="常规 6 5 2 3 2 2 4 3" xfId="35933"/>
    <cellStyle name="常规 6 5 2 3 2 2 4 4" xfId="35934"/>
    <cellStyle name="常规 6 5 2 3 2 2 5" xfId="35935"/>
    <cellStyle name="常规 6 5 2 3 2 2 6" xfId="35936"/>
    <cellStyle name="常规 6 5 2 3 2 2 7" xfId="35937"/>
    <cellStyle name="常规 6 5 2 3 2 2 8" xfId="35938"/>
    <cellStyle name="常规 6 5 2 3 2 3" xfId="35939"/>
    <cellStyle name="常规 6 5 2 3 2 3 2" xfId="35940"/>
    <cellStyle name="常规 6 5 2 3 2 3 2 2" xfId="35941"/>
    <cellStyle name="常规 6 5 2 3 2 3 2 2 2" xfId="35942"/>
    <cellStyle name="常规 6 5 2 3 2 3 2 3" xfId="35943"/>
    <cellStyle name="常规 6 5 2 3 2 3 2 4" xfId="35944"/>
    <cellStyle name="常规 6 5 2 3 2 3 3" xfId="35945"/>
    <cellStyle name="常规 6 5 2 3 2 3 4" xfId="35946"/>
    <cellStyle name="常规 6 5 2 3 2 3 5" xfId="35947"/>
    <cellStyle name="常规 6 5 2 3 2 3 6" xfId="35948"/>
    <cellStyle name="常规 6 5 2 3 2 4" xfId="35949"/>
    <cellStyle name="常规 6 5 2 3 2 4 2" xfId="35950"/>
    <cellStyle name="常规 6 5 2 3 2 4 3" xfId="35951"/>
    <cellStyle name="常规 6 5 2 3 2 4 4" xfId="35952"/>
    <cellStyle name="常规 6 5 2 3 2 5" xfId="35953"/>
    <cellStyle name="常规 6 5 2 3 2 5 2" xfId="29597"/>
    <cellStyle name="常规 6 5 2 3 2 5 2 2" xfId="35954"/>
    <cellStyle name="常规 6 5 2 3 2 5 3" xfId="35955"/>
    <cellStyle name="常规 6 5 2 3 2 5 4" xfId="35956"/>
    <cellStyle name="常规 6 5 2 3 2 6" xfId="35957"/>
    <cellStyle name="常规 6 5 2 3 2 6 2" xfId="35958"/>
    <cellStyle name="常规 6 5 2 3 2 7" xfId="35959"/>
    <cellStyle name="常规 6 5 2 3 2 7 2" xfId="35960"/>
    <cellStyle name="常规 6 5 2 3 2 8" xfId="35961"/>
    <cellStyle name="常规 6 5 2 3 2 9" xfId="35962"/>
    <cellStyle name="常规 6 5 2 3 3" xfId="13196"/>
    <cellStyle name="常规 6 5 2 3 3 2" xfId="35963"/>
    <cellStyle name="常规 6 5 2 3 3 2 2" xfId="35964"/>
    <cellStyle name="常规 6 5 2 3 3 2 2 2" xfId="35965"/>
    <cellStyle name="常规 6 5 2 3 3 2 2 2 2" xfId="35966"/>
    <cellStyle name="常规 6 5 2 3 3 2 2 3" xfId="35967"/>
    <cellStyle name="常规 6 5 2 3 3 2 2 4" xfId="35968"/>
    <cellStyle name="常规 6 5 2 3 3 2 3" xfId="35969"/>
    <cellStyle name="常规 6 5 2 3 3 2 4" xfId="35970"/>
    <cellStyle name="常规 6 5 2 3 3 3" xfId="35971"/>
    <cellStyle name="常规 6 5 2 3 3 3 2" xfId="35972"/>
    <cellStyle name="常规 6 5 2 3 3 3 3" xfId="35973"/>
    <cellStyle name="常规 6 5 2 3 3 4" xfId="35974"/>
    <cellStyle name="常规 6 5 2 3 3 4 2" xfId="35975"/>
    <cellStyle name="常规 6 5 2 3 3 4 2 2" xfId="35976"/>
    <cellStyle name="常规 6 5 2 3 3 4 3" xfId="35977"/>
    <cellStyle name="常规 6 5 2 3 3 4 4" xfId="35978"/>
    <cellStyle name="常规 6 5 2 3 3 5" xfId="35979"/>
    <cellStyle name="常规 6 5 2 3 3 6" xfId="35980"/>
    <cellStyle name="常规 6 5 2 3 3 7" xfId="35981"/>
    <cellStyle name="常规 6 5 2 3 3 8" xfId="35982"/>
    <cellStyle name="常规 6 5 2 3 4" xfId="35983"/>
    <cellStyle name="常规 6 5 2 3 4 2" xfId="35984"/>
    <cellStyle name="常规 6 5 2 3 4 2 2" xfId="35985"/>
    <cellStyle name="常规 6 5 2 3 4 2 2 2" xfId="35986"/>
    <cellStyle name="常规 6 5 2 3 4 2 3" xfId="15260"/>
    <cellStyle name="常规 6 5 2 3 4 2 4" xfId="22296"/>
    <cellStyle name="常规 6 5 2 3 4 3" xfId="35987"/>
    <cellStyle name="常规 6 5 2 3 4 4" xfId="35988"/>
    <cellStyle name="常规 6 5 2 3 4 5" xfId="35989"/>
    <cellStyle name="常规 6 5 2 3 4 6" xfId="35990"/>
    <cellStyle name="常规 6 5 2 3 5" xfId="35991"/>
    <cellStyle name="常规 6 5 2 3 5 2" xfId="35992"/>
    <cellStyle name="常规 6 5 2 3 5 3" xfId="35993"/>
    <cellStyle name="常规 6 5 2 3 5 4" xfId="35994"/>
    <cellStyle name="常规 6 5 2 3 6" xfId="35995"/>
    <cellStyle name="常规 6 5 2 3 6 2" xfId="35996"/>
    <cellStyle name="常规 6 5 2 3 6 2 2" xfId="35997"/>
    <cellStyle name="常规 6 5 2 3 6 3" xfId="35998"/>
    <cellStyle name="常规 6 5 2 3 6 4" xfId="35999"/>
    <cellStyle name="常规 6 5 2 3 7" xfId="36000"/>
    <cellStyle name="常规 6 5 2 3 7 2" xfId="36001"/>
    <cellStyle name="常规 6 5 2 3 8" xfId="36002"/>
    <cellStyle name="常规 6 5 2 3 8 2" xfId="36003"/>
    <cellStyle name="常规 6 5 2 3 9" xfId="36004"/>
    <cellStyle name="常规 6 5 2 4" xfId="13198"/>
    <cellStyle name="常规 6 5 2 4 2" xfId="13202"/>
    <cellStyle name="常规 6 5 2 4 2 2" xfId="36005"/>
    <cellStyle name="常规 6 5 2 4 2 2 2" xfId="36006"/>
    <cellStyle name="常规 6 5 2 4 2 2 2 2" xfId="36007"/>
    <cellStyle name="常规 6 5 2 4 2 2 3" xfId="36008"/>
    <cellStyle name="常规 6 5 2 4 2 2 4" xfId="36009"/>
    <cellStyle name="常规 6 5 2 4 2 3" xfId="36010"/>
    <cellStyle name="常规 6 5 2 4 2 4" xfId="36011"/>
    <cellStyle name="常规 6 5 2 4 3" xfId="36012"/>
    <cellStyle name="常规 6 5 2 4 3 2" xfId="36013"/>
    <cellStyle name="常规 6 5 2 4 3 3" xfId="36014"/>
    <cellStyle name="常规 6 5 2 4 4" xfId="36015"/>
    <cellStyle name="常规 6 5 2 4 4 2" xfId="36016"/>
    <cellStyle name="常规 6 5 2 4 4 2 2" xfId="36017"/>
    <cellStyle name="常规 6 5 2 4 4 3" xfId="36018"/>
    <cellStyle name="常规 6 5 2 4 4 4" xfId="36019"/>
    <cellStyle name="常规 6 5 2 4 5" xfId="36020"/>
    <cellStyle name="常规 6 5 2 4 6" xfId="36021"/>
    <cellStyle name="常规 6 5 2 4 7" xfId="36022"/>
    <cellStyle name="常规 6 5 2 4 8" xfId="36023"/>
    <cellStyle name="常规 6 5 2 5" xfId="13206"/>
    <cellStyle name="常规 6 5 2 5 2" xfId="857"/>
    <cellStyle name="常规 6 5 2 5 2 2" xfId="36024"/>
    <cellStyle name="常规 6 5 2 5 2 2 2" xfId="36025"/>
    <cellStyle name="常规 6 5 2 5 2 3" xfId="36026"/>
    <cellStyle name="常规 6 5 2 5 2 4" xfId="36027"/>
    <cellStyle name="常规 6 5 2 5 3" xfId="36028"/>
    <cellStyle name="常规 6 5 2 5 4" xfId="36029"/>
    <cellStyle name="常规 6 5 2 5 5" xfId="36030"/>
    <cellStyle name="常规 6 5 2 5 6" xfId="36031"/>
    <cellStyle name="常规 6 5 2 6" xfId="13210"/>
    <cellStyle name="常规 6 5 2 6 2" xfId="36032"/>
    <cellStyle name="常规 6 5 2 6 3" xfId="36033"/>
    <cellStyle name="常规 6 5 2 6 4" xfId="36034"/>
    <cellStyle name="常规 6 5 2 7" xfId="36035"/>
    <cellStyle name="常规 6 5 2 7 2" xfId="36036"/>
    <cellStyle name="常规 6 5 2 7 2 2" xfId="36037"/>
    <cellStyle name="常规 6 5 2 7 3" xfId="36038"/>
    <cellStyle name="常规 6 5 2 7 4" xfId="36039"/>
    <cellStyle name="常规 6 5 2 8" xfId="36040"/>
    <cellStyle name="常规 6 5 2 8 2" xfId="36041"/>
    <cellStyle name="常规 6 5 2 9" xfId="36042"/>
    <cellStyle name="常规 6 5 2 9 2" xfId="36043"/>
    <cellStyle name="常规 6 5 3" xfId="36044"/>
    <cellStyle name="常规 6 5 3 10" xfId="13773"/>
    <cellStyle name="常规 6 5 3 11" xfId="13924"/>
    <cellStyle name="常规 6 5 3 12" xfId="10465"/>
    <cellStyle name="常规 6 5 3 2" xfId="13290"/>
    <cellStyle name="常规 6 5 3 2 10" xfId="36045"/>
    <cellStyle name="常规 6 5 3 2 11" xfId="36046"/>
    <cellStyle name="常规 6 5 3 2 2" xfId="13293"/>
    <cellStyle name="常规 6 5 3 2 2 2" xfId="13295"/>
    <cellStyle name="常规 6 5 3 2 2 2 2" xfId="13297"/>
    <cellStyle name="常规 6 5 3 2 2 2 2 2" xfId="36047"/>
    <cellStyle name="常规 6 5 3 2 2 2 2 2 2" xfId="36048"/>
    <cellStyle name="常规 6 5 3 2 2 2 2 3" xfId="36049"/>
    <cellStyle name="常规 6 5 3 2 2 2 2 4" xfId="36050"/>
    <cellStyle name="常规 6 5 3 2 2 2 3" xfId="36051"/>
    <cellStyle name="常规 6 5 3 2 2 2 4" xfId="36052"/>
    <cellStyle name="常规 6 5 3 2 2 3" xfId="13300"/>
    <cellStyle name="常规 6 5 3 2 2 3 2" xfId="36053"/>
    <cellStyle name="常规 6 5 3 2 2 3 3" xfId="36054"/>
    <cellStyle name="常规 6 5 3 2 2 4" xfId="13303"/>
    <cellStyle name="常规 6 5 3 2 2 4 2" xfId="33572"/>
    <cellStyle name="常规 6 5 3 2 2 4 2 2" xfId="36055"/>
    <cellStyle name="常规 6 5 3 2 2 4 3" xfId="36056"/>
    <cellStyle name="常规 6 5 3 2 2 4 4" xfId="36057"/>
    <cellStyle name="常规 6 5 3 2 2 5" xfId="36058"/>
    <cellStyle name="常规 6 5 3 2 2 6" xfId="36059"/>
    <cellStyle name="常规 6 5 3 2 2 7" xfId="36060"/>
    <cellStyle name="常规 6 5 3 2 2 8" xfId="36061"/>
    <cellStyle name="常规 6 5 3 2 3" xfId="13305"/>
    <cellStyle name="常规 6 5 3 2 3 2" xfId="13307"/>
    <cellStyle name="常规 6 5 3 2 3 2 2" xfId="36062"/>
    <cellStyle name="常规 6 5 3 2 3 2 2 2" xfId="36063"/>
    <cellStyle name="常规 6 5 3 2 3 2 3" xfId="36064"/>
    <cellStyle name="常规 6 5 3 2 3 2 4" xfId="36065"/>
    <cellStyle name="常规 6 5 3 2 3 3" xfId="36066"/>
    <cellStyle name="常规 6 5 3 2 3 4" xfId="36067"/>
    <cellStyle name="常规 6 5 3 2 3 5" xfId="36068"/>
    <cellStyle name="常规 6 5 3 2 3 6" xfId="36069"/>
    <cellStyle name="常规 6 5 3 2 4" xfId="13309"/>
    <cellStyle name="常规 6 5 3 2 4 2" xfId="36070"/>
    <cellStyle name="常规 6 5 3 2 4 3" xfId="36071"/>
    <cellStyle name="常规 6 5 3 2 4 4" xfId="36072"/>
    <cellStyle name="常规 6 5 3 2 5" xfId="13312"/>
    <cellStyle name="常规 6 5 3 2 5 2" xfId="36073"/>
    <cellStyle name="常规 6 5 3 2 5 2 2" xfId="36074"/>
    <cellStyle name="常规 6 5 3 2 5 3" xfId="36075"/>
    <cellStyle name="常规 6 5 3 2 5 4" xfId="36076"/>
    <cellStyle name="常规 6 5 3 2 6" xfId="3524"/>
    <cellStyle name="常规 6 5 3 2 6 2" xfId="36077"/>
    <cellStyle name="常规 6 5 3 2 7" xfId="36078"/>
    <cellStyle name="常规 6 5 3 2 7 2" xfId="36079"/>
    <cellStyle name="常规 6 5 3 2 8" xfId="36080"/>
    <cellStyle name="常规 6 5 3 2 9" xfId="36081"/>
    <cellStyle name="常规 6 5 3 3" xfId="13314"/>
    <cellStyle name="常规 6 5 3 3 2" xfId="13317"/>
    <cellStyle name="常规 6 5 3 3 2 2" xfId="13319"/>
    <cellStyle name="常规 6 5 3 3 2 2 2" xfId="36082"/>
    <cellStyle name="常规 6 5 3 3 2 2 2 2" xfId="2084"/>
    <cellStyle name="常规 6 5 3 3 2 2 3" xfId="36083"/>
    <cellStyle name="常规 6 5 3 3 2 2 4" xfId="36084"/>
    <cellStyle name="常规 6 5 3 3 2 3" xfId="36085"/>
    <cellStyle name="常规 6 5 3 3 2 4" xfId="36086"/>
    <cellStyle name="常规 6 5 3 3 3" xfId="13321"/>
    <cellStyle name="常规 6 5 3 3 3 2" xfId="36087"/>
    <cellStyle name="常规 6 5 3 3 3 3" xfId="36088"/>
    <cellStyle name="常规 6 5 3 3 4" xfId="13323"/>
    <cellStyle name="常规 6 5 3 3 4 2" xfId="36089"/>
    <cellStyle name="常规 6 5 3 3 4 2 2" xfId="36090"/>
    <cellStyle name="常规 6 5 3 3 4 3" xfId="36091"/>
    <cellStyle name="常规 6 5 3 3 4 4" xfId="36092"/>
    <cellStyle name="常规 6 5 3 3 5" xfId="36093"/>
    <cellStyle name="常规 6 5 3 3 6" xfId="36094"/>
    <cellStyle name="常规 6 5 3 3 7" xfId="36095"/>
    <cellStyle name="常规 6 5 3 3 8" xfId="36096"/>
    <cellStyle name="常规 6 5 3 4" xfId="13325"/>
    <cellStyle name="常规 6 5 3 4 2" xfId="13329"/>
    <cellStyle name="常规 6 5 3 4 2 2" xfId="13332"/>
    <cellStyle name="常规 6 5 3 4 2 2 2" xfId="36097"/>
    <cellStyle name="常规 6 5 3 4 2 3" xfId="36098"/>
    <cellStyle name="常规 6 5 3 4 2 4" xfId="36099"/>
    <cellStyle name="常规 6 5 3 4 3" xfId="13334"/>
    <cellStyle name="常规 6 5 3 4 4" xfId="13337"/>
    <cellStyle name="常规 6 5 3 4 5" xfId="17281"/>
    <cellStyle name="常规 6 5 3 4 6" xfId="36100"/>
    <cellStyle name="常规 6 5 3 5" xfId="13340"/>
    <cellStyle name="常规 6 5 3 5 2" xfId="601"/>
    <cellStyle name="常规 6 5 3 5 3" xfId="36101"/>
    <cellStyle name="常规 6 5 3 5 4" xfId="36102"/>
    <cellStyle name="常规 6 5 3 6" xfId="13343"/>
    <cellStyle name="常规 6 5 3 6 2" xfId="13346"/>
    <cellStyle name="常规 6 5 3 6 2 2" xfId="36103"/>
    <cellStyle name="常规 6 5 3 6 3" xfId="36104"/>
    <cellStyle name="常规 6 5 3 6 4" xfId="36105"/>
    <cellStyle name="常规 6 5 3 7" xfId="13348"/>
    <cellStyle name="常规 6 5 3 7 2" xfId="36106"/>
    <cellStyle name="常规 6 5 3 8" xfId="36107"/>
    <cellStyle name="常规 6 5 3 8 2" xfId="36108"/>
    <cellStyle name="常规 6 5 3 9" xfId="36109"/>
    <cellStyle name="常规 6 5 4" xfId="36110"/>
    <cellStyle name="常规 6 5 4 2" xfId="13371"/>
    <cellStyle name="常规 6 5 4 2 2" xfId="13374"/>
    <cellStyle name="常规 6 5 4 2 2 2" xfId="13376"/>
    <cellStyle name="常规 6 5 4 2 2 2 2" xfId="36111"/>
    <cellStyle name="常规 6 5 4 2 2 3" xfId="36112"/>
    <cellStyle name="常规 6 5 4 2 2 4" xfId="36113"/>
    <cellStyle name="常规 6 5 4 2 3" xfId="13379"/>
    <cellStyle name="常规 6 5 4 2 4" xfId="13381"/>
    <cellStyle name="常规 6 5 4 3" xfId="13384"/>
    <cellStyle name="常规 6 5 4 3 2" xfId="9555"/>
    <cellStyle name="常规 6 5 4 3 3" xfId="36114"/>
    <cellStyle name="常规 6 5 4 4" xfId="13386"/>
    <cellStyle name="常规 6 5 4 4 2" xfId="36115"/>
    <cellStyle name="常规 6 5 4 4 2 2" xfId="36116"/>
    <cellStyle name="常规 6 5 4 4 3" xfId="36117"/>
    <cellStyle name="常规 6 5 4 4 4" xfId="36118"/>
    <cellStyle name="常规 6 5 4 5" xfId="13389"/>
    <cellStyle name="常规 6 5 4 6" xfId="13392"/>
    <cellStyle name="常规 6 5 4 7" xfId="36119"/>
    <cellStyle name="常规 6 5 4 8" xfId="36120"/>
    <cellStyle name="常规 6 5 5" xfId="36121"/>
    <cellStyle name="常规 6 5 5 2" xfId="13406"/>
    <cellStyle name="常规 6 5 5 2 2" xfId="36122"/>
    <cellStyle name="常规 6 5 5 2 2 2" xfId="36123"/>
    <cellStyle name="常规 6 5 5 2 3" xfId="36124"/>
    <cellStyle name="常规 6 5 5 2 4" xfId="36125"/>
    <cellStyle name="常规 6 5 5 3" xfId="13409"/>
    <cellStyle name="常规 6 5 5 4" xfId="13411"/>
    <cellStyle name="常规 6 5 5 5" xfId="36126"/>
    <cellStyle name="常规 6 5 5 6" xfId="36127"/>
    <cellStyle name="常规 6 5 6" xfId="36128"/>
    <cellStyle name="常规 6 5 6 2" xfId="13420"/>
    <cellStyle name="常规 6 5 6 3" xfId="36129"/>
    <cellStyle name="常规 6 5 6 4" xfId="36130"/>
    <cellStyle name="常规 6 5 7" xfId="36131"/>
    <cellStyle name="常规 6 5 7 2" xfId="13428"/>
    <cellStyle name="常规 6 5 7 2 2" xfId="36132"/>
    <cellStyle name="常规 6 5 7 3" xfId="36133"/>
    <cellStyle name="常规 6 5 7 4" xfId="36134"/>
    <cellStyle name="常规 6 5 8" xfId="36135"/>
    <cellStyle name="常规 6 5 8 2" xfId="36136"/>
    <cellStyle name="常规 6 5 9" xfId="36137"/>
    <cellStyle name="常规 6 5 9 2" xfId="36138"/>
    <cellStyle name="常规 6 6" xfId="36139"/>
    <cellStyle name="常规 6 6 10" xfId="36140"/>
    <cellStyle name="常规 6 6 11" xfId="36141"/>
    <cellStyle name="常规 6 6 12" xfId="36142"/>
    <cellStyle name="常规 6 6 13" xfId="36143"/>
    <cellStyle name="常规 6 6 2" xfId="36144"/>
    <cellStyle name="常规 6 6 2 10" xfId="36145"/>
    <cellStyle name="常规 6 6 2 11" xfId="36146"/>
    <cellStyle name="常规 6 6 2 12" xfId="36147"/>
    <cellStyle name="常规 6 6 2 13" xfId="36148"/>
    <cellStyle name="常规 6 6 2 2" xfId="13497"/>
    <cellStyle name="常规 6 6 2 2 10" xfId="36149"/>
    <cellStyle name="常规 6 6 2 2 11" xfId="36150"/>
    <cellStyle name="常规 6 6 2 2 2" xfId="13500"/>
    <cellStyle name="常规 6 6 2 2 2 2" xfId="13502"/>
    <cellStyle name="常规 6 6 2 2 2 2 2" xfId="36151"/>
    <cellStyle name="常规 6 6 2 2 2 2 2 2" xfId="36152"/>
    <cellStyle name="常规 6 6 2 2 2 2 2 2 2" xfId="36153"/>
    <cellStyle name="常规 6 6 2 2 2 2 2 3" xfId="36154"/>
    <cellStyle name="常规 6 6 2 2 2 2 2 4" xfId="36155"/>
    <cellStyle name="常规 6 6 2 2 2 2 3" xfId="36156"/>
    <cellStyle name="常规 6 6 2 2 2 2 4" xfId="36157"/>
    <cellStyle name="常规 6 6 2 2 2 3" xfId="36158"/>
    <cellStyle name="常规 6 6 2 2 2 3 2" xfId="36159"/>
    <cellStyle name="常规 6 6 2 2 2 3 3" xfId="36160"/>
    <cellStyle name="常规 6 6 2 2 2 4" xfId="36161"/>
    <cellStyle name="常规 6 6 2 2 2 4 2" xfId="36162"/>
    <cellStyle name="常规 6 6 2 2 2 4 2 2" xfId="36163"/>
    <cellStyle name="常规 6 6 2 2 2 4 3" xfId="36164"/>
    <cellStyle name="常规 6 6 2 2 2 4 4" xfId="36165"/>
    <cellStyle name="常规 6 6 2 2 2 5" xfId="36166"/>
    <cellStyle name="常规 6 6 2 2 2 6" xfId="36167"/>
    <cellStyle name="常规 6 6 2 2 2 7" xfId="36168"/>
    <cellStyle name="常规 6 6 2 2 2 8" xfId="36169"/>
    <cellStyle name="常规 6 6 2 2 3" xfId="13504"/>
    <cellStyle name="常规 6 6 2 2 3 2" xfId="36170"/>
    <cellStyle name="常规 6 6 2 2 3 2 2" xfId="36171"/>
    <cellStyle name="常规 6 6 2 2 3 2 2 2" xfId="36172"/>
    <cellStyle name="常规 6 6 2 2 3 2 3" xfId="36173"/>
    <cellStyle name="常规 6 6 2 2 3 2 4" xfId="36174"/>
    <cellStyle name="常规 6 6 2 2 3 3" xfId="36175"/>
    <cellStyle name="常规 6 6 2 2 3 4" xfId="36176"/>
    <cellStyle name="常规 6 6 2 2 3 5" xfId="36177"/>
    <cellStyle name="常规 6 6 2 2 3 6" xfId="36178"/>
    <cellStyle name="常规 6 6 2 2 4" xfId="13506"/>
    <cellStyle name="常规 6 6 2 2 4 2" xfId="36179"/>
    <cellStyle name="常规 6 6 2 2 4 3" xfId="36180"/>
    <cellStyle name="常规 6 6 2 2 4 4" xfId="36181"/>
    <cellStyle name="常规 6 6 2 2 5" xfId="36182"/>
    <cellStyle name="常规 6 6 2 2 5 2" xfId="36183"/>
    <cellStyle name="常规 6 6 2 2 5 2 2" xfId="36184"/>
    <cellStyle name="常规 6 6 2 2 5 3" xfId="36185"/>
    <cellStyle name="常规 6 6 2 2 5 4" xfId="36186"/>
    <cellStyle name="常规 6 6 2 2 6" xfId="36187"/>
    <cellStyle name="常规 6 6 2 2 6 2" xfId="36188"/>
    <cellStyle name="常规 6 6 2 2 7" xfId="36189"/>
    <cellStyle name="常规 6 6 2 2 7 2" xfId="36190"/>
    <cellStyle name="常规 6 6 2 2 8" xfId="36191"/>
    <cellStyle name="常规 6 6 2 2 9" xfId="36192"/>
    <cellStyle name="常规 6 6 2 3" xfId="13509"/>
    <cellStyle name="常规 6 6 2 3 10" xfId="36193"/>
    <cellStyle name="常规 6 6 2 3 11" xfId="36194"/>
    <cellStyle name="常规 6 6 2 3 12" xfId="36195"/>
    <cellStyle name="常规 6 6 2 3 2" xfId="13512"/>
    <cellStyle name="常规 6 6 2 3 2 10" xfId="36196"/>
    <cellStyle name="常规 6 6 2 3 2 11" xfId="36197"/>
    <cellStyle name="常规 6 6 2 3 2 2" xfId="13514"/>
    <cellStyle name="常规 6 6 2 3 2 2 2" xfId="36198"/>
    <cellStyle name="常规 6 6 2 3 2 2 2 2" xfId="36199"/>
    <cellStyle name="常规 6 6 2 3 2 2 2 2 2" xfId="36200"/>
    <cellStyle name="常规 6 6 2 3 2 2 2 2 2 2" xfId="36201"/>
    <cellStyle name="常规 6 6 2 3 2 2 2 2 3" xfId="36202"/>
    <cellStyle name="常规 6 6 2 3 2 2 2 2 4" xfId="36203"/>
    <cellStyle name="常规 6 6 2 3 2 2 2 3" xfId="36204"/>
    <cellStyle name="常规 6 6 2 3 2 2 2 4" xfId="31440"/>
    <cellStyle name="常规 6 6 2 3 2 2 3" xfId="36205"/>
    <cellStyle name="常规 6 6 2 3 2 2 3 2" xfId="36206"/>
    <cellStyle name="常规 6 6 2 3 2 2 3 3" xfId="36207"/>
    <cellStyle name="常规 6 6 2 3 2 2 4" xfId="36208"/>
    <cellStyle name="常规 6 6 2 3 2 2 4 2" xfId="36209"/>
    <cellStyle name="常规 6 6 2 3 2 2 4 2 2" xfId="36210"/>
    <cellStyle name="常规 6 6 2 3 2 2 4 3" xfId="36211"/>
    <cellStyle name="常规 6 6 2 3 2 2 4 4" xfId="36212"/>
    <cellStyle name="常规 6 6 2 3 2 2 5" xfId="36213"/>
    <cellStyle name="常规 6 6 2 3 2 2 6" xfId="36214"/>
    <cellStyle name="常规 6 6 2 3 2 2 7" xfId="36215"/>
    <cellStyle name="常规 6 6 2 3 2 2 8" xfId="36216"/>
    <cellStyle name="常规 6 6 2 3 2 3" xfId="36217"/>
    <cellStyle name="常规 6 6 2 3 2 3 2" xfId="36218"/>
    <cellStyle name="常规 6 6 2 3 2 3 2 2" xfId="36219"/>
    <cellStyle name="常规 6 6 2 3 2 3 2 2 2" xfId="36220"/>
    <cellStyle name="常规 6 6 2 3 2 3 2 3" xfId="36221"/>
    <cellStyle name="常规 6 6 2 3 2 3 2 4" xfId="36222"/>
    <cellStyle name="常规 6 6 2 3 2 3 3" xfId="36224"/>
    <cellStyle name="常规 6 6 2 3 2 3 4" xfId="36225"/>
    <cellStyle name="常规 6 6 2 3 2 3 5" xfId="36226"/>
    <cellStyle name="常规 6 6 2 3 2 3 6" xfId="36227"/>
    <cellStyle name="常规 6 6 2 3 2 4" xfId="36228"/>
    <cellStyle name="常规 6 6 2 3 2 4 2" xfId="36229"/>
    <cellStyle name="常规 6 6 2 3 2 4 3" xfId="36230"/>
    <cellStyle name="常规 6 6 2 3 2 4 4" xfId="36231"/>
    <cellStyle name="常规 6 6 2 3 2 5" xfId="36232"/>
    <cellStyle name="常规 6 6 2 3 2 5 2" xfId="36233"/>
    <cellStyle name="常规 6 6 2 3 2 5 2 2" xfId="7355"/>
    <cellStyle name="常规 6 6 2 3 2 5 3" xfId="36234"/>
    <cellStyle name="常规 6 6 2 3 2 5 4" xfId="36235"/>
    <cellStyle name="常规 6 6 2 3 2 6" xfId="36236"/>
    <cellStyle name="常规 6 6 2 3 2 6 2" xfId="36237"/>
    <cellStyle name="常规 6 6 2 3 2 7" xfId="36238"/>
    <cellStyle name="常规 6 6 2 3 2 7 2" xfId="36239"/>
    <cellStyle name="常规 6 6 2 3 2 8" xfId="36240"/>
    <cellStyle name="常规 6 6 2 3 2 9" xfId="36241"/>
    <cellStyle name="常规 6 6 2 3 3" xfId="13516"/>
    <cellStyle name="常规 6 6 2 3 3 2" xfId="36242"/>
    <cellStyle name="常规 6 6 2 3 3 2 2" xfId="36243"/>
    <cellStyle name="常规 6 6 2 3 3 2 2 2" xfId="36244"/>
    <cellStyle name="常规 6 6 2 3 3 2 2 2 2" xfId="36245"/>
    <cellStyle name="常规 6 6 2 3 3 2 2 3" xfId="36246"/>
    <cellStyle name="常规 6 6 2 3 3 2 2 4" xfId="36247"/>
    <cellStyle name="常规 6 6 2 3 3 2 3" xfId="36248"/>
    <cellStyle name="常规 6 6 2 3 3 2 4" xfId="36249"/>
    <cellStyle name="常规 6 6 2 3 3 3" xfId="36250"/>
    <cellStyle name="常规 6 6 2 3 3 3 2" xfId="36251"/>
    <cellStyle name="常规 6 6 2 3 3 3 3" xfId="36252"/>
    <cellStyle name="常规 6 6 2 3 3 4" xfId="36253"/>
    <cellStyle name="常规 6 6 2 3 3 4 2" xfId="36254"/>
    <cellStyle name="常规 6 6 2 3 3 4 2 2" xfId="36255"/>
    <cellStyle name="常规 6 6 2 3 3 4 3" xfId="36256"/>
    <cellStyle name="常规 6 6 2 3 3 4 4" xfId="36257"/>
    <cellStyle name="常规 6 6 2 3 3 5" xfId="36258"/>
    <cellStyle name="常规 6 6 2 3 3 6" xfId="36259"/>
    <cellStyle name="常规 6 6 2 3 3 7" xfId="36260"/>
    <cellStyle name="常规 6 6 2 3 3 8" xfId="36261"/>
    <cellStyle name="常规 6 6 2 3 4" xfId="13518"/>
    <cellStyle name="常规 6 6 2 3 4 2" xfId="36262"/>
    <cellStyle name="常规 6 6 2 3 4 2 2" xfId="36263"/>
    <cellStyle name="常规 6 6 2 3 4 2 2 2" xfId="36264"/>
    <cellStyle name="常规 6 6 2 3 4 2 3" xfId="13649"/>
    <cellStyle name="常规 6 6 2 3 4 2 4" xfId="20176"/>
    <cellStyle name="常规 6 6 2 3 4 3" xfId="36265"/>
    <cellStyle name="常规 6 6 2 3 4 4" xfId="36266"/>
    <cellStyle name="常规 6 6 2 3 4 5" xfId="36267"/>
    <cellStyle name="常规 6 6 2 3 4 6" xfId="36268"/>
    <cellStyle name="常规 6 6 2 3 5" xfId="36269"/>
    <cellStyle name="常规 6 6 2 3 5 2" xfId="36270"/>
    <cellStyle name="常规 6 6 2 3 5 3" xfId="36271"/>
    <cellStyle name="常规 6 6 2 3 5 4" xfId="36272"/>
    <cellStyle name="常规 6 6 2 3 6" xfId="36273"/>
    <cellStyle name="常规 6 6 2 3 6 2" xfId="36274"/>
    <cellStyle name="常规 6 6 2 3 6 2 2" xfId="36275"/>
    <cellStyle name="常规 6 6 2 3 6 3" xfId="36276"/>
    <cellStyle name="常规 6 6 2 3 6 4" xfId="36277"/>
    <cellStyle name="常规 6 6 2 3 7" xfId="36278"/>
    <cellStyle name="常规 6 6 2 3 7 2" xfId="36279"/>
    <cellStyle name="常规 6 6 2 3 8" xfId="36280"/>
    <cellStyle name="常规 6 6 2 3 8 2" xfId="36281"/>
    <cellStyle name="常规 6 6 2 3 9" xfId="36282"/>
    <cellStyle name="常规 6 6 2 4" xfId="1145"/>
    <cellStyle name="常规 6 6 2 4 2" xfId="1158"/>
    <cellStyle name="常规 6 6 2 4 2 2" xfId="36283"/>
    <cellStyle name="常规 6 6 2 4 2 2 2" xfId="36284"/>
    <cellStyle name="常规 6 6 2 4 2 2 2 2" xfId="36285"/>
    <cellStyle name="常规 6 6 2 4 2 2 3" xfId="36286"/>
    <cellStyle name="常规 6 6 2 4 2 2 4" xfId="36287"/>
    <cellStyle name="常规 6 6 2 4 2 3" xfId="36288"/>
    <cellStyle name="常规 6 6 2 4 2 4" xfId="36289"/>
    <cellStyle name="常规 6 6 2 4 3" xfId="36290"/>
    <cellStyle name="常规 6 6 2 4 3 2" xfId="36291"/>
    <cellStyle name="常规 6 6 2 4 3 3" xfId="36292"/>
    <cellStyle name="常规 6 6 2 4 4" xfId="36293"/>
    <cellStyle name="常规 6 6 2 4 4 2" xfId="36294"/>
    <cellStyle name="常规 6 6 2 4 4 2 2" xfId="36295"/>
    <cellStyle name="常规 6 6 2 4 4 3" xfId="36296"/>
    <cellStyle name="常规 6 6 2 4 4 4" xfId="36297"/>
    <cellStyle name="常规 6 6 2 4 5" xfId="36298"/>
    <cellStyle name="常规 6 6 2 4 6" xfId="36299"/>
    <cellStyle name="常规 6 6 2 4 7" xfId="36300"/>
    <cellStyle name="常规 6 6 2 4 8" xfId="36301"/>
    <cellStyle name="常规 6 6 2 5" xfId="1171"/>
    <cellStyle name="常规 6 6 2 5 2" xfId="1007"/>
    <cellStyle name="常规 6 6 2 5 2 2" xfId="36302"/>
    <cellStyle name="常规 6 6 2 5 2 2 2" xfId="36303"/>
    <cellStyle name="常规 6 6 2 5 2 3" xfId="36304"/>
    <cellStyle name="常规 6 6 2 5 2 4" xfId="36305"/>
    <cellStyle name="常规 6 6 2 5 3" xfId="36306"/>
    <cellStyle name="常规 6 6 2 5 4" xfId="36307"/>
    <cellStyle name="常规 6 6 2 5 5" xfId="36308"/>
    <cellStyle name="常规 6 6 2 5 6" xfId="36309"/>
    <cellStyle name="常规 6 6 2 6" xfId="4949"/>
    <cellStyle name="常规 6 6 2 6 2" xfId="36310"/>
    <cellStyle name="常规 6 6 2 6 3" xfId="36311"/>
    <cellStyle name="常规 6 6 2 6 4" xfId="36312"/>
    <cellStyle name="常规 6 6 2 7" xfId="4957"/>
    <cellStyle name="常规 6 6 2 7 2" xfId="36313"/>
    <cellStyle name="常规 6 6 2 7 2 2" xfId="36314"/>
    <cellStyle name="常规 6 6 2 7 3" xfId="36315"/>
    <cellStyle name="常规 6 6 2 7 4" xfId="26849"/>
    <cellStyle name="常规 6 6 2 8" xfId="36316"/>
    <cellStyle name="常规 6 6 2 8 2" xfId="36317"/>
    <cellStyle name="常规 6 6 2 9" xfId="36318"/>
    <cellStyle name="常规 6 6 2 9 2" xfId="36319"/>
    <cellStyle name="常规 6 6 3" xfId="36320"/>
    <cellStyle name="常规 6 6 3 10" xfId="26244"/>
    <cellStyle name="常规 6 6 3 11" xfId="26283"/>
    <cellStyle name="常规 6 6 3 12" xfId="26297"/>
    <cellStyle name="常规 6 6 3 2" xfId="13540"/>
    <cellStyle name="常规 6 6 3 2 10" xfId="36321"/>
    <cellStyle name="常规 6 6 3 2 11" xfId="36322"/>
    <cellStyle name="常规 6 6 3 2 2" xfId="13543"/>
    <cellStyle name="常规 6 6 3 2 2 2" xfId="13545"/>
    <cellStyle name="常规 6 6 3 2 2 2 2" xfId="36323"/>
    <cellStyle name="常规 6 6 3 2 2 2 2 2" xfId="36324"/>
    <cellStyle name="常规 6 6 3 2 2 2 2 2 2" xfId="36325"/>
    <cellStyle name="常规 6 6 3 2 2 2 2 3" xfId="36326"/>
    <cellStyle name="常规 6 6 3 2 2 2 2 4" xfId="36327"/>
    <cellStyle name="常规 6 6 3 2 2 2 3" xfId="36328"/>
    <cellStyle name="常规 6 6 3 2 2 2 4" xfId="36329"/>
    <cellStyle name="常规 6 6 3 2 2 3" xfId="36330"/>
    <cellStyle name="常规 6 6 3 2 2 3 2" xfId="36331"/>
    <cellStyle name="常规 6 6 3 2 2 3 3" xfId="36332"/>
    <cellStyle name="常规 6 6 3 2 2 4" xfId="36333"/>
    <cellStyle name="常规 6 6 3 2 2 4 2" xfId="36334"/>
    <cellStyle name="常规 6 6 3 2 2 4 2 2" xfId="36335"/>
    <cellStyle name="常规 6 6 3 2 2 4 3" xfId="36336"/>
    <cellStyle name="常规 6 6 3 2 2 4 4" xfId="36337"/>
    <cellStyle name="常规 6 6 3 2 2 5" xfId="36338"/>
    <cellStyle name="常规 6 6 3 2 2 6" xfId="36339"/>
    <cellStyle name="常规 6 6 3 2 2 7" xfId="36340"/>
    <cellStyle name="常规 6 6 3 2 2 8" xfId="36341"/>
    <cellStyle name="常规 6 6 3 2 3" xfId="5607"/>
    <cellStyle name="常规 6 6 3 2 3 2" xfId="5610"/>
    <cellStyle name="常规 6 6 3 2 3 2 2" xfId="36342"/>
    <cellStyle name="常规 6 6 3 2 3 2 2 2" xfId="36343"/>
    <cellStyle name="常规 6 6 3 2 3 2 3" xfId="36344"/>
    <cellStyle name="常规 6 6 3 2 3 2 4" xfId="36345"/>
    <cellStyle name="常规 6 6 3 2 3 3" xfId="36346"/>
    <cellStyle name="常规 6 6 3 2 3 4" xfId="29867"/>
    <cellStyle name="常规 6 6 3 2 3 5" xfId="36347"/>
    <cellStyle name="常规 6 6 3 2 3 6" xfId="36348"/>
    <cellStyle name="常规 6 6 3 2 4" xfId="5612"/>
    <cellStyle name="常规 6 6 3 2 4 2" xfId="36349"/>
    <cellStyle name="常规 6 6 3 2 4 3" xfId="36350"/>
    <cellStyle name="常规 6 6 3 2 4 4" xfId="36351"/>
    <cellStyle name="常规 6 6 3 2 5" xfId="36352"/>
    <cellStyle name="常规 6 6 3 2 5 2" xfId="36353"/>
    <cellStyle name="常规 6 6 3 2 5 2 2" xfId="36354"/>
    <cellStyle name="常规 6 6 3 2 5 3" xfId="36355"/>
    <cellStyle name="常规 6 6 3 2 5 4" xfId="36356"/>
    <cellStyle name="常规 6 6 3 2 6" xfId="36357"/>
    <cellStyle name="常规 6 6 3 2 6 2" xfId="36358"/>
    <cellStyle name="常规 6 6 3 2 7" xfId="36359"/>
    <cellStyle name="常规 6 6 3 2 7 2" xfId="36360"/>
    <cellStyle name="常规 6 6 3 2 8" xfId="36361"/>
    <cellStyle name="常规 6 6 3 2 9" xfId="36362"/>
    <cellStyle name="常规 6 6 3 3" xfId="13547"/>
    <cellStyle name="常规 6 6 3 3 2" xfId="13550"/>
    <cellStyle name="常规 6 6 3 3 2 2" xfId="36363"/>
    <cellStyle name="常规 6 6 3 3 2 2 2" xfId="36364"/>
    <cellStyle name="常规 6 6 3 3 2 2 2 2" xfId="36365"/>
    <cellStyle name="常规 6 6 3 3 2 2 3" xfId="36366"/>
    <cellStyle name="常规 6 6 3 3 2 2 4" xfId="36367"/>
    <cellStyle name="常规 6 6 3 3 2 3" xfId="36368"/>
    <cellStyle name="常规 6 6 3 3 2 4" xfId="36369"/>
    <cellStyle name="常规 6 6 3 3 3" xfId="5623"/>
    <cellStyle name="常规 6 6 3 3 3 2" xfId="36370"/>
    <cellStyle name="常规 6 6 3 3 3 3" xfId="36371"/>
    <cellStyle name="常规 6 6 3 3 4" xfId="36372"/>
    <cellStyle name="常规 6 6 3 3 4 2" xfId="36373"/>
    <cellStyle name="常规 6 6 3 3 4 2 2" xfId="36374"/>
    <cellStyle name="常规 6 6 3 3 4 3" xfId="36375"/>
    <cellStyle name="常规 6 6 3 3 4 4" xfId="36376"/>
    <cellStyle name="常规 6 6 3 3 5" xfId="36377"/>
    <cellStyle name="常规 6 6 3 3 6" xfId="36378"/>
    <cellStyle name="常规 6 6 3 3 7" xfId="36379"/>
    <cellStyle name="常规 6 6 3 3 8" xfId="36380"/>
    <cellStyle name="常规 6 6 3 4" xfId="142"/>
    <cellStyle name="常规 6 6 3 4 2" xfId="36381"/>
    <cellStyle name="常规 6 6 3 4 2 2" xfId="36382"/>
    <cellStyle name="常规 6 6 3 4 2 2 2" xfId="14894"/>
    <cellStyle name="常规 6 6 3 4 2 3" xfId="36383"/>
    <cellStyle name="常规 6 6 3 4 2 4" xfId="36384"/>
    <cellStyle name="常规 6 6 3 4 3" xfId="2965"/>
    <cellStyle name="常规 6 6 3 4 4" xfId="36385"/>
    <cellStyle name="常规 6 6 3 4 5" xfId="36386"/>
    <cellStyle name="常规 6 6 3 4 6" xfId="36387"/>
    <cellStyle name="常规 6 6 3 5" xfId="13552"/>
    <cellStyle name="常规 6 6 3 5 2" xfId="36388"/>
    <cellStyle name="常规 6 6 3 5 3" xfId="36389"/>
    <cellStyle name="常规 6 6 3 5 4" xfId="36390"/>
    <cellStyle name="常规 6 6 3 6" xfId="2974"/>
    <cellStyle name="常规 6 6 3 6 2" xfId="36391"/>
    <cellStyle name="常规 6 6 3 6 2 2" xfId="36392"/>
    <cellStyle name="常规 6 6 3 6 3" xfId="36393"/>
    <cellStyle name="常规 6 6 3 6 4" xfId="36394"/>
    <cellStyle name="常规 6 6 3 7" xfId="36395"/>
    <cellStyle name="常规 6 6 3 7 2" xfId="36396"/>
    <cellStyle name="常规 6 6 3 8" xfId="36397"/>
    <cellStyle name="常规 6 6 3 8 2" xfId="36398"/>
    <cellStyle name="常规 6 6 3 9" xfId="36399"/>
    <cellStyle name="常规 6 6 4" xfId="36400"/>
    <cellStyle name="常规 6 6 4 2" xfId="13565"/>
    <cellStyle name="常规 6 6 4 2 2" xfId="36401"/>
    <cellStyle name="常规 6 6 4 2 2 2" xfId="36402"/>
    <cellStyle name="常规 6 6 4 2 2 2 2" xfId="36403"/>
    <cellStyle name="常规 6 6 4 2 2 3" xfId="36404"/>
    <cellStyle name="常规 6 6 4 2 2 4" xfId="36405"/>
    <cellStyle name="常规 6 6 4 2 3" xfId="5629"/>
    <cellStyle name="常规 6 6 4 2 4" xfId="36406"/>
    <cellStyle name="常规 6 6 4 3" xfId="13570"/>
    <cellStyle name="常规 6 6 4 3 2" xfId="36407"/>
    <cellStyle name="常规 6 6 4 3 3" xfId="36409"/>
    <cellStyle name="常规 6 6 4 4" xfId="849"/>
    <cellStyle name="常规 6 6 4 4 2" xfId="36411"/>
    <cellStyle name="常规 6 6 4 4 2 2" xfId="36413"/>
    <cellStyle name="常规 6 6 4 4 3" xfId="36414"/>
    <cellStyle name="常规 6 6 4 4 4" xfId="36416"/>
    <cellStyle name="常规 6 6 4 5" xfId="36417"/>
    <cellStyle name="常规 6 6 4 6" xfId="36419"/>
    <cellStyle name="常规 6 6 4 7" xfId="36421"/>
    <cellStyle name="常规 6 6 4 8" xfId="36423"/>
    <cellStyle name="常规 6 6 5" xfId="36425"/>
    <cellStyle name="常规 6 6 5 2" xfId="13579"/>
    <cellStyle name="常规 6 6 5 2 2" xfId="36426"/>
    <cellStyle name="常规 6 6 5 2 2 2" xfId="36427"/>
    <cellStyle name="常规 6 6 5 2 3" xfId="1741"/>
    <cellStyle name="常规 6 6 5 2 4" xfId="36428"/>
    <cellStyle name="常规 6 6 5 3" xfId="36429"/>
    <cellStyle name="常规 6 6 5 4" xfId="36431"/>
    <cellStyle name="常规 6 6 5 5" xfId="36433"/>
    <cellStyle name="常规 6 6 5 6" xfId="36435"/>
    <cellStyle name="常规 6 6 6" xfId="36437"/>
    <cellStyle name="常规 6 6 6 2" xfId="13585"/>
    <cellStyle name="常规 6 6 6 3" xfId="36438"/>
    <cellStyle name="常规 6 6 6 4" xfId="36440"/>
    <cellStyle name="常规 6 6 7" xfId="36442"/>
    <cellStyle name="常规 6 6 7 2" xfId="36443"/>
    <cellStyle name="常规 6 6 7 2 2" xfId="36444"/>
    <cellStyle name="常规 6 6 7 3" xfId="36445"/>
    <cellStyle name="常规 6 6 7 4" xfId="36447"/>
    <cellStyle name="常规 6 6 8" xfId="36448"/>
    <cellStyle name="常规 6 6 8 2" xfId="36449"/>
    <cellStyle name="常规 6 6 9" xfId="36450"/>
    <cellStyle name="常规 6 6 9 2" xfId="36451"/>
    <cellStyle name="常规 6 7" xfId="36452"/>
    <cellStyle name="常规 6 7 10" xfId="36453"/>
    <cellStyle name="常规 6 7 11" xfId="36454"/>
    <cellStyle name="常规 6 7 12" xfId="36455"/>
    <cellStyle name="常规 6 7 13" xfId="36456"/>
    <cellStyle name="常规 6 7 2" xfId="36457"/>
    <cellStyle name="常规 6 7 2 10" xfId="36458"/>
    <cellStyle name="常规 6 7 2 11" xfId="36459"/>
    <cellStyle name="常规 6 7 2 12" xfId="36460"/>
    <cellStyle name="常规 6 7 2 13" xfId="36461"/>
    <cellStyle name="常规 6 7 2 2" xfId="13613"/>
    <cellStyle name="常规 6 7 2 2 10" xfId="36462"/>
    <cellStyle name="常规 6 7 2 2 11" xfId="36464"/>
    <cellStyle name="常规 6 7 2 2 2" xfId="36465"/>
    <cellStyle name="常规 6 7 2 2 2 2" xfId="36466"/>
    <cellStyle name="常规 6 7 2 2 2 2 2" xfId="36467"/>
    <cellStyle name="常规 6 7 2 2 2 2 2 2" xfId="36468"/>
    <cellStyle name="常规 6 7 2 2 2 2 2 2 2" xfId="36469"/>
    <cellStyle name="常规 6 7 2 2 2 2 2 3" xfId="36470"/>
    <cellStyle name="常规 6 7 2 2 2 2 2 4" xfId="36471"/>
    <cellStyle name="常规 6 7 2 2 2 2 3" xfId="36472"/>
    <cellStyle name="常规 6 7 2 2 2 2 4" xfId="36473"/>
    <cellStyle name="常规 6 7 2 2 2 3" xfId="36474"/>
    <cellStyle name="常规 6 7 2 2 2 3 2" xfId="36475"/>
    <cellStyle name="常规 6 7 2 2 2 3 3" xfId="36476"/>
    <cellStyle name="常规 6 7 2 2 2 4" xfId="36477"/>
    <cellStyle name="常规 6 7 2 2 2 4 2" xfId="36478"/>
    <cellStyle name="常规 6 7 2 2 2 4 2 2" xfId="36479"/>
    <cellStyle name="常规 6 7 2 2 2 4 3" xfId="36480"/>
    <cellStyle name="常规 6 7 2 2 2 4 4" xfId="36481"/>
    <cellStyle name="常规 6 7 2 2 2 5" xfId="36482"/>
    <cellStyle name="常规 6 7 2 2 2 6" xfId="36483"/>
    <cellStyle name="常规 6 7 2 2 2 7" xfId="36484"/>
    <cellStyle name="常规 6 7 2 2 2 8" xfId="36485"/>
    <cellStyle name="常规 6 7 2 2 3" xfId="36486"/>
    <cellStyle name="常规 6 7 2 2 3 2" xfId="36487"/>
    <cellStyle name="常规 6 7 2 2 3 2 2" xfId="36488"/>
    <cellStyle name="常规 6 7 2 2 3 2 2 2" xfId="36489"/>
    <cellStyle name="常规 6 7 2 2 3 2 3" xfId="4123"/>
    <cellStyle name="常规 6 7 2 2 3 2 4" xfId="36490"/>
    <cellStyle name="常规 6 7 2 2 3 3" xfId="36491"/>
    <cellStyle name="常规 6 7 2 2 3 4" xfId="36492"/>
    <cellStyle name="常规 6 7 2 2 3 5" xfId="36493"/>
    <cellStyle name="常规 6 7 2 2 3 6" xfId="36494"/>
    <cellStyle name="常规 6 7 2 2 4" xfId="36495"/>
    <cellStyle name="常规 6 7 2 2 4 2" xfId="36496"/>
    <cellStyle name="常规 6 7 2 2 4 3" xfId="36497"/>
    <cellStyle name="常规 6 7 2 2 4 4" xfId="36498"/>
    <cellStyle name="常规 6 7 2 2 5" xfId="8483"/>
    <cellStyle name="常规 6 7 2 2 5 2" xfId="31685"/>
    <cellStyle name="常规 6 7 2 2 5 2 2" xfId="36499"/>
    <cellStyle name="常规 6 7 2 2 5 3" xfId="36500"/>
    <cellStyle name="常规 6 7 2 2 5 4" xfId="36501"/>
    <cellStyle name="常规 6 7 2 2 6" xfId="3759"/>
    <cellStyle name="常规 6 7 2 2 6 2" xfId="36502"/>
    <cellStyle name="常规 6 7 2 2 7" xfId="31688"/>
    <cellStyle name="常规 6 7 2 2 7 2" xfId="36503"/>
    <cellStyle name="常规 6 7 2 2 8" xfId="23076"/>
    <cellStyle name="常规 6 7 2 2 9" xfId="23079"/>
    <cellStyle name="常规 6 7 2 3" xfId="13616"/>
    <cellStyle name="常规 6 7 2 3 10" xfId="36504"/>
    <cellStyle name="常规 6 7 2 3 11" xfId="36505"/>
    <cellStyle name="常规 6 7 2 3 12" xfId="3671"/>
    <cellStyle name="常规 6 7 2 3 2" xfId="36506"/>
    <cellStyle name="常规 6 7 2 3 2 10" xfId="36507"/>
    <cellStyle name="常规 6 7 2 3 2 11" xfId="36508"/>
    <cellStyle name="常规 6 7 2 3 2 2" xfId="36509"/>
    <cellStyle name="常规 6 7 2 3 2 2 2" xfId="36510"/>
    <cellStyle name="常规 6 7 2 3 2 2 2 2" xfId="36511"/>
    <cellStyle name="常规 6 7 2 3 2 2 2 2 2" xfId="36512"/>
    <cellStyle name="常规 6 7 2 3 2 2 2 2 2 2" xfId="36513"/>
    <cellStyle name="常规 6 7 2 3 2 2 2 2 3" xfId="36514"/>
    <cellStyle name="常规 6 7 2 3 2 2 2 2 4" xfId="36515"/>
    <cellStyle name="常规 6 7 2 3 2 2 2 3" xfId="36516"/>
    <cellStyle name="常规 6 7 2 3 2 2 2 4" xfId="33736"/>
    <cellStyle name="常规 6 7 2 3 2 2 3" xfId="36517"/>
    <cellStyle name="常规 6 7 2 3 2 2 3 2" xfId="36518"/>
    <cellStyle name="常规 6 7 2 3 2 2 3 3" xfId="36519"/>
    <cellStyle name="常规 6 7 2 3 2 2 4" xfId="36520"/>
    <cellStyle name="常规 6 7 2 3 2 2 4 2" xfId="36521"/>
    <cellStyle name="常规 6 7 2 3 2 2 4 2 2" xfId="24907"/>
    <cellStyle name="常规 6 7 2 3 2 2 4 3" xfId="36522"/>
    <cellStyle name="常规 6 7 2 3 2 2 4 4" xfId="30920"/>
    <cellStyle name="常规 6 7 2 3 2 2 5" xfId="36523"/>
    <cellStyle name="常规 6 7 2 3 2 2 6" xfId="36524"/>
    <cellStyle name="常规 6 7 2 3 2 2 7" xfId="36525"/>
    <cellStyle name="常规 6 7 2 3 2 2 8" xfId="36526"/>
    <cellStyle name="常规 6 7 2 3 2 3" xfId="36527"/>
    <cellStyle name="常规 6 7 2 3 2 3 2" xfId="36528"/>
    <cellStyle name="常规 6 7 2 3 2 3 2 2" xfId="36529"/>
    <cellStyle name="常规 6 7 2 3 2 3 2 2 2" xfId="36530"/>
    <cellStyle name="常规 6 7 2 3 2 3 2 3" xfId="36531"/>
    <cellStyle name="常规 6 7 2 3 2 3 2 4" xfId="36532"/>
    <cellStyle name="常规 6 7 2 3 2 3 3" xfId="36533"/>
    <cellStyle name="常规 6 7 2 3 2 3 4" xfId="36534"/>
    <cellStyle name="常规 6 7 2 3 2 3 5" xfId="36535"/>
    <cellStyle name="常规 6 7 2 3 2 3 6" xfId="36536"/>
    <cellStyle name="常规 6 7 2 3 2 4" xfId="5597"/>
    <cellStyle name="常规 6 7 2 3 2 4 2" xfId="19445"/>
    <cellStyle name="常规 6 7 2 3 2 4 3" xfId="36537"/>
    <cellStyle name="常规 6 7 2 3 2 4 4" xfId="36538"/>
    <cellStyle name="常规 6 7 2 3 2 5" xfId="19447"/>
    <cellStyle name="常规 6 7 2 3 2 5 2" xfId="36539"/>
    <cellStyle name="常规 6 7 2 3 2 5 2 2" xfId="36540"/>
    <cellStyle name="常规 6 7 2 3 2 5 3" xfId="36541"/>
    <cellStyle name="常规 6 7 2 3 2 5 4" xfId="36542"/>
    <cellStyle name="常规 6 7 2 3 2 6" xfId="19449"/>
    <cellStyle name="常规 6 7 2 3 2 6 2" xfId="36543"/>
    <cellStyle name="常规 6 7 2 3 2 7" xfId="36544"/>
    <cellStyle name="常规 6 7 2 3 2 7 2" xfId="36545"/>
    <cellStyle name="常规 6 7 2 3 2 8" xfId="36546"/>
    <cellStyle name="常规 6 7 2 3 2 9" xfId="36547"/>
    <cellStyle name="常规 6 7 2 3 3" xfId="36548"/>
    <cellStyle name="常规 6 7 2 3 3 2" xfId="36549"/>
    <cellStyle name="常规 6 7 2 3 3 2 2" xfId="36550"/>
    <cellStyle name="常规 6 7 2 3 3 2 2 2" xfId="36551"/>
    <cellStyle name="常规 6 7 2 3 3 2 2 2 2" xfId="36552"/>
    <cellStyle name="常规 6 7 2 3 3 2 2 3" xfId="36553"/>
    <cellStyle name="常规 6 7 2 3 3 2 2 4" xfId="36554"/>
    <cellStyle name="常规 6 7 2 3 3 2 3" xfId="36555"/>
    <cellStyle name="常规 6 7 2 3 3 2 4" xfId="36556"/>
    <cellStyle name="常规 6 7 2 3 3 3" xfId="36557"/>
    <cellStyle name="常规 6 7 2 3 3 3 2" xfId="36558"/>
    <cellStyle name="常规 6 7 2 3 3 3 3" xfId="36559"/>
    <cellStyle name="常规 6 7 2 3 3 4" xfId="5699"/>
    <cellStyle name="常规 6 7 2 3 3 4 2" xfId="19452"/>
    <cellStyle name="常规 6 7 2 3 3 4 2 2" xfId="36560"/>
    <cellStyle name="常规 6 7 2 3 3 4 3" xfId="36561"/>
    <cellStyle name="常规 6 7 2 3 3 4 4" xfId="31117"/>
    <cellStyle name="常规 6 7 2 3 3 5" xfId="19454"/>
    <cellStyle name="常规 6 7 2 3 3 6" xfId="19456"/>
    <cellStyle name="常规 6 7 2 3 3 7" xfId="36562"/>
    <cellStyle name="常规 6 7 2 3 3 8" xfId="36563"/>
    <cellStyle name="常规 6 7 2 3 4" xfId="36564"/>
    <cellStyle name="常规 6 7 2 3 4 2" xfId="36565"/>
    <cellStyle name="常规 6 7 2 3 4 2 2" xfId="36566"/>
    <cellStyle name="常规 6 7 2 3 4 2 2 2" xfId="36567"/>
    <cellStyle name="常规 6 7 2 3 4 2 3" xfId="21547"/>
    <cellStyle name="常规 6 7 2 3 4 2 4" xfId="36568"/>
    <cellStyle name="常规 6 7 2 3 4 3" xfId="36569"/>
    <cellStyle name="常规 6 7 2 3 4 4" xfId="19460"/>
    <cellStyle name="常规 6 7 2 3 4 5" xfId="36570"/>
    <cellStyle name="常规 6 7 2 3 4 6" xfId="36571"/>
    <cellStyle name="常规 6 7 2 3 5" xfId="31690"/>
    <cellStyle name="常规 6 7 2 3 5 2" xfId="36572"/>
    <cellStyle name="常规 6 7 2 3 5 3" xfId="36573"/>
    <cellStyle name="常规 6 7 2 3 5 4" xfId="32599"/>
    <cellStyle name="常规 6 7 2 3 6" xfId="36574"/>
    <cellStyle name="常规 6 7 2 3 6 2" xfId="36575"/>
    <cellStyle name="常规 6 7 2 3 6 2 2" xfId="36576"/>
    <cellStyle name="常规 6 7 2 3 6 3" xfId="36577"/>
    <cellStyle name="常规 6 7 2 3 6 4" xfId="32611"/>
    <cellStyle name="常规 6 7 2 3 7" xfId="36578"/>
    <cellStyle name="常规 6 7 2 3 7 2" xfId="36579"/>
    <cellStyle name="常规 6 7 2 3 8" xfId="23083"/>
    <cellStyle name="常规 6 7 2 3 8 2" xfId="36580"/>
    <cellStyle name="常规 6 7 2 3 9" xfId="36581"/>
    <cellStyle name="常规 6 7 2 4" xfId="1215"/>
    <cellStyle name="常规 6 7 2 4 2" xfId="36582"/>
    <cellStyle name="常规 6 7 2 4 2 2" xfId="36583"/>
    <cellStyle name="常规 6 7 2 4 2 2 2" xfId="36584"/>
    <cellStyle name="常规 6 7 2 4 2 2 2 2" xfId="36585"/>
    <cellStyle name="常规 6 7 2 4 2 2 3" xfId="36586"/>
    <cellStyle name="常规 6 7 2 4 2 2 4" xfId="36587"/>
    <cellStyle name="常规 6 7 2 4 2 3" xfId="36588"/>
    <cellStyle name="常规 6 7 2 4 2 4" xfId="19469"/>
    <cellStyle name="常规 6 7 2 4 3" xfId="36589"/>
    <cellStyle name="常规 6 7 2 4 3 2" xfId="36590"/>
    <cellStyle name="常规 6 7 2 4 3 3" xfId="36591"/>
    <cellStyle name="常规 6 7 2 4 4" xfId="36592"/>
    <cellStyle name="常规 6 7 2 4 4 2" xfId="36593"/>
    <cellStyle name="常规 6 7 2 4 4 2 2" xfId="36594"/>
    <cellStyle name="常规 6 7 2 4 4 3" xfId="36595"/>
    <cellStyle name="常规 6 7 2 4 4 4" xfId="36596"/>
    <cellStyle name="常规 6 7 2 4 5" xfId="36597"/>
    <cellStyle name="常规 6 7 2 4 6" xfId="36598"/>
    <cellStyle name="常规 6 7 2 4 7" xfId="36599"/>
    <cellStyle name="常规 6 7 2 4 8" xfId="36600"/>
    <cellStyle name="常规 6 7 2 5" xfId="36601"/>
    <cellStyle name="常规 6 7 2 5 2" xfId="36602"/>
    <cellStyle name="常规 6 7 2 5 2 2" xfId="36603"/>
    <cellStyle name="常规 6 7 2 5 2 2 2" xfId="36604"/>
    <cellStyle name="常规 6 7 2 5 2 3" xfId="36605"/>
    <cellStyle name="常规 6 7 2 5 2 4" xfId="36606"/>
    <cellStyle name="常规 6 7 2 5 3" xfId="36607"/>
    <cellStyle name="常规 6 7 2 5 4" xfId="36608"/>
    <cellStyle name="常规 6 7 2 5 5" xfId="36609"/>
    <cellStyle name="常规 6 7 2 5 6" xfId="36610"/>
    <cellStyle name="常规 6 7 2 6" xfId="36611"/>
    <cellStyle name="常规 6 7 2 6 2" xfId="36612"/>
    <cellStyle name="常规 6 7 2 6 3" xfId="36613"/>
    <cellStyle name="常规 6 7 2 6 4" xfId="36614"/>
    <cellStyle name="常规 6 7 2 7" xfId="36615"/>
    <cellStyle name="常规 6 7 2 7 2" xfId="36616"/>
    <cellStyle name="常规 6 7 2 7 2 2" xfId="36617"/>
    <cellStyle name="常规 6 7 2 7 3" xfId="36618"/>
    <cellStyle name="常规 6 7 2 7 4" xfId="13748"/>
    <cellStyle name="常规 6 7 2 8" xfId="36619"/>
    <cellStyle name="常规 6 7 2 8 2" xfId="36620"/>
    <cellStyle name="常规 6 7 2 9" xfId="36621"/>
    <cellStyle name="常规 6 7 2 9 2" xfId="36622"/>
    <cellStyle name="常规 6 7 3" xfId="36623"/>
    <cellStyle name="常规 6 7 3 10" xfId="36624"/>
    <cellStyle name="常规 6 7 3 11" xfId="36625"/>
    <cellStyle name="常规 6 7 3 12" xfId="36626"/>
    <cellStyle name="常规 6 7 3 2" xfId="13624"/>
    <cellStyle name="常规 6 7 3 2 10" xfId="36627"/>
    <cellStyle name="常规 6 7 3 2 11" xfId="36628"/>
    <cellStyle name="常规 6 7 3 2 2" xfId="36629"/>
    <cellStyle name="常规 6 7 3 2 2 2" xfId="36630"/>
    <cellStyle name="常规 6 7 3 2 2 2 2" xfId="36631"/>
    <cellStyle name="常规 6 7 3 2 2 2 2 2" xfId="36632"/>
    <cellStyle name="常规 6 7 3 2 2 2 2 2 2" xfId="36633"/>
    <cellStyle name="常规 6 7 3 2 2 2 2 3" xfId="36634"/>
    <cellStyle name="常规 6 7 3 2 2 2 2 4" xfId="36635"/>
    <cellStyle name="常规 6 7 3 2 2 2 3" xfId="36636"/>
    <cellStyle name="常规 6 7 3 2 2 2 4" xfId="36637"/>
    <cellStyle name="常规 6 7 3 2 2 3" xfId="24918"/>
    <cellStyle name="常规 6 7 3 2 2 3 2" xfId="36638"/>
    <cellStyle name="常规 6 7 3 2 2 3 3" xfId="36639"/>
    <cellStyle name="常规 6 7 3 2 2 4" xfId="36640"/>
    <cellStyle name="常规 6 7 3 2 2 4 2" xfId="36641"/>
    <cellStyle name="常规 6 7 3 2 2 4 2 2" xfId="36642"/>
    <cellStyle name="常规 6 7 3 2 2 4 3" xfId="36643"/>
    <cellStyle name="常规 6 7 3 2 2 4 4" xfId="36644"/>
    <cellStyle name="常规 6 7 3 2 2 5" xfId="36645"/>
    <cellStyle name="常规 6 7 3 2 2 6" xfId="36646"/>
    <cellStyle name="常规 6 7 3 2 2 7" xfId="36647"/>
    <cellStyle name="常规 6 7 3 2 2 8" xfId="36648"/>
    <cellStyle name="常规 6 7 3 2 3" xfId="5633"/>
    <cellStyle name="常规 6 7 3 2 3 2" xfId="36649"/>
    <cellStyle name="常规 6 7 3 2 3 2 2" xfId="36650"/>
    <cellStyle name="常规 6 7 3 2 3 2 2 2" xfId="36651"/>
    <cellStyle name="常规 6 7 3 2 3 2 3" xfId="36652"/>
    <cellStyle name="常规 6 7 3 2 3 2 4" xfId="36653"/>
    <cellStyle name="常规 6 7 3 2 3 3" xfId="36654"/>
    <cellStyle name="常规 6 7 3 2 3 4" xfId="30052"/>
    <cellStyle name="常规 6 7 3 2 3 5" xfId="36655"/>
    <cellStyle name="常规 6 7 3 2 3 6" xfId="36656"/>
    <cellStyle name="常规 6 7 3 2 4" xfId="36657"/>
    <cellStyle name="常规 6 7 3 2 4 2" xfId="36658"/>
    <cellStyle name="常规 6 7 3 2 4 3" xfId="36659"/>
    <cellStyle name="常规 6 7 3 2 4 4" xfId="36660"/>
    <cellStyle name="常规 6 7 3 2 5" xfId="8490"/>
    <cellStyle name="常规 6 7 3 2 5 2" xfId="36661"/>
    <cellStyle name="常规 6 7 3 2 5 2 2" xfId="36662"/>
    <cellStyle name="常规 6 7 3 2 5 3" xfId="36663"/>
    <cellStyle name="常规 6 7 3 2 5 4" xfId="36664"/>
    <cellStyle name="常规 6 7 3 2 6" xfId="36665"/>
    <cellStyle name="常规 6 7 3 2 6 2" xfId="36666"/>
    <cellStyle name="常规 6 7 3 2 7" xfId="36667"/>
    <cellStyle name="常规 6 7 3 2 7 2" xfId="36668"/>
    <cellStyle name="常规 6 7 3 2 8" xfId="36669"/>
    <cellStyle name="常规 6 7 3 2 9" xfId="36670"/>
    <cellStyle name="常规 6 7 3 3" xfId="36671"/>
    <cellStyle name="常规 6 7 3 3 2" xfId="36672"/>
    <cellStyle name="常规 6 7 3 3 2 2" xfId="36673"/>
    <cellStyle name="常规 6 7 3 3 2 2 2" xfId="36674"/>
    <cellStyle name="常规 6 7 3 3 2 2 2 2" xfId="36675"/>
    <cellStyle name="常规 6 7 3 3 2 2 3" xfId="36676"/>
    <cellStyle name="常规 6 7 3 3 2 2 4" xfId="36677"/>
    <cellStyle name="常规 6 7 3 3 2 3" xfId="36678"/>
    <cellStyle name="常规 6 7 3 3 2 4" xfId="19521"/>
    <cellStyle name="常规 6 7 3 3 3" xfId="36679"/>
    <cellStyle name="常规 6 7 3 3 3 2" xfId="36680"/>
    <cellStyle name="常规 6 7 3 3 3 3" xfId="36681"/>
    <cellStyle name="常规 6 7 3 3 4" xfId="36682"/>
    <cellStyle name="常规 6 7 3 3 4 2" xfId="36683"/>
    <cellStyle name="常规 6 7 3 3 4 2 2" xfId="36684"/>
    <cellStyle name="常规 6 7 3 3 4 3" xfId="36685"/>
    <cellStyle name="常规 6 7 3 3 4 4" xfId="19543"/>
    <cellStyle name="常规 6 7 3 3 5" xfId="36686"/>
    <cellStyle name="常规 6 7 3 3 6" xfId="36687"/>
    <cellStyle name="常规 6 7 3 3 7" xfId="36688"/>
    <cellStyle name="常规 6 7 3 3 8" xfId="36689"/>
    <cellStyle name="常规 6 7 3 4" xfId="36690"/>
    <cellStyle name="常规 6 7 3 4 2" xfId="36691"/>
    <cellStyle name="常规 6 7 3 4 2 2" xfId="36692"/>
    <cellStyle name="常规 6 7 3 4 2 2 2" xfId="26510"/>
    <cellStyle name="常规 6 7 3 4 2 3" xfId="36693"/>
    <cellStyle name="常规 6 7 3 4 2 4" xfId="19577"/>
    <cellStyle name="常规 6 7 3 4 3" xfId="36694"/>
    <cellStyle name="常规 6 7 3 4 4" xfId="36695"/>
    <cellStyle name="常规 6 7 3 4 5" xfId="36696"/>
    <cellStyle name="常规 6 7 3 4 6" xfId="36697"/>
    <cellStyle name="常规 6 7 3 5" xfId="36698"/>
    <cellStyle name="常规 6 7 3 5 2" xfId="36699"/>
    <cellStyle name="常规 6 7 3 5 3" xfId="36700"/>
    <cellStyle name="常规 6 7 3 5 4" xfId="36701"/>
    <cellStyle name="常规 6 7 3 6" xfId="36702"/>
    <cellStyle name="常规 6 7 3 6 2" xfId="36703"/>
    <cellStyle name="常规 6 7 3 6 2 2" xfId="36704"/>
    <cellStyle name="常规 6 7 3 6 3" xfId="36705"/>
    <cellStyle name="常规 6 7 3 6 4" xfId="36706"/>
    <cellStyle name="常规 6 7 3 7" xfId="36707"/>
    <cellStyle name="常规 6 7 3 7 2" xfId="36708"/>
    <cellStyle name="常规 6 7 3 8" xfId="36709"/>
    <cellStyle name="常规 6 7 3 8 2" xfId="36710"/>
    <cellStyle name="常规 6 7 3 9" xfId="36711"/>
    <cellStyle name="常规 6 7 4" xfId="36712"/>
    <cellStyle name="常规 6 7 4 2" xfId="13635"/>
    <cellStyle name="常规 6 7 4 2 2" xfId="36713"/>
    <cellStyle name="常规 6 7 4 2 2 2" xfId="36714"/>
    <cellStyle name="常规 6 7 4 2 2 2 2" xfId="36715"/>
    <cellStyle name="常规 6 7 4 2 2 3" xfId="36716"/>
    <cellStyle name="常规 6 7 4 2 2 4" xfId="36717"/>
    <cellStyle name="常规 6 7 4 2 3" xfId="36718"/>
    <cellStyle name="常规 6 7 4 2 4" xfId="36719"/>
    <cellStyle name="常规 6 7 4 3" xfId="36720"/>
    <cellStyle name="常规 6 7 4 3 2" xfId="36722"/>
    <cellStyle name="常规 6 7 4 3 3" xfId="36723"/>
    <cellStyle name="常规 6 7 4 4" xfId="36724"/>
    <cellStyle name="常规 6 7 4 4 2" xfId="36726"/>
    <cellStyle name="常规 6 7 4 4 2 2" xfId="36727"/>
    <cellStyle name="常规 6 7 4 4 3" xfId="36728"/>
    <cellStyle name="常规 6 7 4 4 4" xfId="36729"/>
    <cellStyle name="常规 6 7 4 5" xfId="36730"/>
    <cellStyle name="常规 6 7 4 6" xfId="36732"/>
    <cellStyle name="常规 6 7 4 7" xfId="36734"/>
    <cellStyle name="常规 6 7 4 8" xfId="36735"/>
    <cellStyle name="常规 6 7 5" xfId="36736"/>
    <cellStyle name="常规 6 7 5 2" xfId="36737"/>
    <cellStyle name="常规 6 7 5 2 2" xfId="36738"/>
    <cellStyle name="常规 6 7 5 2 2 2" xfId="36739"/>
    <cellStyle name="常规 6 7 5 2 3" xfId="36740"/>
    <cellStyle name="常规 6 7 5 2 4" xfId="36741"/>
    <cellStyle name="常规 6 7 5 3" xfId="36742"/>
    <cellStyle name="常规 6 7 5 4" xfId="36744"/>
    <cellStyle name="常规 6 7 5 5" xfId="36746"/>
    <cellStyle name="常规 6 7 5 6" xfId="36747"/>
    <cellStyle name="常规 6 7 6" xfId="36748"/>
    <cellStyle name="常规 6 7 6 2" xfId="36749"/>
    <cellStyle name="常规 6 7 6 3" xfId="36750"/>
    <cellStyle name="常规 6 7 6 4" xfId="36751"/>
    <cellStyle name="常规 6 7 7" xfId="36752"/>
    <cellStyle name="常规 6 7 7 2" xfId="36753"/>
    <cellStyle name="常规 6 7 7 2 2" xfId="36754"/>
    <cellStyle name="常规 6 7 7 3" xfId="36755"/>
    <cellStyle name="常规 6 7 7 4" xfId="36756"/>
    <cellStyle name="常规 6 7 8" xfId="36757"/>
    <cellStyle name="常规 6 7 8 2" xfId="36758"/>
    <cellStyle name="常规 6 7 9" xfId="36759"/>
    <cellStyle name="常规 6 7 9 2" xfId="36760"/>
    <cellStyle name="常规 6 8" xfId="36761"/>
    <cellStyle name="常规 6 8 10" xfId="36762"/>
    <cellStyle name="常规 6 8 11" xfId="36763"/>
    <cellStyle name="常规 6 8 12" xfId="36764"/>
    <cellStyle name="常规 6 8 13" xfId="36765"/>
    <cellStyle name="常规 6 8 2" xfId="36766"/>
    <cellStyle name="常规 6 8 2 10" xfId="10102"/>
    <cellStyle name="常规 6 8 2 11" xfId="10106"/>
    <cellStyle name="常规 6 8 2 12" xfId="10111"/>
    <cellStyle name="常规 6 8 2 13" xfId="10113"/>
    <cellStyle name="常规 6 8 2 2" xfId="10404"/>
    <cellStyle name="常规 6 8 2 2 10" xfId="36767"/>
    <cellStyle name="常规 6 8 2 2 11" xfId="36768"/>
    <cellStyle name="常规 6 8 2 2 2" xfId="36769"/>
    <cellStyle name="常规 6 8 2 2 2 2" xfId="36770"/>
    <cellStyle name="常规 6 8 2 2 2 2 2" xfId="36771"/>
    <cellStyle name="常规 6 8 2 2 2 2 2 2" xfId="36772"/>
    <cellStyle name="常规 6 8 2 2 2 2 2 2 2" xfId="36773"/>
    <cellStyle name="常规 6 8 2 2 2 2 2 3" xfId="36774"/>
    <cellStyle name="常规 6 8 2 2 2 2 2 4" xfId="36775"/>
    <cellStyle name="常规 6 8 2 2 2 2 3" xfId="36776"/>
    <cellStyle name="常规 6 8 2 2 2 2 4" xfId="36777"/>
    <cellStyle name="常规 6 8 2 2 2 3" xfId="36778"/>
    <cellStyle name="常规 6 8 2 2 2 3 2" xfId="36779"/>
    <cellStyle name="常规 6 8 2 2 2 3 3" xfId="36780"/>
    <cellStyle name="常规 6 8 2 2 2 4" xfId="36781"/>
    <cellStyle name="常规 6 8 2 2 2 4 2" xfId="36782"/>
    <cellStyle name="常规 6 8 2 2 2 4 2 2" xfId="36783"/>
    <cellStyle name="常规 6 8 2 2 2 4 3" xfId="36784"/>
    <cellStyle name="常规 6 8 2 2 2 4 4" xfId="36785"/>
    <cellStyle name="常规 6 8 2 2 2 5" xfId="36786"/>
    <cellStyle name="常规 6 8 2 2 2 6" xfId="36787"/>
    <cellStyle name="常规 6 8 2 2 2 7" xfId="36788"/>
    <cellStyle name="常规 6 8 2 2 2 8" xfId="36789"/>
    <cellStyle name="常规 6 8 2 2 3" xfId="36790"/>
    <cellStyle name="常规 6 8 2 2 3 2" xfId="36791"/>
    <cellStyle name="常规 6 8 2 2 3 2 2" xfId="36792"/>
    <cellStyle name="常规 6 8 2 2 3 2 2 2" xfId="36793"/>
    <cellStyle name="常规 6 8 2 2 3 2 3" xfId="36794"/>
    <cellStyle name="常规 6 8 2 2 3 2 4" xfId="36795"/>
    <cellStyle name="常规 6 8 2 2 3 3" xfId="36796"/>
    <cellStyle name="常规 6 8 2 2 3 4" xfId="36797"/>
    <cellStyle name="常规 6 8 2 2 3 5" xfId="36798"/>
    <cellStyle name="常规 6 8 2 2 3 6" xfId="36799"/>
    <cellStyle name="常规 6 8 2 2 4" xfId="36800"/>
    <cellStyle name="常规 6 8 2 2 4 2" xfId="36801"/>
    <cellStyle name="常规 6 8 2 2 4 3" xfId="36802"/>
    <cellStyle name="常规 6 8 2 2 4 4" xfId="36803"/>
    <cellStyle name="常规 6 8 2 2 5" xfId="31706"/>
    <cellStyle name="常规 6 8 2 2 5 2" xfId="36804"/>
    <cellStyle name="常规 6 8 2 2 5 2 2" xfId="36805"/>
    <cellStyle name="常规 6 8 2 2 5 3" xfId="36806"/>
    <cellStyle name="常规 6 8 2 2 5 4" xfId="36807"/>
    <cellStyle name="常规 6 8 2 2 6" xfId="36808"/>
    <cellStyle name="常规 6 8 2 2 6 2" xfId="36809"/>
    <cellStyle name="常规 6 8 2 2 7" xfId="36810"/>
    <cellStyle name="常规 6 8 2 2 7 2" xfId="36811"/>
    <cellStyle name="常规 6 8 2 2 8" xfId="23153"/>
    <cellStyle name="常规 6 8 2 2 9" xfId="23155"/>
    <cellStyle name="常规 6 8 2 3" xfId="36812"/>
    <cellStyle name="常规 6 8 2 3 10" xfId="36813"/>
    <cellStyle name="常规 6 8 2 3 11" xfId="36814"/>
    <cellStyle name="常规 6 8 2 3 12" xfId="28757"/>
    <cellStyle name="常规 6 8 2 3 2" xfId="36815"/>
    <cellStyle name="常规 6 8 2 3 2 10" xfId="36816"/>
    <cellStyle name="常规 6 8 2 3 2 11" xfId="36817"/>
    <cellStyle name="常规 6 8 2 3 2 2" xfId="36818"/>
    <cellStyle name="常规 6 8 2 3 2 2 2" xfId="36819"/>
    <cellStyle name="常规 6 8 2 3 2 2 2 2" xfId="36820"/>
    <cellStyle name="常规 6 8 2 3 2 2 2 2 2" xfId="36821"/>
    <cellStyle name="常规 6 8 2 3 2 2 2 2 2 2" xfId="36822"/>
    <cellStyle name="常规 6 8 2 3 2 2 2 2 3" xfId="36823"/>
    <cellStyle name="常规 6 8 2 3 2 2 2 2 4" xfId="36824"/>
    <cellStyle name="常规 6 8 2 3 2 2 2 3" xfId="36825"/>
    <cellStyle name="常规 6 8 2 3 2 2 2 4" xfId="34086"/>
    <cellStyle name="常规 6 8 2 3 2 2 3" xfId="36826"/>
    <cellStyle name="常规 6 8 2 3 2 2 3 2" xfId="36827"/>
    <cellStyle name="常规 6 8 2 3 2 2 3 3" xfId="36828"/>
    <cellStyle name="常规 6 8 2 3 2 2 4" xfId="36829"/>
    <cellStyle name="常规 6 8 2 3 2 2 4 2" xfId="20476"/>
    <cellStyle name="常规 6 8 2 3 2 2 4 2 2" xfId="20481"/>
    <cellStyle name="常规 6 8 2 3 2 2 4 3" xfId="20487"/>
    <cellStyle name="常规 6 8 2 3 2 2 4 4" xfId="20493"/>
    <cellStyle name="常规 6 8 2 3 2 2 5" xfId="36830"/>
    <cellStyle name="常规 6 8 2 3 2 2 6" xfId="36831"/>
    <cellStyle name="常规 6 8 2 3 2 2 7" xfId="36832"/>
    <cellStyle name="常规 6 8 2 3 2 2 8" xfId="36833"/>
    <cellStyle name="常规 6 8 2 3 2 3" xfId="36834"/>
    <cellStyle name="常规 6 8 2 3 2 3 2" xfId="36835"/>
    <cellStyle name="常规 6 8 2 3 2 3 2 2" xfId="36836"/>
    <cellStyle name="常规 6 8 2 3 2 3 2 2 2" xfId="36837"/>
    <cellStyle name="常规 6 8 2 3 2 3 2 3" xfId="36838"/>
    <cellStyle name="常规 6 8 2 3 2 3 2 4" xfId="36839"/>
    <cellStyle name="常规 6 8 2 3 2 3 3" xfId="36840"/>
    <cellStyle name="常规 6 8 2 3 2 3 4" xfId="36841"/>
    <cellStyle name="常规 6 8 2 3 2 3 5" xfId="36842"/>
    <cellStyle name="常规 6 8 2 3 2 3 6" xfId="36843"/>
    <cellStyle name="常规 6 8 2 3 2 4" xfId="19692"/>
    <cellStyle name="常规 6 8 2 3 2 4 2" xfId="19695"/>
    <cellStyle name="常规 6 8 2 3 2 4 3" xfId="36844"/>
    <cellStyle name="常规 6 8 2 3 2 4 4" xfId="36845"/>
    <cellStyle name="常规 6 8 2 3 2 5" xfId="19698"/>
    <cellStyle name="常规 6 8 2 3 2 5 2" xfId="36846"/>
    <cellStyle name="常规 6 8 2 3 2 5 2 2" xfId="36847"/>
    <cellStyle name="常规 6 8 2 3 2 5 3" xfId="36848"/>
    <cellStyle name="常规 6 8 2 3 2 5 4" xfId="36849"/>
    <cellStyle name="常规 6 8 2 3 2 6" xfId="19700"/>
    <cellStyle name="常规 6 8 2 3 2 6 2" xfId="36850"/>
    <cellStyle name="常规 6 8 2 3 2 7" xfId="36851"/>
    <cellStyle name="常规 6 8 2 3 2 7 2" xfId="36852"/>
    <cellStyle name="常规 6 8 2 3 2 8" xfId="36853"/>
    <cellStyle name="常规 6 8 2 3 2 9" xfId="36854"/>
    <cellStyle name="常规 6 8 2 3 3" xfId="36855"/>
    <cellStyle name="常规 6 8 2 3 3 2" xfId="36856"/>
    <cellStyle name="常规 6 8 2 3 3 2 2" xfId="36857"/>
    <cellStyle name="常规 6 8 2 3 3 2 2 2" xfId="36858"/>
    <cellStyle name="常规 6 8 2 3 3 2 2 2 2" xfId="36859"/>
    <cellStyle name="常规 6 8 2 3 3 2 2 3" xfId="36860"/>
    <cellStyle name="常规 6 8 2 3 3 2 2 4" xfId="36861"/>
    <cellStyle name="常规 6 8 2 3 3 2 3" xfId="36862"/>
    <cellStyle name="常规 6 8 2 3 3 2 4" xfId="36863"/>
    <cellStyle name="常规 6 8 2 3 3 3" xfId="36864"/>
    <cellStyle name="常规 6 8 2 3 3 3 2" xfId="36865"/>
    <cellStyle name="常规 6 8 2 3 3 3 3" xfId="36866"/>
    <cellStyle name="常规 6 8 2 3 3 4" xfId="19704"/>
    <cellStyle name="常规 6 8 2 3 3 4 2" xfId="19707"/>
    <cellStyle name="常规 6 8 2 3 3 4 2 2" xfId="36867"/>
    <cellStyle name="常规 6 8 2 3 3 4 3" xfId="36868"/>
    <cellStyle name="常规 6 8 2 3 3 4 4" xfId="36869"/>
    <cellStyle name="常规 6 8 2 3 3 5" xfId="19711"/>
    <cellStyle name="常规 6 8 2 3 3 6" xfId="19714"/>
    <cellStyle name="常规 6 8 2 3 3 7" xfId="36870"/>
    <cellStyle name="常规 6 8 2 3 3 8" xfId="36871"/>
    <cellStyle name="常规 6 8 2 3 4" xfId="36872"/>
    <cellStyle name="常规 6 8 2 3 4 2" xfId="36873"/>
    <cellStyle name="常规 6 8 2 3 4 2 2" xfId="36874"/>
    <cellStyle name="常规 6 8 2 3 4 2 2 2" xfId="36875"/>
    <cellStyle name="常规 6 8 2 3 4 2 3" xfId="36876"/>
    <cellStyle name="常规 6 8 2 3 4 2 4" xfId="36877"/>
    <cellStyle name="常规 6 8 2 3 4 3" xfId="36878"/>
    <cellStyle name="常规 6 8 2 3 4 4" xfId="19720"/>
    <cellStyle name="常规 6 8 2 3 4 5" xfId="36879"/>
    <cellStyle name="常规 6 8 2 3 4 6" xfId="36880"/>
    <cellStyle name="常规 6 8 2 3 5" xfId="36881"/>
    <cellStyle name="常规 6 8 2 3 5 2" xfId="36882"/>
    <cellStyle name="常规 6 8 2 3 5 3" xfId="36883"/>
    <cellStyle name="常规 6 8 2 3 5 4" xfId="24027"/>
    <cellStyle name="常规 6 8 2 3 6" xfId="36884"/>
    <cellStyle name="常规 6 8 2 3 6 2" xfId="36885"/>
    <cellStyle name="常规 6 8 2 3 6 2 2" xfId="36886"/>
    <cellStyle name="常规 6 8 2 3 6 3" xfId="36887"/>
    <cellStyle name="常规 6 8 2 3 6 4" xfId="24074"/>
    <cellStyle name="常规 6 8 2 3 7" xfId="36888"/>
    <cellStyle name="常规 6 8 2 3 7 2" xfId="36889"/>
    <cellStyle name="常规 6 8 2 3 8" xfId="23158"/>
    <cellStyle name="常规 6 8 2 3 8 2" xfId="17842"/>
    <cellStyle name="常规 6 8 2 3 9" xfId="23161"/>
    <cellStyle name="常规 6 8 2 4" xfId="36890"/>
    <cellStyle name="常规 6 8 2 4 2" xfId="36891"/>
    <cellStyle name="常规 6 8 2 4 2 2" xfId="36892"/>
    <cellStyle name="常规 6 8 2 4 2 2 2" xfId="36893"/>
    <cellStyle name="常规 6 8 2 4 2 2 2 2" xfId="36894"/>
    <cellStyle name="常规 6 8 2 4 2 2 3" xfId="36895"/>
    <cellStyle name="常规 6 8 2 4 2 2 4" xfId="36896"/>
    <cellStyle name="常规 6 8 2 4 2 3" xfId="36897"/>
    <cellStyle name="常规 6 8 2 4 2 4" xfId="19731"/>
    <cellStyle name="常规 6 8 2 4 3" xfId="36898"/>
    <cellStyle name="常规 6 8 2 4 3 2" xfId="36899"/>
    <cellStyle name="常规 6 8 2 4 3 3" xfId="36900"/>
    <cellStyle name="常规 6 8 2 4 4" xfId="36901"/>
    <cellStyle name="常规 6 8 2 4 4 2" xfId="36902"/>
    <cellStyle name="常规 6 8 2 4 4 2 2" xfId="36903"/>
    <cellStyle name="常规 6 8 2 4 4 3" xfId="36904"/>
    <cellStyle name="常规 6 8 2 4 4 4" xfId="36905"/>
    <cellStyle name="常规 6 8 2 4 5" xfId="36906"/>
    <cellStyle name="常规 6 8 2 4 6" xfId="36907"/>
    <cellStyle name="常规 6 8 2 4 7" xfId="36908"/>
    <cellStyle name="常规 6 8 2 4 8" xfId="23167"/>
    <cellStyle name="常规 6 8 2 5" xfId="36909"/>
    <cellStyle name="常规 6 8 2 5 2" xfId="36910"/>
    <cellStyle name="常规 6 8 2 5 2 2" xfId="36911"/>
    <cellStyle name="常规 6 8 2 5 2 2 2" xfId="36912"/>
    <cellStyle name="常规 6 8 2 5 2 3" xfId="36913"/>
    <cellStyle name="常规 6 8 2 5 2 4" xfId="36914"/>
    <cellStyle name="常规 6 8 2 5 3" xfId="36915"/>
    <cellStyle name="常规 6 8 2 5 4" xfId="36916"/>
    <cellStyle name="常规 6 8 2 5 5" xfId="36917"/>
    <cellStyle name="常规 6 8 2 5 6" xfId="36918"/>
    <cellStyle name="常规 6 8 2 6" xfId="36919"/>
    <cellStyle name="常规 6 8 2 6 2" xfId="36920"/>
    <cellStyle name="常规 6 8 2 6 3" xfId="36921"/>
    <cellStyle name="常规 6 8 2 6 4" xfId="30184"/>
    <cellStyle name="常规 6 8 2 7" xfId="36922"/>
    <cellStyle name="常规 6 8 2 7 2" xfId="36923"/>
    <cellStyle name="常规 6 8 2 7 2 2" xfId="36924"/>
    <cellStyle name="常规 6 8 2 7 3" xfId="36925"/>
    <cellStyle name="常规 6 8 2 7 4" xfId="13893"/>
    <cellStyle name="常规 6 8 2 8" xfId="36926"/>
    <cellStyle name="常规 6 8 2 8 2" xfId="36927"/>
    <cellStyle name="常规 6 8 2 9" xfId="36928"/>
    <cellStyle name="常规 6 8 2 9 2" xfId="36929"/>
    <cellStyle name="常规 6 8 3" xfId="36930"/>
    <cellStyle name="常规 6 8 3 10" xfId="36931"/>
    <cellStyle name="常规 6 8 3 11" xfId="36932"/>
    <cellStyle name="常规 6 8 3 12" xfId="36933"/>
    <cellStyle name="常规 6 8 3 2" xfId="36934"/>
    <cellStyle name="常规 6 8 3 2 10" xfId="36935"/>
    <cellStyle name="常规 6 8 3 2 11" xfId="36936"/>
    <cellStyle name="常规 6 8 3 2 2" xfId="36937"/>
    <cellStyle name="常规 6 8 3 2 2 2" xfId="36938"/>
    <cellStyle name="常规 6 8 3 2 2 2 2" xfId="36939"/>
    <cellStyle name="常规 6 8 3 2 2 2 2 2" xfId="36940"/>
    <cellStyle name="常规 6 8 3 2 2 2 2 2 2" xfId="36941"/>
    <cellStyle name="常规 6 8 3 2 2 2 2 3" xfId="36942"/>
    <cellStyle name="常规 6 8 3 2 2 2 2 4" xfId="36943"/>
    <cellStyle name="常规 6 8 3 2 2 2 3" xfId="36944"/>
    <cellStyle name="常规 6 8 3 2 2 2 4" xfId="36945"/>
    <cellStyle name="常规 6 8 3 2 2 3" xfId="36946"/>
    <cellStyle name="常规 6 8 3 2 2 3 2" xfId="36947"/>
    <cellStyle name="常规 6 8 3 2 2 3 3" xfId="36948"/>
    <cellStyle name="常规 6 8 3 2 2 4" xfId="5774"/>
    <cellStyle name="常规 6 8 3 2 2 4 2" xfId="19439"/>
    <cellStyle name="常规 6 8 3 2 2 4 2 2" xfId="6323"/>
    <cellStyle name="常规 6 8 3 2 2 4 3" xfId="19466"/>
    <cellStyle name="常规 6 8 3 2 2 4 4" xfId="5820"/>
    <cellStyle name="常规 6 8 3 2 2 5" xfId="19478"/>
    <cellStyle name="常规 6 8 3 2 2 6" xfId="19618"/>
    <cellStyle name="常规 6 8 3 2 2 7" xfId="10500"/>
    <cellStyle name="常规 6 8 3 2 2 8" xfId="10513"/>
    <cellStyle name="常规 6 8 3 2 3" xfId="36949"/>
    <cellStyle name="常规 6 8 3 2 3 2" xfId="36950"/>
    <cellStyle name="常规 6 8 3 2 3 2 2" xfId="36951"/>
    <cellStyle name="常规 6 8 3 2 3 2 2 2" xfId="36952"/>
    <cellStyle name="常规 6 8 3 2 3 2 3" xfId="36953"/>
    <cellStyle name="常规 6 8 3 2 3 2 4" xfId="36954"/>
    <cellStyle name="常规 6 8 3 2 3 3" xfId="36955"/>
    <cellStyle name="常规 6 8 3 2 3 4" xfId="5910"/>
    <cellStyle name="常规 6 8 3 2 3 5" xfId="19737"/>
    <cellStyle name="常规 6 8 3 2 3 6" xfId="19764"/>
    <cellStyle name="常规 6 8 3 2 4" xfId="36956"/>
    <cellStyle name="常规 6 8 3 2 4 2" xfId="36957"/>
    <cellStyle name="常规 6 8 3 2 4 3" xfId="36958"/>
    <cellStyle name="常规 6 8 3 2 4 4" xfId="19785"/>
    <cellStyle name="常规 6 8 3 2 5" xfId="31708"/>
    <cellStyle name="常规 6 8 3 2 5 2" xfId="36959"/>
    <cellStyle name="常规 6 8 3 2 5 2 2" xfId="36960"/>
    <cellStyle name="常规 6 8 3 2 5 3" xfId="36961"/>
    <cellStyle name="常规 6 8 3 2 5 4" xfId="19828"/>
    <cellStyle name="常规 6 8 3 2 6" xfId="36962"/>
    <cellStyle name="常规 6 8 3 2 6 2" xfId="36963"/>
    <cellStyle name="常规 6 8 3 2 7" xfId="36964"/>
    <cellStyle name="常规 6 8 3 2 7 2" xfId="15040"/>
    <cellStyle name="常规 6 8 3 2 8" xfId="23183"/>
    <cellStyle name="常规 6 8 3 2 9" xfId="23185"/>
    <cellStyle name="常规 6 8 3 3" xfId="36965"/>
    <cellStyle name="常规 6 8 3 3 2" xfId="36966"/>
    <cellStyle name="常规 6 8 3 3 2 2" xfId="36967"/>
    <cellStyle name="常规 6 8 3 3 2 2 2" xfId="36968"/>
    <cellStyle name="常规 6 8 3 3 2 2 2 2" xfId="36969"/>
    <cellStyle name="常规 6 8 3 3 2 2 3" xfId="36970"/>
    <cellStyle name="常规 6 8 3 3 2 2 4" xfId="36971"/>
    <cellStyle name="常规 6 8 3 3 2 3" xfId="36972"/>
    <cellStyle name="常规 6 8 3 3 2 4" xfId="19747"/>
    <cellStyle name="常规 6 8 3 3 3" xfId="36973"/>
    <cellStyle name="常规 6 8 3 3 3 2" xfId="36974"/>
    <cellStyle name="常规 6 8 3 3 3 3" xfId="36975"/>
    <cellStyle name="常规 6 8 3 3 4" xfId="36976"/>
    <cellStyle name="常规 6 8 3 3 4 2" xfId="36977"/>
    <cellStyle name="常规 6 8 3 3 4 2 2" xfId="36978"/>
    <cellStyle name="常规 6 8 3 3 4 3" xfId="36979"/>
    <cellStyle name="常规 6 8 3 3 4 4" xfId="20261"/>
    <cellStyle name="常规 6 8 3 3 5" xfId="36980"/>
    <cellStyle name="常规 6 8 3 3 6" xfId="36981"/>
    <cellStyle name="常规 6 8 3 3 7" xfId="10896"/>
    <cellStyle name="常规 6 8 3 3 8" xfId="10944"/>
    <cellStyle name="常规 6 8 3 4" xfId="36982"/>
    <cellStyle name="常规 6 8 3 4 2" xfId="36983"/>
    <cellStyle name="常规 6 8 3 4 2 2" xfId="36984"/>
    <cellStyle name="常规 6 8 3 4 2 2 2" xfId="36985"/>
    <cellStyle name="常规 6 8 3 4 2 3" xfId="36986"/>
    <cellStyle name="常规 6 8 3 4 2 4" xfId="20360"/>
    <cellStyle name="常规 6 8 3 4 3" xfId="36987"/>
    <cellStyle name="常规 6 8 3 4 4" xfId="36988"/>
    <cellStyle name="常规 6 8 3 4 5" xfId="36989"/>
    <cellStyle name="常规 6 8 3 4 6" xfId="36990"/>
    <cellStyle name="常规 6 8 3 5" xfId="36991"/>
    <cellStyle name="常规 6 8 3 5 2" xfId="36992"/>
    <cellStyle name="常规 6 8 3 5 3" xfId="36993"/>
    <cellStyle name="常规 6 8 3 5 4" xfId="36994"/>
    <cellStyle name="常规 6 8 3 6" xfId="36995"/>
    <cellStyle name="常规 6 8 3 6 2" xfId="36996"/>
    <cellStyle name="常规 6 8 3 6 2 2" xfId="36997"/>
    <cellStyle name="常规 6 8 3 6 3" xfId="36998"/>
    <cellStyle name="常规 6 8 3 6 4" xfId="36999"/>
    <cellStyle name="常规 6 8 3 7" xfId="37000"/>
    <cellStyle name="常规 6 8 3 7 2" xfId="37001"/>
    <cellStyle name="常规 6 8 3 8" xfId="37002"/>
    <cellStyle name="常规 6 8 3 8 2" xfId="37003"/>
    <cellStyle name="常规 6 8 3 9" xfId="37004"/>
    <cellStyle name="常规 6 8 4" xfId="37005"/>
    <cellStyle name="常规 6 8 4 2" xfId="37006"/>
    <cellStyle name="常规 6 8 4 2 2" xfId="37007"/>
    <cellStyle name="常规 6 8 4 2 2 2" xfId="37008"/>
    <cellStyle name="常规 6 8 4 2 2 2 2" xfId="37009"/>
    <cellStyle name="常规 6 8 4 2 2 3" xfId="37010"/>
    <cellStyle name="常规 6 8 4 2 2 4" xfId="21184"/>
    <cellStyle name="常规 6 8 4 2 3" xfId="37011"/>
    <cellStyle name="常规 6 8 4 2 4" xfId="37012"/>
    <cellStyle name="常规 6 8 4 3" xfId="37013"/>
    <cellStyle name="常规 6 8 4 3 2" xfId="37014"/>
    <cellStyle name="常规 6 8 4 3 3" xfId="37015"/>
    <cellStyle name="常规 6 8 4 4" xfId="37016"/>
    <cellStyle name="常规 6 8 4 4 2" xfId="37017"/>
    <cellStyle name="常规 6 8 4 4 2 2" xfId="37018"/>
    <cellStyle name="常规 6 8 4 4 3" xfId="37019"/>
    <cellStyle name="常规 6 8 4 4 4" xfId="37020"/>
    <cellStyle name="常规 6 8 4 5" xfId="37021"/>
    <cellStyle name="常规 6 8 4 6" xfId="37022"/>
    <cellStyle name="常规 6 8 4 7" xfId="37023"/>
    <cellStyle name="常规 6 8 4 8" xfId="37024"/>
    <cellStyle name="常规 6 8 5" xfId="37025"/>
    <cellStyle name="常规 6 8 5 2" xfId="37026"/>
    <cellStyle name="常规 6 8 5 2 2" xfId="37027"/>
    <cellStyle name="常规 6 8 5 2 2 2" xfId="37028"/>
    <cellStyle name="常规 6 8 5 2 3" xfId="37029"/>
    <cellStyle name="常规 6 8 5 2 4" xfId="37030"/>
    <cellStyle name="常规 6 8 5 3" xfId="37031"/>
    <cellStyle name="常规 6 8 5 4" xfId="37032"/>
    <cellStyle name="常规 6 8 5 5" xfId="37033"/>
    <cellStyle name="常规 6 8 5 6" xfId="37034"/>
    <cellStyle name="常规 6 8 6" xfId="37035"/>
    <cellStyle name="常规 6 8 6 2" xfId="37036"/>
    <cellStyle name="常规 6 8 6 3" xfId="37037"/>
    <cellStyle name="常规 6 8 6 4" xfId="37038"/>
    <cellStyle name="常规 6 8 7" xfId="37039"/>
    <cellStyle name="常规 6 8 7 2" xfId="37040"/>
    <cellStyle name="常规 6 8 7 2 2" xfId="37041"/>
    <cellStyle name="常规 6 8 7 3" xfId="37042"/>
    <cellStyle name="常规 6 8 7 4" xfId="37043"/>
    <cellStyle name="常规 6 8 8" xfId="37044"/>
    <cellStyle name="常规 6 8 8 2" xfId="37045"/>
    <cellStyle name="常规 6 8 9" xfId="37046"/>
    <cellStyle name="常规 6 8 9 2" xfId="37047"/>
    <cellStyle name="常规 6 9" xfId="37048"/>
    <cellStyle name="常规 6 9 10" xfId="37049"/>
    <cellStyle name="常规 6 9 11" xfId="37050"/>
    <cellStyle name="常规 6 9 12" xfId="37051"/>
    <cellStyle name="常规 6 9 13" xfId="37052"/>
    <cellStyle name="常规 6 9 2" xfId="37053"/>
    <cellStyle name="常规 6 9 2 10" xfId="14032"/>
    <cellStyle name="常规 6 9 2 11" xfId="14036"/>
    <cellStyle name="常规 6 9 2 12" xfId="14040"/>
    <cellStyle name="常规 6 9 2 13" xfId="37054"/>
    <cellStyle name="常规 6 9 2 2" xfId="27283"/>
    <cellStyle name="常规 6 9 2 2 10" xfId="37055"/>
    <cellStyle name="常规 6 9 2 2 11" xfId="37056"/>
    <cellStyle name="常规 6 9 2 2 2" xfId="37057"/>
    <cellStyle name="常规 6 9 2 2 2 2" xfId="37058"/>
    <cellStyle name="常规 6 9 2 2 2 2 2" xfId="32741"/>
    <cellStyle name="常规 6 9 2 2 2 2 2 2" xfId="37059"/>
    <cellStyle name="常规 6 9 2 2 2 2 2 2 2" xfId="37060"/>
    <cellStyle name="常规 6 9 2 2 2 2 2 3" xfId="37061"/>
    <cellStyle name="常规 6 9 2 2 2 2 2 4" xfId="37062"/>
    <cellStyle name="常规 6 9 2 2 2 2 3" xfId="37063"/>
    <cellStyle name="常规 6 9 2 2 2 2 4" xfId="37064"/>
    <cellStyle name="常规 6 9 2 2 2 3" xfId="37065"/>
    <cellStyle name="常规 6 9 2 2 2 3 2" xfId="37066"/>
    <cellStyle name="常规 6 9 2 2 2 3 3" xfId="37067"/>
    <cellStyle name="常规 6 9 2 2 2 4" xfId="37068"/>
    <cellStyle name="常规 6 9 2 2 2 4 2" xfId="37069"/>
    <cellStyle name="常规 6 9 2 2 2 4 2 2" xfId="37070"/>
    <cellStyle name="常规 6 9 2 2 2 4 3" xfId="37071"/>
    <cellStyle name="常规 6 9 2 2 2 4 4" xfId="37072"/>
    <cellStyle name="常规 6 9 2 2 2 5" xfId="37073"/>
    <cellStyle name="常规 6 9 2 2 2 6" xfId="37074"/>
    <cellStyle name="常规 6 9 2 2 2 7" xfId="37075"/>
    <cellStyle name="常规 6 9 2 2 2 8" xfId="37076"/>
    <cellStyle name="常规 6 9 2 2 3" xfId="37077"/>
    <cellStyle name="常规 6 9 2 2 3 2" xfId="37078"/>
    <cellStyle name="常规 6 9 2 2 3 2 2" xfId="37079"/>
    <cellStyle name="常规 6 9 2 2 3 2 2 2" xfId="37080"/>
    <cellStyle name="常规 6 9 2 2 3 2 3" xfId="37081"/>
    <cellStyle name="常规 6 9 2 2 3 2 4" xfId="37082"/>
    <cellStyle name="常规 6 9 2 2 3 3" xfId="37083"/>
    <cellStyle name="常规 6 9 2 2 3 4" xfId="37084"/>
    <cellStyle name="常规 6 9 2 2 3 5" xfId="37085"/>
    <cellStyle name="常规 6 9 2 2 3 6" xfId="37086"/>
    <cellStyle name="常规 6 9 2 2 4" xfId="37087"/>
    <cellStyle name="常规 6 9 2 2 4 2" xfId="37088"/>
    <cellStyle name="常规 6 9 2 2 4 3" xfId="37089"/>
    <cellStyle name="常规 6 9 2 2 4 4" xfId="4975"/>
    <cellStyle name="常规 6 9 2 2 5" xfId="37090"/>
    <cellStyle name="常规 6 9 2 2 5 2" xfId="37091"/>
    <cellStyle name="常规 6 9 2 2 5 2 2" xfId="37092"/>
    <cellStyle name="常规 6 9 2 2 5 3" xfId="37093"/>
    <cellStyle name="常规 6 9 2 2 5 4" xfId="4979"/>
    <cellStyle name="常规 6 9 2 2 6" xfId="37094"/>
    <cellStyle name="常规 6 9 2 2 6 2" xfId="37095"/>
    <cellStyle name="常规 6 9 2 2 7" xfId="37096"/>
    <cellStyle name="常规 6 9 2 2 7 2" xfId="37097"/>
    <cellStyle name="常规 6 9 2 2 8" xfId="37098"/>
    <cellStyle name="常规 6 9 2 2 9" xfId="37099"/>
    <cellStyle name="常规 6 9 2 3" xfId="37100"/>
    <cellStyle name="常规 6 9 2 3 10" xfId="37101"/>
    <cellStyle name="常规 6 9 2 3 11" xfId="37102"/>
    <cellStyle name="常规 6 9 2 3 12" xfId="37103"/>
    <cellStyle name="常规 6 9 2 3 2" xfId="37104"/>
    <cellStyle name="常规 6 9 2 3 2 10" xfId="37105"/>
    <cellStyle name="常规 6 9 2 3 2 11" xfId="37106"/>
    <cellStyle name="常规 6 9 2 3 2 2" xfId="28702"/>
    <cellStyle name="常规 6 9 2 3 2 2 2" xfId="31018"/>
    <cellStyle name="常规 6 9 2 3 2 2 2 2" xfId="21746"/>
    <cellStyle name="常规 6 9 2 3 2 2 2 2 2" xfId="37107"/>
    <cellStyle name="常规 6 9 2 3 2 2 2 2 2 2" xfId="37108"/>
    <cellStyle name="常规 6 9 2 3 2 2 2 2 3" xfId="37109"/>
    <cellStyle name="常规 6 9 2 3 2 2 2 2 4" xfId="37110"/>
    <cellStyle name="常规 6 9 2 3 2 2 2 3" xfId="37111"/>
    <cellStyle name="常规 6 9 2 3 2 2 2 4" xfId="34406"/>
    <cellStyle name="常规 6 9 2 3 2 2 3" xfId="32483"/>
    <cellStyle name="常规 6 9 2 3 2 2 3 2" xfId="37112"/>
    <cellStyle name="常规 6 9 2 3 2 2 3 3" xfId="37113"/>
    <cellStyle name="常规 6 9 2 3 2 2 4" xfId="26980"/>
    <cellStyle name="常规 6 9 2 3 2 2 4 2" xfId="21803"/>
    <cellStyle name="常规 6 9 2 3 2 2 4 2 2" xfId="26983"/>
    <cellStyle name="常规 6 9 2 3 2 2 4 3" xfId="26986"/>
    <cellStyle name="常规 6 9 2 3 2 2 4 4" xfId="26990"/>
    <cellStyle name="常规 6 9 2 3 2 2 5" xfId="26994"/>
    <cellStyle name="常规 6 9 2 3 2 2 6" xfId="37114"/>
    <cellStyle name="常规 6 9 2 3 2 2 7" xfId="37115"/>
    <cellStyle name="常规 6 9 2 3 2 2 8" xfId="37116"/>
    <cellStyle name="常规 6 9 2 3 2 3" xfId="31021"/>
    <cellStyle name="常规 6 9 2 3 2 3 2" xfId="32770"/>
    <cellStyle name="常规 6 9 2 3 2 3 2 2" xfId="37117"/>
    <cellStyle name="常规 6 9 2 3 2 3 2 2 2" xfId="37118"/>
    <cellStyle name="常规 6 9 2 3 2 3 2 3" xfId="37119"/>
    <cellStyle name="常规 6 9 2 3 2 3 2 4" xfId="37120"/>
    <cellStyle name="常规 6 9 2 3 2 3 3" xfId="32486"/>
    <cellStyle name="常规 6 9 2 3 2 3 4" xfId="37121"/>
    <cellStyle name="常规 6 9 2 3 2 3 5" xfId="37122"/>
    <cellStyle name="常规 6 9 2 3 2 3 6" xfId="37123"/>
    <cellStyle name="常规 6 9 2 3 2 4" xfId="28750"/>
    <cellStyle name="常规 6 9 2 3 2 4 2" xfId="37124"/>
    <cellStyle name="常规 6 9 2 3 2 4 3" xfId="37125"/>
    <cellStyle name="常规 6 9 2 3 2 4 4" xfId="37126"/>
    <cellStyle name="常规 6 9 2 3 2 5" xfId="28754"/>
    <cellStyle name="常规 6 9 2 3 2 5 2" xfId="37127"/>
    <cellStyle name="常规 6 9 2 3 2 5 2 2" xfId="37128"/>
    <cellStyle name="常规 6 9 2 3 2 5 3" xfId="37129"/>
    <cellStyle name="常规 6 9 2 3 2 5 4" xfId="37130"/>
    <cellStyle name="常规 6 9 2 3 2 6" xfId="37131"/>
    <cellStyle name="常规 6 9 2 3 2 6 2" xfId="37132"/>
    <cellStyle name="常规 6 9 2 3 2 7" xfId="37133"/>
    <cellStyle name="常规 6 9 2 3 2 7 2" xfId="37134"/>
    <cellStyle name="常规 6 9 2 3 2 8" xfId="37135"/>
    <cellStyle name="常规 6 9 2 3 2 9" xfId="37136"/>
    <cellStyle name="常规 6 9 2 3 3" xfId="37137"/>
    <cellStyle name="常规 6 9 2 3 3 2" xfId="28419"/>
    <cellStyle name="常规 6 9 2 3 3 2 2" xfId="28423"/>
    <cellStyle name="常规 6 9 2 3 3 2 2 2" xfId="37138"/>
    <cellStyle name="常规 6 9 2 3 3 2 2 2 2" xfId="37139"/>
    <cellStyle name="常规 6 9 2 3 3 2 2 3" xfId="37140"/>
    <cellStyle name="常规 6 9 2 3 3 2 2 4" xfId="37141"/>
    <cellStyle name="常规 6 9 2 3 3 2 3" xfId="37142"/>
    <cellStyle name="常规 6 9 2 3 3 2 4" xfId="37143"/>
    <cellStyle name="常规 6 9 2 3 3 3" xfId="28429"/>
    <cellStyle name="常规 6 9 2 3 3 3 2" xfId="37144"/>
    <cellStyle name="常规 6 9 2 3 3 3 3" xfId="37145"/>
    <cellStyle name="常规 6 9 2 3 3 4" xfId="37146"/>
    <cellStyle name="常规 6 9 2 3 3 4 2" xfId="37147"/>
    <cellStyle name="常规 6 9 2 3 3 4 2 2" xfId="37148"/>
    <cellStyle name="常规 6 9 2 3 3 4 3" xfId="37149"/>
    <cellStyle name="常规 6 9 2 3 3 4 4" xfId="37150"/>
    <cellStyle name="常规 6 9 2 3 3 5" xfId="37151"/>
    <cellStyle name="常规 6 9 2 3 3 6" xfId="37152"/>
    <cellStyle name="常规 6 9 2 3 3 7" xfId="37153"/>
    <cellStyle name="常规 6 9 2 3 3 8" xfId="37154"/>
    <cellStyle name="常规 6 9 2 3 4" xfId="37155"/>
    <cellStyle name="常规 6 9 2 3 4 2" xfId="28440"/>
    <cellStyle name="常规 6 9 2 3 4 2 2" xfId="37156"/>
    <cellStyle name="常规 6 9 2 3 4 2 2 2" xfId="37157"/>
    <cellStyle name="常规 6 9 2 3 4 2 3" xfId="37158"/>
    <cellStyle name="常规 6 9 2 3 4 2 4" xfId="37159"/>
    <cellStyle name="常规 6 9 2 3 4 3" xfId="28445"/>
    <cellStyle name="常规 6 9 2 3 4 4" xfId="37160"/>
    <cellStyle name="常规 6 9 2 3 4 5" xfId="37161"/>
    <cellStyle name="常规 6 9 2 3 4 6" xfId="37162"/>
    <cellStyle name="常规 6 9 2 3 5" xfId="37164"/>
    <cellStyle name="常规 6 9 2 3 5 2" xfId="37165"/>
    <cellStyle name="常规 6 9 2 3 5 3" xfId="37166"/>
    <cellStyle name="常规 6 9 2 3 5 4" xfId="37167"/>
    <cellStyle name="常规 6 9 2 3 6" xfId="37168"/>
    <cellStyle name="常规 6 9 2 3 6 2" xfId="37169"/>
    <cellStyle name="常规 6 9 2 3 6 2 2" xfId="37170"/>
    <cellStyle name="常规 6 9 2 3 6 3" xfId="37171"/>
    <cellStyle name="常规 6 9 2 3 6 4" xfId="37172"/>
    <cellStyle name="常规 6 9 2 3 7" xfId="37173"/>
    <cellStyle name="常规 6 9 2 3 7 2" xfId="37174"/>
    <cellStyle name="常规 6 9 2 3 8" xfId="37175"/>
    <cellStyle name="常规 6 9 2 3 8 2" xfId="37176"/>
    <cellStyle name="常规 6 9 2 3 9" xfId="37177"/>
    <cellStyle name="常规 6 9 2 4" xfId="37178"/>
    <cellStyle name="常规 6 9 2 4 2" xfId="37179"/>
    <cellStyle name="常规 6 9 2 4 2 2" xfId="8306"/>
    <cellStyle name="常规 6 9 2 4 2 2 2" xfId="37180"/>
    <cellStyle name="常规 6 9 2 4 2 2 2 2" xfId="37181"/>
    <cellStyle name="常规 6 9 2 4 2 2 3" xfId="37182"/>
    <cellStyle name="常规 6 9 2 4 2 2 4" xfId="37183"/>
    <cellStyle name="常规 6 9 2 4 2 3" xfId="8310"/>
    <cellStyle name="常规 6 9 2 4 2 4" xfId="37184"/>
    <cellStyle name="常规 6 9 2 4 3" xfId="37185"/>
    <cellStyle name="常规 6 9 2 4 3 2" xfId="8322"/>
    <cellStyle name="常规 6 9 2 4 3 3" xfId="28473"/>
    <cellStyle name="常规 6 9 2 4 4" xfId="37186"/>
    <cellStyle name="常规 6 9 2 4 4 2" xfId="37187"/>
    <cellStyle name="常规 6 9 2 4 4 2 2" xfId="37188"/>
    <cellStyle name="常规 6 9 2 4 4 3" xfId="37189"/>
    <cellStyle name="常规 6 9 2 4 4 4" xfId="37190"/>
    <cellStyle name="常规 6 9 2 4 5" xfId="37191"/>
    <cellStyle name="常规 6 9 2 4 6" xfId="37192"/>
    <cellStyle name="常规 6 9 2 4 7" xfId="37193"/>
    <cellStyle name="常规 6 9 2 4 8" xfId="37194"/>
    <cellStyle name="常规 6 9 2 5" xfId="37195"/>
    <cellStyle name="常规 6 9 2 5 2" xfId="37196"/>
    <cellStyle name="常规 6 9 2 5 2 2" xfId="8441"/>
    <cellStyle name="常规 6 9 2 5 2 2 2" xfId="37197"/>
    <cellStyle name="常规 6 9 2 5 2 3" xfId="31426"/>
    <cellStyle name="常规 6 9 2 5 2 4" xfId="28780"/>
    <cellStyle name="常规 6 9 2 5 3" xfId="37198"/>
    <cellStyle name="常规 6 9 2 5 4" xfId="37199"/>
    <cellStyle name="常规 6 9 2 5 5" xfId="37200"/>
    <cellStyle name="常规 6 9 2 5 6" xfId="37201"/>
    <cellStyle name="常规 6 9 2 6" xfId="37202"/>
    <cellStyle name="常规 6 9 2 6 2" xfId="37203"/>
    <cellStyle name="常规 6 9 2 6 3" xfId="37204"/>
    <cellStyle name="常规 6 9 2 6 4" xfId="37205"/>
    <cellStyle name="常规 6 9 2 7" xfId="37206"/>
    <cellStyle name="常规 6 9 2 7 2" xfId="37207"/>
    <cellStyle name="常规 6 9 2 7 2 2" xfId="31998"/>
    <cellStyle name="常规 6 9 2 7 3" xfId="37208"/>
    <cellStyle name="常规 6 9 2 7 4" xfId="37209"/>
    <cellStyle name="常规 6 9 2 8" xfId="37210"/>
    <cellStyle name="常规 6 9 2 8 2" xfId="37211"/>
    <cellStyle name="常规 6 9 2 9" xfId="37212"/>
    <cellStyle name="常规 6 9 2 9 2" xfId="37213"/>
    <cellStyle name="常规 6 9 3" xfId="37214"/>
    <cellStyle name="常规 6 9 3 10" xfId="37215"/>
    <cellStyle name="常规 6 9 3 11" xfId="37216"/>
    <cellStyle name="常规 6 9 3 12" xfId="37217"/>
    <cellStyle name="常规 6 9 3 2" xfId="37218"/>
    <cellStyle name="常规 6 9 3 2 10" xfId="37219"/>
    <cellStyle name="常规 6 9 3 2 11" xfId="37220"/>
    <cellStyle name="常规 6 9 3 2 2" xfId="37221"/>
    <cellStyle name="常规 6 9 3 2 2 2" xfId="37222"/>
    <cellStyle name="常规 6 9 3 2 2 2 2" xfId="32808"/>
    <cellStyle name="常规 6 9 3 2 2 2 2 2" xfId="37223"/>
    <cellStyle name="常规 6 9 3 2 2 2 2 2 2" xfId="37224"/>
    <cellStyle name="常规 6 9 3 2 2 2 2 3" xfId="37225"/>
    <cellStyle name="常规 6 9 3 2 2 2 2 4" xfId="37226"/>
    <cellStyle name="常规 6 9 3 2 2 2 3" xfId="37227"/>
    <cellStyle name="常规 6 9 3 2 2 2 4" xfId="37228"/>
    <cellStyle name="常规 6 9 3 2 2 3" xfId="37229"/>
    <cellStyle name="常规 6 9 3 2 2 3 2" xfId="37230"/>
    <cellStyle name="常规 6 9 3 2 2 3 3" xfId="37231"/>
    <cellStyle name="常规 6 9 3 2 2 4" xfId="39"/>
    <cellStyle name="常规 6 9 3 2 2 4 2" xfId="37232"/>
    <cellStyle name="常规 6 9 3 2 2 4 2 2" xfId="37233"/>
    <cellStyle name="常规 6 9 3 2 2 4 3" xfId="37234"/>
    <cellStyle name="常规 6 9 3 2 2 4 4" xfId="37235"/>
    <cellStyle name="常规 6 9 3 2 2 5" xfId="37236"/>
    <cellStyle name="常规 6 9 3 2 2 6" xfId="37237"/>
    <cellStyle name="常规 6 9 3 2 2 7" xfId="37238"/>
    <cellStyle name="常规 6 9 3 2 2 8" xfId="37239"/>
    <cellStyle name="常规 6 9 3 2 3" xfId="37240"/>
    <cellStyle name="常规 6 9 3 2 3 2" xfId="37241"/>
    <cellStyle name="常规 6 9 3 2 3 2 2" xfId="37242"/>
    <cellStyle name="常规 6 9 3 2 3 2 2 2" xfId="37243"/>
    <cellStyle name="常规 6 9 3 2 3 2 3" xfId="37244"/>
    <cellStyle name="常规 6 9 3 2 3 2 4" xfId="37245"/>
    <cellStyle name="常规 6 9 3 2 3 3" xfId="37246"/>
    <cellStyle name="常规 6 9 3 2 3 4" xfId="37247"/>
    <cellStyle name="常规 6 9 3 2 3 5" xfId="37248"/>
    <cellStyle name="常规 6 9 3 2 3 6" xfId="37249"/>
    <cellStyle name="常规 6 9 3 2 4" xfId="37250"/>
    <cellStyle name="常规 6 9 3 2 4 2" xfId="37251"/>
    <cellStyle name="常规 6 9 3 2 4 3" xfId="37252"/>
    <cellStyle name="常规 6 9 3 2 4 4" xfId="37253"/>
    <cellStyle name="常规 6 9 3 2 5" xfId="37254"/>
    <cellStyle name="常规 6 9 3 2 5 2" xfId="37255"/>
    <cellStyle name="常规 6 9 3 2 5 2 2" xfId="37256"/>
    <cellStyle name="常规 6 9 3 2 5 3" xfId="37257"/>
    <cellStyle name="常规 6 9 3 2 5 4" xfId="37258"/>
    <cellStyle name="常规 6 9 3 2 6" xfId="37259"/>
    <cellStyle name="常规 6 9 3 2 6 2" xfId="37260"/>
    <cellStyle name="常规 6 9 3 2 7" xfId="37261"/>
    <cellStyle name="常规 6 9 3 2 7 2" xfId="37262"/>
    <cellStyle name="常规 6 9 3 2 8" xfId="37263"/>
    <cellStyle name="常规 6 9 3 2 9" xfId="37264"/>
    <cellStyle name="常规 6 9 3 3" xfId="37265"/>
    <cellStyle name="常规 6 9 3 3 2" xfId="37266"/>
    <cellStyle name="常规 6 9 3 3 2 2" xfId="33055"/>
    <cellStyle name="常规 6 9 3 3 2 2 2" xfId="37267"/>
    <cellStyle name="常规 6 9 3 3 2 2 2 2" xfId="37268"/>
    <cellStyle name="常规 6 9 3 3 2 2 3" xfId="37269"/>
    <cellStyle name="常规 6 9 3 3 2 2 4" xfId="37270"/>
    <cellStyle name="常规 6 9 3 3 2 3" xfId="1348"/>
    <cellStyle name="常规 6 9 3 3 2 4" xfId="37271"/>
    <cellStyle name="常规 6 9 3 3 3" xfId="37272"/>
    <cellStyle name="常规 6 9 3 3 3 2" xfId="37273"/>
    <cellStyle name="常规 6 9 3 3 3 3" xfId="37274"/>
    <cellStyle name="常规 6 9 3 3 4" xfId="37275"/>
    <cellStyle name="常规 6 9 3 3 4 2" xfId="37276"/>
    <cellStyle name="常规 6 9 3 3 4 2 2" xfId="37277"/>
    <cellStyle name="常规 6 9 3 3 4 3" xfId="37278"/>
    <cellStyle name="常规 6 9 3 3 4 4" xfId="37279"/>
    <cellStyle name="常规 6 9 3 3 5" xfId="37280"/>
    <cellStyle name="常规 6 9 3 3 6" xfId="37281"/>
    <cellStyle name="常规 6 9 3 3 7" xfId="11958"/>
    <cellStyle name="常规 6 9 3 3 8" xfId="11995"/>
    <cellStyle name="常规 6 9 3 4" xfId="37282"/>
    <cellStyle name="常规 6 9 3 4 2" xfId="37283"/>
    <cellStyle name="常规 6 9 3 4 2 2" xfId="26614"/>
    <cellStyle name="常规 6 9 3 4 2 2 2" xfId="37284"/>
    <cellStyle name="常规 6 9 3 4 2 3" xfId="26617"/>
    <cellStyle name="常规 6 9 3 4 2 4" xfId="37285"/>
    <cellStyle name="常规 6 9 3 4 3" xfId="37286"/>
    <cellStyle name="常规 6 9 3 4 4" xfId="37287"/>
    <cellStyle name="常规 6 9 3 4 5" xfId="37288"/>
    <cellStyle name="常规 6 9 3 4 6" xfId="37289"/>
    <cellStyle name="常规 6 9 3 5" xfId="37290"/>
    <cellStyle name="常规 6 9 3 5 2" xfId="37291"/>
    <cellStyle name="常规 6 9 3 5 3" xfId="37292"/>
    <cellStyle name="常规 6 9 3 5 4" xfId="37293"/>
    <cellStyle name="常规 6 9 3 6" xfId="37294"/>
    <cellStyle name="常规 6 9 3 6 2" xfId="37295"/>
    <cellStyle name="常规 6 9 3 6 2 2" xfId="33503"/>
    <cellStyle name="常规 6 9 3 6 3" xfId="37296"/>
    <cellStyle name="常规 6 9 3 6 4" xfId="37297"/>
    <cellStyle name="常规 6 9 3 7" xfId="32549"/>
    <cellStyle name="常规 6 9 3 7 2" xfId="32552"/>
    <cellStyle name="常规 6 9 3 8" xfId="9071"/>
    <cellStyle name="常规 6 9 3 8 2" xfId="9076"/>
    <cellStyle name="常规 6 9 3 9" xfId="9101"/>
    <cellStyle name="常规 6 9 4" xfId="37298"/>
    <cellStyle name="常规 6 9 4 2" xfId="37299"/>
    <cellStyle name="常规 6 9 4 2 2" xfId="37300"/>
    <cellStyle name="常规 6 9 4 2 2 2" xfId="37301"/>
    <cellStyle name="常规 6 9 4 2 2 2 2" xfId="37302"/>
    <cellStyle name="常规 6 9 4 2 2 3" xfId="37303"/>
    <cellStyle name="常规 6 9 4 2 2 4" xfId="37304"/>
    <cellStyle name="常规 6 9 4 2 3" xfId="37305"/>
    <cellStyle name="常规 6 9 4 2 4" xfId="37306"/>
    <cellStyle name="常规 6 9 4 3" xfId="37307"/>
    <cellStyle name="常规 6 9 4 3 2" xfId="37308"/>
    <cellStyle name="常规 6 9 4 3 3" xfId="37309"/>
    <cellStyle name="常规 6 9 4 4" xfId="37310"/>
    <cellStyle name="常规 6 9 4 4 2" xfId="37311"/>
    <cellStyle name="常规 6 9 4 4 2 2" xfId="35559"/>
    <cellStyle name="常规 6 9 4 4 3" xfId="37312"/>
    <cellStyle name="常规 6 9 4 4 4" xfId="37313"/>
    <cellStyle name="常规 6 9 4 5" xfId="37314"/>
    <cellStyle name="常规 6 9 4 6" xfId="37315"/>
    <cellStyle name="常规 6 9 4 7" xfId="32557"/>
    <cellStyle name="常规 6 9 4 8" xfId="9183"/>
    <cellStyle name="常规 6 9 5" xfId="37316"/>
    <cellStyle name="常规 6 9 5 2" xfId="37317"/>
    <cellStyle name="常规 6 9 5 2 2" xfId="37318"/>
    <cellStyle name="常规 6 9 5 2 2 2" xfId="37319"/>
    <cellStyle name="常规 6 9 5 2 3" xfId="37320"/>
    <cellStyle name="常规 6 9 5 2 4" xfId="37321"/>
    <cellStyle name="常规 6 9 5 3" xfId="37322"/>
    <cellStyle name="常规 6 9 5 4" xfId="37323"/>
    <cellStyle name="常规 6 9 5 5" xfId="37324"/>
    <cellStyle name="常规 6 9 5 6" xfId="37325"/>
    <cellStyle name="常规 6 9 6" xfId="37326"/>
    <cellStyle name="常规 6 9 6 2" xfId="37327"/>
    <cellStyle name="常规 6 9 6 3" xfId="37328"/>
    <cellStyle name="常规 6 9 6 4" xfId="37329"/>
    <cellStyle name="常规 6 9 7" xfId="37330"/>
    <cellStyle name="常规 6 9 7 2" xfId="37331"/>
    <cellStyle name="常规 6 9 7 2 2" xfId="37332"/>
    <cellStyle name="常规 6 9 7 3" xfId="37333"/>
    <cellStyle name="常规 6 9 7 4" xfId="37334"/>
    <cellStyle name="常规 6 9 8" xfId="37335"/>
    <cellStyle name="常规 6 9 8 2" xfId="37336"/>
    <cellStyle name="常规 6 9 9" xfId="37337"/>
    <cellStyle name="常规 6 9 9 2" xfId="37338"/>
    <cellStyle name="常规 7" xfId="37339"/>
    <cellStyle name="常规 7 10" xfId="37340"/>
    <cellStyle name="常规 7 11" xfId="37341"/>
    <cellStyle name="常规 7 12" xfId="37342"/>
    <cellStyle name="常规 7 13" xfId="37343"/>
    <cellStyle name="常规 7 2" xfId="37344"/>
    <cellStyle name="常规 7 2 10" xfId="33019"/>
    <cellStyle name="常规 7 2 11" xfId="33022"/>
    <cellStyle name="常规 7 2 12" xfId="12939"/>
    <cellStyle name="常规 7 2 13" xfId="37345"/>
    <cellStyle name="常规 7 2 2" xfId="37346"/>
    <cellStyle name="常规 7 2 2 10" xfId="37347"/>
    <cellStyle name="常规 7 2 2 11" xfId="37348"/>
    <cellStyle name="常规 7 2 2 2" xfId="11488"/>
    <cellStyle name="常规 7 2 2 2 2" xfId="11490"/>
    <cellStyle name="常规 7 2 2 2 2 2" xfId="11493"/>
    <cellStyle name="常规 7 2 2 2 2 2 2" xfId="37349"/>
    <cellStyle name="常规 7 2 2 2 2 2 2 2" xfId="37350"/>
    <cellStyle name="常规 7 2 2 2 2 2 3" xfId="37351"/>
    <cellStyle name="常规 7 2 2 2 2 2 4" xfId="37352"/>
    <cellStyle name="常规 7 2 2 2 2 3" xfId="37353"/>
    <cellStyle name="常规 7 2 2 2 2 4" xfId="37354"/>
    <cellStyle name="常规 7 2 2 2 3" xfId="3964"/>
    <cellStyle name="常规 7 2 2 2 3 2" xfId="37355"/>
    <cellStyle name="常规 7 2 2 2 3 3" xfId="37356"/>
    <cellStyle name="常规 7 2 2 2 4" xfId="37357"/>
    <cellStyle name="常规 7 2 2 2 4 2" xfId="37358"/>
    <cellStyle name="常规 7 2 2 2 4 2 2" xfId="37359"/>
    <cellStyle name="常规 7 2 2 2 4 3" xfId="37360"/>
    <cellStyle name="常规 7 2 2 2 4 4" xfId="37361"/>
    <cellStyle name="常规 7 2 2 2 5" xfId="37362"/>
    <cellStyle name="常规 7 2 2 2 6" xfId="37363"/>
    <cellStyle name="常规 7 2 2 2 7" xfId="37364"/>
    <cellStyle name="常规 7 2 2 2 8" xfId="37365"/>
    <cellStyle name="常规 7 2 2 3" xfId="11497"/>
    <cellStyle name="常规 7 2 2 3 2" xfId="11499"/>
    <cellStyle name="常规 7 2 2 3 2 2" xfId="11501"/>
    <cellStyle name="常规 7 2 2 3 2 2 2" xfId="37366"/>
    <cellStyle name="常规 7 2 2 3 2 3" xfId="37367"/>
    <cellStyle name="常规 7 2 2 3 2 4" xfId="37368"/>
    <cellStyle name="常规 7 2 2 3 3" xfId="4221"/>
    <cellStyle name="常规 7 2 2 3 4" xfId="37369"/>
    <cellStyle name="常规 7 2 2 3 5" xfId="37370"/>
    <cellStyle name="常规 7 2 2 3 6" xfId="37371"/>
    <cellStyle name="常规 7 2 2 4" xfId="11506"/>
    <cellStyle name="常规 7 2 2 4 2" xfId="37372"/>
    <cellStyle name="常规 7 2 2 4 3" xfId="37373"/>
    <cellStyle name="常规 7 2 2 4 4" xfId="37374"/>
    <cellStyle name="常规 7 2 2 5" xfId="11508"/>
    <cellStyle name="常规 7 2 2 5 2" xfId="19297"/>
    <cellStyle name="常规 7 2 2 5 2 2" xfId="19303"/>
    <cellStyle name="常规 7 2 2 5 3" xfId="4279"/>
    <cellStyle name="常规 7 2 2 5 4" xfId="4290"/>
    <cellStyle name="常规 7 2 2 6" xfId="37375"/>
    <cellStyle name="常规 7 2 2 6 2" xfId="965"/>
    <cellStyle name="常规 7 2 2 7" xfId="37376"/>
    <cellStyle name="常规 7 2 2 7 2" xfId="32973"/>
    <cellStyle name="常规 7 2 2 8" xfId="37377"/>
    <cellStyle name="常规 7 2 2 9" xfId="37378"/>
    <cellStyle name="常规 7 2 3" xfId="37379"/>
    <cellStyle name="常规 7 2 3 10" xfId="37380"/>
    <cellStyle name="常规 7 2 3 11" xfId="37381"/>
    <cellStyle name="常规 7 2 3 12" xfId="37382"/>
    <cellStyle name="常规 7 2 3 2" xfId="11534"/>
    <cellStyle name="常规 7 2 3 2 10" xfId="37383"/>
    <cellStyle name="常规 7 2 3 2 11" xfId="37384"/>
    <cellStyle name="常规 7 2 3 2 2" xfId="11536"/>
    <cellStyle name="常规 7 2 3 2 2 2" xfId="11539"/>
    <cellStyle name="常规 7 2 3 2 2 2 2" xfId="37386"/>
    <cellStyle name="常规 7 2 3 2 2 2 2 2" xfId="37387"/>
    <cellStyle name="常规 7 2 3 2 2 2 2 2 2" xfId="37388"/>
    <cellStyle name="常规 7 2 3 2 2 2 2 3" xfId="37389"/>
    <cellStyle name="常规 7 2 3 2 2 2 2 4" xfId="37390"/>
    <cellStyle name="常规 7 2 3 2 2 2 3" xfId="37391"/>
    <cellStyle name="常规 7 2 3 2 2 2 4" xfId="37392"/>
    <cellStyle name="常规 7 2 3 2 2 3" xfId="37393"/>
    <cellStyle name="常规 7 2 3 2 2 3 2" xfId="37394"/>
    <cellStyle name="常规 7 2 3 2 2 3 3" xfId="37395"/>
    <cellStyle name="常规 7 2 3 2 2 4" xfId="37396"/>
    <cellStyle name="常规 7 2 3 2 2 4 2" xfId="37397"/>
    <cellStyle name="常规 7 2 3 2 2 4 2 2" xfId="37398"/>
    <cellStyle name="常规 7 2 3 2 2 4 3" xfId="37399"/>
    <cellStyle name="常规 7 2 3 2 2 4 4" xfId="37400"/>
    <cellStyle name="常规 7 2 3 2 2 5" xfId="37401"/>
    <cellStyle name="常规 7 2 3 2 2 6" xfId="37402"/>
    <cellStyle name="常规 7 2 3 2 2 7" xfId="37403"/>
    <cellStyle name="常规 7 2 3 2 2 8" xfId="37404"/>
    <cellStyle name="常规 7 2 3 2 3" xfId="11542"/>
    <cellStyle name="常规 7 2 3 2 3 2" xfId="37405"/>
    <cellStyle name="常规 7 2 3 2 3 2 2" xfId="37406"/>
    <cellStyle name="常规 7 2 3 2 3 2 2 2" xfId="37407"/>
    <cellStyle name="常规 7 2 3 2 3 2 3" xfId="37408"/>
    <cellStyle name="常规 7 2 3 2 3 2 4" xfId="37409"/>
    <cellStyle name="常规 7 2 3 2 3 3" xfId="37410"/>
    <cellStyle name="常规 7 2 3 2 3 4" xfId="37411"/>
    <cellStyle name="常规 7 2 3 2 3 5" xfId="37412"/>
    <cellStyle name="常规 7 2 3 2 3 6" xfId="37413"/>
    <cellStyle name="常规 7 2 3 2 4" xfId="37414"/>
    <cellStyle name="常规 7 2 3 2 4 2" xfId="8394"/>
    <cellStyle name="常规 7 2 3 2 4 3" xfId="37415"/>
    <cellStyle name="常规 7 2 3 2 4 4" xfId="37416"/>
    <cellStyle name="常规 7 2 3 2 5" xfId="37417"/>
    <cellStyle name="常规 7 2 3 2 5 2" xfId="37418"/>
    <cellStyle name="常规 7 2 3 2 5 2 2" xfId="37419"/>
    <cellStyle name="常规 7 2 3 2 5 3" xfId="37420"/>
    <cellStyle name="常规 7 2 3 2 5 4" xfId="37421"/>
    <cellStyle name="常规 7 2 3 2 6" xfId="37422"/>
    <cellStyle name="常规 7 2 3 2 6 2" xfId="37423"/>
    <cellStyle name="常规 7 2 3 2 7" xfId="37424"/>
    <cellStyle name="常规 7 2 3 2 7 2" xfId="37425"/>
    <cellStyle name="常规 7 2 3 2 8" xfId="37426"/>
    <cellStyle name="常规 7 2 3 2 9" xfId="37427"/>
    <cellStyle name="常规 7 2 3 3" xfId="11545"/>
    <cellStyle name="常规 7 2 3 3 2" xfId="11547"/>
    <cellStyle name="常规 7 2 3 3 2 2" xfId="37428"/>
    <cellStyle name="常规 7 2 3 3 2 2 2" xfId="37429"/>
    <cellStyle name="常规 7 2 3 3 2 2 2 2" xfId="37430"/>
    <cellStyle name="常规 7 2 3 3 2 2 3" xfId="37431"/>
    <cellStyle name="常规 7 2 3 3 2 2 4" xfId="37432"/>
    <cellStyle name="常规 7 2 3 3 2 3" xfId="37433"/>
    <cellStyle name="常规 7 2 3 3 2 4" xfId="37434"/>
    <cellStyle name="常规 7 2 3 3 3" xfId="18414"/>
    <cellStyle name="常规 7 2 3 3 3 2" xfId="37435"/>
    <cellStyle name="常规 7 2 3 3 3 3" xfId="37436"/>
    <cellStyle name="常规 7 2 3 3 4" xfId="37437"/>
    <cellStyle name="常规 7 2 3 3 4 2" xfId="37438"/>
    <cellStyle name="常规 7 2 3 3 4 2 2" xfId="37439"/>
    <cellStyle name="常规 7 2 3 3 4 3" xfId="37440"/>
    <cellStyle name="常规 7 2 3 3 4 4" xfId="37441"/>
    <cellStyle name="常规 7 2 3 3 5" xfId="37442"/>
    <cellStyle name="常规 7 2 3 3 6" xfId="37443"/>
    <cellStyle name="常规 7 2 3 3 7" xfId="32658"/>
    <cellStyle name="常规 7 2 3 3 8" xfId="32666"/>
    <cellStyle name="常规 7 2 3 4" xfId="11550"/>
    <cellStyle name="常规 7 2 3 4 2" xfId="37444"/>
    <cellStyle name="常规 7 2 3 4 2 2" xfId="37445"/>
    <cellStyle name="常规 7 2 3 4 2 2 2" xfId="11250"/>
    <cellStyle name="常规 7 2 3 4 2 3" xfId="37446"/>
    <cellStyle name="常规 7 2 3 4 2 4" xfId="37447"/>
    <cellStyle name="常规 7 2 3 4 3" xfId="37448"/>
    <cellStyle name="常规 7 2 3 4 4" xfId="37449"/>
    <cellStyle name="常规 7 2 3 4 5" xfId="37450"/>
    <cellStyle name="常规 7 2 3 4 6" xfId="37451"/>
    <cellStyle name="常规 7 2 3 5" xfId="37452"/>
    <cellStyle name="常规 7 2 3 5 2" xfId="32981"/>
    <cellStyle name="常规 7 2 3 5 3" xfId="32983"/>
    <cellStyle name="常规 7 2 3 5 4" xfId="37453"/>
    <cellStyle name="常规 7 2 3 6" xfId="37454"/>
    <cellStyle name="常规 7 2 3 6 2" xfId="37455"/>
    <cellStyle name="常规 7 2 3 6 2 2" xfId="37456"/>
    <cellStyle name="常规 7 2 3 6 3" xfId="37457"/>
    <cellStyle name="常规 7 2 3 6 4" xfId="37458"/>
    <cellStyle name="常规 7 2 3 7" xfId="37459"/>
    <cellStyle name="常规 7 2 3 7 2" xfId="37460"/>
    <cellStyle name="常规 7 2 3 8" xfId="37461"/>
    <cellStyle name="常规 7 2 3 8 2" xfId="37462"/>
    <cellStyle name="常规 7 2 3 9" xfId="37463"/>
    <cellStyle name="常规 7 2 4" xfId="37464"/>
    <cellStyle name="常规 7 2 4 2" xfId="11557"/>
    <cellStyle name="常规 7 2 4 2 2" xfId="18446"/>
    <cellStyle name="常规 7 2 4 2 2 2" xfId="37465"/>
    <cellStyle name="常规 7 2 4 2 2 2 2" xfId="37466"/>
    <cellStyle name="常规 7 2 4 2 2 3" xfId="37467"/>
    <cellStyle name="常规 7 2 4 2 2 4" xfId="37468"/>
    <cellStyle name="常规 7 2 4 2 3" xfId="18448"/>
    <cellStyle name="常规 7 2 4 2 4" xfId="37469"/>
    <cellStyle name="常规 7 2 4 3" xfId="37470"/>
    <cellStyle name="常规 7 2 4 3 2" xfId="37471"/>
    <cellStyle name="常规 7 2 4 3 3" xfId="37472"/>
    <cellStyle name="常规 7 2 4 4" xfId="37473"/>
    <cellStyle name="常规 7 2 4 4 2" xfId="37474"/>
    <cellStyle name="常规 7 2 4 4 2 2" xfId="37475"/>
    <cellStyle name="常规 7 2 4 4 3" xfId="37476"/>
    <cellStyle name="常规 7 2 4 4 4" xfId="37477"/>
    <cellStyle name="常规 7 2 4 5" xfId="37478"/>
    <cellStyle name="常规 7 2 4 6" xfId="37479"/>
    <cellStyle name="常规 7 2 4 7" xfId="37480"/>
    <cellStyle name="常规 7 2 4 8" xfId="37481"/>
    <cellStyle name="常规 7 2 5" xfId="37482"/>
    <cellStyle name="常规 7 2 5 2" xfId="11565"/>
    <cellStyle name="常规 7 2 5 2 2" xfId="37483"/>
    <cellStyle name="常规 7 2 5 2 2 2" xfId="37484"/>
    <cellStyle name="常规 7 2 5 2 3" xfId="37485"/>
    <cellStyle name="常规 7 2 5 2 4" xfId="37486"/>
    <cellStyle name="常规 7 2 5 3" xfId="37487"/>
    <cellStyle name="常规 7 2 5 4" xfId="37488"/>
    <cellStyle name="常规 7 2 5 5" xfId="37489"/>
    <cellStyle name="常规 7 2 5 6" xfId="37490"/>
    <cellStyle name="常规 7 2 6" xfId="37491"/>
    <cellStyle name="常规 7 2 6 2" xfId="37492"/>
    <cellStyle name="常规 7 2 6 3" xfId="37493"/>
    <cellStyle name="常规 7 2 6 4" xfId="37494"/>
    <cellStyle name="常规 7 2 7" xfId="37495"/>
    <cellStyle name="常规 7 2 7 2" xfId="37496"/>
    <cellStyle name="常规 7 2 7 2 2" xfId="37497"/>
    <cellStyle name="常规 7 2 7 3" xfId="37498"/>
    <cellStyle name="常规 7 2 7 4" xfId="37499"/>
    <cellStyle name="常规 7 2 8" xfId="37500"/>
    <cellStyle name="常规 7 2 8 2" xfId="37501"/>
    <cellStyle name="常规 7 2 9" xfId="37502"/>
    <cellStyle name="常规 7 2 9 2" xfId="37503"/>
    <cellStyle name="常规 7 3" xfId="37504"/>
    <cellStyle name="常规 7 3 10" xfId="37505"/>
    <cellStyle name="常规 7 3 11" xfId="37506"/>
    <cellStyle name="常规 7 3 12" xfId="37507"/>
    <cellStyle name="常规 7 3 2" xfId="37508"/>
    <cellStyle name="常规 7 3 2 10" xfId="37509"/>
    <cellStyle name="常规 7 3 2 11" xfId="37510"/>
    <cellStyle name="常规 7 3 2 2" xfId="11574"/>
    <cellStyle name="常规 7 3 2 2 2" xfId="37511"/>
    <cellStyle name="常规 7 3 2 2 2 2" xfId="37512"/>
    <cellStyle name="常规 7 3 2 2 2 2 2" xfId="37513"/>
    <cellStyle name="常规 7 3 2 2 2 2 2 2" xfId="37163"/>
    <cellStyle name="常规 7 3 2 2 2 2 3" xfId="37514"/>
    <cellStyle name="常规 7 3 2 2 2 2 4" xfId="37515"/>
    <cellStyle name="常规 7 3 2 2 2 3" xfId="37516"/>
    <cellStyle name="常规 7 3 2 2 2 4" xfId="37517"/>
    <cellStyle name="常规 7 3 2 2 3" xfId="37518"/>
    <cellStyle name="常规 7 3 2 2 3 2" xfId="37519"/>
    <cellStyle name="常规 7 3 2 2 3 3" xfId="37520"/>
    <cellStyle name="常规 7 3 2 2 4" xfId="37521"/>
    <cellStyle name="常规 7 3 2 2 4 2" xfId="4844"/>
    <cellStyle name="常规 7 3 2 2 4 2 2" xfId="37522"/>
    <cellStyle name="常规 7 3 2 2 4 3" xfId="4857"/>
    <cellStyle name="常规 7 3 2 2 4 4" xfId="37523"/>
    <cellStyle name="常规 7 3 2 2 5" xfId="37524"/>
    <cellStyle name="常规 7 3 2 2 6" xfId="37525"/>
    <cellStyle name="常规 7 3 2 2 7" xfId="37526"/>
    <cellStyle name="常规 7 3 2 2 8" xfId="37527"/>
    <cellStyle name="常规 7 3 2 3" xfId="37528"/>
    <cellStyle name="常规 7 3 2 3 2" xfId="37529"/>
    <cellStyle name="常规 7 3 2 3 2 2" xfId="37530"/>
    <cellStyle name="常规 7 3 2 3 2 2 2" xfId="37531"/>
    <cellStyle name="常规 7 3 2 3 2 3" xfId="37532"/>
    <cellStyle name="常规 7 3 2 3 2 4" xfId="37533"/>
    <cellStyle name="常规 7 3 2 3 3" xfId="37534"/>
    <cellStyle name="常规 7 3 2 3 4" xfId="37535"/>
    <cellStyle name="常规 7 3 2 3 5" xfId="37536"/>
    <cellStyle name="常规 7 3 2 3 6" xfId="37537"/>
    <cellStyle name="常规 7 3 2 4" xfId="37538"/>
    <cellStyle name="常规 7 3 2 4 2" xfId="37539"/>
    <cellStyle name="常规 7 3 2 4 3" xfId="37540"/>
    <cellStyle name="常规 7 3 2 4 4" xfId="37541"/>
    <cellStyle name="常规 7 3 2 5" xfId="22742"/>
    <cellStyle name="常规 7 3 2 5 2" xfId="1168"/>
    <cellStyle name="常规 7 3 2 5 2 2" xfId="1005"/>
    <cellStyle name="常规 7 3 2 5 3" xfId="4951"/>
    <cellStyle name="常规 7 3 2 5 4" xfId="4959"/>
    <cellStyle name="常规 7 3 2 6" xfId="22744"/>
    <cellStyle name="常规 7 3 2 6 2" xfId="13554"/>
    <cellStyle name="常规 7 3 2 7" xfId="22746"/>
    <cellStyle name="常规 7 3 2 7 2" xfId="37542"/>
    <cellStyle name="常规 7 3 2 8" xfId="22748"/>
    <cellStyle name="常规 7 3 2 9" xfId="37543"/>
    <cellStyle name="常规 7 3 3" xfId="37544"/>
    <cellStyle name="常规 7 3 3 2" xfId="11583"/>
    <cellStyle name="常规 7 3 3 2 2" xfId="37545"/>
    <cellStyle name="常规 7 3 3 2 2 2" xfId="37546"/>
    <cellStyle name="常规 7 3 3 2 2 2 2" xfId="37547"/>
    <cellStyle name="常规 7 3 3 2 2 3" xfId="37548"/>
    <cellStyle name="常规 7 3 3 2 2 4" xfId="37549"/>
    <cellStyle name="常规 7 3 3 2 3" xfId="37550"/>
    <cellStyle name="常规 7 3 3 2 4" xfId="37551"/>
    <cellStyle name="常规 7 3 3 3" xfId="37552"/>
    <cellStyle name="常规 7 3 3 3 2" xfId="37553"/>
    <cellStyle name="常规 7 3 3 3 3" xfId="37554"/>
    <cellStyle name="常规 7 3 3 4" xfId="37555"/>
    <cellStyle name="常规 7 3 3 4 2" xfId="37556"/>
    <cellStyle name="常规 7 3 3 4 2 2" xfId="37557"/>
    <cellStyle name="常规 7 3 3 4 3" xfId="37558"/>
    <cellStyle name="常规 7 3 3 4 4" xfId="37559"/>
    <cellStyle name="常规 7 3 3 5" xfId="7032"/>
    <cellStyle name="常规 7 3 3 6" xfId="7035"/>
    <cellStyle name="常规 7 3 3 7" xfId="22750"/>
    <cellStyle name="常规 7 3 3 8" xfId="37560"/>
    <cellStyle name="常规 7 3 4" xfId="37561"/>
    <cellStyle name="常规 7 3 4 2" xfId="37562"/>
    <cellStyle name="常规 7 3 4 2 2" xfId="37563"/>
    <cellStyle name="常规 7 3 4 2 2 2" xfId="37564"/>
    <cellStyle name="常规 7 3 4 2 3" xfId="37565"/>
    <cellStyle name="常规 7 3 4 2 4" xfId="37566"/>
    <cellStyle name="常规 7 3 4 3" xfId="37567"/>
    <cellStyle name="常规 7 3 4 4" xfId="37568"/>
    <cellStyle name="常规 7 3 4 5" xfId="7039"/>
    <cellStyle name="常规 7 3 4 6" xfId="22753"/>
    <cellStyle name="常规 7 3 5" xfId="37569"/>
    <cellStyle name="常规 7 3 5 2" xfId="37570"/>
    <cellStyle name="常规 7 3 5 3" xfId="37571"/>
    <cellStyle name="常规 7 3 5 4" xfId="37572"/>
    <cellStyle name="常规 7 3 6" xfId="37573"/>
    <cellStyle name="常规 7 3 6 2" xfId="37574"/>
    <cellStyle name="常规 7 3 6 2 2" xfId="37575"/>
    <cellStyle name="常规 7 3 6 3" xfId="37576"/>
    <cellStyle name="常规 7 3 6 4" xfId="37577"/>
    <cellStyle name="常规 7 3 7" xfId="37578"/>
    <cellStyle name="常规 7 3 7 2" xfId="37579"/>
    <cellStyle name="常规 7 3 8" xfId="37580"/>
    <cellStyle name="常规 7 3 8 2" xfId="37581"/>
    <cellStyle name="常规 7 3 9" xfId="37582"/>
    <cellStyle name="常规 7 4" xfId="37583"/>
    <cellStyle name="常规 7 4 10" xfId="37584"/>
    <cellStyle name="常规 7 4 2" xfId="37585"/>
    <cellStyle name="常规 7 4 2 2" xfId="22803"/>
    <cellStyle name="常规 7 4 2 2 2" xfId="37586"/>
    <cellStyle name="常规 7 4 2 2 2 2" xfId="37587"/>
    <cellStyle name="常规 7 4 2 2 3" xfId="37588"/>
    <cellStyle name="常规 7 4 2 2 4" xfId="37589"/>
    <cellStyle name="常规 7 4 2 3" xfId="37590"/>
    <cellStyle name="常规 7 4 2 4" xfId="37591"/>
    <cellStyle name="常规 7 4 3" xfId="37592"/>
    <cellStyle name="常规 7 4 3 2" xfId="37593"/>
    <cellStyle name="常规 7 4 3 3" xfId="37594"/>
    <cellStyle name="常规 7 4 4" xfId="37595"/>
    <cellStyle name="常规 7 4 4 2" xfId="37596"/>
    <cellStyle name="常规 7 4 4 2 2" xfId="37597"/>
    <cellStyle name="常规 7 4 4 3" xfId="37598"/>
    <cellStyle name="常规 7 4 4 4" xfId="37599"/>
    <cellStyle name="常规 7 4 5" xfId="37600"/>
    <cellStyle name="常规 7 4 6" xfId="37601"/>
    <cellStyle name="常规 7 4 7" xfId="37602"/>
    <cellStyle name="常规 7 4 8" xfId="37603"/>
    <cellStyle name="常规 7 4 9" xfId="37604"/>
    <cellStyle name="常规 7 5" xfId="37605"/>
    <cellStyle name="常规 7 5 2" xfId="37606"/>
    <cellStyle name="常规 7 5 2 2" xfId="13689"/>
    <cellStyle name="常规 7 5 2 2 2" xfId="13694"/>
    <cellStyle name="常规 7 5 2 3" xfId="4894"/>
    <cellStyle name="常规 7 5 2 4" xfId="13706"/>
    <cellStyle name="常规 7 5 3" xfId="37607"/>
    <cellStyle name="常规 7 5 4" xfId="37608"/>
    <cellStyle name="常规 7 5 5" xfId="37609"/>
    <cellStyle name="常规 7 5 6" xfId="37610"/>
    <cellStyle name="常规 7 6" xfId="37611"/>
    <cellStyle name="常规 7 6 2" xfId="37612"/>
    <cellStyle name="常规 7 6 3" xfId="37613"/>
    <cellStyle name="常规 7 6 4" xfId="37614"/>
    <cellStyle name="常规 7 7" xfId="37615"/>
    <cellStyle name="常规 7 7 2" xfId="37616"/>
    <cellStyle name="常规 7 7 2 2" xfId="13939"/>
    <cellStyle name="常规 7 7 3" xfId="37617"/>
    <cellStyle name="常规 7 7 4" xfId="37618"/>
    <cellStyle name="常规 7 8" xfId="37619"/>
    <cellStyle name="常规 7 8 2" xfId="37620"/>
    <cellStyle name="常规 7 9" xfId="37621"/>
    <cellStyle name="常规 7 9 2" xfId="37622"/>
    <cellStyle name="常规 8" xfId="37623"/>
    <cellStyle name="常规 8 10" xfId="37624"/>
    <cellStyle name="常规 8 11" xfId="37625"/>
    <cellStyle name="常规 8 12" xfId="37626"/>
    <cellStyle name="常规 8 13" xfId="37627"/>
    <cellStyle name="常规 8 2" xfId="37628"/>
    <cellStyle name="常规 8 2 10" xfId="37629"/>
    <cellStyle name="常规 8 2 11" xfId="37630"/>
    <cellStyle name="常规 8 2 12" xfId="37631"/>
    <cellStyle name="常规 8 2 13" xfId="37632"/>
    <cellStyle name="常规 8 2 2" xfId="37633"/>
    <cellStyle name="常规 8 2 2 10" xfId="37634"/>
    <cellStyle name="常规 8 2 2 11" xfId="37635"/>
    <cellStyle name="常规 8 2 2 2" xfId="37636"/>
    <cellStyle name="常规 8 2 2 2 2" xfId="30039"/>
    <cellStyle name="常规 8 2 2 2 2 2" xfId="37637"/>
    <cellStyle name="常规 8 2 2 2 2 2 2" xfId="16391"/>
    <cellStyle name="常规 8 2 2 2 2 2 2 2" xfId="16393"/>
    <cellStyle name="常规 8 2 2 2 2 2 3" xfId="16395"/>
    <cellStyle name="常规 8 2 2 2 2 2 4" xfId="16399"/>
    <cellStyle name="常规 8 2 2 2 2 3" xfId="37638"/>
    <cellStyle name="常规 8 2 2 2 2 4" xfId="37639"/>
    <cellStyle name="常规 8 2 2 2 3" xfId="30041"/>
    <cellStyle name="常规 8 2 2 2 3 2" xfId="37640"/>
    <cellStyle name="常规 8 2 2 2 3 3" xfId="37641"/>
    <cellStyle name="常规 8 2 2 2 4" xfId="37642"/>
    <cellStyle name="常规 8 2 2 2 4 2" xfId="37643"/>
    <cellStyle name="常规 8 2 2 2 4 2 2" xfId="37644"/>
    <cellStyle name="常规 8 2 2 2 4 3" xfId="37645"/>
    <cellStyle name="常规 8 2 2 2 4 4" xfId="37646"/>
    <cellStyle name="常规 8 2 2 2 5" xfId="37647"/>
    <cellStyle name="常规 8 2 2 2 6" xfId="37648"/>
    <cellStyle name="常规 8 2 2 2 7" xfId="37649"/>
    <cellStyle name="常规 8 2 2 2 8" xfId="37650"/>
    <cellStyle name="常规 8 2 2 3" xfId="37651"/>
    <cellStyle name="常规 8 2 2 3 2" xfId="37652"/>
    <cellStyle name="常规 8 2 2 3 2 2" xfId="37653"/>
    <cellStyle name="常规 8 2 2 3 2 2 2" xfId="37654"/>
    <cellStyle name="常规 8 2 2 3 2 3" xfId="37655"/>
    <cellStyle name="常规 8 2 2 3 2 4" xfId="37656"/>
    <cellStyle name="常规 8 2 2 3 3" xfId="37657"/>
    <cellStyle name="常规 8 2 2 3 4" xfId="37658"/>
    <cellStyle name="常规 8 2 2 3 5" xfId="37659"/>
    <cellStyle name="常规 8 2 2 3 6" xfId="37660"/>
    <cellStyle name="常规 8 2 2 4" xfId="37661"/>
    <cellStyle name="常规 8 2 2 4 2" xfId="37662"/>
    <cellStyle name="常规 8 2 2 4 3" xfId="37663"/>
    <cellStyle name="常规 8 2 2 4 4" xfId="37664"/>
    <cellStyle name="常规 8 2 2 5" xfId="37665"/>
    <cellStyle name="常规 8 2 2 5 2" xfId="19551"/>
    <cellStyle name="常规 8 2 2 5 2 2" xfId="19554"/>
    <cellStyle name="常规 8 2 2 5 3" xfId="19557"/>
    <cellStyle name="常规 8 2 2 5 4" xfId="19560"/>
    <cellStyle name="常规 8 2 2 6" xfId="37666"/>
    <cellStyle name="常规 8 2 2 6 2" xfId="19595"/>
    <cellStyle name="常规 8 2 2 7" xfId="37667"/>
    <cellStyle name="常规 8 2 2 7 2" xfId="17434"/>
    <cellStyle name="常规 8 2 2 8" xfId="37668"/>
    <cellStyle name="常规 8 2 2 9" xfId="37669"/>
    <cellStyle name="常规 8 2 3" xfId="37670"/>
    <cellStyle name="常规 8 2 3 10" xfId="37671"/>
    <cellStyle name="常规 8 2 3 11" xfId="37672"/>
    <cellStyle name="常规 8 2 3 12" xfId="37673"/>
    <cellStyle name="常规 8 2 3 2" xfId="37674"/>
    <cellStyle name="常规 8 2 3 2 10" xfId="37675"/>
    <cellStyle name="常规 8 2 3 2 11" xfId="11998"/>
    <cellStyle name="常规 8 2 3 2 2" xfId="37676"/>
    <cellStyle name="常规 8 2 3 2 2 2" xfId="37677"/>
    <cellStyle name="常规 8 2 3 2 2 2 2" xfId="37678"/>
    <cellStyle name="常规 8 2 3 2 2 2 2 2" xfId="37679"/>
    <cellStyle name="常规 8 2 3 2 2 2 2 2 2" xfId="37680"/>
    <cellStyle name="常规 8 2 3 2 2 2 2 3" xfId="37681"/>
    <cellStyle name="常规 8 2 3 2 2 2 2 4" xfId="37682"/>
    <cellStyle name="常规 8 2 3 2 2 2 3" xfId="37683"/>
    <cellStyle name="常规 8 2 3 2 2 2 4" xfId="37684"/>
    <cellStyle name="常规 8 2 3 2 2 3" xfId="37685"/>
    <cellStyle name="常规 8 2 3 2 2 3 2" xfId="37686"/>
    <cellStyle name="常规 8 2 3 2 2 3 3" xfId="37687"/>
    <cellStyle name="常规 8 2 3 2 2 4" xfId="37688"/>
    <cellStyle name="常规 8 2 3 2 2 4 2" xfId="37689"/>
    <cellStyle name="常规 8 2 3 2 2 4 2 2" xfId="37690"/>
    <cellStyle name="常规 8 2 3 2 2 4 3" xfId="37691"/>
    <cellStyle name="常规 8 2 3 2 2 4 4" xfId="37692"/>
    <cellStyle name="常规 8 2 3 2 2 5" xfId="37693"/>
    <cellStyle name="常规 8 2 3 2 2 6" xfId="37694"/>
    <cellStyle name="常规 8 2 3 2 2 7" xfId="37695"/>
    <cellStyle name="常规 8 2 3 2 2 8" xfId="37696"/>
    <cellStyle name="常规 8 2 3 2 3" xfId="37697"/>
    <cellStyle name="常规 8 2 3 2 3 2" xfId="37698"/>
    <cellStyle name="常规 8 2 3 2 3 2 2" xfId="37699"/>
    <cellStyle name="常规 8 2 3 2 3 2 2 2" xfId="37700"/>
    <cellStyle name="常规 8 2 3 2 3 2 3" xfId="9938"/>
    <cellStyle name="常规 8 2 3 2 3 2 4" xfId="16113"/>
    <cellStyle name="常规 8 2 3 2 3 3" xfId="37701"/>
    <cellStyle name="常规 8 2 3 2 3 4" xfId="37702"/>
    <cellStyle name="常规 8 2 3 2 3 5" xfId="37703"/>
    <cellStyle name="常规 8 2 3 2 3 6" xfId="15228"/>
    <cellStyle name="常规 8 2 3 2 4" xfId="37704"/>
    <cellStyle name="常规 8 2 3 2 4 2" xfId="37705"/>
    <cellStyle name="常规 8 2 3 2 4 3" xfId="37706"/>
    <cellStyle name="常规 8 2 3 2 4 4" xfId="37707"/>
    <cellStyle name="常规 8 2 3 2 5" xfId="37708"/>
    <cellStyle name="常规 8 2 3 2 5 2" xfId="37709"/>
    <cellStyle name="常规 8 2 3 2 5 2 2" xfId="37710"/>
    <cellStyle name="常规 8 2 3 2 5 3" xfId="37711"/>
    <cellStyle name="常规 8 2 3 2 5 4" xfId="37713"/>
    <cellStyle name="常规 8 2 3 2 6" xfId="37715"/>
    <cellStyle name="常规 8 2 3 2 6 2" xfId="37716"/>
    <cellStyle name="常规 8 2 3 2 7" xfId="37717"/>
    <cellStyle name="常规 8 2 3 2 7 2" xfId="37718"/>
    <cellStyle name="常规 8 2 3 2 8" xfId="37719"/>
    <cellStyle name="常规 8 2 3 2 9" xfId="37720"/>
    <cellStyle name="常规 8 2 3 3" xfId="96"/>
    <cellStyle name="常规 8 2 3 3 2" xfId="37721"/>
    <cellStyle name="常规 8 2 3 3 2 2" xfId="37722"/>
    <cellStyle name="常规 8 2 3 3 2 2 2" xfId="37723"/>
    <cellStyle name="常规 8 2 3 3 2 2 2 2" xfId="37724"/>
    <cellStyle name="常规 8 2 3 3 2 2 3" xfId="37725"/>
    <cellStyle name="常规 8 2 3 3 2 2 4" xfId="112"/>
    <cellStyle name="常规 8 2 3 3 2 3" xfId="37726"/>
    <cellStyle name="常规 8 2 3 3 2 4" xfId="37727"/>
    <cellStyle name="常规 8 2 3 3 3" xfId="37728"/>
    <cellStyle name="常规 8 2 3 3 3 2" xfId="37729"/>
    <cellStyle name="常规 8 2 3 3 3 3" xfId="37730"/>
    <cellStyle name="常规 8 2 3 3 4" xfId="37731"/>
    <cellStyle name="常规 8 2 3 3 4 2" xfId="37732"/>
    <cellStyle name="常规 8 2 3 3 4 2 2" xfId="37733"/>
    <cellStyle name="常规 8 2 3 3 4 3" xfId="37734"/>
    <cellStyle name="常规 8 2 3 3 4 4" xfId="37735"/>
    <cellStyle name="常规 8 2 3 3 5" xfId="37736"/>
    <cellStyle name="常规 8 2 3 3 6" xfId="37737"/>
    <cellStyle name="常规 8 2 3 3 7" xfId="37738"/>
    <cellStyle name="常规 8 2 3 3 8" xfId="37739"/>
    <cellStyle name="常规 8 2 3 4" xfId="37740"/>
    <cellStyle name="常规 8 2 3 4 2" xfId="37741"/>
    <cellStyle name="常规 8 2 3 4 2 2" xfId="37742"/>
    <cellStyle name="常规 8 2 3 4 2 2 2" xfId="37743"/>
    <cellStyle name="常规 8 2 3 4 2 3" xfId="37744"/>
    <cellStyle name="常规 8 2 3 4 2 4" xfId="37745"/>
    <cellStyle name="常规 8 2 3 4 3" xfId="37746"/>
    <cellStyle name="常规 8 2 3 4 4" xfId="37747"/>
    <cellStyle name="常规 8 2 3 4 5" xfId="37748"/>
    <cellStyle name="常规 8 2 3 4 6" xfId="37749"/>
    <cellStyle name="常规 8 2 3 5" xfId="37750"/>
    <cellStyle name="常规 8 2 3 5 2" xfId="33154"/>
    <cellStyle name="常规 8 2 3 5 3" xfId="33156"/>
    <cellStyle name="常规 8 2 3 5 4" xfId="37751"/>
    <cellStyle name="常规 8 2 3 6" xfId="37752"/>
    <cellStyle name="常规 8 2 3 6 2" xfId="37753"/>
    <cellStyle name="常规 8 2 3 6 2 2" xfId="37754"/>
    <cellStyle name="常规 8 2 3 6 3" xfId="37755"/>
    <cellStyle name="常规 8 2 3 6 4" xfId="37756"/>
    <cellStyle name="常规 8 2 3 7" xfId="37757"/>
    <cellStyle name="常规 8 2 3 7 2" xfId="37758"/>
    <cellStyle name="常规 8 2 3 8" xfId="37759"/>
    <cellStyle name="常规 8 2 3 8 2" xfId="37760"/>
    <cellStyle name="常规 8 2 3 9" xfId="37761"/>
    <cellStyle name="常规 8 2 4" xfId="37762"/>
    <cellStyle name="常规 8 2 4 2" xfId="37763"/>
    <cellStyle name="常规 8 2 4 2 2" xfId="37764"/>
    <cellStyle name="常规 8 2 4 2 2 2" xfId="37765"/>
    <cellStyle name="常规 8 2 4 2 2 2 2" xfId="37766"/>
    <cellStyle name="常规 8 2 4 2 2 3" xfId="37767"/>
    <cellStyle name="常规 8 2 4 2 2 4" xfId="37768"/>
    <cellStyle name="常规 8 2 4 2 3" xfId="37769"/>
    <cellStyle name="常规 8 2 4 2 4" xfId="37770"/>
    <cellStyle name="常规 8 2 4 3" xfId="37771"/>
    <cellStyle name="常规 8 2 4 3 2" xfId="37772"/>
    <cellStyle name="常规 8 2 4 3 3" xfId="37773"/>
    <cellStyle name="常规 8 2 4 4" xfId="37774"/>
    <cellStyle name="常规 8 2 4 4 2" xfId="37775"/>
    <cellStyle name="常规 8 2 4 4 2 2" xfId="37776"/>
    <cellStyle name="常规 8 2 4 4 3" xfId="37777"/>
    <cellStyle name="常规 8 2 4 4 4" xfId="37778"/>
    <cellStyle name="常规 8 2 4 5" xfId="37779"/>
    <cellStyle name="常规 8 2 4 6" xfId="37780"/>
    <cellStyle name="常规 8 2 4 7" xfId="37781"/>
    <cellStyle name="常规 8 2 4 8" xfId="37782"/>
    <cellStyle name="常规 8 2 5" xfId="37783"/>
    <cellStyle name="常规 8 2 5 2" xfId="37784"/>
    <cellStyle name="常规 8 2 5 2 2" xfId="37785"/>
    <cellStyle name="常规 8 2 5 2 2 2" xfId="37786"/>
    <cellStyle name="常规 8 2 5 2 3" xfId="37787"/>
    <cellStyle name="常规 8 2 5 2 4" xfId="37788"/>
    <cellStyle name="常规 8 2 5 3" xfId="37789"/>
    <cellStyle name="常规 8 2 5 4" xfId="37790"/>
    <cellStyle name="常规 8 2 5 5" xfId="37791"/>
    <cellStyle name="常规 8 2 5 6" xfId="37792"/>
    <cellStyle name="常规 8 2 6" xfId="37793"/>
    <cellStyle name="常规 8 2 6 2" xfId="37794"/>
    <cellStyle name="常规 8 2 6 3" xfId="37795"/>
    <cellStyle name="常规 8 2 6 4" xfId="37796"/>
    <cellStyle name="常规 8 2 7" xfId="37797"/>
    <cellStyle name="常规 8 2 7 2" xfId="37798"/>
    <cellStyle name="常规 8 2 7 2 2" xfId="37799"/>
    <cellStyle name="常规 8 2 7 3" xfId="37800"/>
    <cellStyle name="常规 8 2 7 4" xfId="37801"/>
    <cellStyle name="常规 8 2 8" xfId="37802"/>
    <cellStyle name="常规 8 2 8 2" xfId="37803"/>
    <cellStyle name="常规 8 2 9" xfId="37804"/>
    <cellStyle name="常规 8 2 9 2" xfId="37805"/>
    <cellStyle name="常规 8 3" xfId="37806"/>
    <cellStyle name="常规 8 3 10" xfId="37807"/>
    <cellStyle name="常规 8 3 11" xfId="37808"/>
    <cellStyle name="常规 8 3 12" xfId="37809"/>
    <cellStyle name="常规 8 3 2" xfId="37810"/>
    <cellStyle name="常规 8 3 2 10" xfId="37811"/>
    <cellStyle name="常规 8 3 2 11" xfId="37812"/>
    <cellStyle name="常规 8 3 2 2" xfId="37813"/>
    <cellStyle name="常规 8 3 2 2 2" xfId="19111"/>
    <cellStyle name="常规 8 3 2 2 2 2" xfId="19114"/>
    <cellStyle name="常规 8 3 2 2 2 2 2" xfId="19117"/>
    <cellStyle name="常规 8 3 2 2 2 2 2 2" xfId="37814"/>
    <cellStyle name="常规 8 3 2 2 2 2 3" xfId="37815"/>
    <cellStyle name="常规 8 3 2 2 2 2 4" xfId="37816"/>
    <cellStyle name="常规 8 3 2 2 2 3" xfId="19119"/>
    <cellStyle name="常规 8 3 2 2 2 4" xfId="19122"/>
    <cellStyle name="常规 8 3 2 2 3" xfId="19124"/>
    <cellStyle name="常规 8 3 2 2 3 2" xfId="14644"/>
    <cellStyle name="常规 8 3 2 2 3 3" xfId="14649"/>
    <cellStyle name="常规 8 3 2 2 4" xfId="7943"/>
    <cellStyle name="常规 8 3 2 2 4 2" xfId="7947"/>
    <cellStyle name="常规 8 3 2 2 4 2 2" xfId="14811"/>
    <cellStyle name="常规 8 3 2 2 4 3" xfId="14814"/>
    <cellStyle name="常规 8 3 2 2 4 4" xfId="14819"/>
    <cellStyle name="常规 8 3 2 2 5" xfId="7954"/>
    <cellStyle name="常规 8 3 2 2 6" xfId="37817"/>
    <cellStyle name="常规 8 3 2 2 7" xfId="37818"/>
    <cellStyle name="常规 8 3 2 2 8" xfId="37819"/>
    <cellStyle name="常规 8 3 2 3" xfId="37820"/>
    <cellStyle name="常规 8 3 2 3 2" xfId="14256"/>
    <cellStyle name="常规 8 3 2 3 2 2" xfId="14260"/>
    <cellStyle name="常规 8 3 2 3 2 2 2" xfId="14264"/>
    <cellStyle name="常规 8 3 2 3 2 3" xfId="14328"/>
    <cellStyle name="常规 8 3 2 3 2 4" xfId="14370"/>
    <cellStyle name="常规 8 3 2 3 3" xfId="14398"/>
    <cellStyle name="常规 8 3 2 3 4" xfId="7961"/>
    <cellStyle name="常规 8 3 2 3 5" xfId="14483"/>
    <cellStyle name="常规 8 3 2 3 6" xfId="37821"/>
    <cellStyle name="常规 8 3 2 4" xfId="37822"/>
    <cellStyle name="常规 8 3 2 4 2" xfId="19845"/>
    <cellStyle name="常规 8 3 2 4 3" xfId="19855"/>
    <cellStyle name="常规 8 3 2 4 4" xfId="7969"/>
    <cellStyle name="常规 8 3 2 5" xfId="22784"/>
    <cellStyle name="常规 8 3 2 5 2" xfId="20331"/>
    <cellStyle name="常规 8 3 2 5 2 2" xfId="20335"/>
    <cellStyle name="常规 8 3 2 5 3" xfId="20346"/>
    <cellStyle name="常规 8 3 2 5 4" xfId="20349"/>
    <cellStyle name="常规 8 3 2 6" xfId="22787"/>
    <cellStyle name="常规 8 3 2 6 2" xfId="20806"/>
    <cellStyle name="常规 8 3 2 7" xfId="17451"/>
    <cellStyle name="常规 8 3 2 7 2" xfId="37823"/>
    <cellStyle name="常规 8 3 2 8" xfId="37824"/>
    <cellStyle name="常规 8 3 2 9" xfId="37825"/>
    <cellStyle name="常规 8 3 3" xfId="37826"/>
    <cellStyle name="常规 8 3 3 2" xfId="37827"/>
    <cellStyle name="常规 8 3 3 2 2" xfId="21165"/>
    <cellStyle name="常规 8 3 3 2 2 2" xfId="28335"/>
    <cellStyle name="常规 8 3 3 2 2 2 2" xfId="37828"/>
    <cellStyle name="常规 8 3 3 2 2 3" xfId="37829"/>
    <cellStyle name="常规 8 3 3 2 2 4" xfId="37830"/>
    <cellStyle name="常规 8 3 3 2 3" xfId="21168"/>
    <cellStyle name="常规 8 3 3 2 4" xfId="7978"/>
    <cellStyle name="常规 8 3 3 3" xfId="6453"/>
    <cellStyle name="常规 8 3 3 3 2" xfId="21179"/>
    <cellStyle name="常规 8 3 3 3 3" xfId="37831"/>
    <cellStyle name="常规 8 3 3 4" xfId="37832"/>
    <cellStyle name="常规 8 3 3 4 2" xfId="37833"/>
    <cellStyle name="常规 8 3 3 4 2 2" xfId="8026"/>
    <cellStyle name="常规 8 3 3 4 3" xfId="37834"/>
    <cellStyle name="常规 8 3 3 4 4" xfId="37835"/>
    <cellStyle name="常规 8 3 3 5" xfId="7063"/>
    <cellStyle name="常规 8 3 3 6" xfId="37836"/>
    <cellStyle name="常规 8 3 3 7" xfId="37837"/>
    <cellStyle name="常规 8 3 3 8" xfId="37838"/>
    <cellStyle name="常规 8 3 4" xfId="37839"/>
    <cellStyle name="常规 8 3 4 2" xfId="37840"/>
    <cellStyle name="常规 8 3 4 2 2" xfId="21501"/>
    <cellStyle name="常规 8 3 4 2 2 2" xfId="37841"/>
    <cellStyle name="常规 8 3 4 2 3" xfId="37842"/>
    <cellStyle name="常规 8 3 4 2 4" xfId="37843"/>
    <cellStyle name="常规 8 3 4 3" xfId="37844"/>
    <cellStyle name="常规 8 3 4 4" xfId="37845"/>
    <cellStyle name="常规 8 3 4 5" xfId="37846"/>
    <cellStyle name="常规 8 3 4 6" xfId="37847"/>
    <cellStyle name="常规 8 3 5" xfId="22964"/>
    <cellStyle name="常规 8 3 5 2" xfId="37848"/>
    <cellStyle name="常规 8 3 5 3" xfId="37849"/>
    <cellStyle name="常规 8 3 5 4" xfId="37850"/>
    <cellStyle name="常规 8 3 6" xfId="37851"/>
    <cellStyle name="常规 8 3 6 2" xfId="37852"/>
    <cellStyle name="常规 8 3 6 2 2" xfId="22251"/>
    <cellStyle name="常规 8 3 6 3" xfId="37853"/>
    <cellStyle name="常规 8 3 6 4" xfId="37854"/>
    <cellStyle name="常规 8 3 7" xfId="37855"/>
    <cellStyle name="常规 8 3 7 2" xfId="37856"/>
    <cellStyle name="常规 8 3 8" xfId="37857"/>
    <cellStyle name="常规 8 3 8 2" xfId="37858"/>
    <cellStyle name="常规 8 3 9" xfId="37859"/>
    <cellStyle name="常规 8 4" xfId="37860"/>
    <cellStyle name="常规 8 4 10" xfId="37861"/>
    <cellStyle name="常规 8 4 2" xfId="37862"/>
    <cellStyle name="常规 8 4 2 2" xfId="37863"/>
    <cellStyle name="常规 8 4 2 2 2" xfId="22978"/>
    <cellStyle name="常规 8 4 2 2 2 2" xfId="37864"/>
    <cellStyle name="常规 8 4 2 2 3" xfId="37865"/>
    <cellStyle name="常规 8 4 2 2 4" xfId="37866"/>
    <cellStyle name="常规 8 4 2 3" xfId="37867"/>
    <cellStyle name="常规 8 4 2 4" xfId="37868"/>
    <cellStyle name="常规 8 4 3" xfId="37869"/>
    <cellStyle name="常规 8 4 3 2" xfId="37870"/>
    <cellStyle name="常规 8 4 3 3" xfId="37871"/>
    <cellStyle name="常规 8 4 4" xfId="37872"/>
    <cellStyle name="常规 8 4 4 2" xfId="37873"/>
    <cellStyle name="常规 8 4 4 2 2" xfId="12726"/>
    <cellStyle name="常规 8 4 4 3" xfId="37874"/>
    <cellStyle name="常规 8 4 4 4" xfId="37875"/>
    <cellStyle name="常规 8 4 5" xfId="37876"/>
    <cellStyle name="常规 8 4 6" xfId="37877"/>
    <cellStyle name="常规 8 4 7" xfId="37878"/>
    <cellStyle name="常规 8 4 8" xfId="37879"/>
    <cellStyle name="常规 8 4 9" xfId="37880"/>
    <cellStyle name="常规 8 5" xfId="37881"/>
    <cellStyle name="常规 8 5 2" xfId="37882"/>
    <cellStyle name="常规 8 5 2 2" xfId="14053"/>
    <cellStyle name="常规 8 5 2 2 2" xfId="14056"/>
    <cellStyle name="常规 8 5 2 3" xfId="14067"/>
    <cellStyle name="常规 8 5 2 4" xfId="14072"/>
    <cellStyle name="常规 8 5 3" xfId="37883"/>
    <cellStyle name="常规 8 5 4" xfId="12743"/>
    <cellStyle name="常规 8 5 5" xfId="12751"/>
    <cellStyle name="常规 8 5 6" xfId="17512"/>
    <cellStyle name="常规 8 6" xfId="37884"/>
    <cellStyle name="常规 8 6 2" xfId="37885"/>
    <cellStyle name="常规 8 6 3" xfId="37886"/>
    <cellStyle name="常规 8 6 4" xfId="12757"/>
    <cellStyle name="常规 8 7" xfId="37887"/>
    <cellStyle name="常规 8 7 2" xfId="37888"/>
    <cellStyle name="常规 8 7 2 2" xfId="14214"/>
    <cellStyle name="常规 8 7 3" xfId="37889"/>
    <cellStyle name="常规 8 7 4" xfId="12768"/>
    <cellStyle name="常规 8 8" xfId="37890"/>
    <cellStyle name="常规 8 8 2" xfId="37891"/>
    <cellStyle name="常规 8 9" xfId="37892"/>
    <cellStyle name="常规 8 9 2" xfId="37893"/>
    <cellStyle name="常规 9" xfId="37894"/>
    <cellStyle name="常规 9 10" xfId="37895"/>
    <cellStyle name="常规 9 11" xfId="37896"/>
    <cellStyle name="常规 9 12" xfId="37897"/>
    <cellStyle name="常规 9 13" xfId="37898"/>
    <cellStyle name="常规 9 2" xfId="37899"/>
    <cellStyle name="常规 9 2 10" xfId="37900"/>
    <cellStyle name="常规 9 2 11" xfId="37901"/>
    <cellStyle name="常规 9 2 12" xfId="37902"/>
    <cellStyle name="常规 9 2 13" xfId="37903"/>
    <cellStyle name="常规 9 2 2" xfId="37904"/>
    <cellStyle name="常规 9 2 2 10" xfId="37905"/>
    <cellStyle name="常规 9 2 2 11" xfId="37906"/>
    <cellStyle name="常规 9 2 2 2" xfId="37907"/>
    <cellStyle name="常规 9 2 2 2 2" xfId="30247"/>
    <cellStyle name="常规 9 2 2 2 2 2" xfId="37908"/>
    <cellStyle name="常规 9 2 2 2 2 2 2" xfId="37909"/>
    <cellStyle name="常规 9 2 2 2 2 2 2 2" xfId="37910"/>
    <cellStyle name="常规 9 2 2 2 2 2 3" xfId="37911"/>
    <cellStyle name="常规 9 2 2 2 2 2 4" xfId="37912"/>
    <cellStyle name="常规 9 2 2 2 2 3" xfId="37913"/>
    <cellStyle name="常规 9 2 2 2 2 4" xfId="37914"/>
    <cellStyle name="常规 9 2 2 2 3" xfId="30249"/>
    <cellStyle name="常规 9 2 2 2 3 2" xfId="37915"/>
    <cellStyle name="常规 9 2 2 2 3 3" xfId="37916"/>
    <cellStyle name="常规 9 2 2 2 4" xfId="37917"/>
    <cellStyle name="常规 9 2 2 2 4 2" xfId="37918"/>
    <cellStyle name="常规 9 2 2 2 4 2 2" xfId="37919"/>
    <cellStyle name="常规 9 2 2 2 4 3" xfId="37920"/>
    <cellStyle name="常规 9 2 2 2 4 4" xfId="37921"/>
    <cellStyle name="常规 9 2 2 2 5" xfId="37922"/>
    <cellStyle name="常规 9 2 2 2 6" xfId="37923"/>
    <cellStyle name="常规 9 2 2 2 7" xfId="37924"/>
    <cellStyle name="常规 9 2 2 2 8" xfId="37925"/>
    <cellStyle name="常规 9 2 2 3" xfId="37926"/>
    <cellStyle name="常规 9 2 2 3 2" xfId="37927"/>
    <cellStyle name="常规 9 2 2 3 2 2" xfId="37928"/>
    <cellStyle name="常规 9 2 2 3 2 2 2" xfId="37929"/>
    <cellStyle name="常规 9 2 2 3 2 3" xfId="37930"/>
    <cellStyle name="常规 9 2 2 3 2 4" xfId="37931"/>
    <cellStyle name="常规 9 2 2 3 3" xfId="37932"/>
    <cellStyle name="常规 9 2 2 3 4" xfId="37933"/>
    <cellStyle name="常规 9 2 2 3 5" xfId="37934"/>
    <cellStyle name="常规 9 2 2 3 6" xfId="37935"/>
    <cellStyle name="常规 9 2 2 4" xfId="37936"/>
    <cellStyle name="常规 9 2 2 4 2" xfId="37937"/>
    <cellStyle name="常规 9 2 2 4 3" xfId="37938"/>
    <cellStyle name="常规 9 2 2 4 4" xfId="37939"/>
    <cellStyle name="常规 9 2 2 5" xfId="37940"/>
    <cellStyle name="常规 9 2 2 5 2" xfId="19997"/>
    <cellStyle name="常规 9 2 2 5 2 2" xfId="20001"/>
    <cellStyle name="常规 9 2 2 5 3" xfId="20007"/>
    <cellStyle name="常规 9 2 2 5 4" xfId="20011"/>
    <cellStyle name="常规 9 2 2 6" xfId="37941"/>
    <cellStyle name="常规 9 2 2 6 2" xfId="20050"/>
    <cellStyle name="常规 9 2 2 7" xfId="37942"/>
    <cellStyle name="常规 9 2 2 7 2" xfId="27760"/>
    <cellStyle name="常规 9 2 2 8" xfId="37943"/>
    <cellStyle name="常规 9 2 2 9" xfId="37944"/>
    <cellStyle name="常规 9 2 3" xfId="37945"/>
    <cellStyle name="常规 9 2 3 10" xfId="37946"/>
    <cellStyle name="常规 9 2 3 11" xfId="37947"/>
    <cellStyle name="常规 9 2 3 12" xfId="37948"/>
    <cellStyle name="常规 9 2 3 2" xfId="37949"/>
    <cellStyle name="常规 9 2 3 2 10" xfId="37950"/>
    <cellStyle name="常规 9 2 3 2 11" xfId="17329"/>
    <cellStyle name="常规 9 2 3 2 2" xfId="37951"/>
    <cellStyle name="常规 9 2 3 2 2 2" xfId="37952"/>
    <cellStyle name="常规 9 2 3 2 2 2 2" xfId="37953"/>
    <cellStyle name="常规 9 2 3 2 2 2 2 2" xfId="37954"/>
    <cellStyle name="常规 9 2 3 2 2 2 2 2 2" xfId="37955"/>
    <cellStyle name="常规 9 2 3 2 2 2 2 3" xfId="37956"/>
    <cellStyle name="常规 9 2 3 2 2 2 2 4" xfId="37957"/>
    <cellStyle name="常规 9 2 3 2 2 2 3" xfId="37958"/>
    <cellStyle name="常规 9 2 3 2 2 2 4" xfId="37959"/>
    <cellStyle name="常规 9 2 3 2 2 3" xfId="37960"/>
    <cellStyle name="常规 9 2 3 2 2 3 2" xfId="37961"/>
    <cellStyle name="常规 9 2 3 2 2 3 3" xfId="37962"/>
    <cellStyle name="常规 9 2 3 2 2 4" xfId="37963"/>
    <cellStyle name="常规 9 2 3 2 2 4 2" xfId="37964"/>
    <cellStyle name="常规 9 2 3 2 2 4 2 2" xfId="37965"/>
    <cellStyle name="常规 9 2 3 2 2 4 3" xfId="37966"/>
    <cellStyle name="常规 9 2 3 2 2 4 4" xfId="37967"/>
    <cellStyle name="常规 9 2 3 2 2 5" xfId="37968"/>
    <cellStyle name="常规 9 2 3 2 2 6" xfId="37969"/>
    <cellStyle name="常规 9 2 3 2 2 7" xfId="37970"/>
    <cellStyle name="常规 9 2 3 2 2 8" xfId="37971"/>
    <cellStyle name="常规 9 2 3 2 3" xfId="37972"/>
    <cellStyle name="常规 9 2 3 2 3 2" xfId="37973"/>
    <cellStyle name="常规 9 2 3 2 3 2 2" xfId="37974"/>
    <cellStyle name="常规 9 2 3 2 3 2 2 2" xfId="37975"/>
    <cellStyle name="常规 9 2 3 2 3 2 3" xfId="37976"/>
    <cellStyle name="常规 9 2 3 2 3 2 4" xfId="37977"/>
    <cellStyle name="常规 9 2 3 2 3 3" xfId="37978"/>
    <cellStyle name="常规 9 2 3 2 3 4" xfId="37979"/>
    <cellStyle name="常规 9 2 3 2 3 5" xfId="37980"/>
    <cellStyle name="常规 9 2 3 2 3 6" xfId="37981"/>
    <cellStyle name="常规 9 2 3 2 4" xfId="37982"/>
    <cellStyle name="常规 9 2 3 2 4 2" xfId="37983"/>
    <cellStyle name="常规 9 2 3 2 4 3" xfId="37984"/>
    <cellStyle name="常规 9 2 3 2 4 4" xfId="37985"/>
    <cellStyle name="常规 9 2 3 2 5" xfId="37986"/>
    <cellStyle name="常规 9 2 3 2 5 2" xfId="37987"/>
    <cellStyle name="常规 9 2 3 2 5 2 2" xfId="37988"/>
    <cellStyle name="常规 9 2 3 2 5 3" xfId="37989"/>
    <cellStyle name="常规 9 2 3 2 5 4" xfId="10427"/>
    <cellStyle name="常规 9 2 3 2 6" xfId="37990"/>
    <cellStyle name="常规 9 2 3 2 6 2" xfId="37991"/>
    <cellStyle name="常规 9 2 3 2 7" xfId="37992"/>
    <cellStyle name="常规 9 2 3 2 7 2" xfId="37993"/>
    <cellStyle name="常规 9 2 3 2 8" xfId="37994"/>
    <cellStyle name="常规 9 2 3 2 9" xfId="37995"/>
    <cellStyle name="常规 9 2 3 3" xfId="37996"/>
    <cellStyle name="常规 9 2 3 3 2" xfId="37997"/>
    <cellStyle name="常规 9 2 3 3 2 2" xfId="37998"/>
    <cellStyle name="常规 9 2 3 3 2 2 2" xfId="37999"/>
    <cellStyle name="常规 9 2 3 3 2 2 2 2" xfId="38000"/>
    <cellStyle name="常规 9 2 3 3 2 2 3" xfId="38001"/>
    <cellStyle name="常规 9 2 3 3 2 2 4" xfId="38002"/>
    <cellStyle name="常规 9 2 3 3 2 3" xfId="38003"/>
    <cellStyle name="常规 9 2 3 3 2 4" xfId="38004"/>
    <cellStyle name="常规 9 2 3 3 3" xfId="38005"/>
    <cellStyle name="常规 9 2 3 3 3 2" xfId="38006"/>
    <cellStyle name="常规 9 2 3 3 3 3" xfId="38007"/>
    <cellStyle name="常规 9 2 3 3 4" xfId="38008"/>
    <cellStyle name="常规 9 2 3 3 4 2" xfId="38009"/>
    <cellStyle name="常规 9 2 3 3 4 2 2" xfId="38010"/>
    <cellStyle name="常规 9 2 3 3 4 3" xfId="38011"/>
    <cellStyle name="常规 9 2 3 3 4 4" xfId="38012"/>
    <cellStyle name="常规 9 2 3 3 5" xfId="38014"/>
    <cellStyle name="常规 9 2 3 3 6" xfId="38015"/>
    <cellStyle name="常规 9 2 3 3 7" xfId="38016"/>
    <cellStyle name="常规 9 2 3 3 8" xfId="38017"/>
    <cellStyle name="常规 9 2 3 4" xfId="38018"/>
    <cellStyle name="常规 9 2 3 4 2" xfId="38019"/>
    <cellStyle name="常规 9 2 3 4 2 2" xfId="38020"/>
    <cellStyle name="常规 9 2 3 4 2 2 2" xfId="38021"/>
    <cellStyle name="常规 9 2 3 4 2 3" xfId="38022"/>
    <cellStyle name="常规 9 2 3 4 2 4" xfId="38023"/>
    <cellStyle name="常规 9 2 3 4 3" xfId="38024"/>
    <cellStyle name="常规 9 2 3 4 4" xfId="38025"/>
    <cellStyle name="常规 9 2 3 4 5" xfId="38026"/>
    <cellStyle name="常规 9 2 3 4 6" xfId="38027"/>
    <cellStyle name="常规 9 2 3 5" xfId="5286"/>
    <cellStyle name="常规 9 2 3 5 2" xfId="4352"/>
    <cellStyle name="常规 9 2 3 5 3" xfId="2657"/>
    <cellStyle name="常规 9 2 3 5 4" xfId="4375"/>
    <cellStyle name="常规 9 2 3 6" xfId="5289"/>
    <cellStyle name="常规 9 2 3 6 2" xfId="4403"/>
    <cellStyle name="常规 9 2 3 6 2 2" xfId="5291"/>
    <cellStyle name="常规 9 2 3 6 3" xfId="5295"/>
    <cellStyle name="常规 9 2 3 6 4" xfId="38028"/>
    <cellStyle name="常规 9 2 3 7" xfId="5299"/>
    <cellStyle name="常规 9 2 3 7 2" xfId="5302"/>
    <cellStyle name="常规 9 2 3 8" xfId="5314"/>
    <cellStyle name="常规 9 2 3 8 2" xfId="5318"/>
    <cellStyle name="常规 9 2 3 9" xfId="5321"/>
    <cellStyle name="常规 9 2 4" xfId="38029"/>
    <cellStyle name="常规 9 2 4 2" xfId="38030"/>
    <cellStyle name="常规 9 2 4 2 2" xfId="38031"/>
    <cellStyle name="常规 9 2 4 2 2 2" xfId="38032"/>
    <cellStyle name="常规 9 2 4 2 2 2 2" xfId="38033"/>
    <cellStyle name="常规 9 2 4 2 2 3" xfId="38034"/>
    <cellStyle name="常规 9 2 4 2 2 4" xfId="38035"/>
    <cellStyle name="常规 9 2 4 2 3" xfId="38036"/>
    <cellStyle name="常规 9 2 4 2 4" xfId="38037"/>
    <cellStyle name="常规 9 2 4 3" xfId="38038"/>
    <cellStyle name="常规 9 2 4 3 2" xfId="38039"/>
    <cellStyle name="常规 9 2 4 3 3" xfId="38040"/>
    <cellStyle name="常规 9 2 4 4" xfId="38041"/>
    <cellStyle name="常规 9 2 4 4 2" xfId="38042"/>
    <cellStyle name="常规 9 2 4 4 2 2" xfId="38043"/>
    <cellStyle name="常规 9 2 4 4 3" xfId="38044"/>
    <cellStyle name="常规 9 2 4 4 4" xfId="38045"/>
    <cellStyle name="常规 9 2 4 5" xfId="5328"/>
    <cellStyle name="常规 9 2 4 6" xfId="5330"/>
    <cellStyle name="常规 9 2 4 7" xfId="5334"/>
    <cellStyle name="常规 9 2 4 8" xfId="38046"/>
    <cellStyle name="常规 9 2 5" xfId="38047"/>
    <cellStyle name="常规 9 2 5 2" xfId="38048"/>
    <cellStyle name="常规 9 2 5 2 2" xfId="38049"/>
    <cellStyle name="常规 9 2 5 2 2 2" xfId="38050"/>
    <cellStyle name="常规 9 2 5 2 3" xfId="38051"/>
    <cellStyle name="常规 9 2 5 2 4" xfId="38052"/>
    <cellStyle name="常规 9 2 5 3" xfId="38053"/>
    <cellStyle name="常规 9 2 5 4" xfId="38054"/>
    <cellStyle name="常规 9 2 5 5" xfId="551"/>
    <cellStyle name="常规 9 2 5 6" xfId="67"/>
    <cellStyle name="常规 9 2 6" xfId="28893"/>
    <cellStyle name="常规 9 2 6 2" xfId="28895"/>
    <cellStyle name="常规 9 2 6 3" xfId="38055"/>
    <cellStyle name="常规 9 2 6 4" xfId="38056"/>
    <cellStyle name="常规 9 2 7" xfId="6887"/>
    <cellStyle name="常规 9 2 7 2" xfId="38057"/>
    <cellStyle name="常规 9 2 7 2 2" xfId="38058"/>
    <cellStyle name="常规 9 2 7 3" xfId="38059"/>
    <cellStyle name="常规 9 2 7 4" xfId="38060"/>
    <cellStyle name="常规 9 2 8" xfId="6891"/>
    <cellStyle name="常规 9 2 8 2" xfId="38061"/>
    <cellStyle name="常规 9 2 9" xfId="28714"/>
    <cellStyle name="常规 9 2 9 2" xfId="28716"/>
    <cellStyle name="常规 9 3" xfId="38062"/>
    <cellStyle name="常规 9 3 10" xfId="38063"/>
    <cellStyle name="常规 9 3 11" xfId="38064"/>
    <cellStyle name="常规 9 3 12" xfId="38065"/>
    <cellStyle name="常规 9 3 2" xfId="38066"/>
    <cellStyle name="常规 9 3 2 10" xfId="38067"/>
    <cellStyle name="常规 9 3 2 11" xfId="38068"/>
    <cellStyle name="常规 9 3 2 2" xfId="38069"/>
    <cellStyle name="常规 9 3 2 2 2" xfId="13968"/>
    <cellStyle name="常规 9 3 2 2 2 2" xfId="38070"/>
    <cellStyle name="常规 9 3 2 2 2 2 2" xfId="38071"/>
    <cellStyle name="常规 9 3 2 2 2 2 2 2" xfId="38073"/>
    <cellStyle name="常规 9 3 2 2 2 2 3" xfId="38074"/>
    <cellStyle name="常规 9 3 2 2 2 2 4" xfId="38076"/>
    <cellStyle name="常规 9 3 2 2 2 3" xfId="38078"/>
    <cellStyle name="常规 9 3 2 2 2 4" xfId="38079"/>
    <cellStyle name="常规 9 3 2 2 3" xfId="38080"/>
    <cellStyle name="常规 9 3 2 2 3 2" xfId="8741"/>
    <cellStyle name="常规 9 3 2 2 3 3" xfId="8744"/>
    <cellStyle name="常规 9 3 2 2 4" xfId="38081"/>
    <cellStyle name="常规 9 3 2 2 4 2" xfId="6412"/>
    <cellStyle name="常规 9 3 2 2 4 2 2" xfId="38082"/>
    <cellStyle name="常规 9 3 2 2 4 3" xfId="8099"/>
    <cellStyle name="常规 9 3 2 2 4 4" xfId="38083"/>
    <cellStyle name="常规 9 3 2 2 5" xfId="38084"/>
    <cellStyle name="常规 9 3 2 2 6" xfId="38085"/>
    <cellStyle name="常规 9 3 2 2 7" xfId="38086"/>
    <cellStyle name="常规 9 3 2 2 8" xfId="38087"/>
    <cellStyle name="常规 9 3 2 3" xfId="38088"/>
    <cellStyle name="常规 9 3 2 3 2" xfId="38089"/>
    <cellStyle name="常规 9 3 2 3 2 2" xfId="38090"/>
    <cellStyle name="常规 9 3 2 3 2 2 2" xfId="38091"/>
    <cellStyle name="常规 9 3 2 3 2 3" xfId="38092"/>
    <cellStyle name="常规 9 3 2 3 2 4" xfId="38093"/>
    <cellStyle name="常规 9 3 2 3 3" xfId="38094"/>
    <cellStyle name="常规 9 3 2 3 4" xfId="38095"/>
    <cellStyle name="常规 9 3 2 3 5" xfId="38096"/>
    <cellStyle name="常规 9 3 2 3 6" xfId="38097"/>
    <cellStyle name="常规 9 3 2 4" xfId="38098"/>
    <cellStyle name="常规 9 3 2 4 2" xfId="38099"/>
    <cellStyle name="常规 9 3 2 4 3" xfId="38100"/>
    <cellStyle name="常规 9 3 2 4 4" xfId="38101"/>
    <cellStyle name="常规 9 3 2 5" xfId="22808"/>
    <cellStyle name="常规 9 3 2 5 2" xfId="1469"/>
    <cellStyle name="常规 9 3 2 5 2 2" xfId="38102"/>
    <cellStyle name="常规 9 3 2 5 3" xfId="28053"/>
    <cellStyle name="常规 9 3 2 5 4" xfId="38103"/>
    <cellStyle name="常规 9 3 2 6" xfId="38104"/>
    <cellStyle name="常规 9 3 2 6 2" xfId="38105"/>
    <cellStyle name="常规 9 3 2 7" xfId="38106"/>
    <cellStyle name="常规 9 3 2 7 2" xfId="38107"/>
    <cellStyle name="常规 9 3 2 8" xfId="38108"/>
    <cellStyle name="常规 9 3 2 9" xfId="38109"/>
    <cellStyle name="常规 9 3 3" xfId="38110"/>
    <cellStyle name="常规 9 3 3 2" xfId="4021"/>
    <cellStyle name="常规 9 3 3 2 2" xfId="14230"/>
    <cellStyle name="常规 9 3 3 2 2 2" xfId="28564"/>
    <cellStyle name="常规 9 3 3 2 2 2 2" xfId="38111"/>
    <cellStyle name="常规 9 3 3 2 2 3" xfId="38112"/>
    <cellStyle name="常规 9 3 3 2 2 4" xfId="38113"/>
    <cellStyle name="常规 9 3 3 2 3" xfId="38114"/>
    <cellStyle name="常规 9 3 3 2 4" xfId="38115"/>
    <cellStyle name="常规 9 3 3 3" xfId="38116"/>
    <cellStyle name="常规 9 3 3 3 2" xfId="38117"/>
    <cellStyle name="常规 9 3 3 3 3" xfId="38118"/>
    <cellStyle name="常规 9 3 3 4" xfId="38119"/>
    <cellStyle name="常规 9 3 3 4 2" xfId="38120"/>
    <cellStyle name="常规 9 3 3 4 2 2" xfId="38121"/>
    <cellStyle name="常规 9 3 3 4 3" xfId="38122"/>
    <cellStyle name="常规 9 3 3 4 4" xfId="38123"/>
    <cellStyle name="常规 9 3 3 5" xfId="5347"/>
    <cellStyle name="常规 9 3 3 6" xfId="5387"/>
    <cellStyle name="常规 9 3 3 7" xfId="5397"/>
    <cellStyle name="常规 9 3 3 8" xfId="5407"/>
    <cellStyle name="常规 9 3 4" xfId="38124"/>
    <cellStyle name="常规 9 3 4 2" xfId="38125"/>
    <cellStyle name="常规 9 3 4 2 2" xfId="27275"/>
    <cellStyle name="常规 9 3 4 2 2 2" xfId="834"/>
    <cellStyle name="常规 9 3 4 2 3" xfId="38126"/>
    <cellStyle name="常规 9 3 4 2 4" xfId="38127"/>
    <cellStyle name="常规 9 3 4 3" xfId="38128"/>
    <cellStyle name="常规 9 3 4 4" xfId="38129"/>
    <cellStyle name="常规 9 3 4 5" xfId="5427"/>
    <cellStyle name="常规 9 3 4 6" xfId="5436"/>
    <cellStyle name="常规 9 3 5" xfId="38130"/>
    <cellStyle name="常规 9 3 5 2" xfId="38131"/>
    <cellStyle name="常规 9 3 5 3" xfId="38132"/>
    <cellStyle name="常规 9 3 5 4" xfId="38133"/>
    <cellStyle name="常规 9 3 6" xfId="28897"/>
    <cellStyle name="常规 9 3 6 2" xfId="38134"/>
    <cellStyle name="常规 9 3 6 2 2" xfId="27807"/>
    <cellStyle name="常规 9 3 6 3" xfId="38135"/>
    <cellStyle name="常规 9 3 6 4" xfId="38136"/>
    <cellStyle name="常规 9 3 7" xfId="38137"/>
    <cellStyle name="常规 9 3 7 2" xfId="38138"/>
    <cellStyle name="常规 9 3 8" xfId="38139"/>
    <cellStyle name="常规 9 3 8 2" xfId="38140"/>
    <cellStyle name="常规 9 3 9" xfId="19789"/>
    <cellStyle name="常规 9 4" xfId="38141"/>
    <cellStyle name="常规 9 4 2" xfId="38142"/>
    <cellStyle name="常规 9 4 2 2" xfId="38143"/>
    <cellStyle name="常规 9 4 2 2 2" xfId="27099"/>
    <cellStyle name="常规 9 4 2 2 2 2" xfId="38144"/>
    <cellStyle name="常规 9 4 2 2 3" xfId="27103"/>
    <cellStyle name="常规 9 4 2 2 4" xfId="2114"/>
    <cellStyle name="常规 9 4 2 3" xfId="38145"/>
    <cellStyle name="常规 9 4 2 4" xfId="38146"/>
    <cellStyle name="常规 9 4 3" xfId="38147"/>
    <cellStyle name="常规 9 4 3 2" xfId="38148"/>
    <cellStyle name="常规 9 4 3 3" xfId="38149"/>
    <cellStyle name="常规 9 4 4" xfId="38150"/>
    <cellStyle name="常规 9 4 4 2" xfId="38151"/>
    <cellStyle name="常规 9 4 4 2 2" xfId="15454"/>
    <cellStyle name="常规 9 4 4 3" xfId="38152"/>
    <cellStyle name="常规 9 4 4 4" xfId="38153"/>
    <cellStyle name="常规 9 4 5" xfId="38154"/>
    <cellStyle name="常规 9 4 6" xfId="38155"/>
    <cellStyle name="常规 9 4 7" xfId="38156"/>
    <cellStyle name="常规 9 4 8" xfId="38157"/>
    <cellStyle name="常规 9 5" xfId="38158"/>
    <cellStyle name="常规 9 5 2" xfId="38159"/>
    <cellStyle name="常规 9 5 2 2" xfId="14286"/>
    <cellStyle name="常规 9 5 2 2 2" xfId="27240"/>
    <cellStyle name="常规 9 5 2 3" xfId="14289"/>
    <cellStyle name="常规 9 5 2 4" xfId="38160"/>
    <cellStyle name="常规 9 5 3" xfId="38161"/>
    <cellStyle name="常规 9 5 4" xfId="12785"/>
    <cellStyle name="常规 9 5 5" xfId="17560"/>
    <cellStyle name="常规 9 5 6" xfId="17564"/>
    <cellStyle name="常规 9 6" xfId="38162"/>
    <cellStyle name="常规 9 6 2" xfId="38163"/>
    <cellStyle name="常规 9 6 3" xfId="38164"/>
    <cellStyle name="常规 9 6 4" xfId="17567"/>
    <cellStyle name="常规 9 7" xfId="38165"/>
    <cellStyle name="常规 9 7 2" xfId="38166"/>
    <cellStyle name="常规 9 7 2 2" xfId="38167"/>
    <cellStyle name="常规 9 7 3" xfId="38168"/>
    <cellStyle name="常规 9 7 4" xfId="17574"/>
    <cellStyle name="常规 9 8" xfId="38169"/>
    <cellStyle name="常规 9 8 2" xfId="38170"/>
    <cellStyle name="常规 9 9" xfId="38171"/>
    <cellStyle name="常规 9 9 2" xfId="38172"/>
    <cellStyle name="常规_2012.10.7利通区2012年小农水项目工程量清单 2" xfId="38173"/>
    <cellStyle name="常规_勘察设计费计算" xfId="38174"/>
    <cellStyle name="常规_利通区概算" xfId="38175"/>
    <cellStyle name="常规_中宁河南灌区中线方案估算表101009(中线方案二)" xfId="38176"/>
    <cellStyle name="好 2" xfId="38177"/>
    <cellStyle name="好 2 10" xfId="38178"/>
    <cellStyle name="好 2 11" xfId="38179"/>
    <cellStyle name="好 2 2" xfId="38180"/>
    <cellStyle name="好 2 2 10" xfId="38181"/>
    <cellStyle name="好 2 2 11" xfId="38182"/>
    <cellStyle name="好 2 2 2" xfId="38183"/>
    <cellStyle name="好 2 2 2 2" xfId="38184"/>
    <cellStyle name="好 2 2 2 2 2" xfId="38185"/>
    <cellStyle name="好 2 2 2 2 2 2" xfId="38186"/>
    <cellStyle name="好 2 2 2 2 2 3" xfId="38187"/>
    <cellStyle name="好 2 2 2 2 3" xfId="38188"/>
    <cellStyle name="好 2 2 2 2 3 2" xfId="38189"/>
    <cellStyle name="好 2 2 2 2 3 3" xfId="38190"/>
    <cellStyle name="好 2 2 2 2 4" xfId="38191"/>
    <cellStyle name="好 2 2 2 2 5" xfId="38192"/>
    <cellStyle name="好 2 2 2 2 6" xfId="38193"/>
    <cellStyle name="好 2 2 2 2 7" xfId="38194"/>
    <cellStyle name="好 2 2 2 3" xfId="38195"/>
    <cellStyle name="好 2 2 2 3 2" xfId="38196"/>
    <cellStyle name="好 2 2 2 3 3" xfId="38197"/>
    <cellStyle name="好 2 2 2 3 4" xfId="38198"/>
    <cellStyle name="好 2 2 2 3 5" xfId="38199"/>
    <cellStyle name="好 2 2 2 4" xfId="38200"/>
    <cellStyle name="好 2 2 2 4 2" xfId="38201"/>
    <cellStyle name="好 2 2 2 4 3" xfId="38202"/>
    <cellStyle name="好 2 2 2 5" xfId="38203"/>
    <cellStyle name="好 2 2 2 5 2" xfId="38204"/>
    <cellStyle name="好 2 2 2 6" xfId="38205"/>
    <cellStyle name="好 2 2 2 7" xfId="38206"/>
    <cellStyle name="好 2 2 2 8" xfId="38207"/>
    <cellStyle name="好 2 2 2 9" xfId="38208"/>
    <cellStyle name="好 2 2 3" xfId="38209"/>
    <cellStyle name="好 2 2 3 10" xfId="38210"/>
    <cellStyle name="好 2 2 3 2" xfId="38211"/>
    <cellStyle name="好 2 2 3 2 2" xfId="38212"/>
    <cellStyle name="好 2 2 3 2 2 2" xfId="38213"/>
    <cellStyle name="好 2 2 3 2 2 2 2" xfId="38214"/>
    <cellStyle name="好 2 2 3 2 2 2 3" xfId="38215"/>
    <cellStyle name="好 2 2 3 2 2 3" xfId="38216"/>
    <cellStyle name="好 2 2 3 2 2 3 2" xfId="38217"/>
    <cellStyle name="好 2 2 3 2 2 3 3" xfId="38218"/>
    <cellStyle name="好 2 2 3 2 2 4" xfId="38219"/>
    <cellStyle name="好 2 2 3 2 2 5" xfId="38220"/>
    <cellStyle name="好 2 2 3 2 2 6" xfId="38221"/>
    <cellStyle name="好 2 2 3 2 2 7" xfId="38222"/>
    <cellStyle name="好 2 2 3 2 3" xfId="38223"/>
    <cellStyle name="好 2 2 3 2 3 2" xfId="38224"/>
    <cellStyle name="好 2 2 3 2 3 3" xfId="38225"/>
    <cellStyle name="好 2 2 3 2 3 4" xfId="38226"/>
    <cellStyle name="好 2 2 3 2 3 5" xfId="38227"/>
    <cellStyle name="好 2 2 3 2 4" xfId="38228"/>
    <cellStyle name="好 2 2 3 2 4 2" xfId="38229"/>
    <cellStyle name="好 2 2 3 2 4 3" xfId="38230"/>
    <cellStyle name="好 2 2 3 2 5" xfId="38231"/>
    <cellStyle name="好 2 2 3 2 5 2" xfId="38232"/>
    <cellStyle name="好 2 2 3 2 6" xfId="38233"/>
    <cellStyle name="好 2 2 3 2 7" xfId="38234"/>
    <cellStyle name="好 2 2 3 2 8" xfId="38235"/>
    <cellStyle name="好 2 2 3 2 9" xfId="38236"/>
    <cellStyle name="好 2 2 3 3" xfId="38237"/>
    <cellStyle name="好 2 2 3 3 2" xfId="38238"/>
    <cellStyle name="好 2 2 3 3 2 2" xfId="38239"/>
    <cellStyle name="好 2 2 3 3 2 3" xfId="38240"/>
    <cellStyle name="好 2 2 3 3 3" xfId="38241"/>
    <cellStyle name="好 2 2 3 3 3 2" xfId="38242"/>
    <cellStyle name="好 2 2 3 3 3 3" xfId="38243"/>
    <cellStyle name="好 2 2 3 3 4" xfId="38244"/>
    <cellStyle name="好 2 2 3 3 5" xfId="38245"/>
    <cellStyle name="好 2 2 3 3 6" xfId="38246"/>
    <cellStyle name="好 2 2 3 3 7" xfId="38247"/>
    <cellStyle name="好 2 2 3 4" xfId="38248"/>
    <cellStyle name="好 2 2 3 4 2" xfId="38249"/>
    <cellStyle name="好 2 2 3 4 3" xfId="38250"/>
    <cellStyle name="好 2 2 3 4 4" xfId="38251"/>
    <cellStyle name="好 2 2 3 4 5" xfId="38252"/>
    <cellStyle name="好 2 2 3 5" xfId="38253"/>
    <cellStyle name="好 2 2 3 5 2" xfId="38254"/>
    <cellStyle name="好 2 2 3 5 3" xfId="38255"/>
    <cellStyle name="好 2 2 3 6" xfId="38256"/>
    <cellStyle name="好 2 2 3 6 2" xfId="38257"/>
    <cellStyle name="好 2 2 3 7" xfId="38258"/>
    <cellStyle name="好 2 2 3 8" xfId="38259"/>
    <cellStyle name="好 2 2 3 9" xfId="38260"/>
    <cellStyle name="好 2 2 4" xfId="38261"/>
    <cellStyle name="好 2 2 4 2" xfId="38262"/>
    <cellStyle name="好 2 2 4 2 2" xfId="38263"/>
    <cellStyle name="好 2 2 4 2 3" xfId="38264"/>
    <cellStyle name="好 2 2 4 3" xfId="38265"/>
    <cellStyle name="好 2 2 4 3 2" xfId="38266"/>
    <cellStyle name="好 2 2 4 3 3" xfId="38267"/>
    <cellStyle name="好 2 2 4 4" xfId="38268"/>
    <cellStyle name="好 2 2 4 5" xfId="38269"/>
    <cellStyle name="好 2 2 4 6" xfId="38270"/>
    <cellStyle name="好 2 2 4 7" xfId="38271"/>
    <cellStyle name="好 2 2 5" xfId="38272"/>
    <cellStyle name="好 2 2 5 2" xfId="38273"/>
    <cellStyle name="好 2 2 5 3" xfId="38274"/>
    <cellStyle name="好 2 2 5 4" xfId="38275"/>
    <cellStyle name="好 2 2 5 5" xfId="38276"/>
    <cellStyle name="好 2 2 6" xfId="38277"/>
    <cellStyle name="好 2 2 6 2" xfId="38278"/>
    <cellStyle name="好 2 2 6 3" xfId="38279"/>
    <cellStyle name="好 2 2 7" xfId="38280"/>
    <cellStyle name="好 2 2 7 2" xfId="38281"/>
    <cellStyle name="好 2 2 8" xfId="38282"/>
    <cellStyle name="好 2 2 9" xfId="38283"/>
    <cellStyle name="好 2 3" xfId="38284"/>
    <cellStyle name="好 2 3 10" xfId="38285"/>
    <cellStyle name="好 2 3 2" xfId="38286"/>
    <cellStyle name="好 2 3 2 2" xfId="38287"/>
    <cellStyle name="好 2 3 2 2 2" xfId="38288"/>
    <cellStyle name="好 2 3 2 2 2 2" xfId="38289"/>
    <cellStyle name="好 2 3 2 2 2 3" xfId="38290"/>
    <cellStyle name="好 2 3 2 2 3" xfId="38291"/>
    <cellStyle name="好 2 3 2 2 3 2" xfId="38292"/>
    <cellStyle name="好 2 3 2 2 3 3" xfId="38293"/>
    <cellStyle name="好 2 3 2 2 4" xfId="38294"/>
    <cellStyle name="好 2 3 2 2 5" xfId="38295"/>
    <cellStyle name="好 2 3 2 2 6" xfId="38296"/>
    <cellStyle name="好 2 3 2 2 7" xfId="38297"/>
    <cellStyle name="好 2 3 2 3" xfId="38298"/>
    <cellStyle name="好 2 3 2 3 2" xfId="38299"/>
    <cellStyle name="好 2 3 2 3 3" xfId="38300"/>
    <cellStyle name="好 2 3 2 3 4" xfId="38301"/>
    <cellStyle name="好 2 3 2 3 5" xfId="38302"/>
    <cellStyle name="好 2 3 2 4" xfId="38303"/>
    <cellStyle name="好 2 3 2 4 2" xfId="38304"/>
    <cellStyle name="好 2 3 2 4 3" xfId="38305"/>
    <cellStyle name="好 2 3 2 5" xfId="38306"/>
    <cellStyle name="好 2 3 2 5 2" xfId="38307"/>
    <cellStyle name="好 2 3 2 6" xfId="38308"/>
    <cellStyle name="好 2 3 2 7" xfId="38309"/>
    <cellStyle name="好 2 3 2 8" xfId="38310"/>
    <cellStyle name="好 2 3 2 9" xfId="38311"/>
    <cellStyle name="好 2 3 3" xfId="38312"/>
    <cellStyle name="好 2 3 3 2" xfId="38313"/>
    <cellStyle name="好 2 3 3 2 2" xfId="38314"/>
    <cellStyle name="好 2 3 3 2 3" xfId="38315"/>
    <cellStyle name="好 2 3 3 3" xfId="38316"/>
    <cellStyle name="好 2 3 3 3 2" xfId="38317"/>
    <cellStyle name="好 2 3 3 3 3" xfId="38318"/>
    <cellStyle name="好 2 3 3 4" xfId="38319"/>
    <cellStyle name="好 2 3 3 5" xfId="38320"/>
    <cellStyle name="好 2 3 3 6" xfId="38321"/>
    <cellStyle name="好 2 3 3 7" xfId="38322"/>
    <cellStyle name="好 2 3 4" xfId="38323"/>
    <cellStyle name="好 2 3 4 2" xfId="38324"/>
    <cellStyle name="好 2 3 4 3" xfId="38325"/>
    <cellStyle name="好 2 3 4 4" xfId="38326"/>
    <cellStyle name="好 2 3 4 5" xfId="38327"/>
    <cellStyle name="好 2 3 5" xfId="38328"/>
    <cellStyle name="好 2 3 5 2" xfId="38329"/>
    <cellStyle name="好 2 3 5 3" xfId="38330"/>
    <cellStyle name="好 2 3 6" xfId="38331"/>
    <cellStyle name="好 2 3 6 2" xfId="38332"/>
    <cellStyle name="好 2 3 7" xfId="38333"/>
    <cellStyle name="好 2 3 8" xfId="38334"/>
    <cellStyle name="好 2 3 9" xfId="38335"/>
    <cellStyle name="好 2 4" xfId="38336"/>
    <cellStyle name="好 2 4 2" xfId="21954"/>
    <cellStyle name="好 2 4 2 2" xfId="38337"/>
    <cellStyle name="好 2 4 2 3" xfId="38338"/>
    <cellStyle name="好 2 4 3" xfId="6140"/>
    <cellStyle name="好 2 4 3 2" xfId="38339"/>
    <cellStyle name="好 2 4 3 3" xfId="38340"/>
    <cellStyle name="好 2 4 4" xfId="21957"/>
    <cellStyle name="好 2 4 5" xfId="38341"/>
    <cellStyle name="好 2 4 6" xfId="38342"/>
    <cellStyle name="好 2 4 7" xfId="38343"/>
    <cellStyle name="好 2 5" xfId="38344"/>
    <cellStyle name="好 2 5 2" xfId="21964"/>
    <cellStyle name="好 2 5 3" xfId="38345"/>
    <cellStyle name="好 2 6" xfId="38346"/>
    <cellStyle name="好 2 6 2" xfId="38347"/>
    <cellStyle name="好 2 6 3" xfId="38348"/>
    <cellStyle name="好 2 7" xfId="22813"/>
    <cellStyle name="好 2 7 2" xfId="26750"/>
    <cellStyle name="好 2 8" xfId="5362"/>
    <cellStyle name="好 2 9" xfId="5499"/>
    <cellStyle name="好 3" xfId="38349"/>
    <cellStyle name="好 3 2" xfId="38350"/>
    <cellStyle name="好 3 2 2" xfId="38351"/>
    <cellStyle name="好 3 2 2 2" xfId="38352"/>
    <cellStyle name="好 3 2 2 3" xfId="38353"/>
    <cellStyle name="好 3 2 3" xfId="38354"/>
    <cellStyle name="好 3 2 3 2" xfId="38355"/>
    <cellStyle name="好 3 2 4" xfId="38356"/>
    <cellStyle name="好 3 2 5" xfId="38357"/>
    <cellStyle name="好 3 2 6" xfId="38358"/>
    <cellStyle name="好 3 3" xfId="38359"/>
    <cellStyle name="好 3 3 2" xfId="38360"/>
    <cellStyle name="好 3 3 2 2" xfId="38361"/>
    <cellStyle name="好 3 3 3" xfId="38362"/>
    <cellStyle name="好 3 3 4" xfId="38363"/>
    <cellStyle name="好 3 3 5" xfId="38364"/>
    <cellStyle name="好 3 4" xfId="38365"/>
    <cellStyle name="好 3 4 2" xfId="38366"/>
    <cellStyle name="好 3 4 2 2" xfId="38367"/>
    <cellStyle name="好 3 4 3" xfId="38368"/>
    <cellStyle name="好 3 5" xfId="38369"/>
    <cellStyle name="好 3 5 2" xfId="38370"/>
    <cellStyle name="好 3 6" xfId="38371"/>
    <cellStyle name="好 3 7" xfId="26753"/>
    <cellStyle name="好 3 8" xfId="38372"/>
    <cellStyle name="好 3 9" xfId="38373"/>
    <cellStyle name="好 4" xfId="38374"/>
    <cellStyle name="好 4 2" xfId="38375"/>
    <cellStyle name="好 4 2 2" xfId="38376"/>
    <cellStyle name="好 4 2 3" xfId="38377"/>
    <cellStyle name="好 4 3" xfId="38378"/>
    <cellStyle name="好 4 3 2" xfId="38379"/>
    <cellStyle name="好 4 4" xfId="38380"/>
    <cellStyle name="好 4 5" xfId="38381"/>
    <cellStyle name="好 5" xfId="38382"/>
    <cellStyle name="好 5 2" xfId="38383"/>
    <cellStyle name="好 5 2 2" xfId="38384"/>
    <cellStyle name="好 5 2 3" xfId="38385"/>
    <cellStyle name="好 5 3" xfId="38386"/>
    <cellStyle name="好 5 3 2" xfId="38387"/>
    <cellStyle name="好 5 4" xfId="38388"/>
    <cellStyle name="好 5 5" xfId="13883"/>
    <cellStyle name="好 6" xfId="38389"/>
    <cellStyle name="好 7" xfId="38390"/>
    <cellStyle name="好_广武预算20160405(2003格式)" xfId="38391"/>
    <cellStyle name="好_广武预算20160405(2003格式) 2" xfId="38392"/>
    <cellStyle name="好_广武预算20160405(2003格式) 2 2" xfId="38393"/>
    <cellStyle name="好_广武预算20160405(2003格式) 2 3" xfId="38394"/>
    <cellStyle name="好_广武预算20160405(2003格式) 3" xfId="38395"/>
    <cellStyle name="好_广武预算20160405(2003格式) 4" xfId="38396"/>
    <cellStyle name="好_广武预算20160405(2003格式) 5" xfId="38397"/>
    <cellStyle name="汇总 2" xfId="38398"/>
    <cellStyle name="汇总 2 10" xfId="38399"/>
    <cellStyle name="汇总 2 11" xfId="38400"/>
    <cellStyle name="汇总 2 2" xfId="38401"/>
    <cellStyle name="汇总 2 2 10" xfId="38402"/>
    <cellStyle name="汇总 2 2 11" xfId="38403"/>
    <cellStyle name="汇总 2 2 2" xfId="38404"/>
    <cellStyle name="汇总 2 2 2 2" xfId="38405"/>
    <cellStyle name="汇总 2 2 2 2 2" xfId="38406"/>
    <cellStyle name="汇总 2 2 2 2 2 2" xfId="38407"/>
    <cellStyle name="汇总 2 2 2 2 2 3" xfId="4329"/>
    <cellStyle name="汇总 2 2 2 2 2 4" xfId="4336"/>
    <cellStyle name="汇总 2 2 2 2 2 5" xfId="38408"/>
    <cellStyle name="汇总 2 2 2 2 3" xfId="38409"/>
    <cellStyle name="汇总 2 2 2 2 3 2" xfId="38410"/>
    <cellStyle name="汇总 2 2 2 2 3 3" xfId="4339"/>
    <cellStyle name="汇总 2 2 2 2 4" xfId="38411"/>
    <cellStyle name="汇总 2 2 2 2 5" xfId="38412"/>
    <cellStyle name="汇总 2 2 2 2 6" xfId="38413"/>
    <cellStyle name="汇总 2 2 2 2 7" xfId="38414"/>
    <cellStyle name="汇总 2 2 2 3" xfId="38415"/>
    <cellStyle name="汇总 2 2 2 3 2" xfId="38416"/>
    <cellStyle name="汇总 2 2 2 3 3" xfId="38417"/>
    <cellStyle name="汇总 2 2 2 3 4" xfId="38418"/>
    <cellStyle name="汇总 2 2 2 3 5" xfId="38419"/>
    <cellStyle name="汇总 2 2 2 4" xfId="38420"/>
    <cellStyle name="汇总 2 2 2 4 2" xfId="38421"/>
    <cellStyle name="汇总 2 2 2 4 3" xfId="38422"/>
    <cellStyle name="汇总 2 2 2 4 4" xfId="38423"/>
    <cellStyle name="汇总 2 2 2 5" xfId="38424"/>
    <cellStyle name="汇总 2 2 2 5 2" xfId="38425"/>
    <cellStyle name="汇总 2 2 2 6" xfId="38426"/>
    <cellStyle name="汇总 2 2 2 7" xfId="38427"/>
    <cellStyle name="汇总 2 2 2 8" xfId="22540"/>
    <cellStyle name="汇总 2 2 2 9" xfId="38428"/>
    <cellStyle name="汇总 2 2 3" xfId="38429"/>
    <cellStyle name="汇总 2 2 3 10" xfId="38430"/>
    <cellStyle name="汇总 2 2 3 2" xfId="38431"/>
    <cellStyle name="汇总 2 2 3 2 2" xfId="38432"/>
    <cellStyle name="汇总 2 2 3 2 2 2" xfId="38433"/>
    <cellStyle name="汇总 2 2 3 2 2 2 2" xfId="38434"/>
    <cellStyle name="汇总 2 2 3 2 2 2 3" xfId="38435"/>
    <cellStyle name="汇总 2 2 3 2 2 2 4" xfId="38436"/>
    <cellStyle name="汇总 2 2 3 2 2 2 5" xfId="38437"/>
    <cellStyle name="汇总 2 2 3 2 2 3" xfId="3988"/>
    <cellStyle name="汇总 2 2 3 2 2 3 2" xfId="38438"/>
    <cellStyle name="汇总 2 2 3 2 2 3 3" xfId="38439"/>
    <cellStyle name="汇总 2 2 3 2 2 4" xfId="38440"/>
    <cellStyle name="汇总 2 2 3 2 2 5" xfId="38441"/>
    <cellStyle name="汇总 2 2 3 2 2 6" xfId="7002"/>
    <cellStyle name="汇总 2 2 3 2 2 7" xfId="7004"/>
    <cellStyle name="汇总 2 2 3 2 3" xfId="38442"/>
    <cellStyle name="汇总 2 2 3 2 3 2" xfId="38443"/>
    <cellStyle name="汇总 2 2 3 2 3 3" xfId="38444"/>
    <cellStyle name="汇总 2 2 3 2 3 4" xfId="38445"/>
    <cellStyle name="汇总 2 2 3 2 3 5" xfId="38446"/>
    <cellStyle name="汇总 2 2 3 2 4" xfId="38447"/>
    <cellStyle name="汇总 2 2 3 2 4 2" xfId="38448"/>
    <cellStyle name="汇总 2 2 3 2 4 3" xfId="38449"/>
    <cellStyle name="汇总 2 2 3 2 4 4" xfId="38450"/>
    <cellStyle name="汇总 2 2 3 2 5" xfId="38451"/>
    <cellStyle name="汇总 2 2 3 2 5 2" xfId="38452"/>
    <cellStyle name="汇总 2 2 3 2 6" xfId="38453"/>
    <cellStyle name="汇总 2 2 3 2 7" xfId="38454"/>
    <cellStyle name="汇总 2 2 3 2 8" xfId="38455"/>
    <cellStyle name="汇总 2 2 3 2 9" xfId="38456"/>
    <cellStyle name="汇总 2 2 3 3" xfId="38457"/>
    <cellStyle name="汇总 2 2 3 3 2" xfId="38458"/>
    <cellStyle name="汇总 2 2 3 3 2 2" xfId="38459"/>
    <cellStyle name="汇总 2 2 3 3 2 3" xfId="38460"/>
    <cellStyle name="汇总 2 2 3 3 2 4" xfId="38461"/>
    <cellStyle name="汇总 2 2 3 3 2 5" xfId="38462"/>
    <cellStyle name="汇总 2 2 3 3 3" xfId="38463"/>
    <cellStyle name="汇总 2 2 3 3 3 2" xfId="38464"/>
    <cellStyle name="汇总 2 2 3 3 3 3" xfId="38465"/>
    <cellStyle name="汇总 2 2 3 3 4" xfId="38466"/>
    <cellStyle name="汇总 2 2 3 3 5" xfId="38467"/>
    <cellStyle name="汇总 2 2 3 3 6" xfId="38468"/>
    <cellStyle name="汇总 2 2 3 3 7" xfId="38469"/>
    <cellStyle name="汇总 2 2 3 4" xfId="38470"/>
    <cellStyle name="汇总 2 2 3 4 2" xfId="38471"/>
    <cellStyle name="汇总 2 2 3 4 3" xfId="38472"/>
    <cellStyle name="汇总 2 2 3 4 4" xfId="38473"/>
    <cellStyle name="汇总 2 2 3 4 5" xfId="38474"/>
    <cellStyle name="汇总 2 2 3 5" xfId="38475"/>
    <cellStyle name="汇总 2 2 3 5 2" xfId="38476"/>
    <cellStyle name="汇总 2 2 3 5 3" xfId="38477"/>
    <cellStyle name="汇总 2 2 3 5 4" xfId="38478"/>
    <cellStyle name="汇总 2 2 3 6" xfId="38479"/>
    <cellStyle name="汇总 2 2 3 6 2" xfId="38480"/>
    <cellStyle name="汇总 2 2 3 7" xfId="38481"/>
    <cellStyle name="汇总 2 2 3 8" xfId="38482"/>
    <cellStyle name="汇总 2 2 3 9" xfId="38483"/>
    <cellStyle name="汇总 2 2 4" xfId="38484"/>
    <cellStyle name="汇总 2 2 4 2" xfId="38485"/>
    <cellStyle name="汇总 2 2 4 2 2" xfId="38486"/>
    <cellStyle name="汇总 2 2 4 2 3" xfId="38487"/>
    <cellStyle name="汇总 2 2 4 2 4" xfId="38488"/>
    <cellStyle name="汇总 2 2 4 2 5" xfId="38489"/>
    <cellStyle name="汇总 2 2 4 3" xfId="38490"/>
    <cellStyle name="汇总 2 2 4 3 2" xfId="38491"/>
    <cellStyle name="汇总 2 2 4 3 3" xfId="38492"/>
    <cellStyle name="汇总 2 2 4 4" xfId="38493"/>
    <cellStyle name="汇总 2 2 4 5" xfId="38494"/>
    <cellStyle name="汇总 2 2 4 6" xfId="38495"/>
    <cellStyle name="汇总 2 2 4 7" xfId="38496"/>
    <cellStyle name="汇总 2 2 5" xfId="38497"/>
    <cellStyle name="汇总 2 2 5 2" xfId="38498"/>
    <cellStyle name="汇总 2 2 5 3" xfId="38499"/>
    <cellStyle name="汇总 2 2 5 4" xfId="38500"/>
    <cellStyle name="汇总 2 2 5 5" xfId="38501"/>
    <cellStyle name="汇总 2 2 6" xfId="38502"/>
    <cellStyle name="汇总 2 2 6 2" xfId="38503"/>
    <cellStyle name="汇总 2 2 6 3" xfId="38504"/>
    <cellStyle name="汇总 2 2 6 4" xfId="38505"/>
    <cellStyle name="汇总 2 2 7" xfId="816"/>
    <cellStyle name="汇总 2 2 7 2" xfId="38506"/>
    <cellStyle name="汇总 2 2 8" xfId="38507"/>
    <cellStyle name="汇总 2 2 9" xfId="38508"/>
    <cellStyle name="汇总 2 3" xfId="38509"/>
    <cellStyle name="汇总 2 3 10" xfId="38510"/>
    <cellStyle name="汇总 2 3 2" xfId="38511"/>
    <cellStyle name="汇总 2 3 2 2" xfId="38512"/>
    <cellStyle name="汇总 2 3 2 2 2" xfId="38513"/>
    <cellStyle name="汇总 2 3 2 2 2 2" xfId="38514"/>
    <cellStyle name="汇总 2 3 2 2 2 3" xfId="2060"/>
    <cellStyle name="汇总 2 3 2 2 2 4" xfId="2087"/>
    <cellStyle name="汇总 2 3 2 2 2 5" xfId="1326"/>
    <cellStyle name="汇总 2 3 2 2 3" xfId="38515"/>
    <cellStyle name="汇总 2 3 2 2 3 2" xfId="38516"/>
    <cellStyle name="汇总 2 3 2 2 3 3" xfId="2228"/>
    <cellStyle name="汇总 2 3 2 2 4" xfId="38517"/>
    <cellStyle name="汇总 2 3 2 2 5" xfId="38518"/>
    <cellStyle name="汇总 2 3 2 2 6" xfId="38519"/>
    <cellStyle name="汇总 2 3 2 2 7" xfId="38520"/>
    <cellStyle name="汇总 2 3 2 3" xfId="38521"/>
    <cellStyle name="汇总 2 3 2 3 2" xfId="38522"/>
    <cellStyle name="汇总 2 3 2 3 3" xfId="38523"/>
    <cellStyle name="汇总 2 3 2 3 4" xfId="38524"/>
    <cellStyle name="汇总 2 3 2 3 5" xfId="38525"/>
    <cellStyle name="汇总 2 3 2 4" xfId="38526"/>
    <cellStyle name="汇总 2 3 2 4 2" xfId="38527"/>
    <cellStyle name="汇总 2 3 2 4 3" xfId="38528"/>
    <cellStyle name="汇总 2 3 2 4 4" xfId="38529"/>
    <cellStyle name="汇总 2 3 2 5" xfId="38530"/>
    <cellStyle name="汇总 2 3 2 5 2" xfId="38531"/>
    <cellStyle name="汇总 2 3 2 6" xfId="38532"/>
    <cellStyle name="汇总 2 3 2 7" xfId="38533"/>
    <cellStyle name="汇总 2 3 2 8" xfId="22545"/>
    <cellStyle name="汇总 2 3 2 9" xfId="38534"/>
    <cellStyle name="汇总 2 3 3" xfId="38535"/>
    <cellStyle name="汇总 2 3 3 2" xfId="38536"/>
    <cellStyle name="汇总 2 3 3 2 2" xfId="38537"/>
    <cellStyle name="汇总 2 3 3 2 3" xfId="38538"/>
    <cellStyle name="汇总 2 3 3 2 4" xfId="38539"/>
    <cellStyle name="汇总 2 3 3 2 5" xfId="38540"/>
    <cellStyle name="汇总 2 3 3 3" xfId="38541"/>
    <cellStyle name="汇总 2 3 3 3 2" xfId="38542"/>
    <cellStyle name="汇总 2 3 3 3 3" xfId="38543"/>
    <cellStyle name="汇总 2 3 3 4" xfId="38544"/>
    <cellStyle name="汇总 2 3 3 5" xfId="38545"/>
    <cellStyle name="汇总 2 3 3 6" xfId="38546"/>
    <cellStyle name="汇总 2 3 3 7" xfId="38547"/>
    <cellStyle name="汇总 2 3 4" xfId="38548"/>
    <cellStyle name="汇总 2 3 4 2" xfId="38549"/>
    <cellStyle name="汇总 2 3 4 3" xfId="38550"/>
    <cellStyle name="汇总 2 3 4 4" xfId="38551"/>
    <cellStyle name="汇总 2 3 4 5" xfId="38552"/>
    <cellStyle name="汇总 2 3 5" xfId="38553"/>
    <cellStyle name="汇总 2 3 5 2" xfId="38554"/>
    <cellStyle name="汇总 2 3 5 3" xfId="38555"/>
    <cellStyle name="汇总 2 3 5 4" xfId="38556"/>
    <cellStyle name="汇总 2 3 6" xfId="38557"/>
    <cellStyle name="汇总 2 3 6 2" xfId="38558"/>
    <cellStyle name="汇总 2 3 7" xfId="38559"/>
    <cellStyle name="汇总 2 3 8" xfId="38560"/>
    <cellStyle name="汇总 2 3 9" xfId="38561"/>
    <cellStyle name="汇总 2 4" xfId="38562"/>
    <cellStyle name="汇总 2 4 2" xfId="38563"/>
    <cellStyle name="汇总 2 4 2 2" xfId="38564"/>
    <cellStyle name="汇总 2 4 2 3" xfId="38565"/>
    <cellStyle name="汇总 2 4 2 4" xfId="38566"/>
    <cellStyle name="汇总 2 4 2 5" xfId="38567"/>
    <cellStyle name="汇总 2 4 3" xfId="38568"/>
    <cellStyle name="汇总 2 4 3 2" xfId="38569"/>
    <cellStyle name="汇总 2 4 3 3" xfId="38570"/>
    <cellStyle name="汇总 2 4 3 4" xfId="38571"/>
    <cellStyle name="汇总 2 4 4" xfId="38572"/>
    <cellStyle name="汇总 2 4 5" xfId="38573"/>
    <cellStyle name="汇总 2 4 6" xfId="38574"/>
    <cellStyle name="汇总 2 4 7" xfId="38575"/>
    <cellStyle name="汇总 2 5" xfId="38576"/>
    <cellStyle name="汇总 2 5 2" xfId="38577"/>
    <cellStyle name="汇总 2 5 3" xfId="38578"/>
    <cellStyle name="汇总 2 5 4" xfId="38579"/>
    <cellStyle name="汇总 2 5 5" xfId="38580"/>
    <cellStyle name="汇总 2 6" xfId="32827"/>
    <cellStyle name="汇总 2 6 2" xfId="38581"/>
    <cellStyle name="汇总 2 6 3" xfId="38582"/>
    <cellStyle name="汇总 2 6 4" xfId="38583"/>
    <cellStyle name="汇总 2 7" xfId="38584"/>
    <cellStyle name="汇总 2 7 2" xfId="38585"/>
    <cellStyle name="汇总 2 8" xfId="38586"/>
    <cellStyle name="汇总 2 9" xfId="38587"/>
    <cellStyle name="汇总 3" xfId="38588"/>
    <cellStyle name="计算 2" xfId="38589"/>
    <cellStyle name="计算 2 10" xfId="38590"/>
    <cellStyle name="计算 2 11" xfId="38591"/>
    <cellStyle name="计算 2 2" xfId="38592"/>
    <cellStyle name="计算 2 2 10" xfId="38013"/>
    <cellStyle name="计算 2 2 11" xfId="38593"/>
    <cellStyle name="计算 2 2 2" xfId="38594"/>
    <cellStyle name="计算 2 2 2 2" xfId="38595"/>
    <cellStyle name="计算 2 2 2 2 2" xfId="19358"/>
    <cellStyle name="计算 2 2 2 2 2 2" xfId="33634"/>
    <cellStyle name="计算 2 2 2 2 2 3" xfId="33636"/>
    <cellStyle name="计算 2 2 2 2 2 4" xfId="33638"/>
    <cellStyle name="计算 2 2 2 2 2 5" xfId="38596"/>
    <cellStyle name="计算 2 2 2 2 3" xfId="717"/>
    <cellStyle name="计算 2 2 2 2 3 2" xfId="32968"/>
    <cellStyle name="计算 2 2 2 2 3 3" xfId="33641"/>
    <cellStyle name="计算 2 2 2 2 4" xfId="32971"/>
    <cellStyle name="计算 2 2 2 2 5" xfId="3772"/>
    <cellStyle name="计算 2 2 2 2 6" xfId="33644"/>
    <cellStyle name="计算 2 2 2 2 7" xfId="33646"/>
    <cellStyle name="计算 2 2 2 3" xfId="38597"/>
    <cellStyle name="计算 2 2 2 3 2" xfId="33651"/>
    <cellStyle name="计算 2 2 2 3 3" xfId="1106"/>
    <cellStyle name="计算 2 2 2 3 4" xfId="33654"/>
    <cellStyle name="计算 2 2 2 3 5" xfId="21350"/>
    <cellStyle name="计算 2 2 2 4" xfId="38598"/>
    <cellStyle name="计算 2 2 2 4 2" xfId="33658"/>
    <cellStyle name="计算 2 2 2 4 3" xfId="33246"/>
    <cellStyle name="计算 2 2 2 4 4" xfId="27090"/>
    <cellStyle name="计算 2 2 2 5" xfId="32551"/>
    <cellStyle name="计算 2 2 2 5 2" xfId="32554"/>
    <cellStyle name="计算 2 2 2 6" xfId="25350"/>
    <cellStyle name="计算 2 2 2 7" xfId="25364"/>
    <cellStyle name="计算 2 2 2 8" xfId="38599"/>
    <cellStyle name="计算 2 2 2 9" xfId="38600"/>
    <cellStyle name="计算 2 2 3" xfId="38601"/>
    <cellStyle name="计算 2 2 3 10" xfId="38602"/>
    <cellStyle name="计算 2 2 3 2" xfId="38603"/>
    <cellStyle name="计算 2 2 3 2 2" xfId="33925"/>
    <cellStyle name="计算 2 2 3 2 2 2" xfId="33927"/>
    <cellStyle name="计算 2 2 3 2 2 2 2" xfId="38604"/>
    <cellStyle name="计算 2 2 3 2 2 2 3" xfId="38605"/>
    <cellStyle name="计算 2 2 3 2 2 2 4" xfId="19382"/>
    <cellStyle name="计算 2 2 3 2 2 2 5" xfId="38606"/>
    <cellStyle name="计算 2 2 3 2 2 3" xfId="33929"/>
    <cellStyle name="计算 2 2 3 2 2 3 2" xfId="38607"/>
    <cellStyle name="计算 2 2 3 2 2 3 3" xfId="38608"/>
    <cellStyle name="计算 2 2 3 2 2 4" xfId="38609"/>
    <cellStyle name="计算 2 2 3 2 2 5" xfId="38610"/>
    <cellStyle name="计算 2 2 3 2 2 6" xfId="38611"/>
    <cellStyle name="计算 2 2 3 2 2 7" xfId="38612"/>
    <cellStyle name="计算 2 2 3 2 3" xfId="33931"/>
    <cellStyle name="计算 2 2 3 2 3 2" xfId="33933"/>
    <cellStyle name="计算 2 2 3 2 3 3" xfId="33936"/>
    <cellStyle name="计算 2 2 3 2 3 4" xfId="33938"/>
    <cellStyle name="计算 2 2 3 2 3 5" xfId="38613"/>
    <cellStyle name="计算 2 2 3 2 4" xfId="33940"/>
    <cellStyle name="计算 2 2 3 2 4 2" xfId="38614"/>
    <cellStyle name="计算 2 2 3 2 4 3" xfId="38615"/>
    <cellStyle name="计算 2 2 3 2 4 4" xfId="38616"/>
    <cellStyle name="计算 2 2 3 2 5" xfId="33942"/>
    <cellStyle name="计算 2 2 3 2 5 2" xfId="38617"/>
    <cellStyle name="计算 2 2 3 2 6" xfId="33944"/>
    <cellStyle name="计算 2 2 3 2 7" xfId="33946"/>
    <cellStyle name="计算 2 2 3 2 8" xfId="38618"/>
    <cellStyle name="计算 2 2 3 2 9" xfId="8856"/>
    <cellStyle name="计算 2 2 3 3" xfId="38619"/>
    <cellStyle name="计算 2 2 3 3 2" xfId="33954"/>
    <cellStyle name="计算 2 2 3 3 2 2" xfId="38620"/>
    <cellStyle name="计算 2 2 3 3 2 3" xfId="38621"/>
    <cellStyle name="计算 2 2 3 3 2 4" xfId="38622"/>
    <cellStyle name="计算 2 2 3 3 2 5" xfId="38623"/>
    <cellStyle name="计算 2 2 3 3 3" xfId="33956"/>
    <cellStyle name="计算 2 2 3 3 3 2" xfId="38624"/>
    <cellStyle name="计算 2 2 3 3 3 3" xfId="38625"/>
    <cellStyle name="计算 2 2 3 3 4" xfId="33958"/>
    <cellStyle name="计算 2 2 3 3 5" xfId="33960"/>
    <cellStyle name="计算 2 2 3 3 6" xfId="38626"/>
    <cellStyle name="计算 2 2 3 3 7" xfId="38627"/>
    <cellStyle name="计算 2 2 3 4" xfId="38628"/>
    <cellStyle name="计算 2 2 3 4 2" xfId="33964"/>
    <cellStyle name="计算 2 2 3 4 3" xfId="33966"/>
    <cellStyle name="计算 2 2 3 4 4" xfId="38629"/>
    <cellStyle name="计算 2 2 3 4 5" xfId="38630"/>
    <cellStyle name="计算 2 2 3 5" xfId="9075"/>
    <cellStyle name="计算 2 2 3 5 2" xfId="33971"/>
    <cellStyle name="计算 2 2 3 5 3" xfId="33973"/>
    <cellStyle name="计算 2 2 3 5 4" xfId="38631"/>
    <cellStyle name="计算 2 2 3 6" xfId="38632"/>
    <cellStyle name="计算 2 2 3 6 2" xfId="38633"/>
    <cellStyle name="计算 2 2 3 7" xfId="38634"/>
    <cellStyle name="计算 2 2 3 8" xfId="38635"/>
    <cellStyle name="计算 2 2 3 9" xfId="38636"/>
    <cellStyle name="计算 2 2 4" xfId="38637"/>
    <cellStyle name="计算 2 2 4 2" xfId="38638"/>
    <cellStyle name="计算 2 2 4 2 2" xfId="34251"/>
    <cellStyle name="计算 2 2 4 2 3" xfId="34255"/>
    <cellStyle name="计算 2 2 4 2 4" xfId="34261"/>
    <cellStyle name="计算 2 2 4 2 5" xfId="34263"/>
    <cellStyle name="计算 2 2 4 3" xfId="38639"/>
    <cellStyle name="计算 2 2 4 3 2" xfId="34273"/>
    <cellStyle name="计算 2 2 4 3 3" xfId="34275"/>
    <cellStyle name="计算 2 2 4 4" xfId="24145"/>
    <cellStyle name="计算 2 2 4 5" xfId="9106"/>
    <cellStyle name="计算 2 2 4 6" xfId="38640"/>
    <cellStyle name="计算 2 2 4 7" xfId="38641"/>
    <cellStyle name="计算 2 2 5" xfId="38642"/>
    <cellStyle name="计算 2 2 5 2" xfId="38643"/>
    <cellStyle name="计算 2 2 5 3" xfId="38644"/>
    <cellStyle name="计算 2 2 5 4" xfId="38645"/>
    <cellStyle name="计算 2 2 5 5" xfId="38646"/>
    <cellStyle name="计算 2 2 6" xfId="38647"/>
    <cellStyle name="计算 2 2 6 2" xfId="38648"/>
    <cellStyle name="计算 2 2 6 3" xfId="38649"/>
    <cellStyle name="计算 2 2 6 4" xfId="38650"/>
    <cellStyle name="计算 2 2 7" xfId="38651"/>
    <cellStyle name="计算 2 2 7 2" xfId="38652"/>
    <cellStyle name="计算 2 2 8" xfId="38653"/>
    <cellStyle name="计算 2 2 9" xfId="38654"/>
    <cellStyle name="计算 2 3" xfId="38655"/>
    <cellStyle name="计算 2 3 10" xfId="38656"/>
    <cellStyle name="计算 2 3 2" xfId="38657"/>
    <cellStyle name="计算 2 3 2 2" xfId="38658"/>
    <cellStyle name="计算 2 3 2 2 2" xfId="13569"/>
    <cellStyle name="计算 2 3 2 2 2 2" xfId="36408"/>
    <cellStyle name="计算 2 3 2 2 2 3" xfId="36410"/>
    <cellStyle name="计算 2 3 2 2 2 4" xfId="38659"/>
    <cellStyle name="计算 2 3 2 2 2 5" xfId="38660"/>
    <cellStyle name="计算 2 3 2 2 3" xfId="850"/>
    <cellStyle name="计算 2 3 2 2 3 2" xfId="36412"/>
    <cellStyle name="计算 2 3 2 2 3 3" xfId="36415"/>
    <cellStyle name="计算 2 3 2 2 4" xfId="36418"/>
    <cellStyle name="计算 2 3 2 2 5" xfId="36420"/>
    <cellStyle name="计算 2 3 2 2 6" xfId="36422"/>
    <cellStyle name="计算 2 3 2 2 7" xfId="36424"/>
    <cellStyle name="计算 2 3 2 3" xfId="38661"/>
    <cellStyle name="计算 2 3 2 3 2" xfId="36430"/>
    <cellStyle name="计算 2 3 2 3 3" xfId="36432"/>
    <cellStyle name="计算 2 3 2 3 4" xfId="36434"/>
    <cellStyle name="计算 2 3 2 3 5" xfId="36436"/>
    <cellStyle name="计算 2 3 2 4" xfId="38662"/>
    <cellStyle name="计算 2 3 2 4 2" xfId="36439"/>
    <cellStyle name="计算 2 3 2 4 3" xfId="36441"/>
    <cellStyle name="计算 2 3 2 4 4" xfId="38663"/>
    <cellStyle name="计算 2 3 2 5" xfId="32559"/>
    <cellStyle name="计算 2 3 2 5 2" xfId="36446"/>
    <cellStyle name="计算 2 3 2 6" xfId="38664"/>
    <cellStyle name="计算 2 3 2 7" xfId="38072"/>
    <cellStyle name="计算 2 3 2 8" xfId="38075"/>
    <cellStyle name="计算 2 3 2 9" xfId="38077"/>
    <cellStyle name="计算 2 3 3" xfId="38665"/>
    <cellStyle name="计算 2 3 3 2" xfId="38666"/>
    <cellStyle name="计算 2 3 3 2 2" xfId="36721"/>
    <cellStyle name="计算 2 3 3 2 3" xfId="36725"/>
    <cellStyle name="计算 2 3 3 2 4" xfId="36731"/>
    <cellStyle name="计算 2 3 3 2 5" xfId="36733"/>
    <cellStyle name="计算 2 3 3 3" xfId="38667"/>
    <cellStyle name="计算 2 3 3 3 2" xfId="36743"/>
    <cellStyle name="计算 2 3 3 3 3" xfId="36745"/>
    <cellStyle name="计算 2 3 3 4" xfId="38668"/>
    <cellStyle name="计算 2 3 3 5" xfId="38669"/>
    <cellStyle name="计算 2 3 3 6" xfId="38670"/>
    <cellStyle name="计算 2 3 3 7" xfId="38671"/>
    <cellStyle name="计算 2 3 4" xfId="38672"/>
    <cellStyle name="计算 2 3 4 2" xfId="38673"/>
    <cellStyle name="计算 2 3 4 3" xfId="38674"/>
    <cellStyle name="计算 2 3 4 4" xfId="38675"/>
    <cellStyle name="计算 2 3 4 5" xfId="38676"/>
    <cellStyle name="计算 2 3 5" xfId="38677"/>
    <cellStyle name="计算 2 3 5 2" xfId="38678"/>
    <cellStyle name="计算 2 3 5 3" xfId="38679"/>
    <cellStyle name="计算 2 3 5 4" xfId="38680"/>
    <cellStyle name="计算 2 3 6" xfId="38681"/>
    <cellStyle name="计算 2 3 6 2" xfId="38682"/>
    <cellStyle name="计算 2 3 7" xfId="38683"/>
    <cellStyle name="计算 2 3 8" xfId="38684"/>
    <cellStyle name="计算 2 3 9" xfId="38685"/>
    <cellStyle name="计算 2 4" xfId="22941"/>
    <cellStyle name="计算 2 4 2" xfId="38686"/>
    <cellStyle name="计算 2 4 2 2" xfId="38687"/>
    <cellStyle name="计算 2 4 2 3" xfId="38688"/>
    <cellStyle name="计算 2 4 2 4" xfId="38689"/>
    <cellStyle name="计算 2 4 2 5" xfId="32562"/>
    <cellStyle name="计算 2 4 3" xfId="38690"/>
    <cellStyle name="计算 2 4 3 2" xfId="38691"/>
    <cellStyle name="计算 2 4 3 3" xfId="38692"/>
    <cellStyle name="计算 2 4 3 4" xfId="38693"/>
    <cellStyle name="计算 2 4 4" xfId="38694"/>
    <cellStyle name="计算 2 4 5" xfId="38695"/>
    <cellStyle name="计算 2 4 6" xfId="38696"/>
    <cellStyle name="计算 2 4 7" xfId="38697"/>
    <cellStyle name="计算 2 5" xfId="38698"/>
    <cellStyle name="计算 2 5 2" xfId="38699"/>
    <cellStyle name="计算 2 5 3" xfId="38700"/>
    <cellStyle name="计算 2 5 4" xfId="38701"/>
    <cellStyle name="计算 2 5 5" xfId="38702"/>
    <cellStyle name="计算 2 6" xfId="38703"/>
    <cellStyle name="计算 2 6 2" xfId="38704"/>
    <cellStyle name="计算 2 6 3" xfId="38705"/>
    <cellStyle name="计算 2 6 4" xfId="38706"/>
    <cellStyle name="计算 2 7" xfId="38707"/>
    <cellStyle name="计算 2 7 2" xfId="38708"/>
    <cellStyle name="计算 2 8" xfId="38709"/>
    <cellStyle name="计算 2 9" xfId="38710"/>
    <cellStyle name="计算 3" xfId="38711"/>
    <cellStyle name="检查单元格 2" xfId="38712"/>
    <cellStyle name="检查单元格 2 10" xfId="38713"/>
    <cellStyle name="检查单元格 2 11" xfId="38714"/>
    <cellStyle name="检查单元格 2 2" xfId="38715"/>
    <cellStyle name="检查单元格 2 2 10" xfId="38716"/>
    <cellStyle name="检查单元格 2 2 11" xfId="38717"/>
    <cellStyle name="检查单元格 2 2 2" xfId="38718"/>
    <cellStyle name="检查单元格 2 2 2 2" xfId="38719"/>
    <cellStyle name="检查单元格 2 2 2 2 2" xfId="38720"/>
    <cellStyle name="检查单元格 2 2 2 2 2 2" xfId="38721"/>
    <cellStyle name="检查单元格 2 2 2 2 2 3" xfId="38722"/>
    <cellStyle name="检查单元格 2 2 2 2 3" xfId="38723"/>
    <cellStyle name="检查单元格 2 2 2 2 3 2" xfId="34496"/>
    <cellStyle name="检查单元格 2 2 2 2 3 3" xfId="34498"/>
    <cellStyle name="检查单元格 2 2 2 2 4" xfId="38724"/>
    <cellStyle name="检查单元格 2 2 2 2 5" xfId="38725"/>
    <cellStyle name="检查单元格 2 2 2 2 6" xfId="38726"/>
    <cellStyle name="检查单元格 2 2 2 2 7" xfId="38727"/>
    <cellStyle name="检查单元格 2 2 2 3" xfId="38728"/>
    <cellStyle name="检查单元格 2 2 2 3 2" xfId="38729"/>
    <cellStyle name="检查单元格 2 2 2 3 3" xfId="38730"/>
    <cellStyle name="检查单元格 2 2 2 3 4" xfId="38731"/>
    <cellStyle name="检查单元格 2 2 2 3 5" xfId="38732"/>
    <cellStyle name="检查单元格 2 2 2 4" xfId="38733"/>
    <cellStyle name="检查单元格 2 2 2 4 2" xfId="38734"/>
    <cellStyle name="检查单元格 2 2 2 4 3" xfId="38735"/>
    <cellStyle name="检查单元格 2 2 2 5" xfId="38736"/>
    <cellStyle name="检查单元格 2 2 2 5 2" xfId="38737"/>
    <cellStyle name="检查单元格 2 2 2 6" xfId="20565"/>
    <cellStyle name="检查单元格 2 2 2 7" xfId="20570"/>
    <cellStyle name="检查单元格 2 2 2 8" xfId="20573"/>
    <cellStyle name="检查单元格 2 2 2 9" xfId="20575"/>
    <cellStyle name="检查单元格 2 2 3" xfId="38738"/>
    <cellStyle name="检查单元格 2 2 3 10" xfId="38739"/>
    <cellStyle name="检查单元格 2 2 3 2" xfId="38740"/>
    <cellStyle name="检查单元格 2 2 3 2 2" xfId="38741"/>
    <cellStyle name="检查单元格 2 2 3 2 2 2" xfId="38742"/>
    <cellStyle name="检查单元格 2 2 3 2 2 2 2" xfId="38743"/>
    <cellStyle name="检查单元格 2 2 3 2 2 2 3" xfId="38744"/>
    <cellStyle name="检查单元格 2 2 3 2 2 3" xfId="38745"/>
    <cellStyle name="检查单元格 2 2 3 2 2 3 2" xfId="38746"/>
    <cellStyle name="检查单元格 2 2 3 2 2 3 3" xfId="38747"/>
    <cellStyle name="检查单元格 2 2 3 2 2 4" xfId="30407"/>
    <cellStyle name="检查单元格 2 2 3 2 2 5" xfId="38748"/>
    <cellStyle name="检查单元格 2 2 3 2 2 6" xfId="31623"/>
    <cellStyle name="检查单元格 2 2 3 2 2 7" xfId="38749"/>
    <cellStyle name="检查单元格 2 2 3 2 3" xfId="38750"/>
    <cellStyle name="检查单元格 2 2 3 2 3 2" xfId="34542"/>
    <cellStyle name="检查单元格 2 2 3 2 3 3" xfId="34544"/>
    <cellStyle name="检查单元格 2 2 3 2 3 4" xfId="38751"/>
    <cellStyle name="检查单元格 2 2 3 2 3 5" xfId="38752"/>
    <cellStyle name="检查单元格 2 2 3 2 4" xfId="38753"/>
    <cellStyle name="检查单元格 2 2 3 2 4 2" xfId="38754"/>
    <cellStyle name="检查单元格 2 2 3 2 4 3" xfId="38755"/>
    <cellStyle name="检查单元格 2 2 3 2 5" xfId="38756"/>
    <cellStyle name="检查单元格 2 2 3 2 5 2" xfId="38757"/>
    <cellStyle name="检查单元格 2 2 3 2 6" xfId="38758"/>
    <cellStyle name="检查单元格 2 2 3 2 7" xfId="38759"/>
    <cellStyle name="检查单元格 2 2 3 2 8" xfId="38760"/>
    <cellStyle name="检查单元格 2 2 3 2 9" xfId="1807"/>
    <cellStyle name="检查单元格 2 2 3 3" xfId="38761"/>
    <cellStyle name="检查单元格 2 2 3 3 2" xfId="38762"/>
    <cellStyle name="检查单元格 2 2 3 3 2 2" xfId="38763"/>
    <cellStyle name="检查单元格 2 2 3 3 2 3" xfId="38764"/>
    <cellStyle name="检查单元格 2 2 3 3 3" xfId="38765"/>
    <cellStyle name="检查单元格 2 2 3 3 3 2" xfId="38766"/>
    <cellStyle name="检查单元格 2 2 3 3 3 3" xfId="38767"/>
    <cellStyle name="检查单元格 2 2 3 3 4" xfId="38768"/>
    <cellStyle name="检查单元格 2 2 3 3 5" xfId="38769"/>
    <cellStyle name="检查单元格 2 2 3 3 6" xfId="38770"/>
    <cellStyle name="检查单元格 2 2 3 3 7" xfId="38771"/>
    <cellStyle name="检查单元格 2 2 3 4" xfId="38772"/>
    <cellStyle name="检查单元格 2 2 3 4 2" xfId="38773"/>
    <cellStyle name="检查单元格 2 2 3 4 3" xfId="38774"/>
    <cellStyle name="检查单元格 2 2 3 4 4" xfId="38775"/>
    <cellStyle name="检查单元格 2 2 3 4 5" xfId="38776"/>
    <cellStyle name="检查单元格 2 2 3 5" xfId="38777"/>
    <cellStyle name="检查单元格 2 2 3 5 2" xfId="38778"/>
    <cellStyle name="检查单元格 2 2 3 5 3" xfId="38779"/>
    <cellStyle name="检查单元格 2 2 3 6" xfId="11080"/>
    <cellStyle name="检查单元格 2 2 3 6 2" xfId="20579"/>
    <cellStyle name="检查单元格 2 2 3 7" xfId="1641"/>
    <cellStyle name="检查单元格 2 2 3 8" xfId="7243"/>
    <cellStyle name="检查单元格 2 2 3 9" xfId="38780"/>
    <cellStyle name="检查单元格 2 2 4" xfId="38781"/>
    <cellStyle name="检查单元格 2 2 4 2" xfId="38782"/>
    <cellStyle name="检查单元格 2 2 4 2 2" xfId="11088"/>
    <cellStyle name="检查单元格 2 2 4 2 3" xfId="38783"/>
    <cellStyle name="检查单元格 2 2 4 3" xfId="38784"/>
    <cellStyle name="检查单元格 2 2 4 3 2" xfId="38785"/>
    <cellStyle name="检查单元格 2 2 4 3 3" xfId="38786"/>
    <cellStyle name="检查单元格 2 2 4 4" xfId="38787"/>
    <cellStyle name="检查单元格 2 2 4 5" xfId="38788"/>
    <cellStyle name="检查单元格 2 2 4 6" xfId="20582"/>
    <cellStyle name="检查单元格 2 2 4 7" xfId="20586"/>
    <cellStyle name="检查单元格 2 2 5" xfId="38789"/>
    <cellStyle name="检查单元格 2 2 5 2" xfId="38790"/>
    <cellStyle name="检查单元格 2 2 5 3" xfId="38791"/>
    <cellStyle name="检查单元格 2 2 5 4" xfId="38792"/>
    <cellStyle name="检查单元格 2 2 5 5" xfId="38793"/>
    <cellStyle name="检查单元格 2 2 6" xfId="38794"/>
    <cellStyle name="检查单元格 2 2 6 2" xfId="38795"/>
    <cellStyle name="检查单元格 2 2 6 3" xfId="38796"/>
    <cellStyle name="检查单元格 2 2 7" xfId="38797"/>
    <cellStyle name="检查单元格 2 2 7 2" xfId="38798"/>
    <cellStyle name="检查单元格 2 2 8" xfId="38799"/>
    <cellStyle name="检查单元格 2 2 9" xfId="38800"/>
    <cellStyle name="检查单元格 2 3" xfId="38801"/>
    <cellStyle name="检查单元格 2 3 10" xfId="38802"/>
    <cellStyle name="检查单元格 2 3 2" xfId="38803"/>
    <cellStyle name="检查单元格 2 3 2 2" xfId="38804"/>
    <cellStyle name="检查单元格 2 3 2 2 2" xfId="38805"/>
    <cellStyle name="检查单元格 2 3 2 2 2 2" xfId="38806"/>
    <cellStyle name="检查单元格 2 3 2 2 2 3" xfId="38807"/>
    <cellStyle name="检查单元格 2 3 2 2 3" xfId="38808"/>
    <cellStyle name="检查单元格 2 3 2 2 3 2" xfId="38809"/>
    <cellStyle name="检查单元格 2 3 2 2 3 3" xfId="38810"/>
    <cellStyle name="检查单元格 2 3 2 2 4" xfId="38811"/>
    <cellStyle name="检查单元格 2 3 2 2 5" xfId="38812"/>
    <cellStyle name="检查单元格 2 3 2 2 6" xfId="38813"/>
    <cellStyle name="检查单元格 2 3 2 2 7" xfId="38814"/>
    <cellStyle name="检查单元格 2 3 2 3" xfId="38815"/>
    <cellStyle name="检查单元格 2 3 2 3 2" xfId="38816"/>
    <cellStyle name="检查单元格 2 3 2 3 3" xfId="38817"/>
    <cellStyle name="检查单元格 2 3 2 3 4" xfId="38818"/>
    <cellStyle name="检查单元格 2 3 2 3 5" xfId="38819"/>
    <cellStyle name="检查单元格 2 3 2 4" xfId="38820"/>
    <cellStyle name="检查单元格 2 3 2 4 2" xfId="38821"/>
    <cellStyle name="检查单元格 2 3 2 4 3" xfId="38822"/>
    <cellStyle name="检查单元格 2 3 2 5" xfId="38823"/>
    <cellStyle name="检查单元格 2 3 2 5 2" xfId="38824"/>
    <cellStyle name="检查单元格 2 3 2 6" xfId="20596"/>
    <cellStyle name="检查单元格 2 3 2 7" xfId="20598"/>
    <cellStyle name="检查单元格 2 3 2 8" xfId="15294"/>
    <cellStyle name="检查单元格 2 3 2 9" xfId="38825"/>
    <cellStyle name="检查单元格 2 3 3" xfId="38826"/>
    <cellStyle name="检查单元格 2 3 3 2" xfId="38827"/>
    <cellStyle name="检查单元格 2 3 3 2 2" xfId="38828"/>
    <cellStyle name="检查单元格 2 3 3 2 3" xfId="38829"/>
    <cellStyle name="检查单元格 2 3 3 3" xfId="38830"/>
    <cellStyle name="检查单元格 2 3 3 3 2" xfId="38831"/>
    <cellStyle name="检查单元格 2 3 3 3 3" xfId="38832"/>
    <cellStyle name="检查单元格 2 3 3 4" xfId="38833"/>
    <cellStyle name="检查单元格 2 3 3 5" xfId="38834"/>
    <cellStyle name="检查单元格 2 3 3 6" xfId="7530"/>
    <cellStyle name="检查单元格 2 3 3 7" xfId="38835"/>
    <cellStyle name="检查单元格 2 3 4" xfId="38836"/>
    <cellStyle name="检查单元格 2 3 4 2" xfId="38837"/>
    <cellStyle name="检查单元格 2 3 4 3" xfId="38838"/>
    <cellStyle name="检查单元格 2 3 4 4" xfId="38839"/>
    <cellStyle name="检查单元格 2 3 4 5" xfId="38840"/>
    <cellStyle name="检查单元格 2 3 5" xfId="38841"/>
    <cellStyle name="检查单元格 2 3 5 2" xfId="38842"/>
    <cellStyle name="检查单元格 2 3 5 3" xfId="38843"/>
    <cellStyle name="检查单元格 2 3 6" xfId="38844"/>
    <cellStyle name="检查单元格 2 3 6 2" xfId="38845"/>
    <cellStyle name="检查单元格 2 3 7" xfId="38846"/>
    <cellStyle name="检查单元格 2 3 8" xfId="38847"/>
    <cellStyle name="检查单元格 2 3 9" xfId="38848"/>
    <cellStyle name="检查单元格 2 4" xfId="38849"/>
    <cellStyle name="检查单元格 2 4 2" xfId="38850"/>
    <cellStyle name="检查单元格 2 4 2 2" xfId="38851"/>
    <cellStyle name="检查单元格 2 4 2 3" xfId="38852"/>
    <cellStyle name="检查单元格 2 4 3" xfId="38853"/>
    <cellStyle name="检查单元格 2 4 3 2" xfId="38854"/>
    <cellStyle name="检查单元格 2 4 3 3" xfId="38855"/>
    <cellStyle name="检查单元格 2 4 4" xfId="38856"/>
    <cellStyle name="检查单元格 2 4 5" xfId="38857"/>
    <cellStyle name="检查单元格 2 4 6" xfId="38858"/>
    <cellStyle name="检查单元格 2 4 7" xfId="38859"/>
    <cellStyle name="检查单元格 2 5" xfId="38860"/>
    <cellStyle name="检查单元格 2 5 2" xfId="38861"/>
    <cellStyle name="检查单元格 2 5 3" xfId="38862"/>
    <cellStyle name="检查单元格 2 6" xfId="38863"/>
    <cellStyle name="检查单元格 2 6 2" xfId="38864"/>
    <cellStyle name="检查单元格 2 6 3" xfId="38865"/>
    <cellStyle name="检查单元格 2 7" xfId="38866"/>
    <cellStyle name="检查单元格 2 7 2" xfId="38867"/>
    <cellStyle name="检查单元格 2 8" xfId="38868"/>
    <cellStyle name="检查单元格 2 9" xfId="38869"/>
    <cellStyle name="检查单元格 3" xfId="38870"/>
    <cellStyle name="解释性文本 2" xfId="32786"/>
    <cellStyle name="解释性文本 2 10" xfId="38871"/>
    <cellStyle name="解释性文本 2 11" xfId="38872"/>
    <cellStyle name="解释性文本 2 2" xfId="38873"/>
    <cellStyle name="解释性文本 2 2 10" xfId="38874"/>
    <cellStyle name="解释性文本 2 2 11" xfId="38875"/>
    <cellStyle name="解释性文本 2 2 2" xfId="38876"/>
    <cellStyle name="解释性文本 2 2 2 2" xfId="38877"/>
    <cellStyle name="解释性文本 2 2 2 2 2" xfId="38878"/>
    <cellStyle name="解释性文本 2 2 2 2 2 2" xfId="38879"/>
    <cellStyle name="解释性文本 2 2 2 2 2 3" xfId="38880"/>
    <cellStyle name="解释性文本 2 2 2 2 3" xfId="38881"/>
    <cellStyle name="解释性文本 2 2 2 2 3 2" xfId="38882"/>
    <cellStyle name="解释性文本 2 2 2 2 3 3" xfId="38883"/>
    <cellStyle name="解释性文本 2 2 2 2 4" xfId="38884"/>
    <cellStyle name="解释性文本 2 2 2 2 5" xfId="38885"/>
    <cellStyle name="解释性文本 2 2 2 2 6" xfId="38886"/>
    <cellStyle name="解释性文本 2 2 2 2 7" xfId="38887"/>
    <cellStyle name="解释性文本 2 2 2 3" xfId="38888"/>
    <cellStyle name="解释性文本 2 2 2 3 2" xfId="38889"/>
    <cellStyle name="解释性文本 2 2 2 3 3" xfId="38890"/>
    <cellStyle name="解释性文本 2 2 2 3 4" xfId="38891"/>
    <cellStyle name="解释性文本 2 2 2 3 5" xfId="38892"/>
    <cellStyle name="解释性文本 2 2 2 4" xfId="38893"/>
    <cellStyle name="解释性文本 2 2 2 4 2" xfId="38894"/>
    <cellStyle name="解释性文本 2 2 2 4 3" xfId="38895"/>
    <cellStyle name="解释性文本 2 2 2 5" xfId="38896"/>
    <cellStyle name="解释性文本 2 2 2 5 2" xfId="38897"/>
    <cellStyle name="解释性文本 2 2 2 6" xfId="38898"/>
    <cellStyle name="解释性文本 2 2 2 7" xfId="38899"/>
    <cellStyle name="解释性文本 2 2 2 8" xfId="38900"/>
    <cellStyle name="解释性文本 2 2 2 9" xfId="38901"/>
    <cellStyle name="解释性文本 2 2 3" xfId="38902"/>
    <cellStyle name="解释性文本 2 2 3 10" xfId="38903"/>
    <cellStyle name="解释性文本 2 2 3 2" xfId="38904"/>
    <cellStyle name="解释性文本 2 2 3 2 2" xfId="38905"/>
    <cellStyle name="解释性文本 2 2 3 2 2 2" xfId="38906"/>
    <cellStyle name="解释性文本 2 2 3 2 2 2 2" xfId="38907"/>
    <cellStyle name="解释性文本 2 2 3 2 2 2 3" xfId="38908"/>
    <cellStyle name="解释性文本 2 2 3 2 2 3" xfId="38909"/>
    <cellStyle name="解释性文本 2 2 3 2 2 3 2" xfId="38910"/>
    <cellStyle name="解释性文本 2 2 3 2 2 3 3" xfId="38911"/>
    <cellStyle name="解释性文本 2 2 3 2 2 4" xfId="38912"/>
    <cellStyle name="解释性文本 2 2 3 2 2 5" xfId="38913"/>
    <cellStyle name="解释性文本 2 2 3 2 2 6" xfId="38914"/>
    <cellStyle name="解释性文本 2 2 3 2 2 7" xfId="38915"/>
    <cellStyle name="解释性文本 2 2 3 2 3" xfId="38916"/>
    <cellStyle name="解释性文本 2 2 3 2 3 2" xfId="38917"/>
    <cellStyle name="解释性文本 2 2 3 2 3 3" xfId="38918"/>
    <cellStyle name="解释性文本 2 2 3 2 3 4" xfId="38919"/>
    <cellStyle name="解释性文本 2 2 3 2 3 5" xfId="38920"/>
    <cellStyle name="解释性文本 2 2 3 2 4" xfId="38921"/>
    <cellStyle name="解释性文本 2 2 3 2 4 2" xfId="38922"/>
    <cellStyle name="解释性文本 2 2 3 2 4 3" xfId="38923"/>
    <cellStyle name="解释性文本 2 2 3 2 5" xfId="38924"/>
    <cellStyle name="解释性文本 2 2 3 2 5 2" xfId="38925"/>
    <cellStyle name="解释性文本 2 2 3 2 6" xfId="38926"/>
    <cellStyle name="解释性文本 2 2 3 2 7" xfId="38927"/>
    <cellStyle name="解释性文本 2 2 3 2 8" xfId="38928"/>
    <cellStyle name="解释性文本 2 2 3 2 9" xfId="38929"/>
    <cellStyle name="解释性文本 2 2 3 3" xfId="38930"/>
    <cellStyle name="解释性文本 2 2 3 3 2" xfId="38931"/>
    <cellStyle name="解释性文本 2 2 3 3 2 2" xfId="38932"/>
    <cellStyle name="解释性文本 2 2 3 3 2 3" xfId="29292"/>
    <cellStyle name="解释性文本 2 2 3 3 3" xfId="38933"/>
    <cellStyle name="解释性文本 2 2 3 3 3 2" xfId="38934"/>
    <cellStyle name="解释性文本 2 2 3 3 3 3" xfId="38935"/>
    <cellStyle name="解释性文本 2 2 3 3 4" xfId="38936"/>
    <cellStyle name="解释性文本 2 2 3 3 5" xfId="38937"/>
    <cellStyle name="解释性文本 2 2 3 3 6" xfId="38938"/>
    <cellStyle name="解释性文本 2 2 3 3 7" xfId="38939"/>
    <cellStyle name="解释性文本 2 2 3 4" xfId="38940"/>
    <cellStyle name="解释性文本 2 2 3 4 2" xfId="38941"/>
    <cellStyle name="解释性文本 2 2 3 4 3" xfId="38942"/>
    <cellStyle name="解释性文本 2 2 3 4 4" xfId="38943"/>
    <cellStyle name="解释性文本 2 2 3 4 5" xfId="38944"/>
    <cellStyle name="解释性文本 2 2 3 5" xfId="38945"/>
    <cellStyle name="解释性文本 2 2 3 5 2" xfId="38946"/>
    <cellStyle name="解释性文本 2 2 3 5 3" xfId="7581"/>
    <cellStyle name="解释性文本 2 2 3 6" xfId="23110"/>
    <cellStyle name="解释性文本 2 2 3 6 2" xfId="23112"/>
    <cellStyle name="解释性文本 2 2 3 7" xfId="821"/>
    <cellStyle name="解释性文本 2 2 3 8" xfId="23114"/>
    <cellStyle name="解释性文本 2 2 3 9" xfId="38947"/>
    <cellStyle name="解释性文本 2 2 4" xfId="38948"/>
    <cellStyle name="解释性文本 2 2 4 2" xfId="38949"/>
    <cellStyle name="解释性文本 2 2 4 2 2" xfId="38950"/>
    <cellStyle name="解释性文本 2 2 4 2 3" xfId="38951"/>
    <cellStyle name="解释性文本 2 2 4 3" xfId="38952"/>
    <cellStyle name="解释性文本 2 2 4 3 2" xfId="34654"/>
    <cellStyle name="解释性文本 2 2 4 3 3" xfId="34656"/>
    <cellStyle name="解释性文本 2 2 4 4" xfId="38953"/>
    <cellStyle name="解释性文本 2 2 4 5" xfId="38954"/>
    <cellStyle name="解释性文本 2 2 4 6" xfId="23118"/>
    <cellStyle name="解释性文本 2 2 4 7" xfId="38955"/>
    <cellStyle name="解释性文本 2 2 5" xfId="38956"/>
    <cellStyle name="解释性文本 2 2 5 2" xfId="171"/>
    <cellStyle name="解释性文本 2 2 5 3" xfId="135"/>
    <cellStyle name="解释性文本 2 2 5 4" xfId="202"/>
    <cellStyle name="解释性文本 2 2 5 5" xfId="208"/>
    <cellStyle name="解释性文本 2 2 6" xfId="38957"/>
    <cellStyle name="解释性文本 2 2 6 2" xfId="38958"/>
    <cellStyle name="解释性文本 2 2 6 3" xfId="38959"/>
    <cellStyle name="解释性文本 2 2 7" xfId="38960"/>
    <cellStyle name="解释性文本 2 2 7 2" xfId="38961"/>
    <cellStyle name="解释性文本 2 2 8" xfId="38962"/>
    <cellStyle name="解释性文本 2 2 9" xfId="38963"/>
    <cellStyle name="解释性文本 2 3" xfId="38964"/>
    <cellStyle name="解释性文本 2 3 10" xfId="38965"/>
    <cellStyle name="解释性文本 2 3 2" xfId="38966"/>
    <cellStyle name="解释性文本 2 3 2 2" xfId="38967"/>
    <cellStyle name="解释性文本 2 3 2 2 2" xfId="4431"/>
    <cellStyle name="解释性文本 2 3 2 2 2 2" xfId="4436"/>
    <cellStyle name="解释性文本 2 3 2 2 2 3" xfId="6358"/>
    <cellStyle name="解释性文本 2 3 2 2 3" xfId="4442"/>
    <cellStyle name="解释性文本 2 3 2 2 3 2" xfId="6360"/>
    <cellStyle name="解释性文本 2 3 2 2 3 3" xfId="6362"/>
    <cellStyle name="解释性文本 2 3 2 2 4" xfId="419"/>
    <cellStyle name="解释性文本 2 3 2 2 5" xfId="443"/>
    <cellStyle name="解释性文本 2 3 2 2 6" xfId="466"/>
    <cellStyle name="解释性文本 2 3 2 2 7" xfId="38968"/>
    <cellStyle name="解释性文本 2 3 2 3" xfId="38969"/>
    <cellStyle name="解释性文本 2 3 2 3 2" xfId="6379"/>
    <cellStyle name="解释性文本 2 3 2 3 3" xfId="6386"/>
    <cellStyle name="解释性文本 2 3 2 3 4" xfId="38970"/>
    <cellStyle name="解释性文本 2 3 2 3 5" xfId="38971"/>
    <cellStyle name="解释性文本 2 3 2 4" xfId="38972"/>
    <cellStyle name="解释性文本 2 3 2 4 2" xfId="6398"/>
    <cellStyle name="解释性文本 2 3 2 4 3" xfId="38973"/>
    <cellStyle name="解释性文本 2 3 2 5" xfId="38974"/>
    <cellStyle name="解释性文本 2 3 2 5 2" xfId="6414"/>
    <cellStyle name="解释性文本 2 3 2 6" xfId="38975"/>
    <cellStyle name="解释性文本 2 3 2 7" xfId="38976"/>
    <cellStyle name="解释性文本 2 3 2 8" xfId="38977"/>
    <cellStyle name="解释性文本 2 3 2 9" xfId="38978"/>
    <cellStyle name="解释性文本 2 3 3" xfId="38979"/>
    <cellStyle name="解释性文本 2 3 3 2" xfId="38980"/>
    <cellStyle name="解释性文本 2 3 3 2 2" xfId="38981"/>
    <cellStyle name="解释性文本 2 3 3 2 3" xfId="38982"/>
    <cellStyle name="解释性文本 2 3 3 3" xfId="38983"/>
    <cellStyle name="解释性文本 2 3 3 3 2" xfId="38984"/>
    <cellStyle name="解释性文本 2 3 3 3 3" xfId="38985"/>
    <cellStyle name="解释性文本 2 3 3 4" xfId="38986"/>
    <cellStyle name="解释性文本 2 3 3 5" xfId="38987"/>
    <cellStyle name="解释性文本 2 3 3 6" xfId="23125"/>
    <cellStyle name="解释性文本 2 3 3 7" xfId="38988"/>
    <cellStyle name="解释性文本 2 3 4" xfId="38989"/>
    <cellStyle name="解释性文本 2 3 4 2" xfId="38990"/>
    <cellStyle name="解释性文本 2 3 4 3" xfId="38991"/>
    <cellStyle name="解释性文本 2 3 4 4" xfId="38992"/>
    <cellStyle name="解释性文本 2 3 4 5" xfId="38993"/>
    <cellStyle name="解释性文本 2 3 5" xfId="38994"/>
    <cellStyle name="解释性文本 2 3 5 2" xfId="38995"/>
    <cellStyle name="解释性文本 2 3 5 3" xfId="38996"/>
    <cellStyle name="解释性文本 2 3 6" xfId="38997"/>
    <cellStyle name="解释性文本 2 3 6 2" xfId="38998"/>
    <cellStyle name="解释性文本 2 3 7" xfId="38999"/>
    <cellStyle name="解释性文本 2 3 8" xfId="39000"/>
    <cellStyle name="解释性文本 2 3 9" xfId="39001"/>
    <cellStyle name="解释性文本 2 4" xfId="39002"/>
    <cellStyle name="解释性文本 2 4 2" xfId="39003"/>
    <cellStyle name="解释性文本 2 4 2 2" xfId="39004"/>
    <cellStyle name="解释性文本 2 4 2 3" xfId="39005"/>
    <cellStyle name="解释性文本 2 4 3" xfId="39006"/>
    <cellStyle name="解释性文本 2 4 3 2" xfId="39007"/>
    <cellStyle name="解释性文本 2 4 3 3" xfId="39008"/>
    <cellStyle name="解释性文本 2 4 4" xfId="39009"/>
    <cellStyle name="解释性文本 2 4 5" xfId="39010"/>
    <cellStyle name="解释性文本 2 4 6" xfId="39011"/>
    <cellStyle name="解释性文本 2 4 7" xfId="39012"/>
    <cellStyle name="解释性文本 2 5" xfId="39013"/>
    <cellStyle name="解释性文本 2 5 2" xfId="39014"/>
    <cellStyle name="解释性文本 2 5 3" xfId="39015"/>
    <cellStyle name="解释性文本 2 6" xfId="39016"/>
    <cellStyle name="解释性文本 2 6 2" xfId="39017"/>
    <cellStyle name="解释性文本 2 6 3" xfId="39018"/>
    <cellStyle name="解释性文本 2 7" xfId="39019"/>
    <cellStyle name="解释性文本 2 7 2" xfId="39020"/>
    <cellStyle name="解释性文本 2 8" xfId="39021"/>
    <cellStyle name="解释性文本 2 9" xfId="39022"/>
    <cellStyle name="警告文本 2" xfId="39023"/>
    <cellStyle name="警告文本 2 10" xfId="39024"/>
    <cellStyle name="警告文本 2 11" xfId="39025"/>
    <cellStyle name="警告文本 2 2" xfId="39026"/>
    <cellStyle name="警告文本 2 2 10" xfId="39027"/>
    <cellStyle name="警告文本 2 2 11" xfId="39028"/>
    <cellStyle name="警告文本 2 2 2" xfId="39029"/>
    <cellStyle name="警告文本 2 2 2 2" xfId="39030"/>
    <cellStyle name="警告文本 2 2 2 2 2" xfId="4200"/>
    <cellStyle name="警告文本 2 2 2 2 2 2" xfId="39031"/>
    <cellStyle name="警告文本 2 2 2 2 2 3" xfId="39032"/>
    <cellStyle name="警告文本 2 2 2 2 3" xfId="39033"/>
    <cellStyle name="警告文本 2 2 2 2 3 2" xfId="39034"/>
    <cellStyle name="警告文本 2 2 2 2 3 3" xfId="39035"/>
    <cellStyle name="警告文本 2 2 2 2 4" xfId="39036"/>
    <cellStyle name="警告文本 2 2 2 2 5" xfId="39037"/>
    <cellStyle name="警告文本 2 2 2 2 6" xfId="39039"/>
    <cellStyle name="警告文本 2 2 2 2 7" xfId="39040"/>
    <cellStyle name="警告文本 2 2 2 3" xfId="39041"/>
    <cellStyle name="警告文本 2 2 2 3 2" xfId="4210"/>
    <cellStyle name="警告文本 2 2 2 3 3" xfId="39042"/>
    <cellStyle name="警告文本 2 2 2 3 4" xfId="39043"/>
    <cellStyle name="警告文本 2 2 2 3 5" xfId="39044"/>
    <cellStyle name="警告文本 2 2 2 4" xfId="39045"/>
    <cellStyle name="警告文本 2 2 2 4 2" xfId="39046"/>
    <cellStyle name="警告文本 2 2 2 4 3" xfId="39047"/>
    <cellStyle name="警告文本 2 2 2 5" xfId="39048"/>
    <cellStyle name="警告文本 2 2 2 5 2" xfId="39049"/>
    <cellStyle name="警告文本 2 2 2 6" xfId="39050"/>
    <cellStyle name="警告文本 2 2 2 7" xfId="39051"/>
    <cellStyle name="警告文本 2 2 2 8" xfId="39052"/>
    <cellStyle name="警告文本 2 2 2 9" xfId="39054"/>
    <cellStyle name="警告文本 2 2 3" xfId="39055"/>
    <cellStyle name="警告文本 2 2 3 10" xfId="39056"/>
    <cellStyle name="警告文本 2 2 3 2" xfId="39057"/>
    <cellStyle name="警告文本 2 2 3 2 2" xfId="39058"/>
    <cellStyle name="警告文本 2 2 3 2 2 2" xfId="39059"/>
    <cellStyle name="警告文本 2 2 3 2 2 2 2" xfId="39060"/>
    <cellStyle name="警告文本 2 2 3 2 2 2 3" xfId="39061"/>
    <cellStyle name="警告文本 2 2 3 2 2 3" xfId="39062"/>
    <cellStyle name="警告文本 2 2 3 2 2 3 2" xfId="39063"/>
    <cellStyle name="警告文本 2 2 3 2 2 3 3" xfId="39064"/>
    <cellStyle name="警告文本 2 2 3 2 2 4" xfId="39065"/>
    <cellStyle name="警告文本 2 2 3 2 2 5" xfId="39066"/>
    <cellStyle name="警告文本 2 2 3 2 2 6" xfId="14666"/>
    <cellStyle name="警告文本 2 2 3 2 2 7" xfId="14677"/>
    <cellStyle name="警告文本 2 2 3 2 3" xfId="39067"/>
    <cellStyle name="警告文本 2 2 3 2 3 2" xfId="39068"/>
    <cellStyle name="警告文本 2 2 3 2 3 3" xfId="39069"/>
    <cellStyle name="警告文本 2 2 3 2 3 4" xfId="39070"/>
    <cellStyle name="警告文本 2 2 3 2 3 5" xfId="39071"/>
    <cellStyle name="警告文本 2 2 3 2 4" xfId="39072"/>
    <cellStyle name="警告文本 2 2 3 2 4 2" xfId="39073"/>
    <cellStyle name="警告文本 2 2 3 2 4 3" xfId="39074"/>
    <cellStyle name="警告文本 2 2 3 2 5" xfId="39075"/>
    <cellStyle name="警告文本 2 2 3 2 5 2" xfId="39076"/>
    <cellStyle name="警告文本 2 2 3 2 6" xfId="39077"/>
    <cellStyle name="警告文本 2 2 3 2 7" xfId="39078"/>
    <cellStyle name="警告文本 2 2 3 2 8" xfId="39079"/>
    <cellStyle name="警告文本 2 2 3 2 9" xfId="39080"/>
    <cellStyle name="警告文本 2 2 3 3" xfId="39081"/>
    <cellStyle name="警告文本 2 2 3 3 2" xfId="11433"/>
    <cellStyle name="警告文本 2 2 3 3 2 2" xfId="21577"/>
    <cellStyle name="警告文本 2 2 3 3 2 3" xfId="39082"/>
    <cellStyle name="警告文本 2 2 3 3 3" xfId="39083"/>
    <cellStyle name="警告文本 2 2 3 3 3 2" xfId="39084"/>
    <cellStyle name="警告文本 2 2 3 3 3 3" xfId="39085"/>
    <cellStyle name="警告文本 2 2 3 3 4" xfId="39086"/>
    <cellStyle name="警告文本 2 2 3 3 5" xfId="39087"/>
    <cellStyle name="警告文本 2 2 3 3 6" xfId="39088"/>
    <cellStyle name="警告文本 2 2 3 3 7" xfId="39089"/>
    <cellStyle name="警告文本 2 2 3 4" xfId="39090"/>
    <cellStyle name="警告文本 2 2 3 4 2" xfId="39091"/>
    <cellStyle name="警告文本 2 2 3 4 3" xfId="39092"/>
    <cellStyle name="警告文本 2 2 3 4 4" xfId="39093"/>
    <cellStyle name="警告文本 2 2 3 4 5" xfId="39094"/>
    <cellStyle name="警告文本 2 2 3 5" xfId="39095"/>
    <cellStyle name="警告文本 2 2 3 5 2" xfId="39096"/>
    <cellStyle name="警告文本 2 2 3 5 3" xfId="39097"/>
    <cellStyle name="警告文本 2 2 3 6" xfId="39098"/>
    <cellStyle name="警告文本 2 2 3 6 2" xfId="39099"/>
    <cellStyle name="警告文本 2 2 3 7" xfId="39100"/>
    <cellStyle name="警告文本 2 2 3 8" xfId="39101"/>
    <cellStyle name="警告文本 2 2 3 9" xfId="39102"/>
    <cellStyle name="警告文本 2 2 4" xfId="39103"/>
    <cellStyle name="警告文本 2 2 4 2" xfId="39104"/>
    <cellStyle name="警告文本 2 2 4 2 2" xfId="39105"/>
    <cellStyle name="警告文本 2 2 4 2 3" xfId="39106"/>
    <cellStyle name="警告文本 2 2 4 3" xfId="39107"/>
    <cellStyle name="警告文本 2 2 4 3 2" xfId="39108"/>
    <cellStyle name="警告文本 2 2 4 3 3" xfId="39109"/>
    <cellStyle name="警告文本 2 2 4 4" xfId="39110"/>
    <cellStyle name="警告文本 2 2 4 5" xfId="39111"/>
    <cellStyle name="警告文本 2 2 4 6" xfId="39112"/>
    <cellStyle name="警告文本 2 2 4 7" xfId="39113"/>
    <cellStyle name="警告文本 2 2 5" xfId="39114"/>
    <cellStyle name="警告文本 2 2 5 2" xfId="33582"/>
    <cellStyle name="警告文本 2 2 5 3" xfId="39115"/>
    <cellStyle name="警告文本 2 2 5 4" xfId="39116"/>
    <cellStyle name="警告文本 2 2 5 5" xfId="39117"/>
    <cellStyle name="警告文本 2 2 6" xfId="39118"/>
    <cellStyle name="警告文本 2 2 6 2" xfId="33548"/>
    <cellStyle name="警告文本 2 2 6 3" xfId="39119"/>
    <cellStyle name="警告文本 2 2 7" xfId="39120"/>
    <cellStyle name="警告文本 2 2 7 2" xfId="39121"/>
    <cellStyle name="警告文本 2 2 8" xfId="39122"/>
    <cellStyle name="警告文本 2 2 9" xfId="39123"/>
    <cellStyle name="警告文本 2 3" xfId="39124"/>
    <cellStyle name="警告文本 2 3 10" xfId="39125"/>
    <cellStyle name="警告文本 2 3 2" xfId="39126"/>
    <cellStyle name="警告文本 2 3 2 2" xfId="39127"/>
    <cellStyle name="警告文本 2 3 2 2 2" xfId="39128"/>
    <cellStyle name="警告文本 2 3 2 2 2 2" xfId="39129"/>
    <cellStyle name="警告文本 2 3 2 2 2 3" xfId="39130"/>
    <cellStyle name="警告文本 2 3 2 2 3" xfId="39131"/>
    <cellStyle name="警告文本 2 3 2 2 3 2" xfId="39132"/>
    <cellStyle name="警告文本 2 3 2 2 3 3" xfId="39133"/>
    <cellStyle name="警告文本 2 3 2 2 4" xfId="39134"/>
    <cellStyle name="警告文本 2 3 2 2 5" xfId="39135"/>
    <cellStyle name="警告文本 2 3 2 2 6" xfId="39136"/>
    <cellStyle name="警告文本 2 3 2 2 7" xfId="39137"/>
    <cellStyle name="警告文本 2 3 2 3" xfId="39138"/>
    <cellStyle name="警告文本 2 3 2 3 2" xfId="39139"/>
    <cellStyle name="警告文本 2 3 2 3 3" xfId="39140"/>
    <cellStyle name="警告文本 2 3 2 3 4" xfId="39141"/>
    <cellStyle name="警告文本 2 3 2 3 5" xfId="39142"/>
    <cellStyle name="警告文本 2 3 2 4" xfId="39143"/>
    <cellStyle name="警告文本 2 3 2 4 2" xfId="39144"/>
    <cellStyle name="警告文本 2 3 2 4 3" xfId="39145"/>
    <cellStyle name="警告文本 2 3 2 5" xfId="39146"/>
    <cellStyle name="警告文本 2 3 2 5 2" xfId="33306"/>
    <cellStyle name="警告文本 2 3 2 6" xfId="39147"/>
    <cellStyle name="警告文本 2 3 2 7" xfId="39148"/>
    <cellStyle name="警告文本 2 3 2 8" xfId="39149"/>
    <cellStyle name="警告文本 2 3 2 9" xfId="39150"/>
    <cellStyle name="警告文本 2 3 3" xfId="39151"/>
    <cellStyle name="警告文本 2 3 3 2" xfId="39152"/>
    <cellStyle name="警告文本 2 3 3 2 2" xfId="39153"/>
    <cellStyle name="警告文本 2 3 3 2 3" xfId="39154"/>
    <cellStyle name="警告文本 2 3 3 3" xfId="39155"/>
    <cellStyle name="警告文本 2 3 3 3 2" xfId="39156"/>
    <cellStyle name="警告文本 2 3 3 3 3" xfId="39157"/>
    <cellStyle name="警告文本 2 3 3 4" xfId="39158"/>
    <cellStyle name="警告文本 2 3 3 5" xfId="39159"/>
    <cellStyle name="警告文本 2 3 3 6" xfId="39160"/>
    <cellStyle name="警告文本 2 3 3 7" xfId="39161"/>
    <cellStyle name="警告文本 2 3 4" xfId="39162"/>
    <cellStyle name="警告文本 2 3 4 2" xfId="39163"/>
    <cellStyle name="警告文本 2 3 4 3" xfId="39164"/>
    <cellStyle name="警告文本 2 3 4 4" xfId="39165"/>
    <cellStyle name="警告文本 2 3 4 5" xfId="39166"/>
    <cellStyle name="警告文本 2 3 5" xfId="39167"/>
    <cellStyle name="警告文本 2 3 5 2" xfId="33812"/>
    <cellStyle name="警告文本 2 3 5 3" xfId="39168"/>
    <cellStyle name="警告文本 2 3 6" xfId="39169"/>
    <cellStyle name="警告文本 2 3 6 2" xfId="33914"/>
    <cellStyle name="警告文本 2 3 7" xfId="39170"/>
    <cellStyle name="警告文本 2 3 8" xfId="39171"/>
    <cellStyle name="警告文本 2 3 9" xfId="39172"/>
    <cellStyle name="警告文本 2 4" xfId="39173"/>
    <cellStyle name="警告文本 2 4 2" xfId="39174"/>
    <cellStyle name="警告文本 2 4 2 2" xfId="39175"/>
    <cellStyle name="警告文本 2 4 2 3" xfId="39176"/>
    <cellStyle name="警告文本 2 4 3" xfId="39177"/>
    <cellStyle name="警告文本 2 4 3 2" xfId="39178"/>
    <cellStyle name="警告文本 2 4 3 3" xfId="39179"/>
    <cellStyle name="警告文本 2 4 4" xfId="39180"/>
    <cellStyle name="警告文本 2 4 5" xfId="39181"/>
    <cellStyle name="警告文本 2 4 6" xfId="39182"/>
    <cellStyle name="警告文本 2 4 7" xfId="39183"/>
    <cellStyle name="警告文本 2 5" xfId="39184"/>
    <cellStyle name="警告文本 2 5 2" xfId="39185"/>
    <cellStyle name="警告文本 2 5 3" xfId="39186"/>
    <cellStyle name="警告文本 2 6" xfId="39187"/>
    <cellStyle name="警告文本 2 6 2" xfId="39188"/>
    <cellStyle name="警告文本 2 6 3" xfId="39189"/>
    <cellStyle name="警告文本 2 7" xfId="39190"/>
    <cellStyle name="警告文本 2 7 2" xfId="39191"/>
    <cellStyle name="警告文本 2 8" xfId="39192"/>
    <cellStyle name="警告文本 2 9" xfId="39193"/>
    <cellStyle name="链接单元格 2" xfId="29237"/>
    <cellStyle name="链接单元格 2 10" xfId="39194"/>
    <cellStyle name="链接单元格 2 11" xfId="39195"/>
    <cellStyle name="链接单元格 2 2" xfId="29239"/>
    <cellStyle name="链接单元格 2 2 10" xfId="16826"/>
    <cellStyle name="链接单元格 2 2 11" xfId="39196"/>
    <cellStyle name="链接单元格 2 2 2" xfId="25698"/>
    <cellStyle name="链接单元格 2 2 2 2" xfId="39197"/>
    <cellStyle name="链接单元格 2 2 2 2 2" xfId="39198"/>
    <cellStyle name="链接单元格 2 2 2 2 2 2" xfId="39199"/>
    <cellStyle name="链接单元格 2 2 2 2 2 3" xfId="39200"/>
    <cellStyle name="链接单元格 2 2 2 2 3" xfId="39201"/>
    <cellStyle name="链接单元格 2 2 2 2 3 2" xfId="39202"/>
    <cellStyle name="链接单元格 2 2 2 2 3 3" xfId="39203"/>
    <cellStyle name="链接单元格 2 2 2 2 4" xfId="39204"/>
    <cellStyle name="链接单元格 2 2 2 2 5" xfId="39205"/>
    <cellStyle name="链接单元格 2 2 2 2 6" xfId="39206"/>
    <cellStyle name="链接单元格 2 2 2 2 7" xfId="39207"/>
    <cellStyle name="链接单元格 2 2 2 3" xfId="39208"/>
    <cellStyle name="链接单元格 2 2 2 3 2" xfId="39209"/>
    <cellStyle name="链接单元格 2 2 2 3 3" xfId="39210"/>
    <cellStyle name="链接单元格 2 2 2 4" xfId="39211"/>
    <cellStyle name="链接单元格 2 2 2 4 2" xfId="39212"/>
    <cellStyle name="链接单元格 2 2 2 4 3" xfId="25354"/>
    <cellStyle name="链接单元格 2 2 2 5" xfId="39213"/>
    <cellStyle name="链接单元格 2 2 2 5 2" xfId="39214"/>
    <cellStyle name="链接单元格 2 2 2 6" xfId="39215"/>
    <cellStyle name="链接单元格 2 2 2 7" xfId="39216"/>
    <cellStyle name="链接单元格 2 2 2 8" xfId="39217"/>
    <cellStyle name="链接单元格 2 2 2 9" xfId="39218"/>
    <cellStyle name="链接单元格 2 2 3" xfId="39219"/>
    <cellStyle name="链接单元格 2 2 3 10" xfId="39220"/>
    <cellStyle name="链接单元格 2 2 3 2" xfId="39221"/>
    <cellStyle name="链接单元格 2 2 3 2 2" xfId="39222"/>
    <cellStyle name="链接单元格 2 2 3 2 2 2" xfId="39223"/>
    <cellStyle name="链接单元格 2 2 3 2 2 2 2" xfId="39224"/>
    <cellStyle name="链接单元格 2 2 3 2 2 2 3" xfId="39225"/>
    <cellStyle name="链接单元格 2 2 3 2 2 3" xfId="39226"/>
    <cellStyle name="链接单元格 2 2 3 2 2 3 2" xfId="39227"/>
    <cellStyle name="链接单元格 2 2 3 2 2 3 3" xfId="39228"/>
    <cellStyle name="链接单元格 2 2 3 2 2 4" xfId="16607"/>
    <cellStyle name="链接单元格 2 2 3 2 2 5" xfId="39229"/>
    <cellStyle name="链接单元格 2 2 3 2 2 6" xfId="39230"/>
    <cellStyle name="链接单元格 2 2 3 2 2 7" xfId="39231"/>
    <cellStyle name="链接单元格 2 2 3 2 3" xfId="39232"/>
    <cellStyle name="链接单元格 2 2 3 2 3 2" xfId="39233"/>
    <cellStyle name="链接单元格 2 2 3 2 3 3" xfId="39234"/>
    <cellStyle name="链接单元格 2 2 3 2 4" xfId="39235"/>
    <cellStyle name="链接单元格 2 2 3 2 4 2" xfId="39236"/>
    <cellStyle name="链接单元格 2 2 3 2 4 3" xfId="39237"/>
    <cellStyle name="链接单元格 2 2 3 2 5" xfId="39238"/>
    <cellStyle name="链接单元格 2 2 3 2 5 2" xfId="39239"/>
    <cellStyle name="链接单元格 2 2 3 2 6" xfId="39240"/>
    <cellStyle name="链接单元格 2 2 3 2 7" xfId="39241"/>
    <cellStyle name="链接单元格 2 2 3 2 8" xfId="39242"/>
    <cellStyle name="链接单元格 2 2 3 2 9" xfId="39243"/>
    <cellStyle name="链接单元格 2 2 3 3" xfId="39244"/>
    <cellStyle name="链接单元格 2 2 3 3 2" xfId="39245"/>
    <cellStyle name="链接单元格 2 2 3 3 2 2" xfId="39246"/>
    <cellStyle name="链接单元格 2 2 3 3 2 3" xfId="36463"/>
    <cellStyle name="链接单元格 2 2 3 3 3" xfId="39247"/>
    <cellStyle name="链接单元格 2 2 3 3 3 2" xfId="39248"/>
    <cellStyle name="链接单元格 2 2 3 3 3 3" xfId="39249"/>
    <cellStyle name="链接单元格 2 2 3 3 4" xfId="39250"/>
    <cellStyle name="链接单元格 2 2 3 3 5" xfId="39251"/>
    <cellStyle name="链接单元格 2 2 3 3 6" xfId="39252"/>
    <cellStyle name="链接单元格 2 2 3 3 7" xfId="39253"/>
    <cellStyle name="链接单元格 2 2 3 4" xfId="39254"/>
    <cellStyle name="链接单元格 2 2 3 4 2" xfId="39255"/>
    <cellStyle name="链接单元格 2 2 3 4 3" xfId="25367"/>
    <cellStyle name="链接单元格 2 2 3 5" xfId="39256"/>
    <cellStyle name="链接单元格 2 2 3 5 2" xfId="39257"/>
    <cellStyle name="链接单元格 2 2 3 5 3" xfId="39258"/>
    <cellStyle name="链接单元格 2 2 3 6" xfId="39259"/>
    <cellStyle name="链接单元格 2 2 3 6 2" xfId="39260"/>
    <cellStyle name="链接单元格 2 2 3 7" xfId="39261"/>
    <cellStyle name="链接单元格 2 2 3 8" xfId="39262"/>
    <cellStyle name="链接单元格 2 2 3 9" xfId="39263"/>
    <cellStyle name="链接单元格 2 2 4" xfId="39264"/>
    <cellStyle name="链接单元格 2 2 4 2" xfId="39265"/>
    <cellStyle name="链接单元格 2 2 4 2 2" xfId="39266"/>
    <cellStyle name="链接单元格 2 2 4 2 3" xfId="39267"/>
    <cellStyle name="链接单元格 2 2 4 3" xfId="39268"/>
    <cellStyle name="链接单元格 2 2 4 3 2" xfId="39269"/>
    <cellStyle name="链接单元格 2 2 4 3 3" xfId="39270"/>
    <cellStyle name="链接单元格 2 2 4 4" xfId="39271"/>
    <cellStyle name="链接单元格 2 2 4 5" xfId="39272"/>
    <cellStyle name="链接单元格 2 2 4 6" xfId="39273"/>
    <cellStyle name="链接单元格 2 2 4 7" xfId="39274"/>
    <cellStyle name="链接单元格 2 2 5" xfId="6090"/>
    <cellStyle name="链接单元格 2 2 5 2" xfId="26775"/>
    <cellStyle name="链接单元格 2 2 5 3" xfId="26778"/>
    <cellStyle name="链接单元格 2 2 6" xfId="20302"/>
    <cellStyle name="链接单元格 2 2 6 2" xfId="20309"/>
    <cellStyle name="链接单元格 2 2 6 3" xfId="20315"/>
    <cellStyle name="链接单元格 2 2 7" xfId="20320"/>
    <cellStyle name="链接单元格 2 2 7 2" xfId="20323"/>
    <cellStyle name="链接单元格 2 2 8" xfId="3491"/>
    <cellStyle name="链接单元格 2 2 9" xfId="20326"/>
    <cellStyle name="链接单元格 2 3" xfId="39275"/>
    <cellStyle name="链接单元格 2 3 10" xfId="4924"/>
    <cellStyle name="链接单元格 2 3 2" xfId="39276"/>
    <cellStyle name="链接单元格 2 3 2 2" xfId="39277"/>
    <cellStyle name="链接单元格 2 3 2 2 2" xfId="39278"/>
    <cellStyle name="链接单元格 2 3 2 2 2 2" xfId="39279"/>
    <cellStyle name="链接单元格 2 3 2 2 2 3" xfId="39280"/>
    <cellStyle name="链接单元格 2 3 2 2 3" xfId="39281"/>
    <cellStyle name="链接单元格 2 3 2 2 3 2" xfId="39282"/>
    <cellStyle name="链接单元格 2 3 2 2 3 3" xfId="39283"/>
    <cellStyle name="链接单元格 2 3 2 2 4" xfId="39284"/>
    <cellStyle name="链接单元格 2 3 2 2 5" xfId="39285"/>
    <cellStyle name="链接单元格 2 3 2 2 6" xfId="39286"/>
    <cellStyle name="链接单元格 2 3 2 2 7" xfId="39287"/>
    <cellStyle name="链接单元格 2 3 2 3" xfId="39288"/>
    <cellStyle name="链接单元格 2 3 2 3 2" xfId="39289"/>
    <cellStyle name="链接单元格 2 3 2 3 3" xfId="39290"/>
    <cellStyle name="链接单元格 2 3 2 4" xfId="39291"/>
    <cellStyle name="链接单元格 2 3 2 4 2" xfId="39292"/>
    <cellStyle name="链接单元格 2 3 2 4 3" xfId="25381"/>
    <cellStyle name="链接单元格 2 3 2 5" xfId="39293"/>
    <cellStyle name="链接单元格 2 3 2 5 2" xfId="39294"/>
    <cellStyle name="链接单元格 2 3 2 6" xfId="39295"/>
    <cellStyle name="链接单元格 2 3 2 7" xfId="39296"/>
    <cellStyle name="链接单元格 2 3 2 8" xfId="39297"/>
    <cellStyle name="链接单元格 2 3 2 9" xfId="39298"/>
    <cellStyle name="链接单元格 2 3 3" xfId="39299"/>
    <cellStyle name="链接单元格 2 3 3 2" xfId="39300"/>
    <cellStyle name="链接单元格 2 3 3 2 2" xfId="39301"/>
    <cellStyle name="链接单元格 2 3 3 2 3" xfId="39302"/>
    <cellStyle name="链接单元格 2 3 3 3" xfId="39303"/>
    <cellStyle name="链接单元格 2 3 3 3 2" xfId="39304"/>
    <cellStyle name="链接单元格 2 3 3 3 3" xfId="39305"/>
    <cellStyle name="链接单元格 2 3 3 4" xfId="39306"/>
    <cellStyle name="链接单元格 2 3 3 5" xfId="39307"/>
    <cellStyle name="链接单元格 2 3 3 6" xfId="39308"/>
    <cellStyle name="链接单元格 2 3 3 7" xfId="39309"/>
    <cellStyle name="链接单元格 2 3 4" xfId="39310"/>
    <cellStyle name="链接单元格 2 3 4 2" xfId="39311"/>
    <cellStyle name="链接单元格 2 3 4 3" xfId="39312"/>
    <cellStyle name="链接单元格 2 3 5" xfId="29095"/>
    <cellStyle name="链接单元格 2 3 5 2" xfId="29098"/>
    <cellStyle name="链接单元格 2 3 5 3" xfId="29102"/>
    <cellStyle name="链接单元格 2 3 6" xfId="20337"/>
    <cellStyle name="链接单元格 2 3 6 2" xfId="20341"/>
    <cellStyle name="链接单元格 2 3 7" xfId="20344"/>
    <cellStyle name="链接单元格 2 3 8" xfId="3503"/>
    <cellStyle name="链接单元格 2 3 9" xfId="29115"/>
    <cellStyle name="链接单元格 2 4" xfId="39313"/>
    <cellStyle name="链接单元格 2 4 2" xfId="39314"/>
    <cellStyle name="链接单元格 2 4 2 2" xfId="39315"/>
    <cellStyle name="链接单元格 2 4 2 3" xfId="39316"/>
    <cellStyle name="链接单元格 2 4 3" xfId="39317"/>
    <cellStyle name="链接单元格 2 4 3 2" xfId="39318"/>
    <cellStyle name="链接单元格 2 4 3 3" xfId="39319"/>
    <cellStyle name="链接单元格 2 4 4" xfId="39320"/>
    <cellStyle name="链接单元格 2 4 5" xfId="10912"/>
    <cellStyle name="链接单元格 2 4 6" xfId="10923"/>
    <cellStyle name="链接单元格 2 4 7" xfId="10933"/>
    <cellStyle name="链接单元格 2 5" xfId="39321"/>
    <cellStyle name="链接单元格 2 5 2" xfId="39322"/>
    <cellStyle name="链接单元格 2 5 3" xfId="39323"/>
    <cellStyle name="链接单元格 2 6" xfId="39324"/>
    <cellStyle name="链接单元格 2 6 2" xfId="39325"/>
    <cellStyle name="链接单元格 2 6 3" xfId="39326"/>
    <cellStyle name="链接单元格 2 7" xfId="39327"/>
    <cellStyle name="链接单元格 2 7 2" xfId="39328"/>
    <cellStyle name="链接单元格 2 8" xfId="39329"/>
    <cellStyle name="链接单元格 2 9" xfId="39330"/>
    <cellStyle name="千位分隔 2" xfId="39331"/>
    <cellStyle name="强调文字颜色 1 2" xfId="39332"/>
    <cellStyle name="强调文字颜色 1 2 10" xfId="39333"/>
    <cellStyle name="强调文字颜色 1 2 11" xfId="39334"/>
    <cellStyle name="强调文字颜色 1 2 12" xfId="39335"/>
    <cellStyle name="强调文字颜色 1 2 2" xfId="39336"/>
    <cellStyle name="强调文字颜色 1 2 2 10" xfId="39337"/>
    <cellStyle name="强调文字颜色 1 2 2 11" xfId="39338"/>
    <cellStyle name="强调文字颜色 1 2 2 2" xfId="39339"/>
    <cellStyle name="强调文字颜色 1 2 2 2 2" xfId="39340"/>
    <cellStyle name="强调文字颜色 1 2 2 2 2 2" xfId="39341"/>
    <cellStyle name="强调文字颜色 1 2 2 2 2 2 2" xfId="39342"/>
    <cellStyle name="强调文字颜色 1 2 2 2 2 2 3" xfId="39343"/>
    <cellStyle name="强调文字颜色 1 2 2 2 2 3" xfId="39344"/>
    <cellStyle name="强调文字颜色 1 2 2 2 2 3 2" xfId="39345"/>
    <cellStyle name="强调文字颜色 1 2 2 2 2 3 2 2" xfId="39346"/>
    <cellStyle name="强调文字颜色 1 2 2 2 2 3 3" xfId="39347"/>
    <cellStyle name="强调文字颜色 1 2 2 2 2 3 4" xfId="39348"/>
    <cellStyle name="强调文字颜色 1 2 2 2 2 4" xfId="39349"/>
    <cellStyle name="强调文字颜色 1 2 2 2 2 5" xfId="39350"/>
    <cellStyle name="强调文字颜色 1 2 2 2 2 6" xfId="39351"/>
    <cellStyle name="强调文字颜色 1 2 2 2 2 7" xfId="39352"/>
    <cellStyle name="强调文字颜色 1 2 2 2 3" xfId="39353"/>
    <cellStyle name="强调文字颜色 1 2 2 2 3 2" xfId="39354"/>
    <cellStyle name="强调文字颜色 1 2 2 2 3 3" xfId="39355"/>
    <cellStyle name="强调文字颜色 1 2 2 2 3 4" xfId="39356"/>
    <cellStyle name="强调文字颜色 1 2 2 2 3 5" xfId="39357"/>
    <cellStyle name="强调文字颜色 1 2 2 2 4" xfId="39358"/>
    <cellStyle name="强调文字颜色 1 2 2 2 4 2" xfId="39359"/>
    <cellStyle name="强调文字颜色 1 2 2 2 4 2 2" xfId="39360"/>
    <cellStyle name="强调文字颜色 1 2 2 2 4 3" xfId="39361"/>
    <cellStyle name="强调文字颜色 1 2 2 2 4 4" xfId="39362"/>
    <cellStyle name="强调文字颜色 1 2 2 2 5" xfId="39363"/>
    <cellStyle name="强调文字颜色 1 2 2 2 5 2" xfId="39364"/>
    <cellStyle name="强调文字颜色 1 2 2 2 6" xfId="39365"/>
    <cellStyle name="强调文字颜色 1 2 2 2 7" xfId="39366"/>
    <cellStyle name="强调文字颜色 1 2 2 2 8" xfId="39367"/>
    <cellStyle name="强调文字颜色 1 2 2 2 9" xfId="39368"/>
    <cellStyle name="强调文字颜色 1 2 2 3" xfId="39369"/>
    <cellStyle name="强调文字颜色 1 2 2 3 10" xfId="39370"/>
    <cellStyle name="强调文字颜色 1 2 2 3 2" xfId="39371"/>
    <cellStyle name="强调文字颜色 1 2 2 3 2 2" xfId="39372"/>
    <cellStyle name="强调文字颜色 1 2 2 3 2 2 2" xfId="39373"/>
    <cellStyle name="强调文字颜色 1 2 2 3 2 2 2 2" xfId="39374"/>
    <cellStyle name="强调文字颜色 1 2 2 3 2 2 2 3" xfId="39375"/>
    <cellStyle name="强调文字颜色 1 2 2 3 2 2 3" xfId="39376"/>
    <cellStyle name="强调文字颜色 1 2 2 3 2 2 3 2" xfId="39377"/>
    <cellStyle name="强调文字颜色 1 2 2 3 2 2 3 2 2" xfId="39378"/>
    <cellStyle name="强调文字颜色 1 2 2 3 2 2 3 3" xfId="39379"/>
    <cellStyle name="强调文字颜色 1 2 2 3 2 2 3 4" xfId="39380"/>
    <cellStyle name="强调文字颜色 1 2 2 3 2 2 4" xfId="39381"/>
    <cellStyle name="强调文字颜色 1 2 2 3 2 2 5" xfId="39382"/>
    <cellStyle name="强调文字颜色 1 2 2 3 2 2 6" xfId="39383"/>
    <cellStyle name="强调文字颜色 1 2 2 3 2 2 7" xfId="39384"/>
    <cellStyle name="强调文字颜色 1 2 2 3 2 3" xfId="39385"/>
    <cellStyle name="强调文字颜色 1 2 2 3 2 3 2" xfId="39386"/>
    <cellStyle name="强调文字颜色 1 2 2 3 2 3 3" xfId="39387"/>
    <cellStyle name="强调文字颜色 1 2 2 3 2 3 4" xfId="39388"/>
    <cellStyle name="强调文字颜色 1 2 2 3 2 3 5" xfId="39389"/>
    <cellStyle name="强调文字颜色 1 2 2 3 2 4" xfId="39390"/>
    <cellStyle name="强调文字颜色 1 2 2 3 2 4 2" xfId="39391"/>
    <cellStyle name="强调文字颜色 1 2 2 3 2 4 2 2" xfId="39392"/>
    <cellStyle name="强调文字颜色 1 2 2 3 2 4 3" xfId="39393"/>
    <cellStyle name="强调文字颜色 1 2 2 3 2 4 4" xfId="39394"/>
    <cellStyle name="强调文字颜色 1 2 2 3 2 5" xfId="39395"/>
    <cellStyle name="强调文字颜色 1 2 2 3 2 5 2" xfId="39396"/>
    <cellStyle name="强调文字颜色 1 2 2 3 2 6" xfId="39397"/>
    <cellStyle name="强调文字颜色 1 2 2 3 2 7" xfId="39398"/>
    <cellStyle name="强调文字颜色 1 2 2 3 2 8" xfId="39399"/>
    <cellStyle name="强调文字颜色 1 2 2 3 2 9" xfId="39400"/>
    <cellStyle name="强调文字颜色 1 2 2 3 3" xfId="39401"/>
    <cellStyle name="强调文字颜色 1 2 2 3 3 2" xfId="8956"/>
    <cellStyle name="强调文字颜色 1 2 2 3 3 2 2" xfId="39402"/>
    <cellStyle name="强调文字颜色 1 2 2 3 3 2 3" xfId="39403"/>
    <cellStyle name="强调文字颜色 1 2 2 3 3 3" xfId="8960"/>
    <cellStyle name="强调文字颜色 1 2 2 3 3 3 2" xfId="39404"/>
    <cellStyle name="强调文字颜色 1 2 2 3 3 3 2 2" xfId="39405"/>
    <cellStyle name="强调文字颜色 1 2 2 3 3 3 3" xfId="39406"/>
    <cellStyle name="强调文字颜色 1 2 2 3 3 3 4" xfId="39407"/>
    <cellStyle name="强调文字颜色 1 2 2 3 3 4" xfId="39408"/>
    <cellStyle name="强调文字颜色 1 2 2 3 3 5" xfId="39409"/>
    <cellStyle name="强调文字颜色 1 2 2 3 3 6" xfId="39410"/>
    <cellStyle name="强调文字颜色 1 2 2 3 3 7" xfId="39411"/>
    <cellStyle name="强调文字颜色 1 2 2 3 4" xfId="39412"/>
    <cellStyle name="强调文字颜色 1 2 2 3 4 2" xfId="9043"/>
    <cellStyle name="强调文字颜色 1 2 2 3 4 3" xfId="39413"/>
    <cellStyle name="强调文字颜色 1 2 2 3 4 4" xfId="39414"/>
    <cellStyle name="强调文字颜色 1 2 2 3 4 5" xfId="39415"/>
    <cellStyle name="强调文字颜色 1 2 2 3 5" xfId="39416"/>
    <cellStyle name="强调文字颜色 1 2 2 3 5 2" xfId="39417"/>
    <cellStyle name="强调文字颜色 1 2 2 3 5 2 2" xfId="39418"/>
    <cellStyle name="强调文字颜色 1 2 2 3 5 3" xfId="3728"/>
    <cellStyle name="强调文字颜色 1 2 2 3 5 4" xfId="39419"/>
    <cellStyle name="强调文字颜色 1 2 2 3 6" xfId="39420"/>
    <cellStyle name="强调文字颜色 1 2 2 3 6 2" xfId="39421"/>
    <cellStyle name="强调文字颜色 1 2 2 3 7" xfId="39422"/>
    <cellStyle name="强调文字颜色 1 2 2 3 8" xfId="39423"/>
    <cellStyle name="强调文字颜色 1 2 2 3 9" xfId="39424"/>
    <cellStyle name="强调文字颜色 1 2 2 4" xfId="39425"/>
    <cellStyle name="强调文字颜色 1 2 2 4 2" xfId="39426"/>
    <cellStyle name="强调文字颜色 1 2 2 4 2 2" xfId="39427"/>
    <cellStyle name="强调文字颜色 1 2 2 4 2 3" xfId="39428"/>
    <cellStyle name="强调文字颜色 1 2 2 4 3" xfId="39429"/>
    <cellStyle name="强调文字颜色 1 2 2 4 3 2" xfId="39430"/>
    <cellStyle name="强调文字颜色 1 2 2 4 3 2 2" xfId="39053"/>
    <cellStyle name="强调文字颜色 1 2 2 4 3 3" xfId="39431"/>
    <cellStyle name="强调文字颜色 1 2 2 4 3 4" xfId="39432"/>
    <cellStyle name="强调文字颜色 1 2 2 4 4" xfId="39433"/>
    <cellStyle name="强调文字颜色 1 2 2 4 5" xfId="39434"/>
    <cellStyle name="强调文字颜色 1 2 2 4 6" xfId="39435"/>
    <cellStyle name="强调文字颜色 1 2 2 4 7" xfId="39436"/>
    <cellStyle name="强调文字颜色 1 2 2 5" xfId="39437"/>
    <cellStyle name="强调文字颜色 1 2 2 5 2" xfId="39438"/>
    <cellStyle name="强调文字颜色 1 2 2 5 3" xfId="39439"/>
    <cellStyle name="强调文字颜色 1 2 2 5 4" xfId="39440"/>
    <cellStyle name="强调文字颜色 1 2 2 5 5" xfId="39441"/>
    <cellStyle name="强调文字颜色 1 2 2 6" xfId="39442"/>
    <cellStyle name="强调文字颜色 1 2 2 6 2" xfId="39443"/>
    <cellStyle name="强调文字颜色 1 2 2 6 2 2" xfId="39444"/>
    <cellStyle name="强调文字颜色 1 2 2 6 3" xfId="39445"/>
    <cellStyle name="强调文字颜色 1 2 2 6 4" xfId="39446"/>
    <cellStyle name="强调文字颜色 1 2 2 7" xfId="39447"/>
    <cellStyle name="强调文字颜色 1 2 2 7 2" xfId="1833"/>
    <cellStyle name="强调文字颜色 1 2 2 8" xfId="39448"/>
    <cellStyle name="强调文字颜色 1 2 2 9" xfId="39449"/>
    <cellStyle name="强调文字颜色 1 2 3" xfId="39450"/>
    <cellStyle name="强调文字颜色 1 2 3 10" xfId="39451"/>
    <cellStyle name="强调文字颜色 1 2 3 2" xfId="39452"/>
    <cellStyle name="强调文字颜色 1 2 3 2 2" xfId="39453"/>
    <cellStyle name="强调文字颜色 1 2 3 2 2 2" xfId="39454"/>
    <cellStyle name="强调文字颜色 1 2 3 2 2 2 2" xfId="39455"/>
    <cellStyle name="强调文字颜色 1 2 3 2 2 2 3" xfId="39456"/>
    <cellStyle name="强调文字颜色 1 2 3 2 2 3" xfId="39457"/>
    <cellStyle name="强调文字颜色 1 2 3 2 2 3 2" xfId="39458"/>
    <cellStyle name="强调文字颜色 1 2 3 2 2 3 2 2" xfId="39459"/>
    <cellStyle name="强调文字颜色 1 2 3 2 2 3 3" xfId="39460"/>
    <cellStyle name="强调文字颜色 1 2 3 2 2 3 4" xfId="39461"/>
    <cellStyle name="强调文字颜色 1 2 3 2 2 4" xfId="39462"/>
    <cellStyle name="强调文字颜色 1 2 3 2 2 5" xfId="39463"/>
    <cellStyle name="强调文字颜色 1 2 3 2 2 6" xfId="39464"/>
    <cellStyle name="强调文字颜色 1 2 3 2 2 7" xfId="39465"/>
    <cellStyle name="强调文字颜色 1 2 3 2 3" xfId="39466"/>
    <cellStyle name="强调文字颜色 1 2 3 2 3 2" xfId="39467"/>
    <cellStyle name="强调文字颜色 1 2 3 2 3 3" xfId="39468"/>
    <cellStyle name="强调文字颜色 1 2 3 2 3 4" xfId="39469"/>
    <cellStyle name="强调文字颜色 1 2 3 2 3 5" xfId="39470"/>
    <cellStyle name="强调文字颜色 1 2 3 2 4" xfId="39471"/>
    <cellStyle name="强调文字颜色 1 2 3 2 4 2" xfId="39472"/>
    <cellStyle name="强调文字颜色 1 2 3 2 4 2 2" xfId="39473"/>
    <cellStyle name="强调文字颜色 1 2 3 2 4 3" xfId="39474"/>
    <cellStyle name="强调文字颜色 1 2 3 2 4 4" xfId="39475"/>
    <cellStyle name="强调文字颜色 1 2 3 2 5" xfId="39476"/>
    <cellStyle name="强调文字颜色 1 2 3 2 5 2" xfId="39477"/>
    <cellStyle name="强调文字颜色 1 2 3 2 6" xfId="39478"/>
    <cellStyle name="强调文字颜色 1 2 3 2 7" xfId="39479"/>
    <cellStyle name="强调文字颜色 1 2 3 2 8" xfId="39480"/>
    <cellStyle name="强调文字颜色 1 2 3 2 9" xfId="39481"/>
    <cellStyle name="强调文字颜色 1 2 3 3" xfId="39482"/>
    <cellStyle name="强调文字颜色 1 2 3 3 2" xfId="39483"/>
    <cellStyle name="强调文字颜色 1 2 3 3 2 2" xfId="39484"/>
    <cellStyle name="强调文字颜色 1 2 3 3 2 3" xfId="39485"/>
    <cellStyle name="强调文字颜色 1 2 3 3 3" xfId="39486"/>
    <cellStyle name="强调文字颜色 1 2 3 3 3 2" xfId="9171"/>
    <cellStyle name="强调文字颜色 1 2 3 3 3 2 2" xfId="39487"/>
    <cellStyle name="强调文字颜色 1 2 3 3 3 3" xfId="9175"/>
    <cellStyle name="强调文字颜色 1 2 3 3 3 4" xfId="39488"/>
    <cellStyle name="强调文字颜色 1 2 3 3 4" xfId="39489"/>
    <cellStyle name="强调文字颜色 1 2 3 3 5" xfId="39490"/>
    <cellStyle name="强调文字颜色 1 2 3 3 6" xfId="39491"/>
    <cellStyle name="强调文字颜色 1 2 3 3 7" xfId="39492"/>
    <cellStyle name="强调文字颜色 1 2 3 4" xfId="39493"/>
    <cellStyle name="强调文字颜色 1 2 3 4 2" xfId="39494"/>
    <cellStyle name="强调文字颜色 1 2 3 4 3" xfId="39495"/>
    <cellStyle name="强调文字颜色 1 2 3 4 4" xfId="39496"/>
    <cellStyle name="强调文字颜色 1 2 3 4 5" xfId="39497"/>
    <cellStyle name="强调文字颜色 1 2 3 5" xfId="39498"/>
    <cellStyle name="强调文字颜色 1 2 3 5 2" xfId="39499"/>
    <cellStyle name="强调文字颜色 1 2 3 5 2 2" xfId="39500"/>
    <cellStyle name="强调文字颜色 1 2 3 5 3" xfId="39501"/>
    <cellStyle name="强调文字颜色 1 2 3 5 4" xfId="39502"/>
    <cellStyle name="强调文字颜色 1 2 3 6" xfId="39503"/>
    <cellStyle name="强调文字颜色 1 2 3 6 2" xfId="39504"/>
    <cellStyle name="强调文字颜色 1 2 3 7" xfId="39505"/>
    <cellStyle name="强调文字颜色 1 2 3 8" xfId="39506"/>
    <cellStyle name="强调文字颜色 1 2 3 9" xfId="39507"/>
    <cellStyle name="强调文字颜色 1 2 4" xfId="39508"/>
    <cellStyle name="强调文字颜色 1 2 4 2" xfId="39509"/>
    <cellStyle name="强调文字颜色 1 2 4 2 2" xfId="14150"/>
    <cellStyle name="强调文字颜色 1 2 4 2 3" xfId="39510"/>
    <cellStyle name="强调文字颜色 1 2 4 3" xfId="39511"/>
    <cellStyle name="强调文字颜色 1 2 4 3 2" xfId="39512"/>
    <cellStyle name="强调文字颜色 1 2 4 3 2 2" xfId="39513"/>
    <cellStyle name="强调文字颜色 1 2 4 3 3" xfId="39514"/>
    <cellStyle name="强调文字颜色 1 2 4 3 4" xfId="39515"/>
    <cellStyle name="强调文字颜色 1 2 4 4" xfId="39516"/>
    <cellStyle name="强调文字颜色 1 2 4 5" xfId="39517"/>
    <cellStyle name="强调文字颜色 1 2 4 6" xfId="39518"/>
    <cellStyle name="强调文字颜色 1 2 4 7" xfId="39519"/>
    <cellStyle name="强调文字颜色 1 2 5" xfId="39520"/>
    <cellStyle name="强调文字颜色 1 2 5 2" xfId="39521"/>
    <cellStyle name="强调文字颜色 1 2 5 3" xfId="39522"/>
    <cellStyle name="强调文字颜色 1 2 6" xfId="39523"/>
    <cellStyle name="强调文字颜色 1 2 6 2" xfId="39524"/>
    <cellStyle name="强调文字颜色 1 2 6 2 2" xfId="39525"/>
    <cellStyle name="强调文字颜色 1 2 6 3" xfId="39526"/>
    <cellStyle name="强调文字颜色 1 2 6 4" xfId="39527"/>
    <cellStyle name="强调文字颜色 1 2 7" xfId="39528"/>
    <cellStyle name="强调文字颜色 1 2 7 2" xfId="39529"/>
    <cellStyle name="强调文字颜色 1 2 8" xfId="39530"/>
    <cellStyle name="强调文字颜色 1 2 9" xfId="26897"/>
    <cellStyle name="强调文字颜色 1 3" xfId="39531"/>
    <cellStyle name="强调文字颜色 2 2" xfId="34727"/>
    <cellStyle name="强调文字颜色 2 2 10" xfId="39532"/>
    <cellStyle name="强调文字颜色 2 2 11" xfId="39533"/>
    <cellStyle name="强调文字颜色 2 2 12" xfId="39534"/>
    <cellStyle name="强调文字颜色 2 2 2" xfId="34729"/>
    <cellStyle name="强调文字颜色 2 2 2 10" xfId="39535"/>
    <cellStyle name="强调文字颜色 2 2 2 11" xfId="39536"/>
    <cellStyle name="强调文字颜色 2 2 2 2" xfId="34731"/>
    <cellStyle name="强调文字颜色 2 2 2 2 2" xfId="39537"/>
    <cellStyle name="强调文字颜色 2 2 2 2 2 2" xfId="39538"/>
    <cellStyle name="强调文字颜色 2 2 2 2 2 2 2" xfId="39539"/>
    <cellStyle name="强调文字颜色 2 2 2 2 2 2 3" xfId="39540"/>
    <cellStyle name="强调文字颜色 2 2 2 2 2 3" xfId="39541"/>
    <cellStyle name="强调文字颜色 2 2 2 2 2 3 2" xfId="39542"/>
    <cellStyle name="强调文字颜色 2 2 2 2 2 3 2 2" xfId="39543"/>
    <cellStyle name="强调文字颜色 2 2 2 2 2 3 3" xfId="39544"/>
    <cellStyle name="强调文字颜色 2 2 2 2 2 3 4" xfId="39545"/>
    <cellStyle name="强调文字颜色 2 2 2 2 2 4" xfId="39546"/>
    <cellStyle name="强调文字颜色 2 2 2 2 2 5" xfId="39547"/>
    <cellStyle name="强调文字颜色 2 2 2 2 2 6" xfId="39548"/>
    <cellStyle name="强调文字颜色 2 2 2 2 2 7" xfId="39549"/>
    <cellStyle name="强调文字颜色 2 2 2 2 3" xfId="39550"/>
    <cellStyle name="强调文字颜色 2 2 2 2 3 2" xfId="11382"/>
    <cellStyle name="强调文字颜色 2 2 2 2 3 3" xfId="11387"/>
    <cellStyle name="强调文字颜色 2 2 2 2 3 4" xfId="19264"/>
    <cellStyle name="强调文字颜色 2 2 2 2 3 5" xfId="39551"/>
    <cellStyle name="强调文字颜色 2 2 2 2 4" xfId="39552"/>
    <cellStyle name="强调文字颜色 2 2 2 2 4 2" xfId="11395"/>
    <cellStyle name="强调文字颜色 2 2 2 2 4 2 2" xfId="39553"/>
    <cellStyle name="强调文字颜色 2 2 2 2 4 3" xfId="39554"/>
    <cellStyle name="强调文字颜色 2 2 2 2 4 4" xfId="19279"/>
    <cellStyle name="强调文字颜色 2 2 2 2 5" xfId="39555"/>
    <cellStyle name="强调文字颜色 2 2 2 2 5 2" xfId="39556"/>
    <cellStyle name="强调文字颜色 2 2 2 2 6" xfId="39557"/>
    <cellStyle name="强调文字颜色 2 2 2 2 7" xfId="39558"/>
    <cellStyle name="强调文字颜色 2 2 2 2 8" xfId="39559"/>
    <cellStyle name="强调文字颜色 2 2 2 2 9" xfId="39560"/>
    <cellStyle name="强调文字颜色 2 2 2 3" xfId="39561"/>
    <cellStyle name="强调文字颜色 2 2 2 3 10" xfId="39562"/>
    <cellStyle name="强调文字颜色 2 2 2 3 2" xfId="39563"/>
    <cellStyle name="强调文字颜色 2 2 2 3 2 2" xfId="39564"/>
    <cellStyle name="强调文字颜色 2 2 2 3 2 2 2" xfId="39565"/>
    <cellStyle name="强调文字颜色 2 2 2 3 2 2 2 2" xfId="39566"/>
    <cellStyle name="强调文字颜色 2 2 2 3 2 2 2 3" xfId="39567"/>
    <cellStyle name="强调文字颜色 2 2 2 3 2 2 3" xfId="39568"/>
    <cellStyle name="强调文字颜色 2 2 2 3 2 2 3 2" xfId="39569"/>
    <cellStyle name="强调文字颜色 2 2 2 3 2 2 3 2 2" xfId="39570"/>
    <cellStyle name="强调文字颜色 2 2 2 3 2 2 3 3" xfId="39571"/>
    <cellStyle name="强调文字颜色 2 2 2 3 2 2 3 4" xfId="39572"/>
    <cellStyle name="强调文字颜色 2 2 2 3 2 2 4" xfId="39573"/>
    <cellStyle name="强调文字颜色 2 2 2 3 2 2 5" xfId="39574"/>
    <cellStyle name="强调文字颜色 2 2 2 3 2 2 6" xfId="39575"/>
    <cellStyle name="强调文字颜色 2 2 2 3 2 2 7" xfId="39576"/>
    <cellStyle name="强调文字颜色 2 2 2 3 2 3" xfId="39577"/>
    <cellStyle name="强调文字颜色 2 2 2 3 2 3 2" xfId="39578"/>
    <cellStyle name="强调文字颜色 2 2 2 3 2 3 3" xfId="39579"/>
    <cellStyle name="强调文字颜色 2 2 2 3 2 3 4" xfId="39580"/>
    <cellStyle name="强调文字颜色 2 2 2 3 2 3 5" xfId="39581"/>
    <cellStyle name="强调文字颜色 2 2 2 3 2 4" xfId="39582"/>
    <cellStyle name="强调文字颜色 2 2 2 3 2 4 2" xfId="39583"/>
    <cellStyle name="强调文字颜色 2 2 2 3 2 4 2 2" xfId="39584"/>
    <cellStyle name="强调文字颜色 2 2 2 3 2 4 3" xfId="39585"/>
    <cellStyle name="强调文字颜色 2 2 2 3 2 4 4" xfId="39586"/>
    <cellStyle name="强调文字颜色 2 2 2 3 2 5" xfId="39587"/>
    <cellStyle name="强调文字颜色 2 2 2 3 2 5 2" xfId="39588"/>
    <cellStyle name="强调文字颜色 2 2 2 3 2 6" xfId="39589"/>
    <cellStyle name="强调文字颜色 2 2 2 3 2 7" xfId="39590"/>
    <cellStyle name="强调文字颜色 2 2 2 3 2 8" xfId="7468"/>
    <cellStyle name="强调文字颜色 2 2 2 3 2 9" xfId="39591"/>
    <cellStyle name="强调文字颜色 2 2 2 3 3" xfId="39592"/>
    <cellStyle name="强调文字颜色 2 2 2 3 3 2" xfId="11416"/>
    <cellStyle name="强调文字颜色 2 2 2 3 3 2 2" xfId="26028"/>
    <cellStyle name="强调文字颜色 2 2 2 3 3 2 3" xfId="39593"/>
    <cellStyle name="强调文字颜色 2 2 2 3 3 3" xfId="26031"/>
    <cellStyle name="强调文字颜色 2 2 2 3 3 3 2" xfId="26033"/>
    <cellStyle name="强调文字颜色 2 2 2 3 3 3 2 2" xfId="39594"/>
    <cellStyle name="强调文字颜色 2 2 2 3 3 3 3" xfId="39595"/>
    <cellStyle name="强调文字颜色 2 2 2 3 3 3 4" xfId="39596"/>
    <cellStyle name="强调文字颜色 2 2 2 3 3 4" xfId="19321"/>
    <cellStyle name="强调文字颜色 2 2 2 3 3 5" xfId="19326"/>
    <cellStyle name="强调文字颜色 2 2 2 3 3 6" xfId="39597"/>
    <cellStyle name="强调文字颜色 2 2 2 3 3 7" xfId="39598"/>
    <cellStyle name="强调文字颜色 2 2 2 3 4" xfId="39599"/>
    <cellStyle name="强调文字颜色 2 2 2 3 4 2" xfId="26053"/>
    <cellStyle name="强调文字颜色 2 2 2 3 4 3" xfId="26055"/>
    <cellStyle name="强调文字颜色 2 2 2 3 4 4" xfId="19332"/>
    <cellStyle name="强调文字颜色 2 2 2 3 4 5" xfId="19338"/>
    <cellStyle name="强调文字颜色 2 2 2 3 5" xfId="39600"/>
    <cellStyle name="强调文字颜色 2 2 2 3 5 2" xfId="26065"/>
    <cellStyle name="强调文字颜色 2 2 2 3 5 2 2" xfId="39601"/>
    <cellStyle name="强调文字颜色 2 2 2 3 5 3" xfId="39602"/>
    <cellStyle name="强调文字颜色 2 2 2 3 5 4" xfId="19344"/>
    <cellStyle name="强调文字颜色 2 2 2 3 6" xfId="39603"/>
    <cellStyle name="强调文字颜色 2 2 2 3 6 2" xfId="39604"/>
    <cellStyle name="强调文字颜色 2 2 2 3 7" xfId="39605"/>
    <cellStyle name="强调文字颜色 2 2 2 3 8" xfId="39606"/>
    <cellStyle name="强调文字颜色 2 2 2 3 9" xfId="39607"/>
    <cellStyle name="强调文字颜色 2 2 2 4" xfId="39608"/>
    <cellStyle name="强调文字颜色 2 2 2 4 2" xfId="39609"/>
    <cellStyle name="强调文字颜色 2 2 2 4 2 2" xfId="39610"/>
    <cellStyle name="强调文字颜色 2 2 2 4 2 3" xfId="39611"/>
    <cellStyle name="强调文字颜色 2 2 2 4 3" xfId="39612"/>
    <cellStyle name="强调文字颜色 2 2 2 4 3 2" xfId="39613"/>
    <cellStyle name="强调文字颜色 2 2 2 4 3 2 2" xfId="39614"/>
    <cellStyle name="强调文字颜色 2 2 2 4 3 3" xfId="39615"/>
    <cellStyle name="强调文字颜色 2 2 2 4 3 4" xfId="39616"/>
    <cellStyle name="强调文字颜色 2 2 2 4 4" xfId="39617"/>
    <cellStyle name="强调文字颜色 2 2 2 4 5" xfId="39618"/>
    <cellStyle name="强调文字颜色 2 2 2 4 6" xfId="39619"/>
    <cellStyle name="强调文字颜色 2 2 2 4 7" xfId="39620"/>
    <cellStyle name="强调文字颜色 2 2 2 5" xfId="39621"/>
    <cellStyle name="强调文字颜色 2 2 2 5 2" xfId="39622"/>
    <cellStyle name="强调文字颜色 2 2 2 5 3" xfId="39623"/>
    <cellStyle name="强调文字颜色 2 2 2 5 4" xfId="39624"/>
    <cellStyle name="强调文字颜色 2 2 2 5 5" xfId="39625"/>
    <cellStyle name="强调文字颜色 2 2 2 6" xfId="39626"/>
    <cellStyle name="强调文字颜色 2 2 2 6 2" xfId="39627"/>
    <cellStyle name="强调文字颜色 2 2 2 6 2 2" xfId="39628"/>
    <cellStyle name="强调文字颜色 2 2 2 6 3" xfId="39629"/>
    <cellStyle name="强调文字颜色 2 2 2 6 4" xfId="39630"/>
    <cellStyle name="强调文字颜色 2 2 2 7" xfId="39631"/>
    <cellStyle name="强调文字颜色 2 2 2 7 2" xfId="39632"/>
    <cellStyle name="强调文字颜色 2 2 2 8" xfId="39633"/>
    <cellStyle name="强调文字颜色 2 2 2 9" xfId="39634"/>
    <cellStyle name="强调文字颜色 2 2 3" xfId="34733"/>
    <cellStyle name="强调文字颜色 2 2 3 10" xfId="39635"/>
    <cellStyle name="强调文字颜色 2 2 3 2" xfId="39636"/>
    <cellStyle name="强调文字颜色 2 2 3 2 2" xfId="39637"/>
    <cellStyle name="强调文字颜色 2 2 3 2 2 2" xfId="39638"/>
    <cellStyle name="强调文字颜色 2 2 3 2 2 2 2" xfId="39639"/>
    <cellStyle name="强调文字颜色 2 2 3 2 2 2 3" xfId="39640"/>
    <cellStyle name="强调文字颜色 2 2 3 2 2 3" xfId="39641"/>
    <cellStyle name="强调文字颜色 2 2 3 2 2 3 2" xfId="39642"/>
    <cellStyle name="强调文字颜色 2 2 3 2 2 3 2 2" xfId="39643"/>
    <cellStyle name="强调文字颜色 2 2 3 2 2 3 3" xfId="39644"/>
    <cellStyle name="强调文字颜色 2 2 3 2 2 3 4" xfId="39645"/>
    <cellStyle name="强调文字颜色 2 2 3 2 2 4" xfId="39646"/>
    <cellStyle name="强调文字颜色 2 2 3 2 2 5" xfId="39647"/>
    <cellStyle name="强调文字颜色 2 2 3 2 2 6" xfId="39648"/>
    <cellStyle name="强调文字颜色 2 2 3 2 2 7" xfId="39649"/>
    <cellStyle name="强调文字颜色 2 2 3 2 3" xfId="39650"/>
    <cellStyle name="强调文字颜色 2 2 3 2 3 2" xfId="10880"/>
    <cellStyle name="强调文字颜色 2 2 3 2 3 3" xfId="10885"/>
    <cellStyle name="强调文字颜色 2 2 3 2 3 4" xfId="19384"/>
    <cellStyle name="强调文字颜色 2 2 3 2 3 5" xfId="39651"/>
    <cellStyle name="强调文字颜色 2 2 3 2 4" xfId="39652"/>
    <cellStyle name="强调文字颜色 2 2 3 2 4 2" xfId="18308"/>
    <cellStyle name="强调文字颜色 2 2 3 2 4 2 2" xfId="39653"/>
    <cellStyle name="强调文字颜色 2 2 3 2 4 3" xfId="39654"/>
    <cellStyle name="强调文字颜色 2 2 3 2 4 4" xfId="29747"/>
    <cellStyle name="强调文字颜色 2 2 3 2 5" xfId="39655"/>
    <cellStyle name="强调文字颜色 2 2 3 2 5 2" xfId="39656"/>
    <cellStyle name="强调文字颜色 2 2 3 2 6" xfId="39657"/>
    <cellStyle name="强调文字颜色 2 2 3 2 7" xfId="39658"/>
    <cellStyle name="强调文字颜色 2 2 3 2 8" xfId="39659"/>
    <cellStyle name="强调文字颜色 2 2 3 2 9" xfId="39660"/>
    <cellStyle name="强调文字颜色 2 2 3 3" xfId="39661"/>
    <cellStyle name="强调文字颜色 2 2 3 3 2" xfId="39662"/>
    <cellStyle name="强调文字颜色 2 2 3 3 2 2" xfId="39663"/>
    <cellStyle name="强调文字颜色 2 2 3 3 2 3" xfId="39666"/>
    <cellStyle name="强调文字颜色 2 2 3 3 3" xfId="39669"/>
    <cellStyle name="强调文字颜色 2 2 3 3 3 2" xfId="39670"/>
    <cellStyle name="强调文字颜色 2 2 3 3 3 2 2" xfId="39671"/>
    <cellStyle name="强调文字颜色 2 2 3 3 3 3" xfId="39672"/>
    <cellStyle name="强调文字颜色 2 2 3 3 3 4" xfId="39673"/>
    <cellStyle name="强调文字颜色 2 2 3 3 4" xfId="39674"/>
    <cellStyle name="强调文字颜色 2 2 3 3 5" xfId="39675"/>
    <cellStyle name="强调文字颜色 2 2 3 3 6" xfId="39676"/>
    <cellStyle name="强调文字颜色 2 2 3 3 7" xfId="39677"/>
    <cellStyle name="强调文字颜色 2 2 3 4" xfId="39678"/>
    <cellStyle name="强调文字颜色 2 2 3 4 2" xfId="39679"/>
    <cellStyle name="强调文字颜色 2 2 3 4 3" xfId="39680"/>
    <cellStyle name="强调文字颜色 2 2 3 4 4" xfId="39681"/>
    <cellStyle name="强调文字颜色 2 2 3 4 5" xfId="39682"/>
    <cellStyle name="强调文字颜色 2 2 3 5" xfId="39683"/>
    <cellStyle name="强调文字颜色 2 2 3 5 2" xfId="39684"/>
    <cellStyle name="强调文字颜色 2 2 3 5 2 2" xfId="39685"/>
    <cellStyle name="强调文字颜色 2 2 3 5 3" xfId="39686"/>
    <cellStyle name="强调文字颜色 2 2 3 5 4" xfId="39687"/>
    <cellStyle name="强调文字颜色 2 2 3 6" xfId="39688"/>
    <cellStyle name="强调文字颜色 2 2 3 6 2" xfId="39689"/>
    <cellStyle name="强调文字颜色 2 2 3 7" xfId="39690"/>
    <cellStyle name="强调文字颜色 2 2 3 8" xfId="39691"/>
    <cellStyle name="强调文字颜色 2 2 3 9" xfId="39692"/>
    <cellStyle name="强调文字颜色 2 2 4" xfId="34735"/>
    <cellStyle name="强调文字颜色 2 2 4 2" xfId="39693"/>
    <cellStyle name="强调文字颜色 2 2 4 2 2" xfId="39694"/>
    <cellStyle name="强调文字颜色 2 2 4 2 3" xfId="39695"/>
    <cellStyle name="强调文字颜色 2 2 4 3" xfId="39696"/>
    <cellStyle name="强调文字颜色 2 2 4 3 2" xfId="39697"/>
    <cellStyle name="强调文字颜色 2 2 4 3 2 2" xfId="39698"/>
    <cellStyle name="强调文字颜色 2 2 4 3 3" xfId="39699"/>
    <cellStyle name="强调文字颜色 2 2 4 3 4" xfId="39700"/>
    <cellStyle name="强调文字颜色 2 2 4 4" xfId="39701"/>
    <cellStyle name="强调文字颜色 2 2 4 5" xfId="39702"/>
    <cellStyle name="强调文字颜色 2 2 4 6" xfId="39703"/>
    <cellStyle name="强调文字颜色 2 2 4 7" xfId="39704"/>
    <cellStyle name="强调文字颜色 2 2 5" xfId="39705"/>
    <cellStyle name="强调文字颜色 2 2 5 2" xfId="39706"/>
    <cellStyle name="强调文字颜色 2 2 5 3" xfId="39707"/>
    <cellStyle name="强调文字颜色 2 2 6" xfId="39708"/>
    <cellStyle name="强调文字颜色 2 2 6 2" xfId="39709"/>
    <cellStyle name="强调文字颜色 2 2 6 2 2" xfId="39710"/>
    <cellStyle name="强调文字颜色 2 2 6 3" xfId="39711"/>
    <cellStyle name="强调文字颜色 2 2 6 4" xfId="39712"/>
    <cellStyle name="强调文字颜色 2 2 7" xfId="39713"/>
    <cellStyle name="强调文字颜色 2 2 7 2" xfId="39714"/>
    <cellStyle name="强调文字颜色 2 2 8" xfId="39715"/>
    <cellStyle name="强调文字颜色 2 2 9" xfId="39716"/>
    <cellStyle name="强调文字颜色 2 3" xfId="34737"/>
    <cellStyle name="强调文字颜色 3 2" xfId="34759"/>
    <cellStyle name="强调文字颜色 3 2 10" xfId="39717"/>
    <cellStyle name="强调文字颜色 3 2 11" xfId="39718"/>
    <cellStyle name="强调文字颜色 3 2 2" xfId="39719"/>
    <cellStyle name="强调文字颜色 3 2 2 10" xfId="39720"/>
    <cellStyle name="强调文字颜色 3 2 2 11" xfId="39721"/>
    <cellStyle name="强调文字颜色 3 2 2 2" xfId="39722"/>
    <cellStyle name="强调文字颜色 3 2 2 2 2" xfId="39723"/>
    <cellStyle name="强调文字颜色 3 2 2 2 2 2" xfId="39724"/>
    <cellStyle name="强调文字颜色 3 2 2 2 2 2 2" xfId="39725"/>
    <cellStyle name="强调文字颜色 3 2 2 2 2 2 3" xfId="39726"/>
    <cellStyle name="强调文字颜色 3 2 2 2 2 3" xfId="39727"/>
    <cellStyle name="强调文字颜色 3 2 2 2 2 3 2" xfId="39728"/>
    <cellStyle name="强调文字颜色 3 2 2 2 2 3 2 2" xfId="39729"/>
    <cellStyle name="强调文字颜色 3 2 2 2 2 3 3" xfId="39730"/>
    <cellStyle name="强调文字颜色 3 2 2 2 2 3 4" xfId="39731"/>
    <cellStyle name="强调文字颜色 3 2 2 2 2 4" xfId="39732"/>
    <cellStyle name="强调文字颜色 3 2 2 2 2 5" xfId="39733"/>
    <cellStyle name="强调文字颜色 3 2 2 2 2 6" xfId="9332"/>
    <cellStyle name="强调文字颜色 3 2 2 2 2 7" xfId="39734"/>
    <cellStyle name="强调文字颜色 3 2 2 2 3" xfId="39735"/>
    <cellStyle name="强调文字颜色 3 2 2 2 3 2" xfId="39736"/>
    <cellStyle name="强调文字颜色 3 2 2 2 3 3" xfId="39737"/>
    <cellStyle name="强调文字颜色 3 2 2 2 3 4" xfId="39738"/>
    <cellStyle name="强调文字颜色 3 2 2 2 3 5" xfId="39739"/>
    <cellStyle name="强调文字颜色 3 2 2 2 4" xfId="39740"/>
    <cellStyle name="强调文字颜色 3 2 2 2 4 2" xfId="39741"/>
    <cellStyle name="强调文字颜色 3 2 2 2 4 2 2" xfId="39742"/>
    <cellStyle name="强调文字颜色 3 2 2 2 4 3" xfId="39743"/>
    <cellStyle name="强调文字颜色 3 2 2 2 4 4" xfId="39744"/>
    <cellStyle name="强调文字颜色 3 2 2 2 5" xfId="39745"/>
    <cellStyle name="强调文字颜色 3 2 2 2 5 2" xfId="39746"/>
    <cellStyle name="强调文字颜色 3 2 2 2 6" xfId="39747"/>
    <cellStyle name="强调文字颜色 3 2 2 2 7" xfId="39748"/>
    <cellStyle name="强调文字颜色 3 2 2 2 8" xfId="39749"/>
    <cellStyle name="强调文字颜色 3 2 2 2 9" xfId="39750"/>
    <cellStyle name="强调文字颜色 3 2 2 3" xfId="39751"/>
    <cellStyle name="强调文字颜色 3 2 2 3 10" xfId="39752"/>
    <cellStyle name="强调文字颜色 3 2 2 3 2" xfId="39753"/>
    <cellStyle name="强调文字颜色 3 2 2 3 2 2" xfId="39754"/>
    <cellStyle name="强调文字颜色 3 2 2 3 2 2 2" xfId="39755"/>
    <cellStyle name="强调文字颜色 3 2 2 3 2 2 2 2" xfId="39756"/>
    <cellStyle name="强调文字颜色 3 2 2 3 2 2 2 3" xfId="39757"/>
    <cellStyle name="强调文字颜色 3 2 2 3 2 2 3" xfId="39758"/>
    <cellStyle name="强调文字颜色 3 2 2 3 2 2 3 2" xfId="39759"/>
    <cellStyle name="强调文字颜色 3 2 2 3 2 2 3 2 2" xfId="39760"/>
    <cellStyle name="强调文字颜色 3 2 2 3 2 2 3 3" xfId="39761"/>
    <cellStyle name="强调文字颜色 3 2 2 3 2 2 3 4" xfId="39762"/>
    <cellStyle name="强调文字颜色 3 2 2 3 2 2 4" xfId="39763"/>
    <cellStyle name="强调文字颜色 3 2 2 3 2 2 5" xfId="39764"/>
    <cellStyle name="强调文字颜色 3 2 2 3 2 2 6" xfId="39765"/>
    <cellStyle name="强调文字颜色 3 2 2 3 2 2 7" xfId="39766"/>
    <cellStyle name="强调文字颜色 3 2 2 3 2 3" xfId="39767"/>
    <cellStyle name="强调文字颜色 3 2 2 3 2 3 2" xfId="39768"/>
    <cellStyle name="强调文字颜色 3 2 2 3 2 3 3" xfId="39769"/>
    <cellStyle name="强调文字颜色 3 2 2 3 2 3 4" xfId="39770"/>
    <cellStyle name="强调文字颜色 3 2 2 3 2 3 5" xfId="2383"/>
    <cellStyle name="强调文字颜色 3 2 2 3 2 4" xfId="39771"/>
    <cellStyle name="强调文字颜色 3 2 2 3 2 4 2" xfId="39772"/>
    <cellStyle name="强调文字颜色 3 2 2 3 2 4 2 2" xfId="39773"/>
    <cellStyle name="强调文字颜色 3 2 2 3 2 4 3" xfId="39774"/>
    <cellStyle name="强调文字颜色 3 2 2 3 2 4 4" xfId="39775"/>
    <cellStyle name="强调文字颜色 3 2 2 3 2 5" xfId="39776"/>
    <cellStyle name="强调文字颜色 3 2 2 3 2 5 2" xfId="39777"/>
    <cellStyle name="强调文字颜色 3 2 2 3 2 6" xfId="39778"/>
    <cellStyle name="强调文字颜色 3 2 2 3 2 7" xfId="39779"/>
    <cellStyle name="强调文字颜色 3 2 2 3 2 8" xfId="7532"/>
    <cellStyle name="强调文字颜色 3 2 2 3 2 9" xfId="7534"/>
    <cellStyle name="强调文字颜色 3 2 2 3 3" xfId="39780"/>
    <cellStyle name="强调文字颜色 3 2 2 3 3 2" xfId="39781"/>
    <cellStyle name="强调文字颜色 3 2 2 3 3 2 2" xfId="39782"/>
    <cellStyle name="强调文字颜色 3 2 2 3 3 2 3" xfId="39783"/>
    <cellStyle name="强调文字颜色 3 2 2 3 3 3" xfId="39784"/>
    <cellStyle name="强调文字颜色 3 2 2 3 3 3 2" xfId="39785"/>
    <cellStyle name="强调文字颜色 3 2 2 3 3 3 2 2" xfId="39786"/>
    <cellStyle name="强调文字颜色 3 2 2 3 3 3 3" xfId="39787"/>
    <cellStyle name="强调文字颜色 3 2 2 3 3 3 4" xfId="39788"/>
    <cellStyle name="强调文字颜色 3 2 2 3 3 4" xfId="39789"/>
    <cellStyle name="强调文字颜色 3 2 2 3 3 5" xfId="39790"/>
    <cellStyle name="强调文字颜色 3 2 2 3 3 6" xfId="39791"/>
    <cellStyle name="强调文字颜色 3 2 2 3 3 7" xfId="39792"/>
    <cellStyle name="强调文字颜色 3 2 2 3 4" xfId="39793"/>
    <cellStyle name="强调文字颜色 3 2 2 3 4 2" xfId="39794"/>
    <cellStyle name="强调文字颜色 3 2 2 3 4 3" xfId="39795"/>
    <cellStyle name="强调文字颜色 3 2 2 3 4 4" xfId="39796"/>
    <cellStyle name="强调文字颜色 3 2 2 3 4 5" xfId="39797"/>
    <cellStyle name="强调文字颜色 3 2 2 3 5" xfId="39798"/>
    <cellStyle name="强调文字颜色 3 2 2 3 5 2" xfId="39799"/>
    <cellStyle name="强调文字颜色 3 2 2 3 5 2 2" xfId="39800"/>
    <cellStyle name="强调文字颜色 3 2 2 3 5 3" xfId="39801"/>
    <cellStyle name="强调文字颜色 3 2 2 3 5 4" xfId="39802"/>
    <cellStyle name="强调文字颜色 3 2 2 3 6" xfId="39803"/>
    <cellStyle name="强调文字颜色 3 2 2 3 6 2" xfId="39804"/>
    <cellStyle name="强调文字颜色 3 2 2 3 7" xfId="39805"/>
    <cellStyle name="强调文字颜色 3 2 2 3 8" xfId="39806"/>
    <cellStyle name="强调文字颜色 3 2 2 3 9" xfId="39807"/>
    <cellStyle name="强调文字颜色 3 2 2 4" xfId="1099"/>
    <cellStyle name="强调文字颜色 3 2 2 4 2" xfId="39808"/>
    <cellStyle name="强调文字颜色 3 2 2 4 2 2" xfId="39809"/>
    <cellStyle name="强调文字颜色 3 2 2 4 2 3" xfId="39810"/>
    <cellStyle name="强调文字颜色 3 2 2 4 3" xfId="39811"/>
    <cellStyle name="强调文字颜色 3 2 2 4 3 2" xfId="39812"/>
    <cellStyle name="强调文字颜色 3 2 2 4 3 2 2" xfId="39813"/>
    <cellStyle name="强调文字颜色 3 2 2 4 3 3" xfId="39814"/>
    <cellStyle name="强调文字颜色 3 2 2 4 3 4" xfId="39815"/>
    <cellStyle name="强调文字颜色 3 2 2 4 4" xfId="39816"/>
    <cellStyle name="强调文字颜色 3 2 2 4 5" xfId="39817"/>
    <cellStyle name="强调文字颜色 3 2 2 4 6" xfId="39818"/>
    <cellStyle name="强调文字颜色 3 2 2 4 7" xfId="39819"/>
    <cellStyle name="强调文字颜色 3 2 2 5" xfId="39820"/>
    <cellStyle name="强调文字颜色 3 2 2 5 2" xfId="39821"/>
    <cellStyle name="强调文字颜色 3 2 2 5 3" xfId="39822"/>
    <cellStyle name="强调文字颜色 3 2 2 5 4" xfId="39823"/>
    <cellStyle name="强调文字颜色 3 2 2 5 5" xfId="39824"/>
    <cellStyle name="强调文字颜色 3 2 2 6" xfId="39825"/>
    <cellStyle name="强调文字颜色 3 2 2 6 2" xfId="39826"/>
    <cellStyle name="强调文字颜色 3 2 2 6 2 2" xfId="39827"/>
    <cellStyle name="强调文字颜色 3 2 2 6 3" xfId="39828"/>
    <cellStyle name="强调文字颜色 3 2 2 6 4" xfId="39829"/>
    <cellStyle name="强调文字颜色 3 2 2 7" xfId="39830"/>
    <cellStyle name="强调文字颜色 3 2 2 7 2" xfId="39831"/>
    <cellStyle name="强调文字颜色 3 2 2 8" xfId="39832"/>
    <cellStyle name="强调文字颜色 3 2 2 9" xfId="39833"/>
    <cellStyle name="强调文字颜色 3 2 3" xfId="39834"/>
    <cellStyle name="强调文字颜色 3 2 3 10" xfId="35"/>
    <cellStyle name="强调文字颜色 3 2 3 2" xfId="39835"/>
    <cellStyle name="强调文字颜色 3 2 3 2 2" xfId="39836"/>
    <cellStyle name="强调文字颜色 3 2 3 2 2 2" xfId="39837"/>
    <cellStyle name="强调文字颜色 3 2 3 2 2 2 2" xfId="39838"/>
    <cellStyle name="强调文字颜色 3 2 3 2 2 2 3" xfId="39839"/>
    <cellStyle name="强调文字颜色 3 2 3 2 2 3" xfId="39840"/>
    <cellStyle name="强调文字颜色 3 2 3 2 2 3 2" xfId="39841"/>
    <cellStyle name="强调文字颜色 3 2 3 2 2 3 2 2" xfId="39843"/>
    <cellStyle name="强调文字颜色 3 2 3 2 2 3 3" xfId="39844"/>
    <cellStyle name="强调文字颜色 3 2 3 2 2 3 4" xfId="39846"/>
    <cellStyle name="强调文字颜色 3 2 3 2 2 4" xfId="39848"/>
    <cellStyle name="强调文字颜色 3 2 3 2 2 5" xfId="39849"/>
    <cellStyle name="强调文字颜色 3 2 3 2 2 6" xfId="39850"/>
    <cellStyle name="强调文字颜色 3 2 3 2 2 7" xfId="39851"/>
    <cellStyle name="强调文字颜色 3 2 3 2 3" xfId="39852"/>
    <cellStyle name="强调文字颜色 3 2 3 2 3 2" xfId="39853"/>
    <cellStyle name="强调文字颜色 3 2 3 2 3 3" xfId="39854"/>
    <cellStyle name="强调文字颜色 3 2 3 2 3 4" xfId="39855"/>
    <cellStyle name="强调文字颜色 3 2 3 2 3 5" xfId="39856"/>
    <cellStyle name="强调文字颜色 3 2 3 2 4" xfId="39857"/>
    <cellStyle name="强调文字颜色 3 2 3 2 4 2" xfId="39858"/>
    <cellStyle name="强调文字颜色 3 2 3 2 4 2 2" xfId="39859"/>
    <cellStyle name="强调文字颜色 3 2 3 2 4 3" xfId="39860"/>
    <cellStyle name="强调文字颜色 3 2 3 2 4 4" xfId="39861"/>
    <cellStyle name="强调文字颜色 3 2 3 2 5" xfId="39862"/>
    <cellStyle name="强调文字颜色 3 2 3 2 5 2" xfId="39863"/>
    <cellStyle name="强调文字颜色 3 2 3 2 6" xfId="39864"/>
    <cellStyle name="强调文字颜色 3 2 3 2 7" xfId="39865"/>
    <cellStyle name="强调文字颜色 3 2 3 2 8" xfId="39866"/>
    <cellStyle name="强调文字颜色 3 2 3 2 9" xfId="39867"/>
    <cellStyle name="强调文字颜色 3 2 3 3" xfId="39868"/>
    <cellStyle name="强调文字颜色 3 2 3 3 2" xfId="39869"/>
    <cellStyle name="强调文字颜色 3 2 3 3 2 2" xfId="39870"/>
    <cellStyle name="强调文字颜色 3 2 3 3 2 3" xfId="39871"/>
    <cellStyle name="强调文字颜色 3 2 3 3 3" xfId="39872"/>
    <cellStyle name="强调文字颜色 3 2 3 3 3 2" xfId="39873"/>
    <cellStyle name="强调文字颜色 3 2 3 3 3 2 2" xfId="39874"/>
    <cellStyle name="强调文字颜色 3 2 3 3 3 3" xfId="39875"/>
    <cellStyle name="强调文字颜色 3 2 3 3 3 4" xfId="39876"/>
    <cellStyle name="强调文字颜色 3 2 3 3 4" xfId="39877"/>
    <cellStyle name="强调文字颜色 3 2 3 3 5" xfId="39878"/>
    <cellStyle name="强调文字颜色 3 2 3 3 6" xfId="39879"/>
    <cellStyle name="强调文字颜色 3 2 3 3 7" xfId="39880"/>
    <cellStyle name="强调文字颜色 3 2 3 4" xfId="1103"/>
    <cellStyle name="强调文字颜色 3 2 3 4 2" xfId="39881"/>
    <cellStyle name="强调文字颜色 3 2 3 4 3" xfId="39882"/>
    <cellStyle name="强调文字颜色 3 2 3 4 4" xfId="39883"/>
    <cellStyle name="强调文字颜色 3 2 3 4 5" xfId="39884"/>
    <cellStyle name="强调文字颜色 3 2 3 5" xfId="39885"/>
    <cellStyle name="强调文字颜色 3 2 3 5 2" xfId="39886"/>
    <cellStyle name="强调文字颜色 3 2 3 5 2 2" xfId="39887"/>
    <cellStyle name="强调文字颜色 3 2 3 5 3" xfId="39888"/>
    <cellStyle name="强调文字颜色 3 2 3 5 4" xfId="39889"/>
    <cellStyle name="强调文字颜色 3 2 3 6" xfId="39890"/>
    <cellStyle name="强调文字颜色 3 2 3 6 2" xfId="39891"/>
    <cellStyle name="强调文字颜色 3 2 3 7" xfId="39892"/>
    <cellStyle name="强调文字颜色 3 2 3 8" xfId="39893"/>
    <cellStyle name="强调文字颜色 3 2 3 9" xfId="39894"/>
    <cellStyle name="强调文字颜色 3 2 4" xfId="39895"/>
    <cellStyle name="强调文字颜色 3 2 4 2" xfId="39896"/>
    <cellStyle name="强调文字颜色 3 2 4 2 2" xfId="39897"/>
    <cellStyle name="强调文字颜色 3 2 4 2 3" xfId="39898"/>
    <cellStyle name="强调文字颜色 3 2 4 3" xfId="39899"/>
    <cellStyle name="强调文字颜色 3 2 4 3 2" xfId="39900"/>
    <cellStyle name="强调文字颜色 3 2 4 3 2 2" xfId="39901"/>
    <cellStyle name="强调文字颜色 3 2 4 3 3" xfId="39902"/>
    <cellStyle name="强调文字颜色 3 2 4 3 4" xfId="39903"/>
    <cellStyle name="强调文字颜色 3 2 4 4" xfId="39904"/>
    <cellStyle name="强调文字颜色 3 2 4 5" xfId="39905"/>
    <cellStyle name="强调文字颜色 3 2 4 6" xfId="39906"/>
    <cellStyle name="强调文字颜色 3 2 4 7" xfId="39907"/>
    <cellStyle name="强调文字颜色 3 2 5" xfId="39908"/>
    <cellStyle name="强调文字颜色 3 2 5 2" xfId="39909"/>
    <cellStyle name="强调文字颜色 3 2 5 3" xfId="39910"/>
    <cellStyle name="强调文字颜色 3 2 6" xfId="39911"/>
    <cellStyle name="强调文字颜色 3 2 6 2" xfId="39912"/>
    <cellStyle name="强调文字颜色 3 2 6 2 2" xfId="39913"/>
    <cellStyle name="强调文字颜色 3 2 6 3" xfId="39914"/>
    <cellStyle name="强调文字颜色 3 2 6 4" xfId="39915"/>
    <cellStyle name="强调文字颜色 3 2 7" xfId="39916"/>
    <cellStyle name="强调文字颜色 3 2 7 2" xfId="39917"/>
    <cellStyle name="强调文字颜色 3 2 8" xfId="39918"/>
    <cellStyle name="强调文字颜色 3 2 9" xfId="39919"/>
    <cellStyle name="强调文字颜色 3 3" xfId="34761"/>
    <cellStyle name="强调文字颜色 4 2" xfId="34773"/>
    <cellStyle name="强调文字颜色 4 2 10" xfId="39920"/>
    <cellStyle name="强调文字颜色 4 2 11" xfId="39921"/>
    <cellStyle name="强调文字颜色 4 2 12" xfId="39922"/>
    <cellStyle name="强调文字颜色 4 2 2" xfId="39923"/>
    <cellStyle name="强调文字颜色 4 2 2 10" xfId="39924"/>
    <cellStyle name="强调文字颜色 4 2 2 11" xfId="39925"/>
    <cellStyle name="强调文字颜色 4 2 2 2" xfId="39926"/>
    <cellStyle name="强调文字颜色 4 2 2 2 2" xfId="39927"/>
    <cellStyle name="强调文字颜色 4 2 2 2 2 2" xfId="39928"/>
    <cellStyle name="强调文字颜色 4 2 2 2 2 2 2" xfId="39929"/>
    <cellStyle name="强调文字颜色 4 2 2 2 2 2 3" xfId="39930"/>
    <cellStyle name="强调文字颜色 4 2 2 2 2 3" xfId="39931"/>
    <cellStyle name="强调文字颜色 4 2 2 2 2 3 2" xfId="39932"/>
    <cellStyle name="强调文字颜色 4 2 2 2 2 3 2 2" xfId="39933"/>
    <cellStyle name="强调文字颜色 4 2 2 2 2 3 3" xfId="39934"/>
    <cellStyle name="强调文字颜色 4 2 2 2 2 3 4" xfId="39935"/>
    <cellStyle name="强调文字颜色 4 2 2 2 2 4" xfId="39936"/>
    <cellStyle name="强调文字颜色 4 2 2 2 2 5" xfId="39842"/>
    <cellStyle name="强调文字颜色 4 2 2 2 2 6" xfId="39845"/>
    <cellStyle name="强调文字颜色 4 2 2 2 2 7" xfId="39847"/>
    <cellStyle name="强调文字颜色 4 2 2 2 3" xfId="39937"/>
    <cellStyle name="强调文字颜色 4 2 2 2 3 2" xfId="11098"/>
    <cellStyle name="强调文字颜色 4 2 2 2 3 3" xfId="11104"/>
    <cellStyle name="强调文字颜色 4 2 2 2 3 4" xfId="39938"/>
    <cellStyle name="强调文字颜色 4 2 2 2 3 5" xfId="39939"/>
    <cellStyle name="强调文字颜色 4 2 2 2 4" xfId="39940"/>
    <cellStyle name="强调文字颜色 4 2 2 2 4 2" xfId="11146"/>
    <cellStyle name="强调文字颜色 4 2 2 2 4 2 2" xfId="39941"/>
    <cellStyle name="强调文字颜色 4 2 2 2 4 3" xfId="39942"/>
    <cellStyle name="强调文字颜色 4 2 2 2 4 4" xfId="39943"/>
    <cellStyle name="强调文字颜色 4 2 2 2 5" xfId="39944"/>
    <cellStyle name="强调文字颜色 4 2 2 2 5 2" xfId="39945"/>
    <cellStyle name="强调文字颜色 4 2 2 2 6" xfId="39946"/>
    <cellStyle name="强调文字颜色 4 2 2 2 7" xfId="39947"/>
    <cellStyle name="强调文字颜色 4 2 2 2 8" xfId="39948"/>
    <cellStyle name="强调文字颜色 4 2 2 2 9" xfId="39949"/>
    <cellStyle name="强调文字颜色 4 2 2 3" xfId="39950"/>
    <cellStyle name="强调文字颜色 4 2 2 3 10" xfId="39951"/>
    <cellStyle name="强调文字颜色 4 2 2 3 2" xfId="39952"/>
    <cellStyle name="强调文字颜色 4 2 2 3 2 2" xfId="6047"/>
    <cellStyle name="强调文字颜色 4 2 2 3 2 2 2" xfId="39953"/>
    <cellStyle name="强调文字颜色 4 2 2 3 2 2 2 2" xfId="39954"/>
    <cellStyle name="强调文字颜色 4 2 2 3 2 2 2 3" xfId="39955"/>
    <cellStyle name="强调文字颜色 4 2 2 3 2 2 3" xfId="39956"/>
    <cellStyle name="强调文字颜色 4 2 2 3 2 2 3 2" xfId="39957"/>
    <cellStyle name="强调文字颜色 4 2 2 3 2 2 3 2 2" xfId="39958"/>
    <cellStyle name="强调文字颜色 4 2 2 3 2 2 3 3" xfId="39959"/>
    <cellStyle name="强调文字颜色 4 2 2 3 2 2 3 4" xfId="39960"/>
    <cellStyle name="强调文字颜色 4 2 2 3 2 2 4" xfId="39961"/>
    <cellStyle name="强调文字颜色 4 2 2 3 2 2 5" xfId="39962"/>
    <cellStyle name="强调文字颜色 4 2 2 3 2 2 6" xfId="39963"/>
    <cellStyle name="强调文字颜色 4 2 2 3 2 2 7" xfId="39964"/>
    <cellStyle name="强调文字颜色 4 2 2 3 2 3" xfId="39965"/>
    <cellStyle name="强调文字颜色 4 2 2 3 2 3 2" xfId="39966"/>
    <cellStyle name="强调文字颜色 4 2 2 3 2 3 3" xfId="39967"/>
    <cellStyle name="强调文字颜色 4 2 2 3 2 3 4" xfId="39968"/>
    <cellStyle name="强调文字颜色 4 2 2 3 2 3 5" xfId="3220"/>
    <cellStyle name="强调文字颜色 4 2 2 3 2 4" xfId="39969"/>
    <cellStyle name="强调文字颜色 4 2 2 3 2 4 2" xfId="39970"/>
    <cellStyle name="强调文字颜色 4 2 2 3 2 4 2 2" xfId="39971"/>
    <cellStyle name="强调文字颜色 4 2 2 3 2 4 3" xfId="39972"/>
    <cellStyle name="强调文字颜色 4 2 2 3 2 4 4" xfId="39973"/>
    <cellStyle name="强调文字颜色 4 2 2 3 2 5" xfId="39974"/>
    <cellStyle name="强调文字颜色 4 2 2 3 2 5 2" xfId="39975"/>
    <cellStyle name="强调文字颜色 4 2 2 3 2 6" xfId="39976"/>
    <cellStyle name="强调文字颜色 4 2 2 3 2 7" xfId="39977"/>
    <cellStyle name="强调文字颜色 4 2 2 3 2 8" xfId="39978"/>
    <cellStyle name="强调文字颜色 4 2 2 3 2 9" xfId="39979"/>
    <cellStyle name="强调文字颜色 4 2 2 3 3" xfId="39980"/>
    <cellStyle name="强调文字颜色 4 2 2 3 3 2" xfId="39981"/>
    <cellStyle name="强调文字颜色 4 2 2 3 3 2 2" xfId="39982"/>
    <cellStyle name="强调文字颜色 4 2 2 3 3 2 3" xfId="39983"/>
    <cellStyle name="强调文字颜色 4 2 2 3 3 3" xfId="39984"/>
    <cellStyle name="强调文字颜色 4 2 2 3 3 3 2" xfId="39985"/>
    <cellStyle name="强调文字颜色 4 2 2 3 3 3 2 2" xfId="39986"/>
    <cellStyle name="强调文字颜色 4 2 2 3 3 3 3" xfId="39987"/>
    <cellStyle name="强调文字颜色 4 2 2 3 3 3 4" xfId="39988"/>
    <cellStyle name="强调文字颜色 4 2 2 3 3 4" xfId="39989"/>
    <cellStyle name="强调文字颜色 4 2 2 3 3 5" xfId="39990"/>
    <cellStyle name="强调文字颜色 4 2 2 3 3 6" xfId="39991"/>
    <cellStyle name="强调文字颜色 4 2 2 3 3 7" xfId="39992"/>
    <cellStyle name="强调文字颜色 4 2 2 3 4" xfId="39993"/>
    <cellStyle name="强调文字颜色 4 2 2 3 4 2" xfId="39994"/>
    <cellStyle name="强调文字颜色 4 2 2 3 4 3" xfId="39995"/>
    <cellStyle name="强调文字颜色 4 2 2 3 4 4" xfId="39996"/>
    <cellStyle name="强调文字颜色 4 2 2 3 4 5" xfId="39997"/>
    <cellStyle name="强调文字颜色 4 2 2 3 5" xfId="39998"/>
    <cellStyle name="强调文字颜色 4 2 2 3 5 2" xfId="39999"/>
    <cellStyle name="强调文字颜色 4 2 2 3 5 2 2" xfId="40000"/>
    <cellStyle name="强调文字颜色 4 2 2 3 5 3" xfId="40001"/>
    <cellStyle name="强调文字颜色 4 2 2 3 5 4" xfId="20042"/>
    <cellStyle name="强调文字颜色 4 2 2 3 6" xfId="40002"/>
    <cellStyle name="强调文字颜色 4 2 2 3 6 2" xfId="40003"/>
    <cellStyle name="强调文字颜色 4 2 2 3 7" xfId="40004"/>
    <cellStyle name="强调文字颜色 4 2 2 3 8" xfId="40005"/>
    <cellStyle name="强调文字颜色 4 2 2 3 9" xfId="40006"/>
    <cellStyle name="强调文字颜色 4 2 2 4" xfId="40007"/>
    <cellStyle name="强调文字颜色 4 2 2 4 2" xfId="40008"/>
    <cellStyle name="强调文字颜色 4 2 2 4 2 2" xfId="40009"/>
    <cellStyle name="强调文字颜色 4 2 2 4 2 3" xfId="40010"/>
    <cellStyle name="强调文字颜色 4 2 2 4 3" xfId="40011"/>
    <cellStyle name="强调文字颜色 4 2 2 4 3 2" xfId="40012"/>
    <cellStyle name="强调文字颜色 4 2 2 4 3 2 2" xfId="40013"/>
    <cellStyle name="强调文字颜色 4 2 2 4 3 3" xfId="40014"/>
    <cellStyle name="强调文字颜色 4 2 2 4 3 4" xfId="40015"/>
    <cellStyle name="强调文字颜色 4 2 2 4 4" xfId="40016"/>
    <cellStyle name="强调文字颜色 4 2 2 4 5" xfId="40017"/>
    <cellStyle name="强调文字颜色 4 2 2 4 6" xfId="40018"/>
    <cellStyle name="强调文字颜色 4 2 2 4 7" xfId="40019"/>
    <cellStyle name="强调文字颜色 4 2 2 5" xfId="40020"/>
    <cellStyle name="强调文字颜色 4 2 2 5 2" xfId="40021"/>
    <cellStyle name="强调文字颜色 4 2 2 5 3" xfId="40022"/>
    <cellStyle name="强调文字颜色 4 2 2 5 4" xfId="40023"/>
    <cellStyle name="强调文字颜色 4 2 2 5 5" xfId="40024"/>
    <cellStyle name="强调文字颜色 4 2 2 6" xfId="40025"/>
    <cellStyle name="强调文字颜色 4 2 2 6 2" xfId="40026"/>
    <cellStyle name="强调文字颜色 4 2 2 6 2 2" xfId="40027"/>
    <cellStyle name="强调文字颜色 4 2 2 6 3" xfId="40028"/>
    <cellStyle name="强调文字颜色 4 2 2 6 4" xfId="40029"/>
    <cellStyle name="强调文字颜色 4 2 2 7" xfId="40030"/>
    <cellStyle name="强调文字颜色 4 2 2 7 2" xfId="40031"/>
    <cellStyle name="强调文字颜色 4 2 2 8" xfId="40032"/>
    <cellStyle name="强调文字颜色 4 2 2 9" xfId="40033"/>
    <cellStyle name="强调文字颜色 4 2 3" xfId="40034"/>
    <cellStyle name="强调文字颜色 4 2 3 10" xfId="40035"/>
    <cellStyle name="强调文字颜色 4 2 3 2" xfId="40036"/>
    <cellStyle name="强调文字颜色 4 2 3 2 2" xfId="40038"/>
    <cellStyle name="强调文字颜色 4 2 3 2 2 2" xfId="40039"/>
    <cellStyle name="强调文字颜色 4 2 3 2 2 2 2" xfId="40040"/>
    <cellStyle name="强调文字颜色 4 2 3 2 2 2 3" xfId="40041"/>
    <cellStyle name="强调文字颜色 4 2 3 2 2 3" xfId="40042"/>
    <cellStyle name="强调文字颜色 4 2 3 2 2 3 2" xfId="40043"/>
    <cellStyle name="强调文字颜色 4 2 3 2 2 3 2 2" xfId="40044"/>
    <cellStyle name="强调文字颜色 4 2 3 2 2 3 3" xfId="40045"/>
    <cellStyle name="强调文字颜色 4 2 3 2 2 3 4" xfId="40046"/>
    <cellStyle name="强调文字颜色 4 2 3 2 2 4" xfId="40047"/>
    <cellStyle name="强调文字颜色 4 2 3 2 2 5" xfId="40048"/>
    <cellStyle name="强调文字颜色 4 2 3 2 2 6" xfId="40049"/>
    <cellStyle name="强调文字颜色 4 2 3 2 2 7" xfId="40050"/>
    <cellStyle name="强调文字颜色 4 2 3 2 3" xfId="40051"/>
    <cellStyle name="强调文字颜色 4 2 3 2 3 2" xfId="40052"/>
    <cellStyle name="强调文字颜色 4 2 3 2 3 3" xfId="40053"/>
    <cellStyle name="强调文字颜色 4 2 3 2 3 4" xfId="40054"/>
    <cellStyle name="强调文字颜色 4 2 3 2 3 5" xfId="40055"/>
    <cellStyle name="强调文字颜色 4 2 3 2 4" xfId="40056"/>
    <cellStyle name="强调文字颜色 4 2 3 2 4 2" xfId="40057"/>
    <cellStyle name="强调文字颜色 4 2 3 2 4 2 2" xfId="40058"/>
    <cellStyle name="强调文字颜色 4 2 3 2 4 3" xfId="40059"/>
    <cellStyle name="强调文字颜色 4 2 3 2 4 4" xfId="40060"/>
    <cellStyle name="强调文字颜色 4 2 3 2 5" xfId="40061"/>
    <cellStyle name="强调文字颜色 4 2 3 2 5 2" xfId="40062"/>
    <cellStyle name="强调文字颜色 4 2 3 2 6" xfId="40063"/>
    <cellStyle name="强调文字颜色 4 2 3 2 7" xfId="40064"/>
    <cellStyle name="强调文字颜色 4 2 3 2 8" xfId="40065"/>
    <cellStyle name="强调文字颜色 4 2 3 2 9" xfId="40066"/>
    <cellStyle name="强调文字颜色 4 2 3 3" xfId="40067"/>
    <cellStyle name="强调文字颜色 4 2 3 3 2" xfId="40069"/>
    <cellStyle name="强调文字颜色 4 2 3 3 2 2" xfId="40070"/>
    <cellStyle name="强调文字颜色 4 2 3 3 2 3" xfId="40071"/>
    <cellStyle name="强调文字颜色 4 2 3 3 3" xfId="40072"/>
    <cellStyle name="强调文字颜色 4 2 3 3 3 2" xfId="40073"/>
    <cellStyle name="强调文字颜色 4 2 3 3 3 2 2" xfId="40074"/>
    <cellStyle name="强调文字颜色 4 2 3 3 3 3" xfId="40075"/>
    <cellStyle name="强调文字颜色 4 2 3 3 3 4" xfId="40076"/>
    <cellStyle name="强调文字颜色 4 2 3 3 4" xfId="40077"/>
    <cellStyle name="强调文字颜色 4 2 3 3 5" xfId="40078"/>
    <cellStyle name="强调文字颜色 4 2 3 3 6" xfId="40079"/>
    <cellStyle name="强调文字颜色 4 2 3 3 7" xfId="40080"/>
    <cellStyle name="强调文字颜色 4 2 3 4" xfId="40081"/>
    <cellStyle name="强调文字颜色 4 2 3 4 2" xfId="40083"/>
    <cellStyle name="强调文字颜色 4 2 3 4 3" xfId="40084"/>
    <cellStyle name="强调文字颜色 4 2 3 4 4" xfId="40085"/>
    <cellStyle name="强调文字颜色 4 2 3 4 5" xfId="40086"/>
    <cellStyle name="强调文字颜色 4 2 3 5" xfId="40087"/>
    <cellStyle name="强调文字颜色 4 2 3 5 2" xfId="40089"/>
    <cellStyle name="强调文字颜色 4 2 3 5 2 2" xfId="40090"/>
    <cellStyle name="强调文字颜色 4 2 3 5 3" xfId="40091"/>
    <cellStyle name="强调文字颜色 4 2 3 5 4" xfId="40092"/>
    <cellStyle name="强调文字颜色 4 2 3 6" xfId="40093"/>
    <cellStyle name="强调文字颜色 4 2 3 6 2" xfId="40094"/>
    <cellStyle name="强调文字颜色 4 2 3 7" xfId="40095"/>
    <cellStyle name="强调文字颜色 4 2 3 8" xfId="40096"/>
    <cellStyle name="强调文字颜色 4 2 3 9" xfId="40097"/>
    <cellStyle name="强调文字颜色 4 2 4" xfId="40098"/>
    <cellStyle name="强调文字颜色 4 2 4 2" xfId="40099"/>
    <cellStyle name="强调文字颜色 4 2 4 2 2" xfId="40101"/>
    <cellStyle name="强调文字颜色 4 2 4 2 3" xfId="40103"/>
    <cellStyle name="强调文字颜色 4 2 4 3" xfId="40104"/>
    <cellStyle name="强调文字颜色 4 2 4 3 2" xfId="40106"/>
    <cellStyle name="强调文字颜色 4 2 4 3 2 2" xfId="40107"/>
    <cellStyle name="强调文字颜色 4 2 4 3 3" xfId="40108"/>
    <cellStyle name="强调文字颜色 4 2 4 3 4" xfId="40109"/>
    <cellStyle name="强调文字颜色 4 2 4 4" xfId="40110"/>
    <cellStyle name="强调文字颜色 4 2 4 5" xfId="40112"/>
    <cellStyle name="强调文字颜色 4 2 4 6" xfId="40114"/>
    <cellStyle name="强调文字颜色 4 2 4 7" xfId="40115"/>
    <cellStyle name="强调文字颜色 4 2 5" xfId="40116"/>
    <cellStyle name="强调文字颜色 4 2 5 2" xfId="40117"/>
    <cellStyle name="强调文字颜色 4 2 5 3" xfId="40119"/>
    <cellStyle name="强调文字颜色 4 2 6" xfId="40121"/>
    <cellStyle name="强调文字颜色 4 2 6 2" xfId="40122"/>
    <cellStyle name="强调文字颜色 4 2 6 2 2" xfId="40123"/>
    <cellStyle name="强调文字颜色 4 2 6 3" xfId="40124"/>
    <cellStyle name="强调文字颜色 4 2 6 4" xfId="40125"/>
    <cellStyle name="强调文字颜色 4 2 7" xfId="40126"/>
    <cellStyle name="强调文字颜色 4 2 7 2" xfId="40127"/>
    <cellStyle name="强调文字颜色 4 2 8" xfId="40128"/>
    <cellStyle name="强调文字颜色 4 2 9" xfId="30063"/>
    <cellStyle name="强调文字颜色 4 3" xfId="34775"/>
    <cellStyle name="强调文字颜色 5 2" xfId="40129"/>
    <cellStyle name="强调文字颜色 5 2 10" xfId="16074"/>
    <cellStyle name="强调文字颜色 5 2 11" xfId="16078"/>
    <cellStyle name="强调文字颜色 5 2 12" xfId="16080"/>
    <cellStyle name="强调文字颜色 5 2 2" xfId="40130"/>
    <cellStyle name="强调文字颜色 5 2 2 10" xfId="40131"/>
    <cellStyle name="强调文字颜色 5 2 2 11" xfId="40132"/>
    <cellStyle name="强调文字颜色 5 2 2 2" xfId="40133"/>
    <cellStyle name="强调文字颜色 5 2 2 2 2" xfId="40134"/>
    <cellStyle name="强调文字颜色 5 2 2 2 2 2" xfId="40135"/>
    <cellStyle name="强调文字颜色 5 2 2 2 2 2 2" xfId="40136"/>
    <cellStyle name="强调文字颜色 5 2 2 2 2 2 3" xfId="40137"/>
    <cellStyle name="强调文字颜色 5 2 2 2 2 3" xfId="2019"/>
    <cellStyle name="强调文字颜色 5 2 2 2 2 3 2" xfId="2026"/>
    <cellStyle name="强调文字颜色 5 2 2 2 2 3 2 2" xfId="2032"/>
    <cellStyle name="强调文字颜色 5 2 2 2 2 3 3" xfId="2042"/>
    <cellStyle name="强调文字颜色 5 2 2 2 2 3 4" xfId="40138"/>
    <cellStyle name="强调文字颜色 5 2 2 2 2 4" xfId="2048"/>
    <cellStyle name="强调文字颜色 5 2 2 2 2 5" xfId="2055"/>
    <cellStyle name="强调文字颜色 5 2 2 2 2 6" xfId="40139"/>
    <cellStyle name="强调文字颜色 5 2 2 2 2 7" xfId="40140"/>
    <cellStyle name="强调文字颜色 5 2 2 2 3" xfId="40141"/>
    <cellStyle name="强调文字颜色 5 2 2 2 3 2" xfId="40142"/>
    <cellStyle name="强调文字颜色 5 2 2 2 3 3" xfId="2064"/>
    <cellStyle name="强调文字颜色 5 2 2 2 3 4" xfId="2079"/>
    <cellStyle name="强调文字颜色 5 2 2 2 3 5" xfId="40143"/>
    <cellStyle name="强调文字颜色 5 2 2 2 4" xfId="40144"/>
    <cellStyle name="强调文字颜色 5 2 2 2 4 2" xfId="40145"/>
    <cellStyle name="强调文字颜色 5 2 2 2 4 2 2" xfId="40146"/>
    <cellStyle name="强调文字颜色 5 2 2 2 4 3" xfId="2091"/>
    <cellStyle name="强调文字颜色 5 2 2 2 4 4" xfId="2098"/>
    <cellStyle name="强调文字颜色 5 2 2 2 5" xfId="40147"/>
    <cellStyle name="强调文字颜色 5 2 2 2 5 2" xfId="40148"/>
    <cellStyle name="强调文字颜色 5 2 2 2 6" xfId="40149"/>
    <cellStyle name="强调文字颜色 5 2 2 2 7" xfId="40150"/>
    <cellStyle name="强调文字颜色 5 2 2 2 8" xfId="40151"/>
    <cellStyle name="强调文字颜色 5 2 2 2 9" xfId="40152"/>
    <cellStyle name="强调文字颜色 5 2 2 3" xfId="40153"/>
    <cellStyle name="强调文字颜色 5 2 2 3 10" xfId="40154"/>
    <cellStyle name="强调文字颜色 5 2 2 3 2" xfId="40155"/>
    <cellStyle name="强调文字颜色 5 2 2 3 2 2" xfId="28194"/>
    <cellStyle name="强调文字颜色 5 2 2 3 2 2 2" xfId="40156"/>
    <cellStyle name="强调文字颜色 5 2 2 3 2 2 2 2" xfId="40157"/>
    <cellStyle name="强调文字颜色 5 2 2 3 2 2 2 3" xfId="40158"/>
    <cellStyle name="强调文字颜色 5 2 2 3 2 2 3" xfId="40159"/>
    <cellStyle name="强调文字颜色 5 2 2 3 2 2 3 2" xfId="40160"/>
    <cellStyle name="强调文字颜色 5 2 2 3 2 2 3 2 2" xfId="40161"/>
    <cellStyle name="强调文字颜色 5 2 2 3 2 2 3 3" xfId="40162"/>
    <cellStyle name="强调文字颜色 5 2 2 3 2 2 3 4" xfId="40163"/>
    <cellStyle name="强调文字颜色 5 2 2 3 2 2 4" xfId="40164"/>
    <cellStyle name="强调文字颜色 5 2 2 3 2 2 5" xfId="40165"/>
    <cellStyle name="强调文字颜色 5 2 2 3 2 2 6" xfId="40166"/>
    <cellStyle name="强调文字颜色 5 2 2 3 2 2 7" xfId="40167"/>
    <cellStyle name="强调文字颜色 5 2 2 3 2 3" xfId="2216"/>
    <cellStyle name="强调文字颜色 5 2 2 3 2 3 2" xfId="2219"/>
    <cellStyle name="强调文字颜色 5 2 2 3 2 3 3" xfId="40168"/>
    <cellStyle name="强调文字颜色 5 2 2 3 2 3 4" xfId="40169"/>
    <cellStyle name="强调文字颜色 5 2 2 3 2 3 5" xfId="1863"/>
    <cellStyle name="强调文字颜色 5 2 2 3 2 4" xfId="2223"/>
    <cellStyle name="强调文字颜色 5 2 2 3 2 4 2" xfId="40170"/>
    <cellStyle name="强调文字颜色 5 2 2 3 2 4 2 2" xfId="40171"/>
    <cellStyle name="强调文字颜色 5 2 2 3 2 4 3" xfId="40172"/>
    <cellStyle name="强调文字颜色 5 2 2 3 2 4 4" xfId="40173"/>
    <cellStyle name="强调文字颜色 5 2 2 3 2 5" xfId="40174"/>
    <cellStyle name="强调文字颜色 5 2 2 3 2 5 2" xfId="40175"/>
    <cellStyle name="强调文字颜色 5 2 2 3 2 6" xfId="40176"/>
    <cellStyle name="强调文字颜色 5 2 2 3 2 7" xfId="40177"/>
    <cellStyle name="强调文字颜色 5 2 2 3 2 8" xfId="40178"/>
    <cellStyle name="强调文字颜色 5 2 2 3 2 9" xfId="40179"/>
    <cellStyle name="强调文字颜色 5 2 2 3 3" xfId="40180"/>
    <cellStyle name="强调文字颜色 5 2 2 3 3 2" xfId="40181"/>
    <cellStyle name="强调文字颜色 5 2 2 3 3 2 2" xfId="40182"/>
    <cellStyle name="强调文字颜色 5 2 2 3 3 2 3" xfId="40183"/>
    <cellStyle name="强调文字颜色 5 2 2 3 3 3" xfId="2231"/>
    <cellStyle name="强调文字颜色 5 2 2 3 3 3 2" xfId="40184"/>
    <cellStyle name="强调文字颜色 5 2 2 3 3 3 2 2" xfId="12810"/>
    <cellStyle name="强调文字颜色 5 2 2 3 3 3 3" xfId="40185"/>
    <cellStyle name="强调文字颜色 5 2 2 3 3 3 4" xfId="40186"/>
    <cellStyle name="强调文字颜色 5 2 2 3 3 4" xfId="40187"/>
    <cellStyle name="强调文字颜色 5 2 2 3 3 5" xfId="40188"/>
    <cellStyle name="强调文字颜色 5 2 2 3 3 6" xfId="40189"/>
    <cellStyle name="强调文字颜色 5 2 2 3 3 7" xfId="40190"/>
    <cellStyle name="强调文字颜色 5 2 2 3 4" xfId="40191"/>
    <cellStyle name="强调文字颜色 5 2 2 3 4 2" xfId="40192"/>
    <cellStyle name="强调文字颜色 5 2 2 3 4 3" xfId="2238"/>
    <cellStyle name="强调文字颜色 5 2 2 3 4 4" xfId="40193"/>
    <cellStyle name="强调文字颜色 5 2 2 3 4 5" xfId="40194"/>
    <cellStyle name="强调文字颜色 5 2 2 3 5" xfId="40195"/>
    <cellStyle name="强调文字颜色 5 2 2 3 5 2" xfId="40196"/>
    <cellStyle name="强调文字颜色 5 2 2 3 5 2 2" xfId="40197"/>
    <cellStyle name="强调文字颜色 5 2 2 3 5 3" xfId="40198"/>
    <cellStyle name="强调文字颜色 5 2 2 3 5 4" xfId="20520"/>
    <cellStyle name="强调文字颜色 5 2 2 3 6" xfId="40199"/>
    <cellStyle name="强调文字颜色 5 2 2 3 6 2" xfId="40200"/>
    <cellStyle name="强调文字颜色 5 2 2 3 7" xfId="40201"/>
    <cellStyle name="强调文字颜色 5 2 2 3 8" xfId="40202"/>
    <cellStyle name="强调文字颜色 5 2 2 3 9" xfId="40203"/>
    <cellStyle name="强调文字颜色 5 2 2 4" xfId="40204"/>
    <cellStyle name="强调文字颜色 5 2 2 4 2" xfId="40205"/>
    <cellStyle name="强调文字颜色 5 2 2 4 2 2" xfId="40206"/>
    <cellStyle name="强调文字颜色 5 2 2 4 2 3" xfId="2443"/>
    <cellStyle name="强调文字颜色 5 2 2 4 3" xfId="40207"/>
    <cellStyle name="强调文字颜色 5 2 2 4 3 2" xfId="40208"/>
    <cellStyle name="强调文字颜色 5 2 2 4 3 2 2" xfId="40209"/>
    <cellStyle name="强调文字颜色 5 2 2 4 3 3" xfId="2453"/>
    <cellStyle name="强调文字颜色 5 2 2 4 3 4" xfId="2460"/>
    <cellStyle name="强调文字颜色 5 2 2 4 4" xfId="40210"/>
    <cellStyle name="强调文字颜色 5 2 2 4 5" xfId="40211"/>
    <cellStyle name="强调文字颜色 5 2 2 4 6" xfId="40212"/>
    <cellStyle name="强调文字颜色 5 2 2 4 7" xfId="40213"/>
    <cellStyle name="强调文字颜色 5 2 2 5" xfId="40214"/>
    <cellStyle name="强调文字颜色 5 2 2 5 2" xfId="40215"/>
    <cellStyle name="强调文字颜色 5 2 2 5 3" xfId="40216"/>
    <cellStyle name="强调文字颜色 5 2 2 5 4" xfId="40217"/>
    <cellStyle name="强调文字颜色 5 2 2 5 5" xfId="40218"/>
    <cellStyle name="强调文字颜色 5 2 2 6" xfId="40219"/>
    <cellStyle name="强调文字颜色 5 2 2 6 2" xfId="40220"/>
    <cellStyle name="强调文字颜色 5 2 2 6 2 2" xfId="40221"/>
    <cellStyle name="强调文字颜色 5 2 2 6 3" xfId="40222"/>
    <cellStyle name="强调文字颜色 5 2 2 6 4" xfId="40223"/>
    <cellStyle name="强调文字颜色 5 2 2 7" xfId="40224"/>
    <cellStyle name="强调文字颜色 5 2 2 7 2" xfId="40225"/>
    <cellStyle name="强调文字颜色 5 2 2 8" xfId="40226"/>
    <cellStyle name="强调文字颜色 5 2 2 9" xfId="40227"/>
    <cellStyle name="强调文字颜色 5 2 3" xfId="40228"/>
    <cellStyle name="强调文字颜色 5 2 3 10" xfId="40229"/>
    <cellStyle name="强调文字颜色 5 2 3 2" xfId="40230"/>
    <cellStyle name="强调文字颜色 5 2 3 2 2" xfId="40231"/>
    <cellStyle name="强调文字颜色 5 2 3 2 2 2" xfId="40232"/>
    <cellStyle name="强调文字颜色 5 2 3 2 2 2 2" xfId="40233"/>
    <cellStyle name="强调文字颜色 5 2 3 2 2 2 3" xfId="40234"/>
    <cellStyle name="强调文字颜色 5 2 3 2 2 3" xfId="40235"/>
    <cellStyle name="强调文字颜色 5 2 3 2 2 3 2" xfId="40236"/>
    <cellStyle name="强调文字颜色 5 2 3 2 2 3 2 2" xfId="40237"/>
    <cellStyle name="强调文字颜色 5 2 3 2 2 3 3" xfId="40238"/>
    <cellStyle name="强调文字颜色 5 2 3 2 2 3 4" xfId="40239"/>
    <cellStyle name="强调文字颜色 5 2 3 2 2 4" xfId="40240"/>
    <cellStyle name="强调文字颜色 5 2 3 2 2 5" xfId="40241"/>
    <cellStyle name="强调文字颜色 5 2 3 2 2 6" xfId="40242"/>
    <cellStyle name="强调文字颜色 5 2 3 2 2 7" xfId="40243"/>
    <cellStyle name="强调文字颜色 5 2 3 2 3" xfId="40244"/>
    <cellStyle name="强调文字颜色 5 2 3 2 3 2" xfId="40245"/>
    <cellStyle name="强调文字颜色 5 2 3 2 3 3" xfId="40246"/>
    <cellStyle name="强调文字颜色 5 2 3 2 3 4" xfId="40247"/>
    <cellStyle name="强调文字颜色 5 2 3 2 3 5" xfId="40248"/>
    <cellStyle name="强调文字颜色 5 2 3 2 4" xfId="40249"/>
    <cellStyle name="强调文字颜色 5 2 3 2 4 2" xfId="40250"/>
    <cellStyle name="强调文字颜色 5 2 3 2 4 2 2" xfId="16041"/>
    <cellStyle name="强调文字颜色 5 2 3 2 4 3" xfId="40251"/>
    <cellStyle name="强调文字颜色 5 2 3 2 4 4" xfId="40252"/>
    <cellStyle name="强调文字颜色 5 2 3 2 5" xfId="40253"/>
    <cellStyle name="强调文字颜色 5 2 3 2 5 2" xfId="40254"/>
    <cellStyle name="强调文字颜色 5 2 3 2 6" xfId="40255"/>
    <cellStyle name="强调文字颜色 5 2 3 2 7" xfId="40256"/>
    <cellStyle name="强调文字颜色 5 2 3 2 8" xfId="21751"/>
    <cellStyle name="强调文字颜色 5 2 3 2 9" xfId="40257"/>
    <cellStyle name="强调文字颜色 5 2 3 3" xfId="40258"/>
    <cellStyle name="强调文字颜色 5 2 3 3 2" xfId="40259"/>
    <cellStyle name="强调文字颜色 5 2 3 3 2 2" xfId="40260"/>
    <cellStyle name="强调文字颜色 5 2 3 3 2 3" xfId="40261"/>
    <cellStyle name="强调文字颜色 5 2 3 3 3" xfId="40262"/>
    <cellStyle name="强调文字颜色 5 2 3 3 3 2" xfId="40263"/>
    <cellStyle name="强调文字颜色 5 2 3 3 3 2 2" xfId="40264"/>
    <cellStyle name="强调文字颜色 5 2 3 3 3 3" xfId="40265"/>
    <cellStyle name="强调文字颜色 5 2 3 3 3 4" xfId="40266"/>
    <cellStyle name="强调文字颜色 5 2 3 3 4" xfId="40267"/>
    <cellStyle name="强调文字颜色 5 2 3 3 5" xfId="40268"/>
    <cellStyle name="强调文字颜色 5 2 3 3 6" xfId="40269"/>
    <cellStyle name="强调文字颜色 5 2 3 3 7" xfId="40270"/>
    <cellStyle name="强调文字颜色 5 2 3 4" xfId="40271"/>
    <cellStyle name="强调文字颜色 5 2 3 4 2" xfId="40272"/>
    <cellStyle name="强调文字颜色 5 2 3 4 3" xfId="40273"/>
    <cellStyle name="强调文字颜色 5 2 3 4 4" xfId="40274"/>
    <cellStyle name="强调文字颜色 5 2 3 4 5" xfId="40275"/>
    <cellStyle name="强调文字颜色 5 2 3 5" xfId="40276"/>
    <cellStyle name="强调文字颜色 5 2 3 5 2" xfId="40277"/>
    <cellStyle name="强调文字颜色 5 2 3 5 2 2" xfId="40278"/>
    <cellStyle name="强调文字颜色 5 2 3 5 3" xfId="40279"/>
    <cellStyle name="强调文字颜色 5 2 3 5 4" xfId="40280"/>
    <cellStyle name="强调文字颜色 5 2 3 6" xfId="32468"/>
    <cellStyle name="强调文字颜色 5 2 3 6 2" xfId="40281"/>
    <cellStyle name="强调文字颜色 5 2 3 7" xfId="40282"/>
    <cellStyle name="强调文字颜色 5 2 3 8" xfId="40283"/>
    <cellStyle name="强调文字颜色 5 2 3 9" xfId="40284"/>
    <cellStyle name="强调文字颜色 5 2 4" xfId="40285"/>
    <cellStyle name="强调文字颜色 5 2 4 2" xfId="40286"/>
    <cellStyle name="强调文字颜色 5 2 4 2 2" xfId="40287"/>
    <cellStyle name="强调文字颜色 5 2 4 2 3" xfId="40288"/>
    <cellStyle name="强调文字颜色 5 2 4 3" xfId="40289"/>
    <cellStyle name="强调文字颜色 5 2 4 3 2" xfId="40290"/>
    <cellStyle name="强调文字颜色 5 2 4 3 2 2" xfId="40291"/>
    <cellStyle name="强调文字颜色 5 2 4 3 3" xfId="40292"/>
    <cellStyle name="强调文字颜色 5 2 4 3 4" xfId="40293"/>
    <cellStyle name="强调文字颜色 5 2 4 4" xfId="40294"/>
    <cellStyle name="强调文字颜色 5 2 4 5" xfId="40295"/>
    <cellStyle name="强调文字颜色 5 2 4 6" xfId="40296"/>
    <cellStyle name="强调文字颜色 5 2 4 7" xfId="40297"/>
    <cellStyle name="强调文字颜色 5 2 5" xfId="40298"/>
    <cellStyle name="强调文字颜色 5 2 5 2" xfId="40299"/>
    <cellStyle name="强调文字颜色 5 2 5 3" xfId="40300"/>
    <cellStyle name="强调文字颜色 5 2 6" xfId="40301"/>
    <cellStyle name="强调文字颜色 5 2 6 2" xfId="40302"/>
    <cellStyle name="强调文字颜色 5 2 6 2 2" xfId="40303"/>
    <cellStyle name="强调文字颜色 5 2 6 3" xfId="40304"/>
    <cellStyle name="强调文字颜色 5 2 6 4" xfId="40305"/>
    <cellStyle name="强调文字颜色 5 2 7" xfId="40306"/>
    <cellStyle name="强调文字颜色 5 2 7 2" xfId="40307"/>
    <cellStyle name="强调文字颜色 5 2 8" xfId="40308"/>
    <cellStyle name="强调文字颜色 5 2 9" xfId="40309"/>
    <cellStyle name="强调文字颜色 5 3" xfId="40310"/>
    <cellStyle name="强调文字颜色 6 2" xfId="40311"/>
    <cellStyle name="强调文字颜色 6 2 10" xfId="27843"/>
    <cellStyle name="强调文字颜色 6 2 11" xfId="40312"/>
    <cellStyle name="强调文字颜色 6 2 12" xfId="40313"/>
    <cellStyle name="强调文字颜色 6 2 2" xfId="40314"/>
    <cellStyle name="强调文字颜色 6 2 2 10" xfId="40315"/>
    <cellStyle name="强调文字颜色 6 2 2 11" xfId="40316"/>
    <cellStyle name="强调文字颜色 6 2 2 2" xfId="40317"/>
    <cellStyle name="强调文字颜色 6 2 2 2 2" xfId="40318"/>
    <cellStyle name="强调文字颜色 6 2 2 2 2 2" xfId="40319"/>
    <cellStyle name="强调文字颜色 6 2 2 2 2 2 2" xfId="40320"/>
    <cellStyle name="强调文字颜色 6 2 2 2 2 2 3" xfId="40321"/>
    <cellStyle name="强调文字颜色 6 2 2 2 2 3" xfId="40322"/>
    <cellStyle name="强调文字颜色 6 2 2 2 2 3 2" xfId="40323"/>
    <cellStyle name="强调文字颜色 6 2 2 2 2 3 2 2" xfId="40324"/>
    <cellStyle name="强调文字颜色 6 2 2 2 2 3 3" xfId="40325"/>
    <cellStyle name="强调文字颜色 6 2 2 2 2 3 4" xfId="40326"/>
    <cellStyle name="强调文字颜色 6 2 2 2 2 4" xfId="40327"/>
    <cellStyle name="强调文字颜色 6 2 2 2 2 5" xfId="40328"/>
    <cellStyle name="强调文字颜色 6 2 2 2 2 6" xfId="40329"/>
    <cellStyle name="强调文字颜色 6 2 2 2 2 7" xfId="40330"/>
    <cellStyle name="强调文字颜色 6 2 2 2 3" xfId="40331"/>
    <cellStyle name="强调文字颜色 6 2 2 2 3 2" xfId="40332"/>
    <cellStyle name="强调文字颜色 6 2 2 2 3 3" xfId="40333"/>
    <cellStyle name="强调文字颜色 6 2 2 2 3 4" xfId="40334"/>
    <cellStyle name="强调文字颜色 6 2 2 2 3 5" xfId="40335"/>
    <cellStyle name="强调文字颜色 6 2 2 2 4" xfId="40336"/>
    <cellStyle name="强调文字颜色 6 2 2 2 4 2" xfId="40337"/>
    <cellStyle name="强调文字颜色 6 2 2 2 4 2 2" xfId="40338"/>
    <cellStyle name="强调文字颜色 6 2 2 2 4 3" xfId="40339"/>
    <cellStyle name="强调文字颜色 6 2 2 2 4 4" xfId="40340"/>
    <cellStyle name="强调文字颜色 6 2 2 2 5" xfId="40341"/>
    <cellStyle name="强调文字颜色 6 2 2 2 5 2" xfId="40342"/>
    <cellStyle name="强调文字颜色 6 2 2 2 6" xfId="40343"/>
    <cellStyle name="强调文字颜色 6 2 2 2 7" xfId="40344"/>
    <cellStyle name="强调文字颜色 6 2 2 2 8" xfId="40345"/>
    <cellStyle name="强调文字颜色 6 2 2 2 9" xfId="40346"/>
    <cellStyle name="强调文字颜色 6 2 2 3" xfId="40347"/>
    <cellStyle name="强调文字颜色 6 2 2 3 10" xfId="40348"/>
    <cellStyle name="强调文字颜色 6 2 2 3 2" xfId="40350"/>
    <cellStyle name="强调文字颜色 6 2 2 3 2 2" xfId="40351"/>
    <cellStyle name="强调文字颜色 6 2 2 3 2 2 2" xfId="12896"/>
    <cellStyle name="强调文字颜色 6 2 2 3 2 2 2 2" xfId="12900"/>
    <cellStyle name="强调文字颜色 6 2 2 3 2 2 2 3" xfId="12902"/>
    <cellStyle name="强调文字颜色 6 2 2 3 2 2 3" xfId="12907"/>
    <cellStyle name="强调文字颜色 6 2 2 3 2 2 3 2" xfId="12911"/>
    <cellStyle name="强调文字颜色 6 2 2 3 2 2 3 2 2" xfId="12913"/>
    <cellStyle name="强调文字颜色 6 2 2 3 2 2 3 3" xfId="12916"/>
    <cellStyle name="强调文字颜色 6 2 2 3 2 2 3 4" xfId="40352"/>
    <cellStyle name="强调文字颜色 6 2 2 3 2 2 4" xfId="12918"/>
    <cellStyle name="强调文字颜色 6 2 2 3 2 2 5" xfId="1038"/>
    <cellStyle name="强调文字颜色 6 2 2 3 2 2 6" xfId="1431"/>
    <cellStyle name="强调文字颜色 6 2 2 3 2 2 7" xfId="12928"/>
    <cellStyle name="强调文字颜色 6 2 2 3 2 3" xfId="40353"/>
    <cellStyle name="强调文字颜色 6 2 2 3 2 3 2" xfId="12962"/>
    <cellStyle name="强调文字颜色 6 2 2 3 2 3 3" xfId="12970"/>
    <cellStyle name="强调文字颜色 6 2 2 3 2 3 4" xfId="12975"/>
    <cellStyle name="强调文字颜色 6 2 2 3 2 3 5" xfId="1554"/>
    <cellStyle name="强调文字颜色 6 2 2 3 2 4" xfId="40354"/>
    <cellStyle name="强调文字颜色 6 2 2 3 2 4 2" xfId="9819"/>
    <cellStyle name="强调文字颜色 6 2 2 3 2 4 2 2" xfId="13020"/>
    <cellStyle name="强调文字颜色 6 2 2 3 2 4 3" xfId="13060"/>
    <cellStyle name="强调文字颜色 6 2 2 3 2 4 4" xfId="13070"/>
    <cellStyle name="强调文字颜色 6 2 2 3 2 5" xfId="40355"/>
    <cellStyle name="强调文字颜色 6 2 2 3 2 5 2" xfId="5558"/>
    <cellStyle name="强调文字颜色 6 2 2 3 2 6" xfId="40356"/>
    <cellStyle name="强调文字颜色 6 2 2 3 2 7" xfId="40357"/>
    <cellStyle name="强调文字颜色 6 2 2 3 2 8" xfId="40358"/>
    <cellStyle name="强调文字颜色 6 2 2 3 2 9" xfId="40359"/>
    <cellStyle name="强调文字颜色 6 2 2 3 3" xfId="40360"/>
    <cellStyle name="强调文字颜色 6 2 2 3 3 2" xfId="40361"/>
    <cellStyle name="强调文字颜色 6 2 2 3 3 2 2" xfId="40362"/>
    <cellStyle name="强调文字颜色 6 2 2 3 3 2 3" xfId="40363"/>
    <cellStyle name="强调文字颜色 6 2 2 3 3 3" xfId="40364"/>
    <cellStyle name="强调文字颜色 6 2 2 3 3 3 2" xfId="40365"/>
    <cellStyle name="强调文字颜色 6 2 2 3 3 3 2 2" xfId="40366"/>
    <cellStyle name="强调文字颜色 6 2 2 3 3 3 3" xfId="40367"/>
    <cellStyle name="强调文字颜色 6 2 2 3 3 3 4" xfId="40368"/>
    <cellStyle name="强调文字颜色 6 2 2 3 3 4" xfId="40369"/>
    <cellStyle name="强调文字颜色 6 2 2 3 3 5" xfId="40370"/>
    <cellStyle name="强调文字颜色 6 2 2 3 3 6" xfId="40371"/>
    <cellStyle name="强调文字颜色 6 2 2 3 3 7" xfId="40372"/>
    <cellStyle name="强调文字颜色 6 2 2 3 4" xfId="40373"/>
    <cellStyle name="强调文字颜色 6 2 2 3 4 2" xfId="40374"/>
    <cellStyle name="强调文字颜色 6 2 2 3 4 3" xfId="40375"/>
    <cellStyle name="强调文字颜色 6 2 2 3 4 4" xfId="40376"/>
    <cellStyle name="强调文字颜色 6 2 2 3 4 5" xfId="40377"/>
    <cellStyle name="强调文字颜色 6 2 2 3 5" xfId="40378"/>
    <cellStyle name="强调文字颜色 6 2 2 3 5 2" xfId="40379"/>
    <cellStyle name="强调文字颜色 6 2 2 3 5 2 2" xfId="40380"/>
    <cellStyle name="强调文字颜色 6 2 2 3 5 3" xfId="40381"/>
    <cellStyle name="强调文字颜色 6 2 2 3 5 4" xfId="40382"/>
    <cellStyle name="强调文字颜色 6 2 2 3 6" xfId="40383"/>
    <cellStyle name="强调文字颜色 6 2 2 3 6 2" xfId="40384"/>
    <cellStyle name="强调文字颜色 6 2 2 3 7" xfId="40385"/>
    <cellStyle name="强调文字颜色 6 2 2 3 8" xfId="40386"/>
    <cellStyle name="强调文字颜色 6 2 2 3 9" xfId="40387"/>
    <cellStyle name="强调文字颜色 6 2 2 4" xfId="40388"/>
    <cellStyle name="强调文字颜色 6 2 2 4 2" xfId="40389"/>
    <cellStyle name="强调文字颜色 6 2 2 4 2 2" xfId="40390"/>
    <cellStyle name="强调文字颜色 6 2 2 4 2 3" xfId="40391"/>
    <cellStyle name="强调文字颜色 6 2 2 4 3" xfId="40392"/>
    <cellStyle name="强调文字颜色 6 2 2 4 3 2" xfId="40393"/>
    <cellStyle name="强调文字颜色 6 2 2 4 3 2 2" xfId="40394"/>
    <cellStyle name="强调文字颜色 6 2 2 4 3 3" xfId="40395"/>
    <cellStyle name="强调文字颜色 6 2 2 4 3 4" xfId="40396"/>
    <cellStyle name="强调文字颜色 6 2 2 4 4" xfId="40397"/>
    <cellStyle name="强调文字颜色 6 2 2 4 5" xfId="40398"/>
    <cellStyle name="强调文字颜色 6 2 2 4 6" xfId="40399"/>
    <cellStyle name="强调文字颜色 6 2 2 4 7" xfId="40400"/>
    <cellStyle name="强调文字颜色 6 2 2 5" xfId="40401"/>
    <cellStyle name="强调文字颜色 6 2 2 5 2" xfId="40402"/>
    <cellStyle name="强调文字颜色 6 2 2 5 3" xfId="40403"/>
    <cellStyle name="强调文字颜色 6 2 2 5 4" xfId="40404"/>
    <cellStyle name="强调文字颜色 6 2 2 5 5" xfId="40405"/>
    <cellStyle name="强调文字颜色 6 2 2 6" xfId="40406"/>
    <cellStyle name="强调文字颜色 6 2 2 6 2" xfId="40407"/>
    <cellStyle name="强调文字颜色 6 2 2 6 2 2" xfId="40408"/>
    <cellStyle name="强调文字颜色 6 2 2 6 3" xfId="40409"/>
    <cellStyle name="强调文字颜色 6 2 2 6 4" xfId="40410"/>
    <cellStyle name="强调文字颜色 6 2 2 7" xfId="40411"/>
    <cellStyle name="强调文字颜色 6 2 2 7 2" xfId="40412"/>
    <cellStyle name="强调文字颜色 6 2 2 8" xfId="40413"/>
    <cellStyle name="强调文字颜色 6 2 2 9" xfId="40414"/>
    <cellStyle name="强调文字颜色 6 2 3" xfId="40415"/>
    <cellStyle name="强调文字颜色 6 2 3 10" xfId="40416"/>
    <cellStyle name="强调文字颜色 6 2 3 2" xfId="40417"/>
    <cellStyle name="强调文字颜色 6 2 3 2 2" xfId="40418"/>
    <cellStyle name="强调文字颜色 6 2 3 2 2 2" xfId="40419"/>
    <cellStyle name="强调文字颜色 6 2 3 2 2 2 2" xfId="40420"/>
    <cellStyle name="强调文字颜色 6 2 3 2 2 2 3" xfId="40421"/>
    <cellStyle name="强调文字颜色 6 2 3 2 2 3" xfId="40422"/>
    <cellStyle name="强调文字颜色 6 2 3 2 2 3 2" xfId="40423"/>
    <cellStyle name="强调文字颜色 6 2 3 2 2 3 2 2" xfId="40424"/>
    <cellStyle name="强调文字颜色 6 2 3 2 2 3 3" xfId="40425"/>
    <cellStyle name="强调文字颜色 6 2 3 2 2 3 4" xfId="40426"/>
    <cellStyle name="强调文字颜色 6 2 3 2 2 4" xfId="40427"/>
    <cellStyle name="强调文字颜色 6 2 3 2 2 5" xfId="40428"/>
    <cellStyle name="强调文字颜色 6 2 3 2 2 6" xfId="40429"/>
    <cellStyle name="强调文字颜色 6 2 3 2 2 7" xfId="40430"/>
    <cellStyle name="强调文字颜色 6 2 3 2 3" xfId="40431"/>
    <cellStyle name="强调文字颜色 6 2 3 2 3 2" xfId="40432"/>
    <cellStyle name="强调文字颜色 6 2 3 2 3 3" xfId="40433"/>
    <cellStyle name="强调文字颜色 6 2 3 2 3 4" xfId="40434"/>
    <cellStyle name="强调文字颜色 6 2 3 2 3 5" xfId="40435"/>
    <cellStyle name="强调文字颜色 6 2 3 2 4" xfId="40436"/>
    <cellStyle name="强调文字颜色 6 2 3 2 4 2" xfId="40437"/>
    <cellStyle name="强调文字颜色 6 2 3 2 4 2 2" xfId="40438"/>
    <cellStyle name="强调文字颜色 6 2 3 2 4 3" xfId="40439"/>
    <cellStyle name="强调文字颜色 6 2 3 2 4 4" xfId="40440"/>
    <cellStyle name="强调文字颜色 6 2 3 2 5" xfId="40441"/>
    <cellStyle name="强调文字颜色 6 2 3 2 5 2" xfId="40442"/>
    <cellStyle name="强调文字颜色 6 2 3 2 6" xfId="40443"/>
    <cellStyle name="强调文字颜色 6 2 3 2 7" xfId="40444"/>
    <cellStyle name="强调文字颜色 6 2 3 2 8" xfId="40445"/>
    <cellStyle name="强调文字颜色 6 2 3 2 9" xfId="40446"/>
    <cellStyle name="强调文字颜色 6 2 3 3" xfId="40447"/>
    <cellStyle name="强调文字颜色 6 2 3 3 2" xfId="40448"/>
    <cellStyle name="强调文字颜色 6 2 3 3 2 2" xfId="40449"/>
    <cellStyle name="强调文字颜色 6 2 3 3 2 3" xfId="40450"/>
    <cellStyle name="强调文字颜色 6 2 3 3 3" xfId="40451"/>
    <cellStyle name="强调文字颜色 6 2 3 3 3 2" xfId="40452"/>
    <cellStyle name="强调文字颜色 6 2 3 3 3 2 2" xfId="40453"/>
    <cellStyle name="强调文字颜色 6 2 3 3 3 3" xfId="40454"/>
    <cellStyle name="强调文字颜色 6 2 3 3 3 4" xfId="40455"/>
    <cellStyle name="强调文字颜色 6 2 3 3 4" xfId="40456"/>
    <cellStyle name="强调文字颜色 6 2 3 3 5" xfId="40457"/>
    <cellStyle name="强调文字颜色 6 2 3 3 6" xfId="40458"/>
    <cellStyle name="强调文字颜色 6 2 3 3 7" xfId="40459"/>
    <cellStyle name="强调文字颜色 6 2 3 4" xfId="40460"/>
    <cellStyle name="强调文字颜色 6 2 3 4 2" xfId="40461"/>
    <cellStyle name="强调文字颜色 6 2 3 4 3" xfId="40462"/>
    <cellStyle name="强调文字颜色 6 2 3 4 4" xfId="40463"/>
    <cellStyle name="强调文字颜色 6 2 3 4 5" xfId="40464"/>
    <cellStyle name="强调文字颜色 6 2 3 5" xfId="40465"/>
    <cellStyle name="强调文字颜色 6 2 3 5 2" xfId="40466"/>
    <cellStyle name="强调文字颜色 6 2 3 5 2 2" xfId="40467"/>
    <cellStyle name="强调文字颜色 6 2 3 5 3" xfId="40468"/>
    <cellStyle name="强调文字颜色 6 2 3 5 4" xfId="40469"/>
    <cellStyle name="强调文字颜色 6 2 3 6" xfId="9730"/>
    <cellStyle name="强调文字颜色 6 2 3 6 2" xfId="6988"/>
    <cellStyle name="强调文字颜色 6 2 3 7" xfId="9736"/>
    <cellStyle name="强调文字颜色 6 2 3 8" xfId="9741"/>
    <cellStyle name="强调文字颜色 6 2 3 9" xfId="40470"/>
    <cellStyle name="强调文字颜色 6 2 4" xfId="40471"/>
    <cellStyle name="强调文字颜色 6 2 4 2" xfId="40472"/>
    <cellStyle name="强调文字颜色 6 2 4 2 2" xfId="9525"/>
    <cellStyle name="强调文字颜色 6 2 4 2 3" xfId="40473"/>
    <cellStyle name="强调文字颜色 6 2 4 3" xfId="40474"/>
    <cellStyle name="强调文字颜色 6 2 4 3 2" xfId="40475"/>
    <cellStyle name="强调文字颜色 6 2 4 3 2 2" xfId="40476"/>
    <cellStyle name="强调文字颜色 6 2 4 3 3" xfId="40477"/>
    <cellStyle name="强调文字颜色 6 2 4 3 4" xfId="40478"/>
    <cellStyle name="强调文字颜色 6 2 4 4" xfId="40479"/>
    <cellStyle name="强调文字颜色 6 2 4 5" xfId="40480"/>
    <cellStyle name="强调文字颜色 6 2 4 6" xfId="9746"/>
    <cellStyle name="强调文字颜色 6 2 4 7" xfId="40481"/>
    <cellStyle name="强调文字颜色 6 2 5" xfId="40482"/>
    <cellStyle name="强调文字颜色 6 2 5 2" xfId="40483"/>
    <cellStyle name="强调文字颜色 6 2 5 3" xfId="40484"/>
    <cellStyle name="强调文字颜色 6 2 6" xfId="40485"/>
    <cellStyle name="强调文字颜色 6 2 6 2" xfId="40486"/>
    <cellStyle name="强调文字颜色 6 2 6 2 2" xfId="40487"/>
    <cellStyle name="强调文字颜色 6 2 6 3" xfId="40488"/>
    <cellStyle name="强调文字颜色 6 2 6 4" xfId="40489"/>
    <cellStyle name="强调文字颜色 6 2 7" xfId="40490"/>
    <cellStyle name="强调文字颜色 6 2 7 2" xfId="40491"/>
    <cellStyle name="强调文字颜色 6 2 8" xfId="40492"/>
    <cellStyle name="强调文字颜色 6 2 9" xfId="40493"/>
    <cellStyle name="强调文字颜色 6 3" xfId="40494"/>
    <cellStyle name="适中 2" xfId="40495"/>
    <cellStyle name="适中 2 10" xfId="40496"/>
    <cellStyle name="适中 2 11" xfId="40497"/>
    <cellStyle name="适中 2 2" xfId="40498"/>
    <cellStyle name="适中 2 2 10" xfId="40499"/>
    <cellStyle name="适中 2 2 11" xfId="40500"/>
    <cellStyle name="适中 2 2 2" xfId="40501"/>
    <cellStyle name="适中 2 2 2 2" xfId="40502"/>
    <cellStyle name="适中 2 2 2 2 2" xfId="40503"/>
    <cellStyle name="适中 2 2 2 2 2 2" xfId="40504"/>
    <cellStyle name="适中 2 2 2 2 2 3" xfId="40505"/>
    <cellStyle name="适中 2 2 2 2 3" xfId="40506"/>
    <cellStyle name="适中 2 2 2 2 3 2" xfId="40507"/>
    <cellStyle name="适中 2 2 2 2 3 3" xfId="40508"/>
    <cellStyle name="适中 2 2 2 2 4" xfId="40509"/>
    <cellStyle name="适中 2 2 2 2 5" xfId="40510"/>
    <cellStyle name="适中 2 2 2 2 6" xfId="40511"/>
    <cellStyle name="适中 2 2 2 2 7" xfId="40512"/>
    <cellStyle name="适中 2 2 2 3" xfId="40513"/>
    <cellStyle name="适中 2 2 2 3 2" xfId="40514"/>
    <cellStyle name="适中 2 2 2 3 3" xfId="40515"/>
    <cellStyle name="适中 2 2 2 3 4" xfId="40516"/>
    <cellStyle name="适中 2 2 2 3 5" xfId="40517"/>
    <cellStyle name="适中 2 2 2 4" xfId="40518"/>
    <cellStyle name="适中 2 2 2 4 2" xfId="40519"/>
    <cellStyle name="适中 2 2 2 4 3" xfId="40520"/>
    <cellStyle name="适中 2 2 2 5" xfId="40521"/>
    <cellStyle name="适中 2 2 2 5 2" xfId="40522"/>
    <cellStyle name="适中 2 2 2 6" xfId="40523"/>
    <cellStyle name="适中 2 2 2 7" xfId="40524"/>
    <cellStyle name="适中 2 2 2 8" xfId="40525"/>
    <cellStyle name="适中 2 2 2 9" xfId="40526"/>
    <cellStyle name="适中 2 2 3" xfId="40527"/>
    <cellStyle name="适中 2 2 3 10" xfId="40528"/>
    <cellStyle name="适中 2 2 3 2" xfId="40529"/>
    <cellStyle name="适中 2 2 3 2 2" xfId="40530"/>
    <cellStyle name="适中 2 2 3 2 2 2" xfId="40531"/>
    <cellStyle name="适中 2 2 3 2 2 2 2" xfId="40532"/>
    <cellStyle name="适中 2 2 3 2 2 2 3" xfId="40533"/>
    <cellStyle name="适中 2 2 3 2 2 3" xfId="40534"/>
    <cellStyle name="适中 2 2 3 2 2 3 2" xfId="40535"/>
    <cellStyle name="适中 2 2 3 2 2 3 3" xfId="40536"/>
    <cellStyle name="适中 2 2 3 2 2 4" xfId="40537"/>
    <cellStyle name="适中 2 2 3 2 2 5" xfId="40538"/>
    <cellStyle name="适中 2 2 3 2 2 6" xfId="40539"/>
    <cellStyle name="适中 2 2 3 2 2 7" xfId="40540"/>
    <cellStyle name="适中 2 2 3 2 3" xfId="40541"/>
    <cellStyle name="适中 2 2 3 2 3 2" xfId="40542"/>
    <cellStyle name="适中 2 2 3 2 3 3" xfId="40543"/>
    <cellStyle name="适中 2 2 3 2 3 4" xfId="40544"/>
    <cellStyle name="适中 2 2 3 2 3 5" xfId="40545"/>
    <cellStyle name="适中 2 2 3 2 4" xfId="40546"/>
    <cellStyle name="适中 2 2 3 2 4 2" xfId="40547"/>
    <cellStyle name="适中 2 2 3 2 4 3" xfId="40548"/>
    <cellStyle name="适中 2 2 3 2 5" xfId="40549"/>
    <cellStyle name="适中 2 2 3 2 5 2" xfId="40550"/>
    <cellStyle name="适中 2 2 3 2 6" xfId="40551"/>
    <cellStyle name="适中 2 2 3 2 7" xfId="40552"/>
    <cellStyle name="适中 2 2 3 2 8" xfId="40553"/>
    <cellStyle name="适中 2 2 3 2 9" xfId="40554"/>
    <cellStyle name="适中 2 2 3 3" xfId="40555"/>
    <cellStyle name="适中 2 2 3 3 2" xfId="40556"/>
    <cellStyle name="适中 2 2 3 3 2 2" xfId="40557"/>
    <cellStyle name="适中 2 2 3 3 2 3" xfId="40558"/>
    <cellStyle name="适中 2 2 3 3 3" xfId="40559"/>
    <cellStyle name="适中 2 2 3 3 3 2" xfId="40560"/>
    <cellStyle name="适中 2 2 3 3 3 3" xfId="40561"/>
    <cellStyle name="适中 2 2 3 3 4" xfId="40562"/>
    <cellStyle name="适中 2 2 3 3 5" xfId="40563"/>
    <cellStyle name="适中 2 2 3 3 6" xfId="40564"/>
    <cellStyle name="适中 2 2 3 3 7" xfId="40565"/>
    <cellStyle name="适中 2 2 3 4" xfId="40566"/>
    <cellStyle name="适中 2 2 3 4 2" xfId="40567"/>
    <cellStyle name="适中 2 2 3 4 3" xfId="40568"/>
    <cellStyle name="适中 2 2 3 4 4" xfId="40569"/>
    <cellStyle name="适中 2 2 3 4 5" xfId="40570"/>
    <cellStyle name="适中 2 2 3 5" xfId="40571"/>
    <cellStyle name="适中 2 2 3 5 2" xfId="35334"/>
    <cellStyle name="适中 2 2 3 5 3" xfId="35336"/>
    <cellStyle name="适中 2 2 3 6" xfId="40572"/>
    <cellStyle name="适中 2 2 3 6 2" xfId="40573"/>
    <cellStyle name="适中 2 2 3 7" xfId="40574"/>
    <cellStyle name="适中 2 2 3 8" xfId="40575"/>
    <cellStyle name="适中 2 2 3 9" xfId="40576"/>
    <cellStyle name="适中 2 2 4" xfId="1079"/>
    <cellStyle name="适中 2 2 4 2" xfId="1092"/>
    <cellStyle name="适中 2 2 4 2 2" xfId="2859"/>
    <cellStyle name="适中 2 2 4 2 3" xfId="40577"/>
    <cellStyle name="适中 2 2 4 3" xfId="3522"/>
    <cellStyle name="适中 2 2 4 3 2" xfId="40578"/>
    <cellStyle name="适中 2 2 4 3 3" xfId="40579"/>
    <cellStyle name="适中 2 2 4 4" xfId="40580"/>
    <cellStyle name="适中 2 2 4 5" xfId="40581"/>
    <cellStyle name="适中 2 2 4 6" xfId="40582"/>
    <cellStyle name="适中 2 2 4 7" xfId="40583"/>
    <cellStyle name="适中 2 2 5" xfId="891"/>
    <cellStyle name="适中 2 2 5 2" xfId="3526"/>
    <cellStyle name="适中 2 2 5 3" xfId="40584"/>
    <cellStyle name="适中 2 2 5 4" xfId="40585"/>
    <cellStyle name="适中 2 2 5 5" xfId="40586"/>
    <cellStyle name="适中 2 2 6" xfId="3529"/>
    <cellStyle name="适中 2 2 6 2" xfId="40587"/>
    <cellStyle name="适中 2 2 6 3" xfId="40588"/>
    <cellStyle name="适中 2 2 7" xfId="40589"/>
    <cellStyle name="适中 2 2 7 2" xfId="40590"/>
    <cellStyle name="适中 2 2 8" xfId="40591"/>
    <cellStyle name="适中 2 2 9" xfId="40592"/>
    <cellStyle name="适中 2 3" xfId="40593"/>
    <cellStyle name="适中 2 3 10" xfId="30996"/>
    <cellStyle name="适中 2 3 2" xfId="40594"/>
    <cellStyle name="适中 2 3 2 2" xfId="40595"/>
    <cellStyle name="适中 2 3 2 2 2" xfId="40596"/>
    <cellStyle name="适中 2 3 2 2 2 2" xfId="40597"/>
    <cellStyle name="适中 2 3 2 2 2 3" xfId="40598"/>
    <cellStyle name="适中 2 3 2 2 3" xfId="40599"/>
    <cellStyle name="适中 2 3 2 2 3 2" xfId="40600"/>
    <cellStyle name="适中 2 3 2 2 3 3" xfId="40601"/>
    <cellStyle name="适中 2 3 2 2 4" xfId="40602"/>
    <cellStyle name="适中 2 3 2 2 5" xfId="40603"/>
    <cellStyle name="适中 2 3 2 2 6" xfId="40604"/>
    <cellStyle name="适中 2 3 2 2 7" xfId="40605"/>
    <cellStyle name="适中 2 3 2 3" xfId="40606"/>
    <cellStyle name="适中 2 3 2 3 2" xfId="40607"/>
    <cellStyle name="适中 2 3 2 3 3" xfId="40608"/>
    <cellStyle name="适中 2 3 2 3 4" xfId="40609"/>
    <cellStyle name="适中 2 3 2 3 5" xfId="40610"/>
    <cellStyle name="适中 2 3 2 4" xfId="40611"/>
    <cellStyle name="适中 2 3 2 4 2" xfId="40612"/>
    <cellStyle name="适中 2 3 2 4 3" xfId="40613"/>
    <cellStyle name="适中 2 3 2 5" xfId="40614"/>
    <cellStyle name="适中 2 3 2 5 2" xfId="40615"/>
    <cellStyle name="适中 2 3 2 6" xfId="40616"/>
    <cellStyle name="适中 2 3 2 7" xfId="40617"/>
    <cellStyle name="适中 2 3 2 8" xfId="40618"/>
    <cellStyle name="适中 2 3 2 9" xfId="40619"/>
    <cellStyle name="适中 2 3 3" xfId="40620"/>
    <cellStyle name="适中 2 3 3 2" xfId="40621"/>
    <cellStyle name="适中 2 3 3 2 2" xfId="40622"/>
    <cellStyle name="适中 2 3 3 2 3" xfId="40623"/>
    <cellStyle name="适中 2 3 3 3" xfId="40624"/>
    <cellStyle name="适中 2 3 3 3 2" xfId="40625"/>
    <cellStyle name="适中 2 3 3 3 3" xfId="40626"/>
    <cellStyle name="适中 2 3 3 4" xfId="40627"/>
    <cellStyle name="适中 2 3 3 5" xfId="40628"/>
    <cellStyle name="适中 2 3 3 6" xfId="40629"/>
    <cellStyle name="适中 2 3 3 7" xfId="40630"/>
    <cellStyle name="适中 2 3 4" xfId="3537"/>
    <cellStyle name="适中 2 3 4 2" xfId="3540"/>
    <cellStyle name="适中 2 3 4 3" xfId="40631"/>
    <cellStyle name="适中 2 3 4 4" xfId="40632"/>
    <cellStyle name="适中 2 3 4 5" xfId="40633"/>
    <cellStyle name="适中 2 3 5" xfId="2749"/>
    <cellStyle name="适中 2 3 5 2" xfId="40634"/>
    <cellStyle name="适中 2 3 5 3" xfId="40635"/>
    <cellStyle name="适中 2 3 6" xfId="40636"/>
    <cellStyle name="适中 2 3 6 2" xfId="40637"/>
    <cellStyle name="适中 2 3 7" xfId="40638"/>
    <cellStyle name="适中 2 3 8" xfId="40639"/>
    <cellStyle name="适中 2 3 9" xfId="40640"/>
    <cellStyle name="适中 2 4" xfId="40641"/>
    <cellStyle name="适中 2 4 2" xfId="40642"/>
    <cellStyle name="适中 2 4 2 2" xfId="40643"/>
    <cellStyle name="适中 2 4 2 3" xfId="40644"/>
    <cellStyle name="适中 2 4 3" xfId="40645"/>
    <cellStyle name="适中 2 4 3 2" xfId="40646"/>
    <cellStyle name="适中 2 4 3 3" xfId="40647"/>
    <cellStyle name="适中 2 4 4" xfId="3542"/>
    <cellStyle name="适中 2 4 5" xfId="3544"/>
    <cellStyle name="适中 2 4 6" xfId="40648"/>
    <cellStyle name="适中 2 4 7" xfId="40649"/>
    <cellStyle name="适中 2 5" xfId="40650"/>
    <cellStyle name="适中 2 5 2" xfId="40651"/>
    <cellStyle name="适中 2 5 3" xfId="40652"/>
    <cellStyle name="适中 2 6" xfId="40653"/>
    <cellStyle name="适中 2 6 2" xfId="40654"/>
    <cellStyle name="适中 2 6 3" xfId="40655"/>
    <cellStyle name="适中 2 7" xfId="40656"/>
    <cellStyle name="适中 2 7 2" xfId="40657"/>
    <cellStyle name="适中 2 8" xfId="40658"/>
    <cellStyle name="适中 2 9" xfId="40659"/>
    <cellStyle name="适中 3" xfId="40660"/>
    <cellStyle name="适中 3 2" xfId="40661"/>
    <cellStyle name="适中 3 2 2" xfId="40662"/>
    <cellStyle name="适中 3 2 2 2" xfId="40663"/>
    <cellStyle name="适中 3 2 2 3" xfId="40664"/>
    <cellStyle name="适中 3 2 3" xfId="40665"/>
    <cellStyle name="适中 3 2 3 2" xfId="40666"/>
    <cellStyle name="适中 3 2 4" xfId="658"/>
    <cellStyle name="适中 3 2 5" xfId="3693"/>
    <cellStyle name="适中 3 2 6" xfId="3699"/>
    <cellStyle name="适中 3 3" xfId="40667"/>
    <cellStyle name="适中 3 3 2" xfId="40668"/>
    <cellStyle name="适中 3 3 2 2" xfId="40669"/>
    <cellStyle name="适中 3 3 3" xfId="40670"/>
    <cellStyle name="适中 3 3 4" xfId="2479"/>
    <cellStyle name="适中 3 4" xfId="40671"/>
    <cellStyle name="适中 3 4 2" xfId="40672"/>
    <cellStyle name="适中 3 5" xfId="40673"/>
    <cellStyle name="适中 3 5 2" xfId="40674"/>
    <cellStyle name="适中 3 6" xfId="40675"/>
    <cellStyle name="适中 3 7" xfId="40676"/>
    <cellStyle name="适中 3 8" xfId="40677"/>
    <cellStyle name="适中 3 9" xfId="40678"/>
    <cellStyle name="适中 4" xfId="40679"/>
    <cellStyle name="适中 4 2" xfId="8897"/>
    <cellStyle name="适中 4 2 2" xfId="8899"/>
    <cellStyle name="适中 4 2 3" xfId="40680"/>
    <cellStyle name="适中 4 3" xfId="8901"/>
    <cellStyle name="适中 4 3 2" xfId="40681"/>
    <cellStyle name="适中 4 4" xfId="8903"/>
    <cellStyle name="适中 4 5" xfId="40682"/>
    <cellStyle name="适中 5" xfId="40683"/>
    <cellStyle name="适中 5 2" xfId="40684"/>
    <cellStyle name="适中 5 2 2" xfId="40685"/>
    <cellStyle name="适中 5 2 3" xfId="40686"/>
    <cellStyle name="适中 5 3" xfId="40687"/>
    <cellStyle name="适中 5 3 2" xfId="40688"/>
    <cellStyle name="适中 5 4" xfId="40689"/>
    <cellStyle name="适中 5 5" xfId="40690"/>
    <cellStyle name="适中 6" xfId="40691"/>
    <cellStyle name="输出 2" xfId="40692"/>
    <cellStyle name="输出 2 10" xfId="40693"/>
    <cellStyle name="输出 2 11" xfId="40694"/>
    <cellStyle name="输出 2 2" xfId="40695"/>
    <cellStyle name="输出 2 2 10" xfId="40696"/>
    <cellStyle name="输出 2 2 11" xfId="40697"/>
    <cellStyle name="输出 2 2 2" xfId="40698"/>
    <cellStyle name="输出 2 2 2 2" xfId="40699"/>
    <cellStyle name="输出 2 2 2 2 2" xfId="40700"/>
    <cellStyle name="输出 2 2 2 2 2 2" xfId="40701"/>
    <cellStyle name="输出 2 2 2 2 2 3" xfId="40702"/>
    <cellStyle name="输出 2 2 2 2 2 4" xfId="40703"/>
    <cellStyle name="输出 2 2 2 2 2 5" xfId="40704"/>
    <cellStyle name="输出 2 2 2 2 3" xfId="40705"/>
    <cellStyle name="输出 2 2 2 2 3 2" xfId="40706"/>
    <cellStyle name="输出 2 2 2 2 3 3" xfId="40707"/>
    <cellStyle name="输出 2 2 2 2 4" xfId="40708"/>
    <cellStyle name="输出 2 2 2 2 5" xfId="40709"/>
    <cellStyle name="输出 2 2 2 2 6" xfId="40710"/>
    <cellStyle name="输出 2 2 2 2 7" xfId="40711"/>
    <cellStyle name="输出 2 2 2 3" xfId="40712"/>
    <cellStyle name="输出 2 2 2 3 2" xfId="40713"/>
    <cellStyle name="输出 2 2 2 3 3" xfId="40714"/>
    <cellStyle name="输出 2 2 2 3 4" xfId="40715"/>
    <cellStyle name="输出 2 2 2 3 5" xfId="40716"/>
    <cellStyle name="输出 2 2 2 4" xfId="40717"/>
    <cellStyle name="输出 2 2 2 4 2" xfId="40718"/>
    <cellStyle name="输出 2 2 2 4 3" xfId="40719"/>
    <cellStyle name="输出 2 2 2 4 4" xfId="40720"/>
    <cellStyle name="输出 2 2 2 5" xfId="40721"/>
    <cellStyle name="输出 2 2 2 5 2" xfId="40722"/>
    <cellStyle name="输出 2 2 2 6" xfId="40723"/>
    <cellStyle name="输出 2 2 2 7" xfId="28539"/>
    <cellStyle name="输出 2 2 2 8" xfId="40724"/>
    <cellStyle name="输出 2 2 2 9" xfId="40725"/>
    <cellStyle name="输出 2 2 3" xfId="40726"/>
    <cellStyle name="输出 2 2 3 10" xfId="40727"/>
    <cellStyle name="输出 2 2 3 2" xfId="40728"/>
    <cellStyle name="输出 2 2 3 2 2" xfId="40729"/>
    <cellStyle name="输出 2 2 3 2 2 2" xfId="40730"/>
    <cellStyle name="输出 2 2 3 2 2 2 2" xfId="40731"/>
    <cellStyle name="输出 2 2 3 2 2 2 3" xfId="40732"/>
    <cellStyle name="输出 2 2 3 2 2 2 4" xfId="40733"/>
    <cellStyle name="输出 2 2 3 2 2 2 5" xfId="40734"/>
    <cellStyle name="输出 2 2 3 2 2 3" xfId="40735"/>
    <cellStyle name="输出 2 2 3 2 2 3 2" xfId="40736"/>
    <cellStyle name="输出 2 2 3 2 2 3 3" xfId="40737"/>
    <cellStyle name="输出 2 2 3 2 2 4" xfId="40738"/>
    <cellStyle name="输出 2 2 3 2 2 5" xfId="40739"/>
    <cellStyle name="输出 2 2 3 2 2 6" xfId="40740"/>
    <cellStyle name="输出 2 2 3 2 2 7" xfId="40741"/>
    <cellStyle name="输出 2 2 3 2 3" xfId="40742"/>
    <cellStyle name="输出 2 2 3 2 3 2" xfId="40743"/>
    <cellStyle name="输出 2 2 3 2 3 3" xfId="40744"/>
    <cellStyle name="输出 2 2 3 2 3 4" xfId="40745"/>
    <cellStyle name="输出 2 2 3 2 3 5" xfId="40746"/>
    <cellStyle name="输出 2 2 3 2 4" xfId="40747"/>
    <cellStyle name="输出 2 2 3 2 4 2" xfId="40748"/>
    <cellStyle name="输出 2 2 3 2 4 3" xfId="40749"/>
    <cellStyle name="输出 2 2 3 2 4 4" xfId="40750"/>
    <cellStyle name="输出 2 2 3 2 5" xfId="40751"/>
    <cellStyle name="输出 2 2 3 2 5 2" xfId="40752"/>
    <cellStyle name="输出 2 2 3 2 6" xfId="40753"/>
    <cellStyle name="输出 2 2 3 2 7" xfId="40754"/>
    <cellStyle name="输出 2 2 3 2 8" xfId="40755"/>
    <cellStyle name="输出 2 2 3 2 9" xfId="40756"/>
    <cellStyle name="输出 2 2 3 3" xfId="40757"/>
    <cellStyle name="输出 2 2 3 3 2" xfId="40758"/>
    <cellStyle name="输出 2 2 3 3 2 2" xfId="40759"/>
    <cellStyle name="输出 2 2 3 3 2 3" xfId="40760"/>
    <cellStyle name="输出 2 2 3 3 2 4" xfId="40761"/>
    <cellStyle name="输出 2 2 3 3 2 5" xfId="40762"/>
    <cellStyle name="输出 2 2 3 3 3" xfId="40763"/>
    <cellStyle name="输出 2 2 3 3 3 2" xfId="40764"/>
    <cellStyle name="输出 2 2 3 3 3 3" xfId="40765"/>
    <cellStyle name="输出 2 2 3 3 4" xfId="40766"/>
    <cellStyle name="输出 2 2 3 3 5" xfId="40767"/>
    <cellStyle name="输出 2 2 3 3 6" xfId="40768"/>
    <cellStyle name="输出 2 2 3 3 7" xfId="40769"/>
    <cellStyle name="输出 2 2 3 4" xfId="40770"/>
    <cellStyle name="输出 2 2 3 4 2" xfId="40771"/>
    <cellStyle name="输出 2 2 3 4 3" xfId="40772"/>
    <cellStyle name="输出 2 2 3 4 4" xfId="40773"/>
    <cellStyle name="输出 2 2 3 4 5" xfId="40774"/>
    <cellStyle name="输出 2 2 3 5" xfId="40775"/>
    <cellStyle name="输出 2 2 3 5 2" xfId="40349"/>
    <cellStyle name="输出 2 2 3 5 3" xfId="40776"/>
    <cellStyle name="输出 2 2 3 5 4" xfId="40777"/>
    <cellStyle name="输出 2 2 3 6" xfId="40778"/>
    <cellStyle name="输出 2 2 3 6 2" xfId="40779"/>
    <cellStyle name="输出 2 2 3 7" xfId="40780"/>
    <cellStyle name="输出 2 2 3 8" xfId="40781"/>
    <cellStyle name="输出 2 2 3 9" xfId="40782"/>
    <cellStyle name="输出 2 2 4" xfId="40783"/>
    <cellStyle name="输出 2 2 4 2" xfId="40784"/>
    <cellStyle name="输出 2 2 4 2 2" xfId="40785"/>
    <cellStyle name="输出 2 2 4 2 3" xfId="40786"/>
    <cellStyle name="输出 2 2 4 2 4" xfId="40787"/>
    <cellStyle name="输出 2 2 4 2 5" xfId="40788"/>
    <cellStyle name="输出 2 2 4 3" xfId="40789"/>
    <cellStyle name="输出 2 2 4 3 2" xfId="40790"/>
    <cellStyle name="输出 2 2 4 3 3" xfId="40791"/>
    <cellStyle name="输出 2 2 4 4" xfId="40792"/>
    <cellStyle name="输出 2 2 4 5" xfId="40793"/>
    <cellStyle name="输出 2 2 4 6" xfId="40794"/>
    <cellStyle name="输出 2 2 4 7" xfId="40795"/>
    <cellStyle name="输出 2 2 5" xfId="40796"/>
    <cellStyle name="输出 2 2 5 2" xfId="40797"/>
    <cellStyle name="输出 2 2 5 3" xfId="40798"/>
    <cellStyle name="输出 2 2 5 4" xfId="40799"/>
    <cellStyle name="输出 2 2 5 5" xfId="40800"/>
    <cellStyle name="输出 2 2 6" xfId="40801"/>
    <cellStyle name="输出 2 2 6 2" xfId="40802"/>
    <cellStyle name="输出 2 2 6 3" xfId="40803"/>
    <cellStyle name="输出 2 2 6 4" xfId="40804"/>
    <cellStyle name="输出 2 2 7" xfId="40805"/>
    <cellStyle name="输出 2 2 7 2" xfId="40806"/>
    <cellStyle name="输出 2 2 8" xfId="40807"/>
    <cellStyle name="输出 2 2 9" xfId="40808"/>
    <cellStyle name="输出 2 3" xfId="40809"/>
    <cellStyle name="输出 2 3 10" xfId="40810"/>
    <cellStyle name="输出 2 3 2" xfId="40811"/>
    <cellStyle name="输出 2 3 2 2" xfId="40812"/>
    <cellStyle name="输出 2 3 2 2 2" xfId="40813"/>
    <cellStyle name="输出 2 3 2 2 2 2" xfId="40814"/>
    <cellStyle name="输出 2 3 2 2 2 3" xfId="40815"/>
    <cellStyle name="输出 2 3 2 2 2 4" xfId="40816"/>
    <cellStyle name="输出 2 3 2 2 2 5" xfId="40817"/>
    <cellStyle name="输出 2 3 2 2 3" xfId="40818"/>
    <cellStyle name="输出 2 3 2 2 3 2" xfId="40819"/>
    <cellStyle name="输出 2 3 2 2 3 3" xfId="40820"/>
    <cellStyle name="输出 2 3 2 2 4" xfId="40821"/>
    <cellStyle name="输出 2 3 2 2 5" xfId="40822"/>
    <cellStyle name="输出 2 3 2 2 6" xfId="40823"/>
    <cellStyle name="输出 2 3 2 2 7" xfId="40824"/>
    <cellStyle name="输出 2 3 2 3" xfId="40825"/>
    <cellStyle name="输出 2 3 2 3 2" xfId="40826"/>
    <cellStyle name="输出 2 3 2 3 3" xfId="40827"/>
    <cellStyle name="输出 2 3 2 3 4" xfId="40828"/>
    <cellStyle name="输出 2 3 2 3 5" xfId="40829"/>
    <cellStyle name="输出 2 3 2 4" xfId="40830"/>
    <cellStyle name="输出 2 3 2 4 2" xfId="40831"/>
    <cellStyle name="输出 2 3 2 4 3" xfId="40832"/>
    <cellStyle name="输出 2 3 2 4 4" xfId="40833"/>
    <cellStyle name="输出 2 3 2 5" xfId="40834"/>
    <cellStyle name="输出 2 3 2 5 2" xfId="40835"/>
    <cellStyle name="输出 2 3 2 6" xfId="40836"/>
    <cellStyle name="输出 2 3 2 7" xfId="40837"/>
    <cellStyle name="输出 2 3 2 8" xfId="40838"/>
    <cellStyle name="输出 2 3 2 9" xfId="40839"/>
    <cellStyle name="输出 2 3 3" xfId="40840"/>
    <cellStyle name="输出 2 3 3 2" xfId="40841"/>
    <cellStyle name="输出 2 3 3 2 2" xfId="40842"/>
    <cellStyle name="输出 2 3 3 2 3" xfId="40843"/>
    <cellStyle name="输出 2 3 3 2 4" xfId="40844"/>
    <cellStyle name="输出 2 3 3 2 5" xfId="40845"/>
    <cellStyle name="输出 2 3 3 3" xfId="40846"/>
    <cellStyle name="输出 2 3 3 3 2" xfId="40847"/>
    <cellStyle name="输出 2 3 3 3 3" xfId="40848"/>
    <cellStyle name="输出 2 3 3 4" xfId="40849"/>
    <cellStyle name="输出 2 3 3 5" xfId="40850"/>
    <cellStyle name="输出 2 3 3 6" xfId="40851"/>
    <cellStyle name="输出 2 3 3 7" xfId="2072"/>
    <cellStyle name="输出 2 3 4" xfId="40852"/>
    <cellStyle name="输出 2 3 4 2" xfId="40853"/>
    <cellStyle name="输出 2 3 4 3" xfId="40854"/>
    <cellStyle name="输出 2 3 4 4" xfId="40855"/>
    <cellStyle name="输出 2 3 4 5" xfId="40856"/>
    <cellStyle name="输出 2 3 5" xfId="40857"/>
    <cellStyle name="输出 2 3 5 2" xfId="40858"/>
    <cellStyle name="输出 2 3 5 3" xfId="40859"/>
    <cellStyle name="输出 2 3 5 4" xfId="40860"/>
    <cellStyle name="输出 2 3 6" xfId="40861"/>
    <cellStyle name="输出 2 3 6 2" xfId="40862"/>
    <cellStyle name="输出 2 3 7" xfId="40863"/>
    <cellStyle name="输出 2 3 8" xfId="40864"/>
    <cellStyle name="输出 2 3 9" xfId="40865"/>
    <cellStyle name="输出 2 4" xfId="40866"/>
    <cellStyle name="输出 2 4 2" xfId="40867"/>
    <cellStyle name="输出 2 4 2 2" xfId="37712"/>
    <cellStyle name="输出 2 4 2 3" xfId="37714"/>
    <cellStyle name="输出 2 4 2 4" xfId="40868"/>
    <cellStyle name="输出 2 4 2 5" xfId="40869"/>
    <cellStyle name="输出 2 4 3" xfId="40870"/>
    <cellStyle name="输出 2 4 3 2" xfId="40871"/>
    <cellStyle name="输出 2 4 3 3" xfId="40872"/>
    <cellStyle name="输出 2 4 3 4" xfId="40873"/>
    <cellStyle name="输出 2 4 4" xfId="40874"/>
    <cellStyle name="输出 2 4 5" xfId="40875"/>
    <cellStyle name="输出 2 4 6" xfId="40876"/>
    <cellStyle name="输出 2 4 7" xfId="40877"/>
    <cellStyle name="输出 2 5" xfId="40878"/>
    <cellStyle name="输出 2 5 2" xfId="40879"/>
    <cellStyle name="输出 2 5 3" xfId="40880"/>
    <cellStyle name="输出 2 5 4" xfId="40881"/>
    <cellStyle name="输出 2 5 5" xfId="40882"/>
    <cellStyle name="输出 2 6" xfId="40883"/>
    <cellStyle name="输出 2 6 2" xfId="40884"/>
    <cellStyle name="输出 2 6 3" xfId="40885"/>
    <cellStyle name="输出 2 6 4" xfId="40886"/>
    <cellStyle name="输出 2 7" xfId="40887"/>
    <cellStyle name="输出 2 7 2" xfId="40888"/>
    <cellStyle name="输出 2 8" xfId="40889"/>
    <cellStyle name="输出 2 9" xfId="40890"/>
    <cellStyle name="输出 3" xfId="18859"/>
    <cellStyle name="输入 2" xfId="40891"/>
    <cellStyle name="输入 2 10" xfId="40892"/>
    <cellStyle name="输入 2 11" xfId="40893"/>
    <cellStyle name="输入 2 2" xfId="40894"/>
    <cellStyle name="输入 2 2 10" xfId="40895"/>
    <cellStyle name="输入 2 2 11" xfId="40896"/>
    <cellStyle name="输入 2 2 2" xfId="40897"/>
    <cellStyle name="输入 2 2 2 2" xfId="40898"/>
    <cellStyle name="输入 2 2 2 2 2" xfId="40899"/>
    <cellStyle name="输入 2 2 2 2 2 2" xfId="40900"/>
    <cellStyle name="输入 2 2 2 2 2 3" xfId="40901"/>
    <cellStyle name="输入 2 2 2 2 2 4" xfId="40902"/>
    <cellStyle name="输入 2 2 2 2 2 5" xfId="40903"/>
    <cellStyle name="输入 2 2 2 2 3" xfId="40904"/>
    <cellStyle name="输入 2 2 2 2 3 2" xfId="40905"/>
    <cellStyle name="输入 2 2 2 2 3 3" xfId="40906"/>
    <cellStyle name="输入 2 2 2 2 4" xfId="40907"/>
    <cellStyle name="输入 2 2 2 2 5" xfId="40908"/>
    <cellStyle name="输入 2 2 2 2 6" xfId="40909"/>
    <cellStyle name="输入 2 2 2 2 7" xfId="40910"/>
    <cellStyle name="输入 2 2 2 3" xfId="40911"/>
    <cellStyle name="输入 2 2 2 3 2" xfId="40912"/>
    <cellStyle name="输入 2 2 2 3 3" xfId="40913"/>
    <cellStyle name="输入 2 2 2 3 4" xfId="40914"/>
    <cellStyle name="输入 2 2 2 3 5" xfId="40915"/>
    <cellStyle name="输入 2 2 2 4" xfId="40916"/>
    <cellStyle name="输入 2 2 2 4 2" xfId="40917"/>
    <cellStyle name="输入 2 2 2 4 3" xfId="40918"/>
    <cellStyle name="输入 2 2 2 4 4" xfId="40919"/>
    <cellStyle name="输入 2 2 2 5" xfId="40920"/>
    <cellStyle name="输入 2 2 2 5 2" xfId="40921"/>
    <cellStyle name="输入 2 2 2 6" xfId="40037"/>
    <cellStyle name="输入 2 2 2 7" xfId="40068"/>
    <cellStyle name="输入 2 2 2 8" xfId="40082"/>
    <cellStyle name="输入 2 2 2 9" xfId="40088"/>
    <cellStyle name="输入 2 2 3" xfId="40922"/>
    <cellStyle name="输入 2 2 3 10" xfId="22877"/>
    <cellStyle name="输入 2 2 3 2" xfId="40923"/>
    <cellStyle name="输入 2 2 3 2 2" xfId="40924"/>
    <cellStyle name="输入 2 2 3 2 2 2" xfId="40925"/>
    <cellStyle name="输入 2 2 3 2 2 2 2" xfId="40926"/>
    <cellStyle name="输入 2 2 3 2 2 2 3" xfId="40927"/>
    <cellStyle name="输入 2 2 3 2 2 2 4" xfId="40928"/>
    <cellStyle name="输入 2 2 3 2 2 2 5" xfId="40929"/>
    <cellStyle name="输入 2 2 3 2 2 3" xfId="40930"/>
    <cellStyle name="输入 2 2 3 2 2 3 2" xfId="40931"/>
    <cellStyle name="输入 2 2 3 2 2 3 3" xfId="40932"/>
    <cellStyle name="输入 2 2 3 2 2 4" xfId="40933"/>
    <cellStyle name="输入 2 2 3 2 2 5" xfId="40934"/>
    <cellStyle name="输入 2 2 3 2 2 6" xfId="40935"/>
    <cellStyle name="输入 2 2 3 2 2 7" xfId="40936"/>
    <cellStyle name="输入 2 2 3 2 3" xfId="40937"/>
    <cellStyle name="输入 2 2 3 2 3 2" xfId="40938"/>
    <cellStyle name="输入 2 2 3 2 3 3" xfId="40939"/>
    <cellStyle name="输入 2 2 3 2 3 4" xfId="40940"/>
    <cellStyle name="输入 2 2 3 2 3 5" xfId="40941"/>
    <cellStyle name="输入 2 2 3 2 4" xfId="40942"/>
    <cellStyle name="输入 2 2 3 2 4 2" xfId="40943"/>
    <cellStyle name="输入 2 2 3 2 4 3" xfId="40944"/>
    <cellStyle name="输入 2 2 3 2 4 4" xfId="40945"/>
    <cellStyle name="输入 2 2 3 2 5" xfId="40946"/>
    <cellStyle name="输入 2 2 3 2 5 2" xfId="40947"/>
    <cellStyle name="输入 2 2 3 2 6" xfId="40948"/>
    <cellStyle name="输入 2 2 3 2 7" xfId="40949"/>
    <cellStyle name="输入 2 2 3 2 8" xfId="40950"/>
    <cellStyle name="输入 2 2 3 2 9" xfId="40951"/>
    <cellStyle name="输入 2 2 3 3" xfId="40952"/>
    <cellStyle name="输入 2 2 3 3 2" xfId="40953"/>
    <cellStyle name="输入 2 2 3 3 2 2" xfId="40954"/>
    <cellStyle name="输入 2 2 3 3 2 3" xfId="40955"/>
    <cellStyle name="输入 2 2 3 3 2 4" xfId="40956"/>
    <cellStyle name="输入 2 2 3 3 2 5" xfId="40957"/>
    <cellStyle name="输入 2 2 3 3 3" xfId="40958"/>
    <cellStyle name="输入 2 2 3 3 3 2" xfId="40959"/>
    <cellStyle name="输入 2 2 3 3 3 3" xfId="40960"/>
    <cellStyle name="输入 2 2 3 3 4" xfId="40961"/>
    <cellStyle name="输入 2 2 3 3 5" xfId="40962"/>
    <cellStyle name="输入 2 2 3 3 6" xfId="40963"/>
    <cellStyle name="输入 2 2 3 3 7" xfId="40964"/>
    <cellStyle name="输入 2 2 3 4" xfId="40965"/>
    <cellStyle name="输入 2 2 3 4 2" xfId="40966"/>
    <cellStyle name="输入 2 2 3 4 3" xfId="40967"/>
    <cellStyle name="输入 2 2 3 4 4" xfId="40968"/>
    <cellStyle name="输入 2 2 3 4 5" xfId="40969"/>
    <cellStyle name="输入 2 2 3 5" xfId="40970"/>
    <cellStyle name="输入 2 2 3 5 2" xfId="40971"/>
    <cellStyle name="输入 2 2 3 5 3" xfId="40972"/>
    <cellStyle name="输入 2 2 3 5 4" xfId="40973"/>
    <cellStyle name="输入 2 2 3 6" xfId="40100"/>
    <cellStyle name="输入 2 2 3 6 2" xfId="40102"/>
    <cellStyle name="输入 2 2 3 7" xfId="40105"/>
    <cellStyle name="输入 2 2 3 8" xfId="40111"/>
    <cellStyle name="输入 2 2 3 9" xfId="40113"/>
    <cellStyle name="输入 2 2 4" xfId="25393"/>
    <cellStyle name="输入 2 2 4 2" xfId="40974"/>
    <cellStyle name="输入 2 2 4 2 2" xfId="40975"/>
    <cellStyle name="输入 2 2 4 2 3" xfId="40976"/>
    <cellStyle name="输入 2 2 4 2 4" xfId="40977"/>
    <cellStyle name="输入 2 2 4 2 5" xfId="40978"/>
    <cellStyle name="输入 2 2 4 3" xfId="40979"/>
    <cellStyle name="输入 2 2 4 3 2" xfId="40980"/>
    <cellStyle name="输入 2 2 4 3 3" xfId="40981"/>
    <cellStyle name="输入 2 2 4 4" xfId="40982"/>
    <cellStyle name="输入 2 2 4 5" xfId="40983"/>
    <cellStyle name="输入 2 2 4 6" xfId="40118"/>
    <cellStyle name="输入 2 2 4 7" xfId="40120"/>
    <cellStyle name="输入 2 2 5" xfId="40984"/>
    <cellStyle name="输入 2 2 5 2" xfId="40985"/>
    <cellStyle name="输入 2 2 5 3" xfId="40986"/>
    <cellStyle name="输入 2 2 5 4" xfId="40987"/>
    <cellStyle name="输入 2 2 5 5" xfId="40988"/>
    <cellStyle name="输入 2 2 6" xfId="40989"/>
    <cellStyle name="输入 2 2 6 2" xfId="40990"/>
    <cellStyle name="输入 2 2 6 3" xfId="40991"/>
    <cellStyle name="输入 2 2 6 4" xfId="40992"/>
    <cellStyle name="输入 2 2 7" xfId="40993"/>
    <cellStyle name="输入 2 2 7 2" xfId="40994"/>
    <cellStyle name="输入 2 2 8" xfId="564"/>
    <cellStyle name="输入 2 2 9" xfId="25434"/>
    <cellStyle name="输入 2 3" xfId="40995"/>
    <cellStyle name="输入 2 3 10" xfId="40996"/>
    <cellStyle name="输入 2 3 2" xfId="40997"/>
    <cellStyle name="输入 2 3 2 2" xfId="40998"/>
    <cellStyle name="输入 2 3 2 2 2" xfId="40999"/>
    <cellStyle name="输入 2 3 2 2 2 2" xfId="41000"/>
    <cellStyle name="输入 2 3 2 2 2 3" xfId="41001"/>
    <cellStyle name="输入 2 3 2 2 2 4" xfId="41002"/>
    <cellStyle name="输入 2 3 2 2 2 5" xfId="41003"/>
    <cellStyle name="输入 2 3 2 2 3" xfId="41004"/>
    <cellStyle name="输入 2 3 2 2 3 2" xfId="41005"/>
    <cellStyle name="输入 2 3 2 2 3 3" xfId="41006"/>
    <cellStyle name="输入 2 3 2 2 4" xfId="41007"/>
    <cellStyle name="输入 2 3 2 2 5" xfId="41008"/>
    <cellStyle name="输入 2 3 2 2 6" xfId="41009"/>
    <cellStyle name="输入 2 3 2 2 7" xfId="41010"/>
    <cellStyle name="输入 2 3 2 3" xfId="41011"/>
    <cellStyle name="输入 2 3 2 3 2" xfId="41012"/>
    <cellStyle name="输入 2 3 2 3 3" xfId="41013"/>
    <cellStyle name="输入 2 3 2 3 4" xfId="41014"/>
    <cellStyle name="输入 2 3 2 3 5" xfId="41015"/>
    <cellStyle name="输入 2 3 2 4" xfId="41016"/>
    <cellStyle name="输入 2 3 2 4 2" xfId="41017"/>
    <cellStyle name="输入 2 3 2 4 3" xfId="41018"/>
    <cellStyle name="输入 2 3 2 4 4" xfId="41019"/>
    <cellStyle name="输入 2 3 2 5" xfId="41020"/>
    <cellStyle name="输入 2 3 2 5 2" xfId="41021"/>
    <cellStyle name="输入 2 3 2 6" xfId="41022"/>
    <cellStyle name="输入 2 3 2 7" xfId="41023"/>
    <cellStyle name="输入 2 3 2 8" xfId="41024"/>
    <cellStyle name="输入 2 3 2 9" xfId="41025"/>
    <cellStyle name="输入 2 3 3" xfId="41026"/>
    <cellStyle name="输入 2 3 3 2" xfId="41027"/>
    <cellStyle name="输入 2 3 3 2 2" xfId="41028"/>
    <cellStyle name="输入 2 3 3 2 3" xfId="41029"/>
    <cellStyle name="输入 2 3 3 2 4" xfId="41030"/>
    <cellStyle name="输入 2 3 3 2 5" xfId="41031"/>
    <cellStyle name="输入 2 3 3 3" xfId="41032"/>
    <cellStyle name="输入 2 3 3 3 2" xfId="41033"/>
    <cellStyle name="输入 2 3 3 3 3" xfId="41034"/>
    <cellStyle name="输入 2 3 3 4" xfId="41035"/>
    <cellStyle name="输入 2 3 3 5" xfId="41036"/>
    <cellStyle name="输入 2 3 3 6" xfId="41037"/>
    <cellStyle name="输入 2 3 3 7" xfId="41038"/>
    <cellStyle name="输入 2 3 4" xfId="41039"/>
    <cellStyle name="输入 2 3 4 2" xfId="41040"/>
    <cellStyle name="输入 2 3 4 3" xfId="41041"/>
    <cellStyle name="输入 2 3 4 4" xfId="41042"/>
    <cellStyle name="输入 2 3 4 5" xfId="41043"/>
    <cellStyle name="输入 2 3 5" xfId="41044"/>
    <cellStyle name="输入 2 3 5 2" xfId="41045"/>
    <cellStyle name="输入 2 3 5 3" xfId="41046"/>
    <cellStyle name="输入 2 3 5 4" xfId="41047"/>
    <cellStyle name="输入 2 3 6" xfId="41048"/>
    <cellStyle name="输入 2 3 6 2" xfId="41049"/>
    <cellStyle name="输入 2 3 7" xfId="41050"/>
    <cellStyle name="输入 2 3 8" xfId="285"/>
    <cellStyle name="输入 2 3 9" xfId="25561"/>
    <cellStyle name="输入 2 4" xfId="41051"/>
    <cellStyle name="输入 2 4 2" xfId="41052"/>
    <cellStyle name="输入 2 4 2 2" xfId="23592"/>
    <cellStyle name="输入 2 4 2 3" xfId="12565"/>
    <cellStyle name="输入 2 4 2 4" xfId="12576"/>
    <cellStyle name="输入 2 4 2 5" xfId="8153"/>
    <cellStyle name="输入 2 4 3" xfId="41053"/>
    <cellStyle name="输入 2 4 3 2" xfId="41054"/>
    <cellStyle name="输入 2 4 3 3" xfId="12584"/>
    <cellStyle name="输入 2 4 3 4" xfId="12593"/>
    <cellStyle name="输入 2 4 4" xfId="41055"/>
    <cellStyle name="输入 2 4 5" xfId="41056"/>
    <cellStyle name="输入 2 4 6" xfId="41057"/>
    <cellStyle name="输入 2 4 7" xfId="41058"/>
    <cellStyle name="输入 2 5" xfId="41059"/>
    <cellStyle name="输入 2 5 2" xfId="41060"/>
    <cellStyle name="输入 2 5 3" xfId="41061"/>
    <cellStyle name="输入 2 5 4" xfId="41062"/>
    <cellStyle name="输入 2 5 5" xfId="41063"/>
    <cellStyle name="输入 2 6" xfId="41064"/>
    <cellStyle name="输入 2 6 2" xfId="41065"/>
    <cellStyle name="输入 2 6 3" xfId="41066"/>
    <cellStyle name="输入 2 6 4" xfId="41067"/>
    <cellStyle name="输入 2 7" xfId="41068"/>
    <cellStyle name="输入 2 7 2" xfId="41069"/>
    <cellStyle name="输入 2 8" xfId="41070"/>
    <cellStyle name="输入 2 9" xfId="41071"/>
    <cellStyle name="输入 3" xfId="41072"/>
    <cellStyle name="样式 1" xfId="41073"/>
    <cellStyle name="样式 1 10" xfId="41074"/>
    <cellStyle name="样式 1 2" xfId="41075"/>
    <cellStyle name="样式 1 2 2" xfId="41076"/>
    <cellStyle name="样式 1 2 2 2" xfId="41077"/>
    <cellStyle name="样式 1 2 2 3" xfId="41078"/>
    <cellStyle name="样式 1 2 3" xfId="41079"/>
    <cellStyle name="样式 1 2 4" xfId="41080"/>
    <cellStyle name="样式 1 2 5" xfId="41081"/>
    <cellStyle name="样式 1 3" xfId="41082"/>
    <cellStyle name="样式 1 3 2" xfId="41083"/>
    <cellStyle name="样式 1 3 2 2" xfId="41084"/>
    <cellStyle name="样式 1 3 3" xfId="41085"/>
    <cellStyle name="样式 1 3 4" xfId="41086"/>
    <cellStyle name="样式 1 4" xfId="41087"/>
    <cellStyle name="样式 1 4 2" xfId="41088"/>
    <cellStyle name="样式 1 4 3" xfId="41089"/>
    <cellStyle name="样式 1 4 3 2" xfId="41090"/>
    <cellStyle name="样式 1 4 3 3" xfId="41091"/>
    <cellStyle name="样式 1 5" xfId="41092"/>
    <cellStyle name="样式 1 5 2" xfId="41093"/>
    <cellStyle name="样式 1 5 3" xfId="18494"/>
    <cellStyle name="样式 1 6" xfId="41094"/>
    <cellStyle name="样式 1 7" xfId="41095"/>
    <cellStyle name="样式 1 8" xfId="41096"/>
    <cellStyle name="样式 1 9" xfId="41097"/>
    <cellStyle name="样式 10" xfId="41098"/>
    <cellStyle name="样式 100" xfId="41099"/>
    <cellStyle name="样式 101" xfId="41100"/>
    <cellStyle name="样式 102" xfId="41101"/>
    <cellStyle name="样式 103" xfId="41102"/>
    <cellStyle name="样式 104" xfId="41103"/>
    <cellStyle name="样式 105" xfId="41104"/>
    <cellStyle name="样式 106" xfId="41106"/>
    <cellStyle name="样式 107" xfId="41108"/>
    <cellStyle name="样式 108" xfId="41110"/>
    <cellStyle name="样式 109" xfId="41112"/>
    <cellStyle name="样式 11" xfId="41114"/>
    <cellStyle name="样式 110" xfId="41105"/>
    <cellStyle name="样式 111" xfId="41107"/>
    <cellStyle name="样式 112" xfId="41109"/>
    <cellStyle name="样式 113" xfId="41111"/>
    <cellStyle name="样式 114" xfId="41113"/>
    <cellStyle name="样式 115" xfId="41115"/>
    <cellStyle name="样式 116" xfId="41117"/>
    <cellStyle name="样式 117" xfId="41119"/>
    <cellStyle name="样式 118" xfId="41121"/>
    <cellStyle name="样式 119" xfId="41123"/>
    <cellStyle name="样式 12" xfId="41125"/>
    <cellStyle name="样式 120" xfId="41116"/>
    <cellStyle name="样式 121" xfId="41118"/>
    <cellStyle name="样式 122" xfId="41120"/>
    <cellStyle name="样式 123" xfId="41122"/>
    <cellStyle name="样式 124" xfId="41124"/>
    <cellStyle name="样式 125" xfId="41126"/>
    <cellStyle name="样式 126" xfId="41128"/>
    <cellStyle name="样式 127" xfId="41130"/>
    <cellStyle name="样式 128" xfId="41132"/>
    <cellStyle name="样式 129" xfId="41134"/>
    <cellStyle name="样式 13" xfId="41136"/>
    <cellStyle name="样式 130" xfId="41127"/>
    <cellStyle name="样式 131" xfId="41129"/>
    <cellStyle name="样式 132" xfId="41131"/>
    <cellStyle name="样式 133" xfId="41133"/>
    <cellStyle name="样式 134" xfId="41135"/>
    <cellStyle name="样式 135" xfId="41137"/>
    <cellStyle name="样式 136" xfId="41139"/>
    <cellStyle name="样式 137" xfId="41141"/>
    <cellStyle name="样式 138" xfId="41143"/>
    <cellStyle name="样式 139" xfId="41145"/>
    <cellStyle name="样式 14" xfId="41147"/>
    <cellStyle name="样式 140" xfId="41138"/>
    <cellStyle name="样式 141" xfId="41140"/>
    <cellStyle name="样式 142" xfId="41142"/>
    <cellStyle name="样式 143" xfId="41144"/>
    <cellStyle name="样式 144" xfId="41146"/>
    <cellStyle name="样式 145" xfId="41148"/>
    <cellStyle name="样式 146" xfId="41151"/>
    <cellStyle name="样式 147" xfId="41154"/>
    <cellStyle name="样式 148" xfId="41157"/>
    <cellStyle name="样式 149" xfId="41160"/>
    <cellStyle name="样式 15" xfId="41163"/>
    <cellStyle name="样式 150" xfId="41149"/>
    <cellStyle name="样式 151" xfId="41152"/>
    <cellStyle name="样式 152" xfId="41155"/>
    <cellStyle name="样式 153" xfId="41158"/>
    <cellStyle name="样式 154" xfId="41161"/>
    <cellStyle name="样式 155" xfId="41165"/>
    <cellStyle name="样式 156" xfId="41169"/>
    <cellStyle name="样式 157" xfId="41173"/>
    <cellStyle name="样式 158" xfId="41177"/>
    <cellStyle name="样式 159" xfId="41181"/>
    <cellStyle name="样式 16" xfId="41185"/>
    <cellStyle name="样式 160" xfId="41166"/>
    <cellStyle name="样式 161" xfId="41170"/>
    <cellStyle name="样式 162" xfId="41174"/>
    <cellStyle name="样式 163" xfId="41178"/>
    <cellStyle name="样式 164" xfId="41182"/>
    <cellStyle name="样式 165" xfId="41187"/>
    <cellStyle name="样式 166" xfId="41191"/>
    <cellStyle name="样式 167" xfId="41195"/>
    <cellStyle name="样式 168" xfId="41199"/>
    <cellStyle name="样式 169" xfId="41203"/>
    <cellStyle name="样式 17" xfId="361"/>
    <cellStyle name="样式 170" xfId="41188"/>
    <cellStyle name="样式 171" xfId="41192"/>
    <cellStyle name="样式 172" xfId="41196"/>
    <cellStyle name="样式 173" xfId="41200"/>
    <cellStyle name="样式 174" xfId="41204"/>
    <cellStyle name="样式 175" xfId="41207"/>
    <cellStyle name="样式 176" xfId="41211"/>
    <cellStyle name="样式 177" xfId="32510"/>
    <cellStyle name="样式 178" xfId="41215"/>
    <cellStyle name="样式 179" xfId="41219"/>
    <cellStyle name="样式 18" xfId="365"/>
    <cellStyle name="样式 180" xfId="41208"/>
    <cellStyle name="样式 181" xfId="41212"/>
    <cellStyle name="样式 182" xfId="32509"/>
    <cellStyle name="样式 183" xfId="41216"/>
    <cellStyle name="样式 184" xfId="41220"/>
    <cellStyle name="样式 185" xfId="41223"/>
    <cellStyle name="样式 186" xfId="41227"/>
    <cellStyle name="样式 187" xfId="41231"/>
    <cellStyle name="样式 188" xfId="41235"/>
    <cellStyle name="样式 189" xfId="41239"/>
    <cellStyle name="样式 19" xfId="41243"/>
    <cellStyle name="样式 190" xfId="41224"/>
    <cellStyle name="样式 191" xfId="41228"/>
    <cellStyle name="样式 192" xfId="41232"/>
    <cellStyle name="样式 193" xfId="41236"/>
    <cellStyle name="样式 194" xfId="41240"/>
    <cellStyle name="样式 195" xfId="41245"/>
    <cellStyle name="样式 196" xfId="41249"/>
    <cellStyle name="样式 197" xfId="41253"/>
    <cellStyle name="样式 198" xfId="41257"/>
    <cellStyle name="样式 199" xfId="41261"/>
    <cellStyle name="样式 2" xfId="41265"/>
    <cellStyle name="样式 20" xfId="41164"/>
    <cellStyle name="样式 200" xfId="41150"/>
    <cellStyle name="样式 201" xfId="41153"/>
    <cellStyle name="样式 202" xfId="41156"/>
    <cellStyle name="样式 203" xfId="41159"/>
    <cellStyle name="样式 204" xfId="41162"/>
    <cellStyle name="样式 205" xfId="41167"/>
    <cellStyle name="样式 206" xfId="41171"/>
    <cellStyle name="样式 207" xfId="41175"/>
    <cellStyle name="样式 208" xfId="41179"/>
    <cellStyle name="样式 209" xfId="41183"/>
    <cellStyle name="样式 21" xfId="41186"/>
    <cellStyle name="样式 210" xfId="41168"/>
    <cellStyle name="样式 211" xfId="41172"/>
    <cellStyle name="样式 212" xfId="41176"/>
    <cellStyle name="样式 213" xfId="41180"/>
    <cellStyle name="样式 214" xfId="41184"/>
    <cellStyle name="样式 215" xfId="41189"/>
    <cellStyle name="样式 216" xfId="41193"/>
    <cellStyle name="样式 217" xfId="41197"/>
    <cellStyle name="样式 218" xfId="41201"/>
    <cellStyle name="样式 219" xfId="41205"/>
    <cellStyle name="样式 22" xfId="360"/>
    <cellStyle name="样式 220" xfId="41190"/>
    <cellStyle name="样式 221" xfId="41194"/>
    <cellStyle name="样式 222" xfId="41198"/>
    <cellStyle name="样式 223" xfId="41202"/>
    <cellStyle name="样式 224" xfId="41206"/>
    <cellStyle name="样式 225" xfId="41209"/>
    <cellStyle name="样式 226" xfId="41213"/>
    <cellStyle name="样式 227" xfId="32508"/>
    <cellStyle name="样式 228" xfId="41217"/>
    <cellStyle name="样式 229" xfId="41221"/>
    <cellStyle name="样式 23" xfId="364"/>
    <cellStyle name="样式 230" xfId="41210"/>
    <cellStyle name="样式 231" xfId="41214"/>
    <cellStyle name="样式 232" xfId="32507"/>
    <cellStyle name="样式 233" xfId="41218"/>
    <cellStyle name="样式 234" xfId="41222"/>
    <cellStyle name="样式 235" xfId="41225"/>
    <cellStyle name="样式 236" xfId="41229"/>
    <cellStyle name="样式 237" xfId="41233"/>
    <cellStyle name="样式 238" xfId="41237"/>
    <cellStyle name="样式 239" xfId="41241"/>
    <cellStyle name="样式 24" xfId="41244"/>
    <cellStyle name="样式 240" xfId="41226"/>
    <cellStyle name="样式 241" xfId="41230"/>
    <cellStyle name="样式 242" xfId="41234"/>
    <cellStyle name="样式 243" xfId="41238"/>
    <cellStyle name="样式 244" xfId="41242"/>
    <cellStyle name="样式 245" xfId="41246"/>
    <cellStyle name="样式 246" xfId="41250"/>
    <cellStyle name="样式 247" xfId="41254"/>
    <cellStyle name="样式 248" xfId="41258"/>
    <cellStyle name="样式 249" xfId="41262"/>
    <cellStyle name="样式 25" xfId="29879"/>
    <cellStyle name="样式 250" xfId="41247"/>
    <cellStyle name="样式 251" xfId="41251"/>
    <cellStyle name="样式 252" xfId="41255"/>
    <cellStyle name="样式 253" xfId="41259"/>
    <cellStyle name="样式 254" xfId="41263"/>
    <cellStyle name="样式 255" xfId="41266"/>
    <cellStyle name="样式 256" xfId="41270"/>
    <cellStyle name="样式 257" xfId="41274"/>
    <cellStyle name="样式 258" xfId="41278"/>
    <cellStyle name="样式 259" xfId="41282"/>
    <cellStyle name="样式 26" xfId="41286"/>
    <cellStyle name="样式 260" xfId="41267"/>
    <cellStyle name="样式 261" xfId="41271"/>
    <cellStyle name="样式 262" xfId="41275"/>
    <cellStyle name="样式 263" xfId="41279"/>
    <cellStyle name="样式 264" xfId="41283"/>
    <cellStyle name="样式 265" xfId="41288"/>
    <cellStyle name="样式 266" xfId="41292"/>
    <cellStyle name="样式 267" xfId="41296"/>
    <cellStyle name="样式 268" xfId="41300"/>
    <cellStyle name="样式 269" xfId="41304"/>
    <cellStyle name="样式 27" xfId="41308"/>
    <cellStyle name="样式 270" xfId="41289"/>
    <cellStyle name="样式 271" xfId="41293"/>
    <cellStyle name="样式 272" xfId="41297"/>
    <cellStyle name="样式 273" xfId="41301"/>
    <cellStyle name="样式 274" xfId="41305"/>
    <cellStyle name="样式 275" xfId="41310"/>
    <cellStyle name="样式 276" xfId="41314"/>
    <cellStyle name="样式 277" xfId="41318"/>
    <cellStyle name="样式 278" xfId="41322"/>
    <cellStyle name="样式 279" xfId="41326"/>
    <cellStyle name="样式 28" xfId="41330"/>
    <cellStyle name="样式 280" xfId="41311"/>
    <cellStyle name="样式 281" xfId="41315"/>
    <cellStyle name="样式 282" xfId="41319"/>
    <cellStyle name="样式 283" xfId="41323"/>
    <cellStyle name="样式 284" xfId="41327"/>
    <cellStyle name="样式 285" xfId="24555"/>
    <cellStyle name="样式 286" xfId="41332"/>
    <cellStyle name="样式 287" xfId="41336"/>
    <cellStyle name="样式 288" xfId="41340"/>
    <cellStyle name="样式 289" xfId="41344"/>
    <cellStyle name="样式 29" xfId="41348"/>
    <cellStyle name="样式 290" xfId="24554"/>
    <cellStyle name="样式 291" xfId="41333"/>
    <cellStyle name="样式 292" xfId="41337"/>
    <cellStyle name="样式 293" xfId="41341"/>
    <cellStyle name="样式 294" xfId="41345"/>
    <cellStyle name="样式 295" xfId="41350"/>
    <cellStyle name="样式 296" xfId="41354"/>
    <cellStyle name="样式 297" xfId="41358"/>
    <cellStyle name="样式 298" xfId="41362"/>
    <cellStyle name="样式 299" xfId="41366"/>
    <cellStyle name="样式 3" xfId="41370"/>
    <cellStyle name="样式 30" xfId="29878"/>
    <cellStyle name="样式 300" xfId="41248"/>
    <cellStyle name="样式 301" xfId="41252"/>
    <cellStyle name="样式 302" xfId="41256"/>
    <cellStyle name="样式 303" xfId="41260"/>
    <cellStyle name="样式 304" xfId="41264"/>
    <cellStyle name="样式 305" xfId="41268"/>
    <cellStyle name="样式 306" xfId="41272"/>
    <cellStyle name="样式 307" xfId="41276"/>
    <cellStyle name="样式 308" xfId="41280"/>
    <cellStyle name="样式 309" xfId="41284"/>
    <cellStyle name="样式 31" xfId="41287"/>
    <cellStyle name="样式 310" xfId="41269"/>
    <cellStyle name="样式 311" xfId="41273"/>
    <cellStyle name="样式 312" xfId="41277"/>
    <cellStyle name="样式 313" xfId="41281"/>
    <cellStyle name="样式 314" xfId="41285"/>
    <cellStyle name="样式 315" xfId="41290"/>
    <cellStyle name="样式 316" xfId="41294"/>
    <cellStyle name="样式 317" xfId="41298"/>
    <cellStyle name="样式 318" xfId="41302"/>
    <cellStyle name="样式 319" xfId="41306"/>
    <cellStyle name="样式 32" xfId="41309"/>
    <cellStyle name="样式 320" xfId="41291"/>
    <cellStyle name="样式 321" xfId="41295"/>
    <cellStyle name="样式 322" xfId="41299"/>
    <cellStyle name="样式 323" xfId="41303"/>
    <cellStyle name="样式 324" xfId="41307"/>
    <cellStyle name="样式 325" xfId="41312"/>
    <cellStyle name="样式 326" xfId="41316"/>
    <cellStyle name="样式 327" xfId="41320"/>
    <cellStyle name="样式 328" xfId="41324"/>
    <cellStyle name="样式 329" xfId="41328"/>
    <cellStyle name="样式 33" xfId="41331"/>
    <cellStyle name="样式 330" xfId="41313"/>
    <cellStyle name="样式 331" xfId="41317"/>
    <cellStyle name="样式 332" xfId="41321"/>
    <cellStyle name="样式 333" xfId="41325"/>
    <cellStyle name="样式 334" xfId="41329"/>
    <cellStyle name="样式 335" xfId="24553"/>
    <cellStyle name="样式 336" xfId="41334"/>
    <cellStyle name="样式 337" xfId="41338"/>
    <cellStyle name="样式 338" xfId="41342"/>
    <cellStyle name="样式 339" xfId="41346"/>
    <cellStyle name="样式 34" xfId="41349"/>
    <cellStyle name="样式 340" xfId="24552"/>
    <cellStyle name="样式 341" xfId="41335"/>
    <cellStyle name="样式 342" xfId="41339"/>
    <cellStyle name="样式 343" xfId="41343"/>
    <cellStyle name="样式 344" xfId="41347"/>
    <cellStyle name="样式 345" xfId="41351"/>
    <cellStyle name="样式 346" xfId="41355"/>
    <cellStyle name="样式 347" xfId="41359"/>
    <cellStyle name="样式 348" xfId="41363"/>
    <cellStyle name="样式 349" xfId="41367"/>
    <cellStyle name="样式 35" xfId="41371"/>
    <cellStyle name="样式 350" xfId="41352"/>
    <cellStyle name="样式 351" xfId="41356"/>
    <cellStyle name="样式 352" xfId="41360"/>
    <cellStyle name="样式 353" xfId="41364"/>
    <cellStyle name="样式 354" xfId="41368"/>
    <cellStyle name="样式 355" xfId="41373"/>
    <cellStyle name="样式 356" xfId="41377"/>
    <cellStyle name="样式 357" xfId="41381"/>
    <cellStyle name="样式 358" xfId="41385"/>
    <cellStyle name="样式 359" xfId="41389"/>
    <cellStyle name="样式 36" xfId="41393"/>
    <cellStyle name="样式 360" xfId="41374"/>
    <cellStyle name="样式 361" xfId="41378"/>
    <cellStyle name="样式 362" xfId="41382"/>
    <cellStyle name="样式 363" xfId="41386"/>
    <cellStyle name="样式 364" xfId="41390"/>
    <cellStyle name="样式 365" xfId="41395"/>
    <cellStyle name="样式 366" xfId="41399"/>
    <cellStyle name="样式 367" xfId="41403"/>
    <cellStyle name="样式 368" xfId="41407"/>
    <cellStyle name="样式 369" xfId="41411"/>
    <cellStyle name="样式 37" xfId="41415"/>
    <cellStyle name="样式 370" xfId="41396"/>
    <cellStyle name="样式 371" xfId="41400"/>
    <cellStyle name="样式 372" xfId="41404"/>
    <cellStyle name="样式 373" xfId="41408"/>
    <cellStyle name="样式 374" xfId="41412"/>
    <cellStyle name="样式 375" xfId="41417"/>
    <cellStyle name="样式 376" xfId="41421"/>
    <cellStyle name="样式 377" xfId="41425"/>
    <cellStyle name="样式 378" xfId="41429"/>
    <cellStyle name="样式 379" xfId="41433"/>
    <cellStyle name="样式 38" xfId="41437"/>
    <cellStyle name="样式 380" xfId="41418"/>
    <cellStyle name="样式 381" xfId="41422"/>
    <cellStyle name="样式 382" xfId="41426"/>
    <cellStyle name="样式 383" xfId="41430"/>
    <cellStyle name="样式 384" xfId="41434"/>
    <cellStyle name="样式 385" xfId="41439"/>
    <cellStyle name="样式 386" xfId="41443"/>
    <cellStyle name="样式 387" xfId="41447"/>
    <cellStyle name="样式 388" xfId="41451"/>
    <cellStyle name="样式 389" xfId="41455"/>
    <cellStyle name="样式 39" xfId="41459"/>
    <cellStyle name="样式 390" xfId="41440"/>
    <cellStyle name="样式 391" xfId="41444"/>
    <cellStyle name="样式 392" xfId="41448"/>
    <cellStyle name="样式 393" xfId="41452"/>
    <cellStyle name="样式 394" xfId="41456"/>
    <cellStyle name="样式 395" xfId="41461"/>
    <cellStyle name="样式 396" xfId="41465"/>
    <cellStyle name="样式 397" xfId="41469"/>
    <cellStyle name="样式 398" xfId="41473"/>
    <cellStyle name="样式 399" xfId="41477"/>
    <cellStyle name="样式 4" xfId="41481"/>
    <cellStyle name="样式 40" xfId="41372"/>
    <cellStyle name="样式 400" xfId="41353"/>
    <cellStyle name="样式 401" xfId="41357"/>
    <cellStyle name="样式 402" xfId="41361"/>
    <cellStyle name="样式 403" xfId="41365"/>
    <cellStyle name="样式 404" xfId="41369"/>
    <cellStyle name="样式 405" xfId="41375"/>
    <cellStyle name="样式 406" xfId="41379"/>
    <cellStyle name="样式 407" xfId="41383"/>
    <cellStyle name="样式 408" xfId="41387"/>
    <cellStyle name="样式 409" xfId="41391"/>
    <cellStyle name="样式 41" xfId="41394"/>
    <cellStyle name="样式 410" xfId="41376"/>
    <cellStyle name="样式 411" xfId="41380"/>
    <cellStyle name="样式 412" xfId="41384"/>
    <cellStyle name="样式 413" xfId="41388"/>
    <cellStyle name="样式 414" xfId="41392"/>
    <cellStyle name="样式 415" xfId="41397"/>
    <cellStyle name="样式 416" xfId="41401"/>
    <cellStyle name="样式 417" xfId="41405"/>
    <cellStyle name="样式 418" xfId="41409"/>
    <cellStyle name="样式 419" xfId="41413"/>
    <cellStyle name="样式 42" xfId="41416"/>
    <cellStyle name="样式 420" xfId="41398"/>
    <cellStyle name="样式 421" xfId="41402"/>
    <cellStyle name="样式 422" xfId="41406"/>
    <cellStyle name="样式 423" xfId="41410"/>
    <cellStyle name="样式 424" xfId="41414"/>
    <cellStyle name="样式 425" xfId="41419"/>
    <cellStyle name="样式 426" xfId="41423"/>
    <cellStyle name="样式 427" xfId="41427"/>
    <cellStyle name="样式 428" xfId="41431"/>
    <cellStyle name="样式 429" xfId="41435"/>
    <cellStyle name="样式 43" xfId="41438"/>
    <cellStyle name="样式 430" xfId="41420"/>
    <cellStyle name="样式 431" xfId="41424"/>
    <cellStyle name="样式 432" xfId="41428"/>
    <cellStyle name="样式 433" xfId="41432"/>
    <cellStyle name="样式 434" xfId="41436"/>
    <cellStyle name="样式 435" xfId="41441"/>
    <cellStyle name="样式 436" xfId="41445"/>
    <cellStyle name="样式 437" xfId="41449"/>
    <cellStyle name="样式 438" xfId="41453"/>
    <cellStyle name="样式 439" xfId="41457"/>
    <cellStyle name="样式 44" xfId="41460"/>
    <cellStyle name="样式 440" xfId="41442"/>
    <cellStyle name="样式 441" xfId="41446"/>
    <cellStyle name="样式 442" xfId="41450"/>
    <cellStyle name="样式 443" xfId="41454"/>
    <cellStyle name="样式 444" xfId="41458"/>
    <cellStyle name="样式 445" xfId="41462"/>
    <cellStyle name="样式 446" xfId="41466"/>
    <cellStyle name="样式 447" xfId="41470"/>
    <cellStyle name="样式 448" xfId="41474"/>
    <cellStyle name="样式 449" xfId="41478"/>
    <cellStyle name="样式 45" xfId="41482"/>
    <cellStyle name="样式 450" xfId="41463"/>
    <cellStyle name="样式 451" xfId="41467"/>
    <cellStyle name="样式 452" xfId="41471"/>
    <cellStyle name="样式 453" xfId="41475"/>
    <cellStyle name="样式 454" xfId="41479"/>
    <cellStyle name="样式 455" xfId="41484"/>
    <cellStyle name="样式 456" xfId="41488"/>
    <cellStyle name="样式 457" xfId="41492"/>
    <cellStyle name="样式 458" xfId="41496"/>
    <cellStyle name="样式 459" xfId="41500"/>
    <cellStyle name="样式 46" xfId="41504"/>
    <cellStyle name="样式 460" xfId="41485"/>
    <cellStyle name="样式 461" xfId="41489"/>
    <cellStyle name="样式 462" xfId="41493"/>
    <cellStyle name="样式 463" xfId="41497"/>
    <cellStyle name="样式 464" xfId="41501"/>
    <cellStyle name="样式 465" xfId="41506"/>
    <cellStyle name="样式 466" xfId="41510"/>
    <cellStyle name="样式 467" xfId="25147"/>
    <cellStyle name="样式 468" xfId="41514"/>
    <cellStyle name="样式 469" xfId="41518"/>
    <cellStyle name="样式 47" xfId="41522"/>
    <cellStyle name="样式 470" xfId="41507"/>
    <cellStyle name="样式 471" xfId="41511"/>
    <cellStyle name="样式 472" xfId="25146"/>
    <cellStyle name="样式 473" xfId="41515"/>
    <cellStyle name="样式 474" xfId="41519"/>
    <cellStyle name="样式 475" xfId="41524"/>
    <cellStyle name="样式 476" xfId="41528"/>
    <cellStyle name="样式 477" xfId="41532"/>
    <cellStyle name="样式 478" xfId="41536"/>
    <cellStyle name="样式 479" xfId="41540"/>
    <cellStyle name="样式 48" xfId="41544"/>
    <cellStyle name="样式 480" xfId="41525"/>
    <cellStyle name="样式 481" xfId="41529"/>
    <cellStyle name="样式 482" xfId="41533"/>
    <cellStyle name="样式 483" xfId="41537"/>
    <cellStyle name="样式 484" xfId="41541"/>
    <cellStyle name="样式 485" xfId="41546"/>
    <cellStyle name="样式 486" xfId="41550"/>
    <cellStyle name="样式 487" xfId="41554"/>
    <cellStyle name="样式 488" xfId="41558"/>
    <cellStyle name="样式 489" xfId="41562"/>
    <cellStyle name="样式 49" xfId="41566"/>
    <cellStyle name="样式 490" xfId="41547"/>
    <cellStyle name="样式 491" xfId="41551"/>
    <cellStyle name="样式 492" xfId="41555"/>
    <cellStyle name="样式 493" xfId="41559"/>
    <cellStyle name="样式 494" xfId="41563"/>
    <cellStyle name="样式 495" xfId="41568"/>
    <cellStyle name="样式 496" xfId="41572"/>
    <cellStyle name="样式 497" xfId="41576"/>
    <cellStyle name="样式 498" xfId="41580"/>
    <cellStyle name="样式 499" xfId="41584"/>
    <cellStyle name="样式 5" xfId="41588"/>
    <cellStyle name="样式 50" xfId="41483"/>
    <cellStyle name="样式 500" xfId="41464"/>
    <cellStyle name="样式 501" xfId="41468"/>
    <cellStyle name="样式 502" xfId="41472"/>
    <cellStyle name="样式 503" xfId="41476"/>
    <cellStyle name="样式 504" xfId="41480"/>
    <cellStyle name="样式 505" xfId="41486"/>
    <cellStyle name="样式 506" xfId="41490"/>
    <cellStyle name="样式 507" xfId="41494"/>
    <cellStyle name="样式 508" xfId="41498"/>
    <cellStyle name="样式 509" xfId="41502"/>
    <cellStyle name="样式 51" xfId="41505"/>
    <cellStyle name="样式 510" xfId="41487"/>
    <cellStyle name="样式 511" xfId="41491"/>
    <cellStyle name="样式 512" xfId="41495"/>
    <cellStyle name="样式 513" xfId="41499"/>
    <cellStyle name="样式 514" xfId="41503"/>
    <cellStyle name="样式 515" xfId="41508"/>
    <cellStyle name="样式 516" xfId="41512"/>
    <cellStyle name="样式 517" xfId="25145"/>
    <cellStyle name="样式 518" xfId="41516"/>
    <cellStyle name="样式 519" xfId="41520"/>
    <cellStyle name="样式 52" xfId="41523"/>
    <cellStyle name="样式 520" xfId="41509"/>
    <cellStyle name="样式 521" xfId="41513"/>
    <cellStyle name="样式 522" xfId="25144"/>
    <cellStyle name="样式 523" xfId="41517"/>
    <cellStyle name="样式 524" xfId="41521"/>
    <cellStyle name="样式 525" xfId="41526"/>
    <cellStyle name="样式 526" xfId="41530"/>
    <cellStyle name="样式 527" xfId="41534"/>
    <cellStyle name="样式 528" xfId="41538"/>
    <cellStyle name="样式 529" xfId="41542"/>
    <cellStyle name="样式 53" xfId="41545"/>
    <cellStyle name="样式 530" xfId="41527"/>
    <cellStyle name="样式 531" xfId="41531"/>
    <cellStyle name="样式 532" xfId="41535"/>
    <cellStyle name="样式 533" xfId="41539"/>
    <cellStyle name="样式 534" xfId="41543"/>
    <cellStyle name="样式 535" xfId="41548"/>
    <cellStyle name="样式 536" xfId="41552"/>
    <cellStyle name="样式 537" xfId="41556"/>
    <cellStyle name="样式 538" xfId="41560"/>
    <cellStyle name="样式 539" xfId="41564"/>
    <cellStyle name="样式 54" xfId="41567"/>
    <cellStyle name="样式 540" xfId="41549"/>
    <cellStyle name="样式 541" xfId="41553"/>
    <cellStyle name="样式 542" xfId="41557"/>
    <cellStyle name="样式 543" xfId="41561"/>
    <cellStyle name="样式 544" xfId="41565"/>
    <cellStyle name="样式 545" xfId="41569"/>
    <cellStyle name="样式 546" xfId="41573"/>
    <cellStyle name="样式 547" xfId="41577"/>
    <cellStyle name="样式 548" xfId="41581"/>
    <cellStyle name="样式 549" xfId="41585"/>
    <cellStyle name="样式 55" xfId="41589"/>
    <cellStyle name="样式 550" xfId="41570"/>
    <cellStyle name="样式 551" xfId="41574"/>
    <cellStyle name="样式 552" xfId="41578"/>
    <cellStyle name="样式 553" xfId="41582"/>
    <cellStyle name="样式 554" xfId="41586"/>
    <cellStyle name="样式 555" xfId="41591"/>
    <cellStyle name="样式 556" xfId="41595"/>
    <cellStyle name="样式 557" xfId="41599"/>
    <cellStyle name="样式 558" xfId="41603"/>
    <cellStyle name="样式 559" xfId="41607"/>
    <cellStyle name="样式 56" xfId="41611"/>
    <cellStyle name="样式 560" xfId="41592"/>
    <cellStyle name="样式 561" xfId="41596"/>
    <cellStyle name="样式 562" xfId="41600"/>
    <cellStyle name="样式 563" xfId="41604"/>
    <cellStyle name="样式 564" xfId="41608"/>
    <cellStyle name="样式 565" xfId="41613"/>
    <cellStyle name="样式 566" xfId="41617"/>
    <cellStyle name="样式 567" xfId="41621"/>
    <cellStyle name="样式 568" xfId="41625"/>
    <cellStyle name="样式 569" xfId="41629"/>
    <cellStyle name="样式 57" xfId="41633"/>
    <cellStyle name="样式 570" xfId="41614"/>
    <cellStyle name="样式 571" xfId="41618"/>
    <cellStyle name="样式 572" xfId="41622"/>
    <cellStyle name="样式 573" xfId="41626"/>
    <cellStyle name="样式 574" xfId="41630"/>
    <cellStyle name="样式 575" xfId="41635"/>
    <cellStyle name="样式 576" xfId="41639"/>
    <cellStyle name="样式 577" xfId="41643"/>
    <cellStyle name="样式 578" xfId="41647"/>
    <cellStyle name="样式 579" xfId="41651"/>
    <cellStyle name="样式 58" xfId="41655"/>
    <cellStyle name="样式 580" xfId="41636"/>
    <cellStyle name="样式 581" xfId="41640"/>
    <cellStyle name="样式 582" xfId="41644"/>
    <cellStyle name="样式 583" xfId="41648"/>
    <cellStyle name="样式 584" xfId="41652"/>
    <cellStyle name="样式 585" xfId="4367"/>
    <cellStyle name="样式 586" xfId="5761"/>
    <cellStyle name="样式 587" xfId="41657"/>
    <cellStyle name="样式 588" xfId="41661"/>
    <cellStyle name="样式 589" xfId="41665"/>
    <cellStyle name="样式 59" xfId="41669"/>
    <cellStyle name="样式 590" xfId="4366"/>
    <cellStyle name="样式 591" xfId="5760"/>
    <cellStyle name="样式 592" xfId="41658"/>
    <cellStyle name="样式 593" xfId="41662"/>
    <cellStyle name="样式 594" xfId="41666"/>
    <cellStyle name="样式 595" xfId="41671"/>
    <cellStyle name="样式 596" xfId="41675"/>
    <cellStyle name="样式 597" xfId="41679"/>
    <cellStyle name="样式 598" xfId="41683"/>
    <cellStyle name="样式 599" xfId="41687"/>
    <cellStyle name="样式 6" xfId="41691"/>
    <cellStyle name="样式 60" xfId="41590"/>
    <cellStyle name="样式 600" xfId="41571"/>
    <cellStyle name="样式 601" xfId="41575"/>
    <cellStyle name="样式 602" xfId="41579"/>
    <cellStyle name="样式 603" xfId="41583"/>
    <cellStyle name="样式 604" xfId="41587"/>
    <cellStyle name="样式 605" xfId="41593"/>
    <cellStyle name="样式 606" xfId="41597"/>
    <cellStyle name="样式 607" xfId="41601"/>
    <cellStyle name="样式 608" xfId="41605"/>
    <cellStyle name="样式 609" xfId="41609"/>
    <cellStyle name="样式 61" xfId="41612"/>
    <cellStyle name="样式 610" xfId="41594"/>
    <cellStyle name="样式 611" xfId="41598"/>
    <cellStyle name="样式 612" xfId="41602"/>
    <cellStyle name="样式 613" xfId="41606"/>
    <cellStyle name="样式 614" xfId="41610"/>
    <cellStyle name="样式 615" xfId="41615"/>
    <cellStyle name="样式 616" xfId="41619"/>
    <cellStyle name="样式 617" xfId="41623"/>
    <cellStyle name="样式 618" xfId="41627"/>
    <cellStyle name="样式 619" xfId="41631"/>
    <cellStyle name="样式 62" xfId="41634"/>
    <cellStyle name="样式 620" xfId="41616"/>
    <cellStyle name="样式 621" xfId="41620"/>
    <cellStyle name="样式 622" xfId="41624"/>
    <cellStyle name="样式 623" xfId="41628"/>
    <cellStyle name="样式 624" xfId="41632"/>
    <cellStyle name="样式 625" xfId="41637"/>
    <cellStyle name="样式 626" xfId="41641"/>
    <cellStyle name="样式 627" xfId="41645"/>
    <cellStyle name="样式 628" xfId="41649"/>
    <cellStyle name="样式 629" xfId="41653"/>
    <cellStyle name="样式 63" xfId="41656"/>
    <cellStyle name="样式 630" xfId="41638"/>
    <cellStyle name="样式 631" xfId="41642"/>
    <cellStyle name="样式 632" xfId="41646"/>
    <cellStyle name="样式 633" xfId="41650"/>
    <cellStyle name="样式 634" xfId="41654"/>
    <cellStyle name="样式 635" xfId="4365"/>
    <cellStyle name="样式 636" xfId="5759"/>
    <cellStyle name="样式 637" xfId="41659"/>
    <cellStyle name="样式 638" xfId="41663"/>
    <cellStyle name="样式 639" xfId="41667"/>
    <cellStyle name="样式 64" xfId="41670"/>
    <cellStyle name="样式 640" xfId="4364"/>
    <cellStyle name="样式 641" xfId="5758"/>
    <cellStyle name="样式 642" xfId="41660"/>
    <cellStyle name="样式 643" xfId="41664"/>
    <cellStyle name="样式 644" xfId="41668"/>
    <cellStyle name="样式 645" xfId="41672"/>
    <cellStyle name="样式 646" xfId="41676"/>
    <cellStyle name="样式 647" xfId="41680"/>
    <cellStyle name="样式 648" xfId="41684"/>
    <cellStyle name="样式 649" xfId="41688"/>
    <cellStyle name="样式 65" xfId="41692"/>
    <cellStyle name="样式 650" xfId="41673"/>
    <cellStyle name="样式 651" xfId="41677"/>
    <cellStyle name="样式 652" xfId="41681"/>
    <cellStyle name="样式 653" xfId="41685"/>
    <cellStyle name="样式 654" xfId="41689"/>
    <cellStyle name="样式 655" xfId="13746"/>
    <cellStyle name="样式 656" xfId="41694"/>
    <cellStyle name="样式 657" xfId="41698"/>
    <cellStyle name="样式 658" xfId="41702"/>
    <cellStyle name="样式 659" xfId="41706"/>
    <cellStyle name="样式 66" xfId="41710"/>
    <cellStyle name="样式 660" xfId="13745"/>
    <cellStyle name="样式 661" xfId="41695"/>
    <cellStyle name="样式 662" xfId="41699"/>
    <cellStyle name="样式 663" xfId="41703"/>
    <cellStyle name="样式 664" xfId="41707"/>
    <cellStyle name="样式 665" xfId="41712"/>
    <cellStyle name="样式 666" xfId="41716"/>
    <cellStyle name="样式 667" xfId="41720"/>
    <cellStyle name="样式 668" xfId="41724"/>
    <cellStyle name="样式 669" xfId="41728"/>
    <cellStyle name="样式 67" xfId="370"/>
    <cellStyle name="样式 670" xfId="41713"/>
    <cellStyle name="样式 671" xfId="41717"/>
    <cellStyle name="样式 672" xfId="41721"/>
    <cellStyle name="样式 673" xfId="41725"/>
    <cellStyle name="样式 674" xfId="41729"/>
    <cellStyle name="样式 675" xfId="41732"/>
    <cellStyle name="样式 676" xfId="41736"/>
    <cellStyle name="样式 677" xfId="41740"/>
    <cellStyle name="样式 678" xfId="41744"/>
    <cellStyle name="样式 679" xfId="41748"/>
    <cellStyle name="样式 68" xfId="41752"/>
    <cellStyle name="样式 680" xfId="41733"/>
    <cellStyle name="样式 681" xfId="41737"/>
    <cellStyle name="样式 682" xfId="41741"/>
    <cellStyle name="样式 683" xfId="41745"/>
    <cellStyle name="样式 684" xfId="41749"/>
    <cellStyle name="样式 685" xfId="4382"/>
    <cellStyle name="样式 686" xfId="41754"/>
    <cellStyle name="样式 687" xfId="41758"/>
    <cellStyle name="样式 688" xfId="41762"/>
    <cellStyle name="样式 689" xfId="41766"/>
    <cellStyle name="样式 69" xfId="41770"/>
    <cellStyle name="样式 690" xfId="4381"/>
    <cellStyle name="样式 691" xfId="41755"/>
    <cellStyle name="样式 692" xfId="41759"/>
    <cellStyle name="样式 693" xfId="41763"/>
    <cellStyle name="样式 694" xfId="41767"/>
    <cellStyle name="样式 695" xfId="41772"/>
    <cellStyle name="样式 696" xfId="41775"/>
    <cellStyle name="样式 697" xfId="41778"/>
    <cellStyle name="样式 698" xfId="41781"/>
    <cellStyle name="样式 699" xfId="41784"/>
    <cellStyle name="样式 7" xfId="41787"/>
    <cellStyle name="样式 70" xfId="41693"/>
    <cellStyle name="样式 700" xfId="41674"/>
    <cellStyle name="样式 701" xfId="41678"/>
    <cellStyle name="样式 702" xfId="41682"/>
    <cellStyle name="样式 703" xfId="41686"/>
    <cellStyle name="样式 704" xfId="41690"/>
    <cellStyle name="样式 705" xfId="13744"/>
    <cellStyle name="样式 706" xfId="41696"/>
    <cellStyle name="样式 707" xfId="41700"/>
    <cellStyle name="样式 708" xfId="41704"/>
    <cellStyle name="样式 709" xfId="41708"/>
    <cellStyle name="样式 71" xfId="41711"/>
    <cellStyle name="样式 710" xfId="13743"/>
    <cellStyle name="样式 711" xfId="41697"/>
    <cellStyle name="样式 712" xfId="41701"/>
    <cellStyle name="样式 713" xfId="41705"/>
    <cellStyle name="样式 714" xfId="41709"/>
    <cellStyle name="样式 715" xfId="41714"/>
    <cellStyle name="样式 716" xfId="41718"/>
    <cellStyle name="样式 717" xfId="41722"/>
    <cellStyle name="样式 718" xfId="41726"/>
    <cellStyle name="样式 719" xfId="41730"/>
    <cellStyle name="样式 72" xfId="369"/>
    <cellStyle name="样式 720" xfId="41715"/>
    <cellStyle name="样式 721" xfId="41719"/>
    <cellStyle name="样式 722" xfId="41723"/>
    <cellStyle name="样式 723" xfId="41727"/>
    <cellStyle name="样式 724" xfId="41731"/>
    <cellStyle name="样式 725" xfId="41734"/>
    <cellStyle name="样式 726" xfId="41738"/>
    <cellStyle name="样式 727" xfId="41742"/>
    <cellStyle name="样式 728" xfId="41746"/>
    <cellStyle name="样式 729" xfId="41750"/>
    <cellStyle name="样式 73" xfId="41753"/>
    <cellStyle name="样式 730" xfId="41735"/>
    <cellStyle name="样式 731" xfId="41739"/>
    <cellStyle name="样式 732" xfId="41743"/>
    <cellStyle name="样式 733" xfId="41747"/>
    <cellStyle name="样式 734" xfId="41751"/>
    <cellStyle name="样式 735" xfId="4380"/>
    <cellStyle name="样式 736" xfId="41756"/>
    <cellStyle name="样式 737" xfId="41760"/>
    <cellStyle name="样式 738" xfId="41764"/>
    <cellStyle name="样式 739" xfId="41768"/>
    <cellStyle name="样式 74" xfId="41771"/>
    <cellStyle name="样式 740" xfId="4379"/>
    <cellStyle name="样式 741" xfId="41757"/>
    <cellStyle name="样式 742" xfId="41761"/>
    <cellStyle name="样式 743" xfId="41765"/>
    <cellStyle name="样式 744" xfId="41769"/>
    <cellStyle name="样式 745" xfId="41773"/>
    <cellStyle name="样式 746" xfId="41776"/>
    <cellStyle name="样式 747" xfId="41779"/>
    <cellStyle name="样式 748" xfId="41782"/>
    <cellStyle name="样式 749" xfId="41785"/>
    <cellStyle name="样式 75" xfId="41788"/>
    <cellStyle name="样式 750" xfId="41774"/>
    <cellStyle name="样式 751" xfId="41777"/>
    <cellStyle name="样式 752" xfId="41780"/>
    <cellStyle name="样式 753" xfId="41783"/>
    <cellStyle name="样式 754" xfId="41786"/>
    <cellStyle name="样式 755" xfId="41790"/>
    <cellStyle name="样式 756" xfId="41792"/>
    <cellStyle name="样式 757" xfId="41794"/>
    <cellStyle name="样式 758" xfId="41796"/>
    <cellStyle name="样式 759" xfId="41798"/>
    <cellStyle name="样式 76" xfId="39664"/>
    <cellStyle name="样式 760" xfId="41791"/>
    <cellStyle name="样式 761" xfId="41793"/>
    <cellStyle name="样式 762" xfId="41795"/>
    <cellStyle name="样式 763" xfId="41797"/>
    <cellStyle name="样式 764" xfId="41799"/>
    <cellStyle name="样式 765" xfId="41800"/>
    <cellStyle name="样式 766" xfId="41802"/>
    <cellStyle name="样式 767" xfId="41804"/>
    <cellStyle name="样式 768" xfId="41806"/>
    <cellStyle name="样式 769" xfId="41808"/>
    <cellStyle name="样式 77" xfId="39667"/>
    <cellStyle name="样式 770" xfId="41801"/>
    <cellStyle name="样式 771" xfId="41803"/>
    <cellStyle name="样式 772" xfId="41805"/>
    <cellStyle name="样式 773" xfId="41807"/>
    <cellStyle name="样式 774" xfId="41809"/>
    <cellStyle name="样式 775" xfId="41810"/>
    <cellStyle name="样式 776" xfId="41812"/>
    <cellStyle name="样式 777" xfId="41813"/>
    <cellStyle name="样式 778" xfId="41814"/>
    <cellStyle name="样式 779" xfId="41815"/>
    <cellStyle name="样式 78" xfId="41816"/>
    <cellStyle name="样式 780" xfId="41811"/>
    <cellStyle name="样式 79" xfId="41818"/>
    <cellStyle name="样式 8" xfId="41820"/>
    <cellStyle name="样式 80" xfId="41789"/>
    <cellStyle name="样式 81" xfId="39665"/>
    <cellStyle name="样式 82" xfId="39668"/>
    <cellStyle name="样式 83" xfId="41817"/>
    <cellStyle name="样式 84" xfId="41819"/>
    <cellStyle name="样式 85" xfId="41821"/>
    <cellStyle name="样式 86" xfId="41823"/>
    <cellStyle name="样式 87" xfId="41825"/>
    <cellStyle name="样式 88" xfId="41827"/>
    <cellStyle name="样式 89" xfId="41829"/>
    <cellStyle name="样式 9" xfId="41831"/>
    <cellStyle name="样式 90" xfId="41822"/>
    <cellStyle name="样式 91" xfId="41824"/>
    <cellStyle name="样式 92" xfId="41826"/>
    <cellStyle name="样式 93" xfId="41828"/>
    <cellStyle name="样式 94" xfId="41830"/>
    <cellStyle name="样式 95" xfId="41832"/>
    <cellStyle name="样式 96" xfId="41833"/>
    <cellStyle name="样式 97" xfId="41834"/>
    <cellStyle name="样式 98" xfId="41835"/>
    <cellStyle name="样式 99" xfId="41836"/>
    <cellStyle name="注释 2" xfId="31463"/>
    <cellStyle name="注释 2 10" xfId="41837"/>
    <cellStyle name="注释 2 11" xfId="41838"/>
    <cellStyle name="注释 2 12" xfId="41839"/>
    <cellStyle name="注释 2 13" xfId="41840"/>
    <cellStyle name="注释 2 2" xfId="31466"/>
    <cellStyle name="注释 2 2 10" xfId="41841"/>
    <cellStyle name="注释 2 2 11" xfId="41842"/>
    <cellStyle name="注释 2 2 12" xfId="41843"/>
    <cellStyle name="注释 2 2 13" xfId="41844"/>
    <cellStyle name="注释 2 2 2" xfId="36223"/>
    <cellStyle name="注释 2 2 2 10" xfId="679"/>
    <cellStyle name="注释 2 2 2 11" xfId="41845"/>
    <cellStyle name="注释 2 2 2 2" xfId="41846"/>
    <cellStyle name="注释 2 2 2 2 2" xfId="41847"/>
    <cellStyle name="注释 2 2 2 2 2 2" xfId="41848"/>
    <cellStyle name="注释 2 2 2 2 2 2 2" xfId="20634"/>
    <cellStyle name="注释 2 2 2 2 2 2 2 2" xfId="41849"/>
    <cellStyle name="注释 2 2 2 2 2 2 3" xfId="20636"/>
    <cellStyle name="注释 2 2 2 2 2 2 4" xfId="41850"/>
    <cellStyle name="注释 2 2 2 2 2 3" xfId="41851"/>
    <cellStyle name="注释 2 2 2 2 2 4" xfId="41852"/>
    <cellStyle name="注释 2 2 2 2 3" xfId="41853"/>
    <cellStyle name="注释 2 2 2 2 3 2" xfId="41854"/>
    <cellStyle name="注释 2 2 2 2 3 3" xfId="41855"/>
    <cellStyle name="注释 2 2 2 2 4" xfId="41856"/>
    <cellStyle name="注释 2 2 2 2 4 2" xfId="41857"/>
    <cellStyle name="注释 2 2 2 2 4 2 2" xfId="41858"/>
    <cellStyle name="注释 2 2 2 2 4 3" xfId="41859"/>
    <cellStyle name="注释 2 2 2 2 4 4" xfId="41860"/>
    <cellStyle name="注释 2 2 2 2 5" xfId="41861"/>
    <cellStyle name="注释 2 2 2 2 6" xfId="41862"/>
    <cellStyle name="注释 2 2 2 2 7" xfId="41863"/>
    <cellStyle name="注释 2 2 2 2 8" xfId="41864"/>
    <cellStyle name="注释 2 2 2 2 9" xfId="41865"/>
    <cellStyle name="注释 2 2 2 3" xfId="41866"/>
    <cellStyle name="注释 2 2 2 3 2" xfId="41867"/>
    <cellStyle name="注释 2 2 2 3 2 2" xfId="41868"/>
    <cellStyle name="注释 2 2 2 3 2 2 2" xfId="20693"/>
    <cellStyle name="注释 2 2 2 3 2 3" xfId="41869"/>
    <cellStyle name="注释 2 2 2 3 2 4" xfId="41870"/>
    <cellStyle name="注释 2 2 2 3 3" xfId="41871"/>
    <cellStyle name="注释 2 2 2 3 3 2" xfId="41872"/>
    <cellStyle name="注释 2 2 2 3 4" xfId="41873"/>
    <cellStyle name="注释 2 2 2 3 5" xfId="41874"/>
    <cellStyle name="注释 2 2 2 3 6" xfId="41875"/>
    <cellStyle name="注释 2 2 2 3 7" xfId="41876"/>
    <cellStyle name="注释 2 2 2 4" xfId="41877"/>
    <cellStyle name="注释 2 2 2 4 2" xfId="41878"/>
    <cellStyle name="注释 2 2 2 4 3" xfId="41879"/>
    <cellStyle name="注释 2 2 2 4 4" xfId="41880"/>
    <cellStyle name="注释 2 2 2 5" xfId="41881"/>
    <cellStyle name="注释 2 2 2 5 2" xfId="41882"/>
    <cellStyle name="注释 2 2 2 5 2 2" xfId="41883"/>
    <cellStyle name="注释 2 2 2 5 3" xfId="41884"/>
    <cellStyle name="注释 2 2 2 5 4" xfId="41885"/>
    <cellStyle name="注释 2 2 2 6" xfId="41886"/>
    <cellStyle name="注释 2 2 2 6 2" xfId="41887"/>
    <cellStyle name="注释 2 2 2 7" xfId="41888"/>
    <cellStyle name="注释 2 2 2 7 2" xfId="41889"/>
    <cellStyle name="注释 2 2 2 8" xfId="41890"/>
    <cellStyle name="注释 2 2 2 9" xfId="41891"/>
    <cellStyle name="注释 2 2 3" xfId="41892"/>
    <cellStyle name="注释 2 2 3 10" xfId="41893"/>
    <cellStyle name="注释 2 2 3 11" xfId="41894"/>
    <cellStyle name="注释 2 2 3 12" xfId="27831"/>
    <cellStyle name="注释 2 2 3 2" xfId="41895"/>
    <cellStyle name="注释 2 2 3 2 10" xfId="28669"/>
    <cellStyle name="注释 2 2 3 2 11" xfId="23589"/>
    <cellStyle name="注释 2 2 3 2 2" xfId="41896"/>
    <cellStyle name="注释 2 2 3 2 2 2" xfId="41897"/>
    <cellStyle name="注释 2 2 3 2 2 2 2" xfId="41898"/>
    <cellStyle name="注释 2 2 3 2 2 2 2 2" xfId="41899"/>
    <cellStyle name="注释 2 2 3 2 2 2 2 2 2" xfId="41900"/>
    <cellStyle name="注释 2 2 3 2 2 2 2 3" xfId="41901"/>
    <cellStyle name="注释 2 2 3 2 2 2 2 4" xfId="41902"/>
    <cellStyle name="注释 2 2 3 2 2 2 3" xfId="41903"/>
    <cellStyle name="注释 2 2 3 2 2 2 4" xfId="26287"/>
    <cellStyle name="注释 2 2 3 2 2 3" xfId="41904"/>
    <cellStyle name="注释 2 2 3 2 2 3 2" xfId="41905"/>
    <cellStyle name="注释 2 2 3 2 2 3 3" xfId="41906"/>
    <cellStyle name="注释 2 2 3 2 2 4" xfId="41907"/>
    <cellStyle name="注释 2 2 3 2 2 4 2" xfId="41908"/>
    <cellStyle name="注释 2 2 3 2 2 4 2 2" xfId="41909"/>
    <cellStyle name="注释 2 2 3 2 2 4 3" xfId="41910"/>
    <cellStyle name="注释 2 2 3 2 2 4 4" xfId="41911"/>
    <cellStyle name="注释 2 2 3 2 2 5" xfId="41912"/>
    <cellStyle name="注释 2 2 3 2 2 6" xfId="41913"/>
    <cellStyle name="注释 2 2 3 2 2 7" xfId="41914"/>
    <cellStyle name="注释 2 2 3 2 2 8" xfId="41915"/>
    <cellStyle name="注释 2 2 3 2 2 9" xfId="41916"/>
    <cellStyle name="注释 2 2 3 2 3" xfId="41917"/>
    <cellStyle name="注释 2 2 3 2 3 2" xfId="41918"/>
    <cellStyle name="注释 2 2 3 2 3 2 2" xfId="41919"/>
    <cellStyle name="注释 2 2 3 2 3 2 2 2" xfId="14604"/>
    <cellStyle name="注释 2 2 3 2 3 2 3" xfId="41920"/>
    <cellStyle name="注释 2 2 3 2 3 2 4" xfId="41921"/>
    <cellStyle name="注释 2 2 3 2 3 3" xfId="41922"/>
    <cellStyle name="注释 2 2 3 2 3 3 2" xfId="41923"/>
    <cellStyle name="注释 2 2 3 2 3 4" xfId="41924"/>
    <cellStyle name="注释 2 2 3 2 3 5" xfId="41925"/>
    <cellStyle name="注释 2 2 3 2 3 6" xfId="41926"/>
    <cellStyle name="注释 2 2 3 2 3 7" xfId="41927"/>
    <cellStyle name="注释 2 2 3 2 4" xfId="41928"/>
    <cellStyle name="注释 2 2 3 2 4 2" xfId="41929"/>
    <cellStyle name="注释 2 2 3 2 4 3" xfId="41930"/>
    <cellStyle name="注释 2 2 3 2 4 4" xfId="41931"/>
    <cellStyle name="注释 2 2 3 2 5" xfId="41932"/>
    <cellStyle name="注释 2 2 3 2 5 2" xfId="41933"/>
    <cellStyle name="注释 2 2 3 2 5 2 2" xfId="41934"/>
    <cellStyle name="注释 2 2 3 2 5 3" xfId="41935"/>
    <cellStyle name="注释 2 2 3 2 5 4" xfId="41936"/>
    <cellStyle name="注释 2 2 3 2 6" xfId="41937"/>
    <cellStyle name="注释 2 2 3 2 6 2" xfId="41938"/>
    <cellStyle name="注释 2 2 3 2 7" xfId="41939"/>
    <cellStyle name="注释 2 2 3 2 7 2" xfId="41940"/>
    <cellStyle name="注释 2 2 3 2 8" xfId="41941"/>
    <cellStyle name="注释 2 2 3 2 9" xfId="41942"/>
    <cellStyle name="注释 2 2 3 3" xfId="41943"/>
    <cellStyle name="注释 2 2 3 3 2" xfId="41944"/>
    <cellStyle name="注释 2 2 3 3 2 2" xfId="41945"/>
    <cellStyle name="注释 2 2 3 3 2 2 2" xfId="41946"/>
    <cellStyle name="注释 2 2 3 3 2 2 2 2" xfId="41947"/>
    <cellStyle name="注释 2 2 3 3 2 2 3" xfId="41948"/>
    <cellStyle name="注释 2 2 3 3 2 2 4" xfId="41949"/>
    <cellStyle name="注释 2 2 3 3 2 3" xfId="41950"/>
    <cellStyle name="注释 2 2 3 3 2 4" xfId="41951"/>
    <cellStyle name="注释 2 2 3 3 3" xfId="41952"/>
    <cellStyle name="注释 2 2 3 3 3 2" xfId="41953"/>
    <cellStyle name="注释 2 2 3 3 3 3" xfId="41954"/>
    <cellStyle name="注释 2 2 3 3 4" xfId="41955"/>
    <cellStyle name="注释 2 2 3 3 4 2" xfId="41956"/>
    <cellStyle name="注释 2 2 3 3 4 2 2" xfId="39038"/>
    <cellStyle name="注释 2 2 3 3 4 3" xfId="41957"/>
    <cellStyle name="注释 2 2 3 3 4 4" xfId="41958"/>
    <cellStyle name="注释 2 2 3 3 5" xfId="41959"/>
    <cellStyle name="注释 2 2 3 3 6" xfId="41960"/>
    <cellStyle name="注释 2 2 3 3 7" xfId="41961"/>
    <cellStyle name="注释 2 2 3 3 8" xfId="41962"/>
    <cellStyle name="注释 2 2 3 3 9" xfId="41963"/>
    <cellStyle name="注释 2 2 3 4" xfId="41964"/>
    <cellStyle name="注释 2 2 3 4 2" xfId="41965"/>
    <cellStyle name="注释 2 2 3 4 2 2" xfId="41966"/>
    <cellStyle name="注释 2 2 3 4 2 2 2" xfId="41967"/>
    <cellStyle name="注释 2 2 3 4 2 3" xfId="41968"/>
    <cellStyle name="注释 2 2 3 4 2 4" xfId="41969"/>
    <cellStyle name="注释 2 2 3 4 3" xfId="41970"/>
    <cellStyle name="注释 2 2 3 4 3 2" xfId="41971"/>
    <cellStyle name="注释 2 2 3 4 4" xfId="41972"/>
    <cellStyle name="注释 2 2 3 4 5" xfId="41973"/>
    <cellStyle name="注释 2 2 3 4 6" xfId="41974"/>
    <cellStyle name="注释 2 2 3 4 7" xfId="41975"/>
    <cellStyle name="注释 2 2 3 5" xfId="41976"/>
    <cellStyle name="注释 2 2 3 5 2" xfId="41977"/>
    <cellStyle name="注释 2 2 3 5 3" xfId="41978"/>
    <cellStyle name="注释 2 2 3 5 4" xfId="41979"/>
    <cellStyle name="注释 2 2 3 6" xfId="41980"/>
    <cellStyle name="注释 2 2 3 6 2" xfId="41981"/>
    <cellStyle name="注释 2 2 3 6 2 2" xfId="41982"/>
    <cellStyle name="注释 2 2 3 6 3" xfId="41983"/>
    <cellStyle name="注释 2 2 3 6 4" xfId="41984"/>
    <cellStyle name="注释 2 2 3 7" xfId="41985"/>
    <cellStyle name="注释 2 2 3 7 2" xfId="41986"/>
    <cellStyle name="注释 2 2 3 8" xfId="41987"/>
    <cellStyle name="注释 2 2 3 8 2" xfId="41988"/>
    <cellStyle name="注释 2 2 3 9" xfId="41989"/>
    <cellStyle name="注释 2 2 4" xfId="41990"/>
    <cellStyle name="注释 2 2 4 2" xfId="41991"/>
    <cellStyle name="注释 2 2 4 2 2" xfId="41992"/>
    <cellStyle name="注释 2 2 4 2 2 2" xfId="41993"/>
    <cellStyle name="注释 2 2 4 2 2 2 2" xfId="41994"/>
    <cellStyle name="注释 2 2 4 2 2 3" xfId="41995"/>
    <cellStyle name="注释 2 2 4 2 2 4" xfId="41996"/>
    <cellStyle name="注释 2 2 4 2 3" xfId="41997"/>
    <cellStyle name="注释 2 2 4 2 4" xfId="41998"/>
    <cellStyle name="注释 2 2 4 3" xfId="41999"/>
    <cellStyle name="注释 2 2 4 3 2" xfId="42000"/>
    <cellStyle name="注释 2 2 4 3 3" xfId="42001"/>
    <cellStyle name="注释 2 2 4 4" xfId="42002"/>
    <cellStyle name="注释 2 2 4 4 2" xfId="42003"/>
    <cellStyle name="注释 2 2 4 4 2 2" xfId="42004"/>
    <cellStyle name="注释 2 2 4 4 3" xfId="42005"/>
    <cellStyle name="注释 2 2 4 4 4" xfId="42006"/>
    <cellStyle name="注释 2 2 4 5" xfId="42007"/>
    <cellStyle name="注释 2 2 4 6" xfId="42008"/>
    <cellStyle name="注释 2 2 4 7" xfId="42009"/>
    <cellStyle name="注释 2 2 4 8" xfId="42010"/>
    <cellStyle name="注释 2 2 4 9" xfId="42011"/>
    <cellStyle name="注释 2 2 5" xfId="42012"/>
    <cellStyle name="注释 2 2 5 2" xfId="42013"/>
    <cellStyle name="注释 2 2 5 2 2" xfId="42014"/>
    <cellStyle name="注释 2 2 5 2 2 2" xfId="42015"/>
    <cellStyle name="注释 2 2 5 2 3" xfId="42016"/>
    <cellStyle name="注释 2 2 5 2 4" xfId="42017"/>
    <cellStyle name="注释 2 2 5 3" xfId="42018"/>
    <cellStyle name="注释 2 2 5 3 2" xfId="37385"/>
    <cellStyle name="注释 2 2 5 4" xfId="42019"/>
    <cellStyle name="注释 2 2 5 5" xfId="42020"/>
    <cellStyle name="注释 2 2 5 6" xfId="42021"/>
    <cellStyle name="注释 2 2 5 7" xfId="42022"/>
    <cellStyle name="注释 2 2 6" xfId="42023"/>
    <cellStyle name="注释 2 2 6 2" xfId="42024"/>
    <cellStyle name="注释 2 2 6 3" xfId="42025"/>
    <cellStyle name="注释 2 2 6 4" xfId="42026"/>
    <cellStyle name="注释 2 2 7" xfId="42027"/>
    <cellStyle name="注释 2 2 7 2" xfId="42028"/>
    <cellStyle name="注释 2 2 7 2 2" xfId="42029"/>
    <cellStyle name="注释 2 2 7 3" xfId="42030"/>
    <cellStyle name="注释 2 2 7 4" xfId="42031"/>
    <cellStyle name="注释 2 2 8" xfId="42032"/>
    <cellStyle name="注释 2 2 8 2" xfId="42033"/>
    <cellStyle name="注释 2 2 9" xfId="42034"/>
    <cellStyle name="注释 2 2 9 2" xfId="42035"/>
    <cellStyle name="注释 2 3" xfId="42036"/>
    <cellStyle name="注释 2 3 10" xfId="42037"/>
    <cellStyle name="注释 2 3 11" xfId="42038"/>
    <cellStyle name="注释 2 3 12" xfId="42039"/>
    <cellStyle name="注释 2 3 2" xfId="42040"/>
    <cellStyle name="注释 2 3 2 10" xfId="42041"/>
    <cellStyle name="注释 2 3 2 11" xfId="42042"/>
    <cellStyle name="注释 2 3 2 2" xfId="42043"/>
    <cellStyle name="注释 2 3 2 2 2" xfId="42044"/>
    <cellStyle name="注释 2 3 2 2 2 2" xfId="42045"/>
    <cellStyle name="注释 2 3 2 2 2 2 2" xfId="42046"/>
    <cellStyle name="注释 2 3 2 2 2 2 2 2" xfId="42047"/>
    <cellStyle name="注释 2 3 2 2 2 2 3" xfId="42048"/>
    <cellStyle name="注释 2 3 2 2 2 2 4" xfId="42049"/>
    <cellStyle name="注释 2 3 2 2 2 3" xfId="42050"/>
    <cellStyle name="注释 2 3 2 2 2 4" xfId="42051"/>
    <cellStyle name="注释 2 3 2 2 3" xfId="42052"/>
    <cellStyle name="注释 2 3 2 2 3 2" xfId="42053"/>
    <cellStyle name="注释 2 3 2 2 3 3" xfId="42054"/>
    <cellStyle name="注释 2 3 2 2 4" xfId="42055"/>
    <cellStyle name="注释 2 3 2 2 4 2" xfId="42056"/>
    <cellStyle name="注释 2 3 2 2 4 2 2" xfId="42057"/>
    <cellStyle name="注释 2 3 2 2 4 3" xfId="42058"/>
    <cellStyle name="注释 2 3 2 2 4 4" xfId="42059"/>
    <cellStyle name="注释 2 3 2 2 5" xfId="42060"/>
    <cellStyle name="注释 2 3 2 2 6" xfId="42061"/>
    <cellStyle name="注释 2 3 2 2 7" xfId="42062"/>
    <cellStyle name="注释 2 3 2 2 8" xfId="42063"/>
    <cellStyle name="注释 2 3 2 2 9" xfId="42064"/>
    <cellStyle name="注释 2 3 2 3" xfId="42065"/>
    <cellStyle name="注释 2 3 2 3 2" xfId="42066"/>
    <cellStyle name="注释 2 3 2 3 2 2" xfId="42067"/>
    <cellStyle name="注释 2 3 2 3 2 2 2" xfId="42068"/>
    <cellStyle name="注释 2 3 2 3 2 3" xfId="42069"/>
    <cellStyle name="注释 2 3 2 3 2 4" xfId="42070"/>
    <cellStyle name="注释 2 3 2 3 3" xfId="42071"/>
    <cellStyle name="注释 2 3 2 3 3 2" xfId="42072"/>
    <cellStyle name="注释 2 3 2 3 4" xfId="42073"/>
    <cellStyle name="注释 2 3 2 3 5" xfId="42074"/>
    <cellStyle name="注释 2 3 2 3 6" xfId="42075"/>
    <cellStyle name="注释 2 3 2 3 7" xfId="42076"/>
    <cellStyle name="注释 2 3 2 4" xfId="42077"/>
    <cellStyle name="注释 2 3 2 4 2" xfId="42078"/>
    <cellStyle name="注释 2 3 2 4 3" xfId="42079"/>
    <cellStyle name="注释 2 3 2 4 4" xfId="42080"/>
    <cellStyle name="注释 2 3 2 5" xfId="42081"/>
    <cellStyle name="注释 2 3 2 5 2" xfId="42082"/>
    <cellStyle name="注释 2 3 2 5 2 2" xfId="42083"/>
    <cellStyle name="注释 2 3 2 5 3" xfId="42084"/>
    <cellStyle name="注释 2 3 2 5 4" xfId="42085"/>
    <cellStyle name="注释 2 3 2 6" xfId="42086"/>
    <cellStyle name="注释 2 3 2 6 2" xfId="42087"/>
    <cellStyle name="注释 2 3 2 7" xfId="42088"/>
    <cellStyle name="注释 2 3 2 7 2" xfId="42089"/>
    <cellStyle name="注释 2 3 2 8" xfId="42090"/>
    <cellStyle name="注释 2 3 2 9" xfId="42091"/>
    <cellStyle name="注释 2 3 3" xfId="42092"/>
    <cellStyle name="注释 2 3 3 2" xfId="42093"/>
    <cellStyle name="注释 2 3 3 2 2" xfId="42094"/>
    <cellStyle name="注释 2 3 3 2 2 2" xfId="42095"/>
    <cellStyle name="注释 2 3 3 2 2 2 2" xfId="42096"/>
    <cellStyle name="注释 2 3 3 2 2 3" xfId="42097"/>
    <cellStyle name="注释 2 3 3 2 2 4" xfId="42098"/>
    <cellStyle name="注释 2 3 3 2 3" xfId="42099"/>
    <cellStyle name="注释 2 3 3 2 4" xfId="42100"/>
    <cellStyle name="注释 2 3 3 3" xfId="42101"/>
    <cellStyle name="注释 2 3 3 3 2" xfId="42102"/>
    <cellStyle name="注释 2 3 3 3 3" xfId="42103"/>
    <cellStyle name="注释 2 3 3 4" xfId="42104"/>
    <cellStyle name="注释 2 3 3 4 2" xfId="42105"/>
    <cellStyle name="注释 2 3 3 4 2 2" xfId="42106"/>
    <cellStyle name="注释 2 3 3 4 3" xfId="42107"/>
    <cellStyle name="注释 2 3 3 4 4" xfId="42108"/>
    <cellStyle name="注释 2 3 3 5" xfId="42109"/>
    <cellStyle name="注释 2 3 3 6" xfId="42110"/>
    <cellStyle name="注释 2 3 3 7" xfId="42111"/>
    <cellStyle name="注释 2 3 3 8" xfId="42112"/>
    <cellStyle name="注释 2 3 3 9" xfId="42113"/>
    <cellStyle name="注释 2 3 4" xfId="42114"/>
    <cellStyle name="注释 2 3 4 2" xfId="42115"/>
    <cellStyle name="注释 2 3 4 2 2" xfId="42116"/>
    <cellStyle name="注释 2 3 4 2 2 2" xfId="9161"/>
    <cellStyle name="注释 2 3 4 2 3" xfId="42117"/>
    <cellStyle name="注释 2 3 4 2 4" xfId="42118"/>
    <cellStyle name="注释 2 3 4 3" xfId="42119"/>
    <cellStyle name="注释 2 3 4 3 2" xfId="42120"/>
    <cellStyle name="注释 2 3 4 4" xfId="42121"/>
    <cellStyle name="注释 2 3 4 5" xfId="42122"/>
    <cellStyle name="注释 2 3 4 6" xfId="42123"/>
    <cellStyle name="注释 2 3 4 7" xfId="42124"/>
    <cellStyle name="注释 2 3 5" xfId="42125"/>
    <cellStyle name="注释 2 3 5 2" xfId="42126"/>
    <cellStyle name="注释 2 3 5 3" xfId="42127"/>
    <cellStyle name="注释 2 3 5 4" xfId="42128"/>
    <cellStyle name="注释 2 3 6" xfId="42129"/>
    <cellStyle name="注释 2 3 6 2" xfId="42130"/>
    <cellStyle name="注释 2 3 6 2 2" xfId="42131"/>
    <cellStyle name="注释 2 3 6 3" xfId="42132"/>
    <cellStyle name="注释 2 3 6 4" xfId="42133"/>
    <cellStyle name="注释 2 3 7" xfId="42134"/>
    <cellStyle name="注释 2 3 7 2" xfId="42135"/>
    <cellStyle name="注释 2 3 8" xfId="42136"/>
    <cellStyle name="注释 2 3 8 2" xfId="42137"/>
    <cellStyle name="注释 2 3 9" xfId="42138"/>
    <cellStyle name="注释 2 4" xfId="42139"/>
    <cellStyle name="注释 2 4 2" xfId="42140"/>
    <cellStyle name="注释 2 4 2 2" xfId="42141"/>
    <cellStyle name="注释 2 4 2 2 2" xfId="42142"/>
    <cellStyle name="注释 2 4 2 2 2 2" xfId="42143"/>
    <cellStyle name="注释 2 4 2 2 3" xfId="42144"/>
    <cellStyle name="注释 2 4 2 2 4" xfId="42145"/>
    <cellStyle name="注释 2 4 2 3" xfId="42146"/>
    <cellStyle name="注释 2 4 2 4" xfId="42147"/>
    <cellStyle name="注释 2 4 3" xfId="42148"/>
    <cellStyle name="注释 2 4 3 2" xfId="42149"/>
    <cellStyle name="注释 2 4 3 3" xfId="42150"/>
    <cellStyle name="注释 2 4 4" xfId="42151"/>
    <cellStyle name="注释 2 4 4 2" xfId="42152"/>
    <cellStyle name="注释 2 4 4 2 2" xfId="42153"/>
    <cellStyle name="注释 2 4 4 3" xfId="42154"/>
    <cellStyle name="注释 2 4 4 4" xfId="42155"/>
    <cellStyle name="注释 2 4 5" xfId="42156"/>
    <cellStyle name="注释 2 4 6" xfId="42157"/>
    <cellStyle name="注释 2 4 7" xfId="42158"/>
    <cellStyle name="注释 2 4 8" xfId="42159"/>
    <cellStyle name="注释 2 4 9" xfId="42160"/>
    <cellStyle name="注释 2 5" xfId="42161"/>
    <cellStyle name="注释 2 5 2" xfId="42162"/>
    <cellStyle name="注释 2 5 2 2" xfId="42163"/>
    <cellStyle name="注释 2 5 2 2 2" xfId="42164"/>
    <cellStyle name="注释 2 5 2 3" xfId="42165"/>
    <cellStyle name="注释 2 5 2 4" xfId="42166"/>
    <cellStyle name="注释 2 5 3" xfId="42167"/>
    <cellStyle name="注释 2 5 3 2" xfId="42168"/>
    <cellStyle name="注释 2 5 4" xfId="42169"/>
    <cellStyle name="注释 2 5 5" xfId="42170"/>
    <cellStyle name="注释 2 5 6" xfId="42171"/>
    <cellStyle name="注释 2 5 7" xfId="42172"/>
    <cellStyle name="注释 2 6" xfId="42173"/>
    <cellStyle name="注释 2 6 2" xfId="42174"/>
    <cellStyle name="注释 2 6 3" xfId="42175"/>
    <cellStyle name="注释 2 6 4" xfId="42176"/>
    <cellStyle name="注释 2 7" xfId="42177"/>
    <cellStyle name="注释 2 7 2" xfId="42178"/>
    <cellStyle name="注释 2 7 2 2" xfId="42179"/>
    <cellStyle name="注释 2 7 3" xfId="42180"/>
    <cellStyle name="注释 2 7 4" xfId="42181"/>
    <cellStyle name="注释 2 8" xfId="25320"/>
    <cellStyle name="注释 2 8 2" xfId="25322"/>
    <cellStyle name="注释 2 9" xfId="6943"/>
    <cellStyle name="注释 2 9 2" xfId="42182"/>
    <cellStyle name="注释 3" xfId="31479"/>
    <cellStyle name="注释 3 2" xfId="42183"/>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 Id="rId27"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4037;&#20316;/&#24037;&#20316;/2019/xichuan/2019.9/&#26032;&#24314;&#25991;&#20214;&#22841;/&#21487;&#30740;/&#23425;&#22799;&#23425;&#27700;&#35745;&#21457;(2009)13&#21495;&#25991;/2012&#24180;/&#28189;&#27827;&#24341;&#27700;&#24037;&#31243;&#21487;&#30740;2012.2-12/&#28189;&#27827;&#24341;&#27700;&#24037;&#31243;&#25237;&#36164;&#20272;&#31639;&#34920;2012.12.25/1&#33487;&#21488;+&#22320;&#28286;&#33258;&#27969;&#24341;&#27700;12.25.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24037;&#20316;/&#24037;&#20316;/2019/xichuan/2019.9/&#26032;&#24314;&#25991;&#20214;&#22841;/&#30707;&#23478;&#22378;&#27700;&#24211;&#24037;&#31243;(2009.06.12)&#65288;&#26032;&#23450;&#39069;&#65289;/&#24037;&#31243;&#27010;&#31639;&#38468;&#34920;.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总"/>
      <sheetName val="建筑"/>
      <sheetName val="机电"/>
      <sheetName val="金属"/>
      <sheetName val="临时"/>
      <sheetName val="独立"/>
      <sheetName val="占地"/>
      <sheetName val="建单汇"/>
      <sheetName val="施机台"/>
      <sheetName val="主材汇"/>
      <sheetName val="次材汇"/>
      <sheetName val="工程量"/>
      <sheetName val="材料"/>
      <sheetName val="材料单价分析"/>
      <sheetName val="台时"/>
      <sheetName val="砼配合"/>
      <sheetName val="砼单价"/>
      <sheetName val="钢筋"/>
      <sheetName val="砌石"/>
      <sheetName val="土石方"/>
      <sheetName val="取费"/>
    </sheetNames>
    <sheetDataSet>
      <sheetData sheetId="0"/>
      <sheetData sheetId="1"/>
      <sheetData sheetId="2"/>
      <sheetData sheetId="3"/>
      <sheetData sheetId="4"/>
      <sheetData sheetId="5"/>
      <sheetData sheetId="6"/>
      <sheetData sheetId="7"/>
      <sheetData sheetId="8">
        <row r="15">
          <cell r="C15">
            <v>0.9</v>
          </cell>
        </row>
        <row r="17">
          <cell r="C17">
            <v>24.727</v>
          </cell>
        </row>
        <row r="29">
          <cell r="C29">
            <v>11.305</v>
          </cell>
        </row>
        <row r="44">
          <cell r="C44">
            <v>64.971000000000004</v>
          </cell>
        </row>
      </sheetData>
      <sheetData sheetId="9"/>
      <sheetData sheetId="10"/>
      <sheetData sheetId="11"/>
      <sheetData sheetId="12"/>
      <sheetData sheetId="13"/>
      <sheetData sheetId="14">
        <row r="13">
          <cell r="AF13">
            <v>3.7</v>
          </cell>
        </row>
        <row r="16">
          <cell r="AT16">
            <v>3.5</v>
          </cell>
        </row>
      </sheetData>
      <sheetData sheetId="15"/>
      <sheetData sheetId="16"/>
      <sheetData sheetId="17"/>
      <sheetData sheetId="18"/>
      <sheetData sheetId="19"/>
      <sheetData sheetId="20"/>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建筑单价汇总"/>
      <sheetName val="主要材料汇总"/>
      <sheetName val="次要材料汇总"/>
      <sheetName val="施工机械台时汇总"/>
      <sheetName val="主要工程量汇总"/>
      <sheetName val="主要材料量汇总"/>
    </sheetNames>
    <sheetDataSet>
      <sheetData sheetId="0" refreshError="1"/>
      <sheetData sheetId="1" refreshError="1"/>
      <sheetData sheetId="2" refreshError="1">
        <row r="13">
          <cell r="F13">
            <v>120</v>
          </cell>
        </row>
        <row r="17">
          <cell r="F17">
            <v>6</v>
          </cell>
        </row>
        <row r="18">
          <cell r="F18">
            <v>0.8</v>
          </cell>
        </row>
        <row r="19">
          <cell r="F19">
            <v>0.5</v>
          </cell>
        </row>
      </sheetData>
      <sheetData sheetId="3" refreshError="1"/>
      <sheetData sheetId="4" refreshError="1"/>
      <sheetData sheetId="5"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H24"/>
  <sheetViews>
    <sheetView tabSelected="1" workbookViewId="0">
      <selection activeCell="G23" sqref="G23"/>
    </sheetView>
  </sheetViews>
  <sheetFormatPr defaultColWidth="8.75" defaultRowHeight="18.75" customHeight="1"/>
  <cols>
    <col min="1" max="1" width="5.5" customWidth="1"/>
    <col min="2" max="2" width="26.625" customWidth="1"/>
    <col min="3" max="3" width="10.5" customWidth="1"/>
    <col min="4" max="5" width="8.875" customWidth="1"/>
    <col min="6" max="6" width="10.625" customWidth="1"/>
    <col min="7" max="7" width="12.625"/>
    <col min="8" max="8" width="9.625" customWidth="1"/>
    <col min="9" max="9" width="19.375" customWidth="1"/>
    <col min="10" max="10" width="9.75" customWidth="1"/>
    <col min="12" max="12" width="10.75" customWidth="1"/>
    <col min="13" max="13" width="9.5" customWidth="1"/>
    <col min="15" max="15" width="9.5" customWidth="1"/>
  </cols>
  <sheetData>
    <row r="1" spans="1:8" ht="18.75" customHeight="1">
      <c r="A1" s="347" t="s">
        <v>1315</v>
      </c>
      <c r="B1" s="348"/>
      <c r="C1" s="348"/>
      <c r="D1" s="348"/>
      <c r="E1" s="348"/>
      <c r="F1" s="348"/>
    </row>
    <row r="2" spans="1:8" ht="18.75" customHeight="1">
      <c r="A2" s="349" t="s">
        <v>1314</v>
      </c>
      <c r="B2" s="350"/>
      <c r="C2" s="350"/>
      <c r="D2" s="350"/>
      <c r="E2" s="350"/>
      <c r="F2" s="337" t="s">
        <v>0</v>
      </c>
    </row>
    <row r="3" spans="1:8" ht="18.75" customHeight="1">
      <c r="A3" s="356" t="s">
        <v>1</v>
      </c>
      <c r="B3" s="356" t="s">
        <v>2</v>
      </c>
      <c r="C3" s="351" t="s">
        <v>3</v>
      </c>
      <c r="D3" s="352"/>
      <c r="E3" s="352"/>
      <c r="F3" s="353"/>
    </row>
    <row r="4" spans="1:8" ht="28.5" customHeight="1">
      <c r="A4" s="356"/>
      <c r="B4" s="356"/>
      <c r="C4" s="340" t="s">
        <v>4</v>
      </c>
      <c r="D4" s="340" t="s">
        <v>5</v>
      </c>
      <c r="E4" s="340" t="s">
        <v>6</v>
      </c>
      <c r="F4" s="341" t="s">
        <v>7</v>
      </c>
    </row>
    <row r="5" spans="1:8" ht="18.75" customHeight="1">
      <c r="A5" s="351" t="s">
        <v>8</v>
      </c>
      <c r="B5" s="353"/>
      <c r="C5" s="342">
        <f>SUM(C6:C9)</f>
        <v>186.53482679353658</v>
      </c>
      <c r="D5" s="342"/>
      <c r="E5" s="342"/>
      <c r="F5" s="343">
        <f t="shared" ref="F5:F10" si="0">SUM(C5:E5)</f>
        <v>186.53482679353658</v>
      </c>
    </row>
    <row r="6" spans="1:8" ht="18.75" customHeight="1">
      <c r="A6" s="176">
        <v>1</v>
      </c>
      <c r="B6" s="344" t="s">
        <v>9</v>
      </c>
      <c r="C6" s="58">
        <f>渠道工程!F4/10000</f>
        <v>37.983257747223895</v>
      </c>
      <c r="D6" s="58"/>
      <c r="E6" s="58"/>
      <c r="F6" s="121">
        <f t="shared" si="0"/>
        <v>37.983257747223895</v>
      </c>
    </row>
    <row r="7" spans="1:8" ht="18.75" customHeight="1">
      <c r="A7" s="345">
        <v>2</v>
      </c>
      <c r="B7" s="344" t="s">
        <v>10</v>
      </c>
      <c r="C7" s="58">
        <f>渠道工程!F83/10000</f>
        <v>131.62888282003772</v>
      </c>
      <c r="D7" s="58"/>
      <c r="E7" s="58"/>
      <c r="F7" s="121">
        <f t="shared" si="0"/>
        <v>131.62888282003772</v>
      </c>
    </row>
    <row r="8" spans="1:8" ht="18.75" customHeight="1">
      <c r="A8" s="345">
        <v>3</v>
      </c>
      <c r="B8" s="344" t="s">
        <v>11</v>
      </c>
      <c r="C8" s="58">
        <f>渠道工程!F219/10000</f>
        <v>5.1451768477271802</v>
      </c>
      <c r="D8" s="58"/>
      <c r="E8" s="58"/>
      <c r="F8" s="121">
        <f t="shared" si="0"/>
        <v>5.1451768477271802</v>
      </c>
    </row>
    <row r="9" spans="1:8" ht="18.75" customHeight="1">
      <c r="A9" s="345">
        <v>4</v>
      </c>
      <c r="B9" s="344" t="s">
        <v>12</v>
      </c>
      <c r="C9" s="58">
        <f>渠道工程!F249/10000</f>
        <v>11.777509378547801</v>
      </c>
      <c r="D9" s="58"/>
      <c r="E9" s="58"/>
      <c r="F9" s="121">
        <f t="shared" si="0"/>
        <v>11.777509378547801</v>
      </c>
    </row>
    <row r="10" spans="1:8" ht="18.75" customHeight="1">
      <c r="A10" s="351" t="s">
        <v>13</v>
      </c>
      <c r="B10" s="353"/>
      <c r="C10" s="342">
        <f>金结!G5/10000</f>
        <v>2.1939500000000001</v>
      </c>
      <c r="D10" s="342">
        <f>金结!H5/10000</f>
        <v>21.939499999999999</v>
      </c>
      <c r="E10" s="342"/>
      <c r="F10" s="343">
        <f t="shared" si="0"/>
        <v>24.13345</v>
      </c>
    </row>
    <row r="11" spans="1:8" ht="18.75" customHeight="1">
      <c r="A11" s="351" t="s">
        <v>14</v>
      </c>
      <c r="B11" s="353"/>
      <c r="C11" s="342">
        <f>C5+C10</f>
        <v>188.72877679353658</v>
      </c>
      <c r="D11" s="342">
        <f>D5+D10</f>
        <v>21.939499999999999</v>
      </c>
      <c r="E11" s="342"/>
      <c r="F11" s="343">
        <f t="shared" ref="F11:F20" si="1">SUM(C11:E11)</f>
        <v>210.66827679353659</v>
      </c>
      <c r="H11" s="275"/>
    </row>
    <row r="12" spans="1:8" ht="18.75" customHeight="1">
      <c r="A12" s="351" t="s">
        <v>15</v>
      </c>
      <c r="B12" s="353"/>
      <c r="C12" s="342">
        <f>C11*0.01</f>
        <v>1.8872877679353659</v>
      </c>
      <c r="D12" s="342"/>
      <c r="E12" s="342"/>
      <c r="F12" s="343">
        <f t="shared" si="1"/>
        <v>1.8872877679353659</v>
      </c>
    </row>
    <row r="13" spans="1:8" ht="18.75" customHeight="1">
      <c r="A13" s="351" t="s">
        <v>16</v>
      </c>
      <c r="B13" s="353"/>
      <c r="C13" s="342">
        <f>C11+C12</f>
        <v>190.61606456147194</v>
      </c>
      <c r="D13" s="342">
        <f>D11+D12</f>
        <v>21.939499999999999</v>
      </c>
      <c r="E13" s="342"/>
      <c r="F13" s="343">
        <f t="shared" si="1"/>
        <v>212.55556456147195</v>
      </c>
    </row>
    <row r="14" spans="1:8" ht="18.75" customHeight="1">
      <c r="A14" s="351" t="s">
        <v>17</v>
      </c>
      <c r="B14" s="353"/>
      <c r="C14" s="342"/>
      <c r="D14" s="342"/>
      <c r="E14" s="342">
        <f>SUM(E15:E18)</f>
        <v>27.193433392991352</v>
      </c>
      <c r="F14" s="343">
        <f t="shared" si="1"/>
        <v>27.193433392991352</v>
      </c>
    </row>
    <row r="15" spans="1:8" ht="18.75" customHeight="1">
      <c r="A15" s="338" t="s">
        <v>18</v>
      </c>
      <c r="B15" s="344" t="s">
        <v>19</v>
      </c>
      <c r="C15" s="342"/>
      <c r="D15" s="342"/>
      <c r="E15" s="58">
        <f>F13*6%</f>
        <v>12.753333873688316</v>
      </c>
      <c r="F15" s="121">
        <f t="shared" si="1"/>
        <v>12.753333873688316</v>
      </c>
    </row>
    <row r="16" spans="1:8" ht="18.75" customHeight="1">
      <c r="A16" s="338" t="s">
        <v>20</v>
      </c>
      <c r="B16" s="344" t="s">
        <v>21</v>
      </c>
      <c r="C16" s="58"/>
      <c r="D16" s="58"/>
      <c r="E16" s="58">
        <f>F13*2.5%</f>
        <v>5.3138891140367992</v>
      </c>
      <c r="F16" s="121">
        <f t="shared" si="1"/>
        <v>5.3138891140367992</v>
      </c>
    </row>
    <row r="17" spans="1:7" ht="18.75" customHeight="1">
      <c r="A17" s="338" t="s">
        <v>22</v>
      </c>
      <c r="B17" s="344" t="s">
        <v>23</v>
      </c>
      <c r="C17" s="58"/>
      <c r="D17" s="58"/>
      <c r="E17" s="58">
        <f>F13*2.5%</f>
        <v>5.3138891140367992</v>
      </c>
      <c r="F17" s="121">
        <f t="shared" si="1"/>
        <v>5.3138891140367992</v>
      </c>
    </row>
    <row r="18" spans="1:7" ht="18.75" customHeight="1">
      <c r="A18" s="345" t="s">
        <v>24</v>
      </c>
      <c r="B18" s="344" t="s">
        <v>25</v>
      </c>
      <c r="C18" s="58"/>
      <c r="D18" s="58"/>
      <c r="E18" s="58">
        <f>E19+E20</f>
        <v>3.8123212912294391</v>
      </c>
      <c r="F18" s="121">
        <f t="shared" si="1"/>
        <v>3.8123212912294391</v>
      </c>
    </row>
    <row r="19" spans="1:7" ht="18.75" customHeight="1">
      <c r="A19" s="339"/>
      <c r="B19" s="344" t="s">
        <v>26</v>
      </c>
      <c r="C19" s="58"/>
      <c r="D19" s="58"/>
      <c r="E19" s="58">
        <f>C13*1.5%</f>
        <v>2.8592409684220792</v>
      </c>
      <c r="F19" s="121">
        <f t="shared" si="1"/>
        <v>2.8592409684220792</v>
      </c>
    </row>
    <row r="20" spans="1:7" ht="18.75" customHeight="1">
      <c r="A20" s="339"/>
      <c r="B20" s="344" t="s">
        <v>27</v>
      </c>
      <c r="C20" s="58"/>
      <c r="D20" s="58"/>
      <c r="E20" s="58">
        <f>C13*0.5%</f>
        <v>0.95308032280735977</v>
      </c>
      <c r="F20" s="121">
        <f t="shared" si="1"/>
        <v>0.95308032280735977</v>
      </c>
    </row>
    <row r="21" spans="1:7" ht="18.75" customHeight="1">
      <c r="A21" s="351" t="s">
        <v>28</v>
      </c>
      <c r="B21" s="353"/>
      <c r="C21" s="342"/>
      <c r="D21" s="342"/>
      <c r="E21" s="342"/>
      <c r="F21" s="343">
        <f>F14+F13</f>
        <v>239.74899795446331</v>
      </c>
    </row>
    <row r="22" spans="1:7" ht="18.75" customHeight="1">
      <c r="A22" s="354" t="s">
        <v>29</v>
      </c>
      <c r="B22" s="355"/>
      <c r="C22" s="342"/>
      <c r="D22" s="342"/>
      <c r="E22" s="342"/>
      <c r="F22" s="343">
        <f>F21*5%</f>
        <v>11.987449897723167</v>
      </c>
    </row>
    <row r="23" spans="1:7" ht="18.75" customHeight="1">
      <c r="A23" s="351" t="s">
        <v>1316</v>
      </c>
      <c r="B23" s="353"/>
      <c r="C23" s="346"/>
      <c r="D23" s="346"/>
      <c r="E23" s="346"/>
      <c r="F23" s="343">
        <f>F21+F22</f>
        <v>251.73644785218647</v>
      </c>
    </row>
    <row r="24" spans="1:7" ht="18.75" customHeight="1">
      <c r="G24" s="275"/>
    </row>
  </sheetData>
  <mergeCells count="14">
    <mergeCell ref="A22:B22"/>
    <mergeCell ref="A23:B23"/>
    <mergeCell ref="A3:A4"/>
    <mergeCell ref="B3:B4"/>
    <mergeCell ref="A11:B11"/>
    <mergeCell ref="A12:B12"/>
    <mergeCell ref="A13:B13"/>
    <mergeCell ref="A14:B14"/>
    <mergeCell ref="A21:B21"/>
    <mergeCell ref="A1:F1"/>
    <mergeCell ref="A2:E2"/>
    <mergeCell ref="C3:F3"/>
    <mergeCell ref="A5:B5"/>
    <mergeCell ref="A10:B10"/>
  </mergeCells>
  <phoneticPr fontId="79" type="noConversion"/>
  <pageMargins left="0.69930555555555596" right="0.69930555555555596" top="0.75" bottom="0.75" header="0.3" footer="0.3"/>
  <pageSetup paperSize="9" orientation="portrait"/>
</worksheet>
</file>

<file path=xl/worksheets/sheet10.xml><?xml version="1.0" encoding="utf-8"?>
<worksheet xmlns="http://schemas.openxmlformats.org/spreadsheetml/2006/main" xmlns:r="http://schemas.openxmlformats.org/officeDocument/2006/relationships">
  <sheetPr>
    <tabColor indexed="11"/>
  </sheetPr>
  <dimension ref="A1:X92"/>
  <sheetViews>
    <sheetView topLeftCell="A47" workbookViewId="0">
      <selection activeCell="B56" sqref="B56"/>
    </sheetView>
  </sheetViews>
  <sheetFormatPr defaultColWidth="9" defaultRowHeight="14.25"/>
  <cols>
    <col min="2" max="2" width="21.375" customWidth="1"/>
    <col min="7" max="9" width="9" hidden="1" customWidth="1"/>
    <col min="10" max="10" width="14.75" hidden="1" customWidth="1"/>
    <col min="11" max="11" width="20.75" hidden="1" customWidth="1"/>
    <col min="12" max="17" width="9" hidden="1" customWidth="1"/>
  </cols>
  <sheetData>
    <row r="1" spans="1:17" ht="20.100000000000001" customHeight="1">
      <c r="A1" s="388" t="s">
        <v>520</v>
      </c>
      <c r="B1" s="388"/>
      <c r="C1" s="388"/>
      <c r="D1" s="388"/>
      <c r="E1" s="388"/>
      <c r="F1" s="388"/>
      <c r="G1" s="388"/>
      <c r="H1" s="388"/>
      <c r="P1" s="152"/>
    </row>
    <row r="2" spans="1:17" ht="20.100000000000001" customHeight="1">
      <c r="A2" s="125"/>
      <c r="B2" s="125"/>
      <c r="C2" s="125"/>
      <c r="D2" s="125"/>
      <c r="E2" s="125"/>
      <c r="F2" s="125"/>
      <c r="I2" s="389" t="s">
        <v>521</v>
      </c>
      <c r="J2" s="390"/>
      <c r="K2" s="390"/>
      <c r="L2" s="390"/>
      <c r="M2" s="390"/>
      <c r="N2" s="390" t="s">
        <v>522</v>
      </c>
      <c r="O2" s="390"/>
      <c r="P2" s="390"/>
      <c r="Q2" s="390"/>
    </row>
    <row r="3" spans="1:17" ht="20.100000000000001" customHeight="1">
      <c r="A3" s="126" t="s">
        <v>523</v>
      </c>
      <c r="B3" s="126" t="s">
        <v>524</v>
      </c>
      <c r="C3" s="391" t="s">
        <v>525</v>
      </c>
      <c r="D3" s="392"/>
      <c r="E3" s="391" t="s">
        <v>526</v>
      </c>
      <c r="F3" s="392"/>
      <c r="G3" s="391"/>
      <c r="H3" s="392"/>
      <c r="I3" s="153" t="s">
        <v>523</v>
      </c>
      <c r="J3" s="154" t="s">
        <v>527</v>
      </c>
      <c r="K3" s="154" t="s">
        <v>528</v>
      </c>
      <c r="L3" s="154" t="s">
        <v>529</v>
      </c>
      <c r="M3" s="154" t="s">
        <v>530</v>
      </c>
      <c r="N3" s="153" t="s">
        <v>523</v>
      </c>
      <c r="O3" s="155" t="s">
        <v>531</v>
      </c>
      <c r="P3" s="156" t="s">
        <v>532</v>
      </c>
      <c r="Q3" s="153" t="s">
        <v>530</v>
      </c>
    </row>
    <row r="4" spans="1:17" ht="20.100000000000001" customHeight="1">
      <c r="A4" s="129" t="s">
        <v>18</v>
      </c>
      <c r="B4" s="129" t="s">
        <v>533</v>
      </c>
      <c r="C4" s="393">
        <f>D15+D16+D17+D18</f>
        <v>1.2074091998882321</v>
      </c>
      <c r="D4" s="394"/>
      <c r="E4" s="393">
        <f>F15+F16+F17+F18</f>
        <v>0</v>
      </c>
      <c r="F4" s="394"/>
      <c r="G4" s="393"/>
      <c r="H4" s="394"/>
      <c r="I4" s="153">
        <v>1</v>
      </c>
      <c r="J4" s="395" t="s">
        <v>534</v>
      </c>
      <c r="K4" s="154" t="s">
        <v>535</v>
      </c>
      <c r="L4" s="154" t="s">
        <v>536</v>
      </c>
      <c r="M4" s="157">
        <v>0.7</v>
      </c>
      <c r="N4" s="153">
        <v>1</v>
      </c>
      <c r="O4" s="158" t="s">
        <v>537</v>
      </c>
      <c r="P4" s="159">
        <v>1.4</v>
      </c>
      <c r="Q4" s="153"/>
    </row>
    <row r="5" spans="1:17" ht="20.100000000000001" customHeight="1">
      <c r="A5" s="126">
        <v>1</v>
      </c>
      <c r="B5" s="132" t="s">
        <v>538</v>
      </c>
      <c r="C5" s="396">
        <f>C6*C10*C11*C12*(1+C13)</f>
        <v>1.0499210433810715</v>
      </c>
      <c r="D5" s="397"/>
      <c r="E5" s="396">
        <f>E6*E10*E11*E12*(1+E13)</f>
        <v>0</v>
      </c>
      <c r="F5" s="397"/>
      <c r="G5" s="396"/>
      <c r="H5" s="397"/>
      <c r="I5" s="153">
        <v>2</v>
      </c>
      <c r="J5" s="395"/>
      <c r="K5" s="154" t="s">
        <v>539</v>
      </c>
      <c r="L5" s="154" t="s">
        <v>540</v>
      </c>
      <c r="M5" s="157">
        <v>1.1000000000000001</v>
      </c>
      <c r="N5" s="153">
        <v>2</v>
      </c>
      <c r="O5" s="158" t="s">
        <v>541</v>
      </c>
      <c r="P5" s="159">
        <v>1.04</v>
      </c>
      <c r="Q5" s="153"/>
    </row>
    <row r="6" spans="1:17" ht="20.100000000000001" customHeight="1">
      <c r="A6" s="126">
        <v>1.1000000000000001</v>
      </c>
      <c r="B6" s="132" t="s">
        <v>542</v>
      </c>
      <c r="C6" s="396">
        <f>C9+(C7-C8)/(D8-C8)*(D9-C9)</f>
        <v>2.5733358906398811</v>
      </c>
      <c r="D6" s="397"/>
      <c r="E6" s="396">
        <f>E9+(E7-E8)/(F8-E8)*(F9-E9)</f>
        <v>0</v>
      </c>
      <c r="F6" s="397"/>
      <c r="G6" s="396"/>
      <c r="H6" s="397"/>
      <c r="I6" s="153">
        <v>3</v>
      </c>
      <c r="J6" s="155" t="s">
        <v>543</v>
      </c>
      <c r="K6" s="154" t="s">
        <v>544</v>
      </c>
      <c r="L6" s="154" t="s">
        <v>545</v>
      </c>
      <c r="M6" s="157">
        <v>1.2</v>
      </c>
      <c r="N6" s="153">
        <v>3</v>
      </c>
      <c r="O6" s="158" t="s">
        <v>546</v>
      </c>
      <c r="P6" s="159">
        <v>1.7</v>
      </c>
      <c r="Q6" s="153"/>
    </row>
    <row r="7" spans="1:17" ht="20.100000000000001" customHeight="1">
      <c r="A7" s="132"/>
      <c r="B7" s="135" t="s">
        <v>547</v>
      </c>
      <c r="C7" s="393">
        <f>总!C6</f>
        <v>37.983257747223895</v>
      </c>
      <c r="D7" s="394"/>
      <c r="E7" s="393">
        <v>0</v>
      </c>
      <c r="F7" s="394"/>
      <c r="G7" s="398">
        <f>E7+C7</f>
        <v>37.983257747223895</v>
      </c>
      <c r="H7" s="399"/>
      <c r="I7" s="153">
        <v>4</v>
      </c>
      <c r="J7" s="160" t="s">
        <v>548</v>
      </c>
      <c r="K7" s="160" t="s">
        <v>549</v>
      </c>
      <c r="L7" s="154" t="s">
        <v>545</v>
      </c>
      <c r="M7" s="153">
        <v>1</v>
      </c>
      <c r="N7" s="153">
        <v>4</v>
      </c>
      <c r="O7" s="158" t="s">
        <v>550</v>
      </c>
      <c r="P7" s="159" t="s">
        <v>551</v>
      </c>
      <c r="Q7" s="153"/>
    </row>
    <row r="8" spans="1:17" ht="20.100000000000001" customHeight="1">
      <c r="A8" s="126"/>
      <c r="B8" s="137" t="s">
        <v>552</v>
      </c>
      <c r="C8" s="138">
        <f>C75</f>
        <v>200</v>
      </c>
      <c r="D8" s="138">
        <f>C76</f>
        <v>500</v>
      </c>
      <c r="E8" s="138"/>
      <c r="F8" s="138">
        <f>C76</f>
        <v>500</v>
      </c>
      <c r="G8" s="139"/>
      <c r="H8" s="139"/>
      <c r="I8" s="153">
        <v>5</v>
      </c>
      <c r="J8" s="155" t="s">
        <v>553</v>
      </c>
      <c r="K8" s="154" t="s">
        <v>554</v>
      </c>
      <c r="L8" s="154" t="s">
        <v>555</v>
      </c>
      <c r="M8" s="153">
        <v>1</v>
      </c>
      <c r="N8" s="153">
        <v>5</v>
      </c>
      <c r="O8" s="158" t="s">
        <v>556</v>
      </c>
      <c r="P8" s="161">
        <v>0.8</v>
      </c>
      <c r="Q8" s="157">
        <v>0.8</v>
      </c>
    </row>
    <row r="9" spans="1:17" ht="20.100000000000001" customHeight="1">
      <c r="A9" s="126"/>
      <c r="B9" s="137" t="s">
        <v>557</v>
      </c>
      <c r="C9" s="126">
        <f>D75</f>
        <v>9</v>
      </c>
      <c r="D9" s="126">
        <f>D76</f>
        <v>20.9</v>
      </c>
      <c r="E9" s="126"/>
      <c r="F9" s="126">
        <f>D76</f>
        <v>20.9</v>
      </c>
      <c r="G9" s="139"/>
      <c r="H9" s="139"/>
      <c r="I9" s="153">
        <v>6</v>
      </c>
      <c r="J9" s="155" t="s">
        <v>558</v>
      </c>
      <c r="K9" s="154" t="s">
        <v>559</v>
      </c>
      <c r="L9" s="154" t="s">
        <v>560</v>
      </c>
      <c r="M9" s="157">
        <v>1.2</v>
      </c>
      <c r="N9" s="153">
        <v>6</v>
      </c>
      <c r="O9" s="158" t="s">
        <v>561</v>
      </c>
      <c r="P9" s="161" t="s">
        <v>562</v>
      </c>
      <c r="Q9" s="153"/>
    </row>
    <row r="10" spans="1:17" ht="20.100000000000001" customHeight="1">
      <c r="A10" s="126">
        <v>1.2</v>
      </c>
      <c r="B10" s="132" t="s">
        <v>532</v>
      </c>
      <c r="C10" s="400">
        <v>0.8</v>
      </c>
      <c r="D10" s="401"/>
      <c r="E10" s="400">
        <v>0.8</v>
      </c>
      <c r="F10" s="401"/>
      <c r="G10" s="400"/>
      <c r="H10" s="401"/>
      <c r="I10" s="162">
        <v>7</v>
      </c>
      <c r="J10" s="155" t="s">
        <v>563</v>
      </c>
      <c r="K10" s="154" t="s">
        <v>564</v>
      </c>
      <c r="L10" s="154" t="s">
        <v>555</v>
      </c>
      <c r="M10" s="153">
        <v>1</v>
      </c>
      <c r="N10" s="162">
        <v>7</v>
      </c>
      <c r="O10" s="155" t="s">
        <v>565</v>
      </c>
      <c r="P10" s="161" t="s">
        <v>566</v>
      </c>
      <c r="Q10" s="153"/>
    </row>
    <row r="11" spans="1:17" ht="20.100000000000001" customHeight="1">
      <c r="A11" s="126">
        <v>1.3</v>
      </c>
      <c r="B11" s="132" t="s">
        <v>567</v>
      </c>
      <c r="C11" s="400">
        <v>0.85</v>
      </c>
      <c r="D11" s="401"/>
      <c r="E11" s="400">
        <v>0.85</v>
      </c>
      <c r="F11" s="401"/>
      <c r="G11" s="400"/>
      <c r="H11" s="401"/>
      <c r="I11" s="163">
        <v>8</v>
      </c>
      <c r="J11" s="154" t="s">
        <v>568</v>
      </c>
      <c r="K11" s="164" t="s">
        <v>569</v>
      </c>
      <c r="L11" s="154" t="s">
        <v>545</v>
      </c>
      <c r="M11" s="153">
        <v>1</v>
      </c>
      <c r="N11" s="163">
        <v>8</v>
      </c>
      <c r="O11" s="155" t="s">
        <v>570</v>
      </c>
      <c r="P11" s="161" t="s">
        <v>571</v>
      </c>
      <c r="Q11" s="153"/>
    </row>
    <row r="12" spans="1:17" ht="20.100000000000001" customHeight="1">
      <c r="A12" s="126">
        <v>1.4</v>
      </c>
      <c r="B12" s="132" t="s">
        <v>572</v>
      </c>
      <c r="C12" s="400">
        <v>0.6</v>
      </c>
      <c r="D12" s="401"/>
      <c r="E12" s="400">
        <v>0.7</v>
      </c>
      <c r="F12" s="401"/>
      <c r="G12" s="400"/>
      <c r="H12" s="401"/>
      <c r="I12" s="163">
        <v>9</v>
      </c>
      <c r="J12" s="154" t="s">
        <v>573</v>
      </c>
      <c r="K12" s="154" t="s">
        <v>574</v>
      </c>
      <c r="L12" s="154" t="s">
        <v>575</v>
      </c>
      <c r="M12" s="162">
        <v>1</v>
      </c>
      <c r="N12" s="163">
        <v>9</v>
      </c>
      <c r="O12" s="158"/>
      <c r="P12" s="152"/>
    </row>
    <row r="13" spans="1:17" ht="20.100000000000001" customHeight="1">
      <c r="A13" s="126">
        <v>2</v>
      </c>
      <c r="B13" s="132" t="s">
        <v>576</v>
      </c>
      <c r="C13" s="402"/>
      <c r="D13" s="403"/>
      <c r="E13" s="402"/>
      <c r="F13" s="403"/>
      <c r="G13" s="402"/>
      <c r="H13" s="403"/>
      <c r="J13" s="155" t="s">
        <v>7</v>
      </c>
      <c r="M13" s="165">
        <f>SUM(M4:M12)-9+1</f>
        <v>1.2</v>
      </c>
      <c r="N13" s="152"/>
      <c r="O13" s="166"/>
      <c r="P13" s="152"/>
    </row>
    <row r="14" spans="1:17" ht="20.100000000000001" customHeight="1">
      <c r="A14" s="126">
        <v>3</v>
      </c>
      <c r="B14" s="132" t="s">
        <v>577</v>
      </c>
      <c r="C14" s="144" t="s">
        <v>578</v>
      </c>
      <c r="D14" s="144" t="s">
        <v>579</v>
      </c>
      <c r="E14" s="144" t="s">
        <v>578</v>
      </c>
      <c r="F14" s="144" t="s">
        <v>579</v>
      </c>
      <c r="G14" s="144"/>
      <c r="H14" s="144"/>
      <c r="O14" s="166"/>
      <c r="P14" s="152"/>
    </row>
    <row r="15" spans="1:17" ht="20.100000000000001" customHeight="1">
      <c r="A15" s="126">
        <v>3.1</v>
      </c>
      <c r="B15" s="132" t="s">
        <v>580</v>
      </c>
      <c r="C15" s="145">
        <v>0.73</v>
      </c>
      <c r="D15" s="146">
        <f>C5*C15</f>
        <v>0.76644236166818214</v>
      </c>
      <c r="E15" s="145">
        <v>0.68</v>
      </c>
      <c r="F15" s="146">
        <f>E5*E15</f>
        <v>0</v>
      </c>
      <c r="G15" s="147"/>
      <c r="H15" s="146"/>
      <c r="I15" s="390" t="s">
        <v>581</v>
      </c>
      <c r="J15" s="390"/>
      <c r="K15" s="390"/>
      <c r="L15" s="390"/>
      <c r="M15" s="390"/>
      <c r="N15" s="390"/>
      <c r="O15" s="390"/>
      <c r="P15" s="390"/>
    </row>
    <row r="16" spans="1:17" ht="20.100000000000001" customHeight="1">
      <c r="A16" s="126">
        <v>3.2</v>
      </c>
      <c r="B16" s="132" t="s">
        <v>582</v>
      </c>
      <c r="C16" s="145">
        <v>0.03</v>
      </c>
      <c r="D16" s="146">
        <f>C5*C16</f>
        <v>3.1497631301432141E-2</v>
      </c>
      <c r="E16" s="145">
        <v>0.04</v>
      </c>
      <c r="F16" s="146">
        <f>E5*E16</f>
        <v>0</v>
      </c>
      <c r="G16" s="147"/>
      <c r="H16" s="146"/>
      <c r="I16" s="163" t="s">
        <v>523</v>
      </c>
      <c r="J16" s="154"/>
      <c r="K16" s="154" t="s">
        <v>583</v>
      </c>
      <c r="L16" s="154" t="s">
        <v>530</v>
      </c>
      <c r="M16" s="154"/>
      <c r="N16" s="154"/>
      <c r="O16" s="154" t="s">
        <v>583</v>
      </c>
      <c r="P16" s="153" t="s">
        <v>530</v>
      </c>
    </row>
    <row r="17" spans="1:16" ht="20.100000000000001" customHeight="1">
      <c r="A17" s="126">
        <v>3.3</v>
      </c>
      <c r="B17" s="132" t="s">
        <v>584</v>
      </c>
      <c r="C17" s="145">
        <v>0.24</v>
      </c>
      <c r="D17" s="146">
        <f>C5*C17</f>
        <v>0.25198105041145713</v>
      </c>
      <c r="E17" s="145">
        <v>0.28000000000000003</v>
      </c>
      <c r="F17" s="146">
        <f>E5*E17</f>
        <v>0</v>
      </c>
      <c r="G17" s="147"/>
      <c r="H17" s="146"/>
      <c r="I17" s="426">
        <v>1</v>
      </c>
      <c r="J17" s="404" t="s">
        <v>585</v>
      </c>
      <c r="K17" s="153">
        <v>-5</v>
      </c>
      <c r="L17" s="153"/>
      <c r="M17" s="404">
        <v>6</v>
      </c>
      <c r="N17" s="404" t="s">
        <v>586</v>
      </c>
      <c r="O17" s="153">
        <v>-2</v>
      </c>
      <c r="P17" s="153"/>
    </row>
    <row r="18" spans="1:16" ht="20.100000000000001" customHeight="1">
      <c r="A18" s="126">
        <v>4</v>
      </c>
      <c r="B18" s="132" t="s">
        <v>587</v>
      </c>
      <c r="C18" s="144">
        <v>0.15</v>
      </c>
      <c r="D18" s="146">
        <f>C5*C18</f>
        <v>0.15748815650716072</v>
      </c>
      <c r="E18" s="144">
        <v>0.15</v>
      </c>
      <c r="F18" s="146">
        <f>E5*E18</f>
        <v>0</v>
      </c>
      <c r="G18" s="144"/>
      <c r="H18" s="146"/>
      <c r="I18" s="426"/>
      <c r="J18" s="404"/>
      <c r="K18" s="153">
        <v>-2</v>
      </c>
      <c r="L18" s="153">
        <v>-2</v>
      </c>
      <c r="M18" s="404"/>
      <c r="N18" s="404"/>
      <c r="O18" s="153">
        <v>1</v>
      </c>
      <c r="P18" s="153"/>
    </row>
    <row r="19" spans="1:16" ht="20.100000000000001" customHeight="1">
      <c r="A19" s="126"/>
      <c r="B19" s="132"/>
      <c r="C19" s="144"/>
      <c r="D19" s="144"/>
      <c r="E19" s="144"/>
      <c r="F19" s="144"/>
      <c r="G19" s="139"/>
      <c r="H19" s="139"/>
      <c r="I19" s="426"/>
      <c r="J19" s="404"/>
      <c r="K19" s="153">
        <v>1</v>
      </c>
      <c r="L19" s="153"/>
      <c r="M19" s="404"/>
      <c r="N19" s="404"/>
      <c r="O19" s="153">
        <v>2</v>
      </c>
      <c r="P19" s="153">
        <v>2</v>
      </c>
    </row>
    <row r="20" spans="1:16" ht="20.100000000000001" hidden="1" customHeight="1">
      <c r="A20" s="129" t="s">
        <v>20</v>
      </c>
      <c r="B20" s="129" t="s">
        <v>588</v>
      </c>
      <c r="C20" s="393">
        <f>D33+D34+D35</f>
        <v>0</v>
      </c>
      <c r="D20" s="394"/>
      <c r="E20" s="393">
        <f>F33+F34+F35</f>
        <v>0</v>
      </c>
      <c r="F20" s="394"/>
      <c r="G20" s="393"/>
      <c r="H20" s="394"/>
      <c r="I20" s="426"/>
      <c r="J20" s="404"/>
      <c r="K20" s="153">
        <v>3</v>
      </c>
      <c r="L20" s="153"/>
      <c r="M20" s="404"/>
      <c r="N20" s="404"/>
      <c r="O20" s="153">
        <v>3</v>
      </c>
      <c r="P20" s="153"/>
    </row>
    <row r="21" spans="1:16" ht="20.100000000000001" hidden="1" customHeight="1">
      <c r="A21" s="126">
        <v>1</v>
      </c>
      <c r="B21" s="132" t="s">
        <v>538</v>
      </c>
      <c r="C21" s="396">
        <f>C22*C26*C27*C28*C29*C30*(1+C31)</f>
        <v>0</v>
      </c>
      <c r="D21" s="397"/>
      <c r="E21" s="396">
        <f>E22*E26*E27*E28*E29*E30*(1+E31)</f>
        <v>0</v>
      </c>
      <c r="F21" s="397"/>
      <c r="G21" s="396"/>
      <c r="H21" s="397"/>
      <c r="I21" s="426"/>
      <c r="J21" s="404"/>
      <c r="K21" s="153">
        <v>5</v>
      </c>
      <c r="L21" s="153"/>
      <c r="M21" s="404">
        <v>7</v>
      </c>
      <c r="N21" s="405" t="s">
        <v>589</v>
      </c>
      <c r="O21" s="153">
        <v>-2</v>
      </c>
      <c r="P21" s="153">
        <v>-2</v>
      </c>
    </row>
    <row r="22" spans="1:16" ht="20.100000000000001" hidden="1" customHeight="1">
      <c r="A22" s="126">
        <v>1.1000000000000001</v>
      </c>
      <c r="B22" s="132" t="s">
        <v>542</v>
      </c>
      <c r="C22" s="396">
        <f>C25+(C23-C24)/(D24-C24)*(D25-C25)</f>
        <v>0</v>
      </c>
      <c r="D22" s="397"/>
      <c r="E22" s="396">
        <f>E25+(E23-E24)/(F24-E24)*(F25-E25)</f>
        <v>0</v>
      </c>
      <c r="F22" s="397"/>
      <c r="G22" s="406"/>
      <c r="H22" s="399"/>
      <c r="I22" s="425">
        <v>2</v>
      </c>
      <c r="J22" s="404" t="s">
        <v>590</v>
      </c>
      <c r="K22" s="153">
        <v>-1</v>
      </c>
      <c r="L22" s="153">
        <v>-1</v>
      </c>
      <c r="M22" s="404"/>
      <c r="N22" s="405"/>
      <c r="O22" s="153">
        <v>1</v>
      </c>
      <c r="P22" s="153"/>
    </row>
    <row r="23" spans="1:16" ht="20.100000000000001" hidden="1" customHeight="1">
      <c r="A23" s="126"/>
      <c r="B23" s="135" t="s">
        <v>547</v>
      </c>
      <c r="C23" s="396">
        <f>C7</f>
        <v>37.983257747223895</v>
      </c>
      <c r="D23" s="397"/>
      <c r="E23" s="396">
        <f>E7</f>
        <v>0</v>
      </c>
      <c r="F23" s="397"/>
      <c r="G23" s="406"/>
      <c r="H23" s="399"/>
      <c r="I23" s="425"/>
      <c r="J23" s="404"/>
      <c r="K23" s="153">
        <v>1</v>
      </c>
      <c r="L23" s="153"/>
      <c r="M23" s="404"/>
      <c r="N23" s="405"/>
      <c r="O23" s="153">
        <v>2</v>
      </c>
      <c r="P23" s="153"/>
    </row>
    <row r="24" spans="1:16" ht="20.100000000000001" hidden="1" customHeight="1">
      <c r="A24" s="126"/>
      <c r="B24" s="137" t="s">
        <v>552</v>
      </c>
      <c r="C24" s="138">
        <f>C8</f>
        <v>200</v>
      </c>
      <c r="D24" s="138">
        <f>D8</f>
        <v>500</v>
      </c>
      <c r="E24" s="138">
        <f>C24</f>
        <v>200</v>
      </c>
      <c r="F24" s="138">
        <f>D24</f>
        <v>500</v>
      </c>
      <c r="G24" s="139"/>
      <c r="H24" s="139"/>
      <c r="I24" s="425"/>
      <c r="J24" s="404"/>
      <c r="K24" s="153">
        <v>2</v>
      </c>
      <c r="L24" s="153"/>
      <c r="M24" s="404"/>
      <c r="N24" s="405"/>
      <c r="O24" s="153">
        <v>4</v>
      </c>
      <c r="P24" s="153"/>
    </row>
    <row r="25" spans="1:16" ht="20.100000000000001" hidden="1" customHeight="1">
      <c r="A25" s="126"/>
      <c r="B25" s="137" t="s">
        <v>557</v>
      </c>
      <c r="C25" s="126">
        <v>0</v>
      </c>
      <c r="D25" s="126">
        <v>0</v>
      </c>
      <c r="E25" s="126">
        <f>C25</f>
        <v>0</v>
      </c>
      <c r="F25" s="126">
        <f>D25</f>
        <v>0</v>
      </c>
      <c r="G25" s="139"/>
      <c r="H25" s="139"/>
      <c r="I25" s="425"/>
      <c r="J25" s="404"/>
      <c r="K25" s="153">
        <v>3</v>
      </c>
      <c r="L25" s="153"/>
      <c r="M25" s="404">
        <v>8</v>
      </c>
      <c r="N25" s="404" t="s">
        <v>591</v>
      </c>
      <c r="O25" s="153">
        <v>-2</v>
      </c>
      <c r="P25" s="153"/>
    </row>
    <row r="26" spans="1:16" ht="20.100000000000001" hidden="1" customHeight="1">
      <c r="A26" s="126">
        <v>1.2</v>
      </c>
      <c r="B26" s="132" t="s">
        <v>592</v>
      </c>
      <c r="C26" s="400">
        <v>0.8</v>
      </c>
      <c r="D26" s="401"/>
      <c r="E26" s="400">
        <v>1.08</v>
      </c>
      <c r="F26" s="401"/>
      <c r="G26" s="400"/>
      <c r="H26" s="401"/>
      <c r="I26" s="425"/>
      <c r="J26" s="404"/>
      <c r="K26" s="153">
        <v>4</v>
      </c>
      <c r="L26" s="153"/>
      <c r="M26" s="404"/>
      <c r="N26" s="404"/>
      <c r="O26" s="153">
        <v>1</v>
      </c>
      <c r="P26" s="153">
        <v>1</v>
      </c>
    </row>
    <row r="27" spans="1:16" ht="20.100000000000001" hidden="1" customHeight="1">
      <c r="A27" s="126">
        <v>1.3</v>
      </c>
      <c r="B27" s="132" t="s">
        <v>567</v>
      </c>
      <c r="C27" s="400">
        <v>0.85</v>
      </c>
      <c r="D27" s="401"/>
      <c r="E27" s="400">
        <v>0.85</v>
      </c>
      <c r="F27" s="401"/>
      <c r="G27" s="400"/>
      <c r="H27" s="401"/>
      <c r="I27" s="427">
        <v>3</v>
      </c>
      <c r="J27" s="413" t="s">
        <v>593</v>
      </c>
      <c r="K27" s="153">
        <v>-2</v>
      </c>
      <c r="L27" s="153"/>
      <c r="M27" s="404"/>
      <c r="N27" s="404"/>
      <c r="O27" s="153">
        <v>2</v>
      </c>
      <c r="P27" s="153"/>
    </row>
    <row r="28" spans="1:16" ht="20.100000000000001" hidden="1" customHeight="1">
      <c r="A28" s="126">
        <v>1.4</v>
      </c>
      <c r="B28" s="132" t="s">
        <v>572</v>
      </c>
      <c r="C28" s="400">
        <v>1</v>
      </c>
      <c r="D28" s="401"/>
      <c r="E28" s="400">
        <f>C28</f>
        <v>1</v>
      </c>
      <c r="F28" s="401"/>
      <c r="G28" s="400"/>
      <c r="H28" s="401"/>
      <c r="I28" s="427"/>
      <c r="J28" s="413"/>
      <c r="K28" s="153">
        <v>0</v>
      </c>
      <c r="L28" s="153">
        <v>0</v>
      </c>
      <c r="M28" s="404"/>
      <c r="N28" s="404"/>
      <c r="O28" s="153">
        <v>3</v>
      </c>
      <c r="P28" s="153"/>
    </row>
    <row r="29" spans="1:16" ht="20.100000000000001" hidden="1" customHeight="1">
      <c r="A29" s="126">
        <v>1.5</v>
      </c>
      <c r="B29" s="132" t="s">
        <v>594</v>
      </c>
      <c r="C29" s="400">
        <v>1</v>
      </c>
      <c r="D29" s="401"/>
      <c r="E29" s="400">
        <v>1</v>
      </c>
      <c r="F29" s="401"/>
      <c r="G29" s="400"/>
      <c r="H29" s="401"/>
      <c r="I29" s="427"/>
      <c r="J29" s="413"/>
      <c r="K29" s="153">
        <v>1</v>
      </c>
      <c r="L29" s="153"/>
      <c r="M29" s="413">
        <v>9</v>
      </c>
      <c r="N29" s="413" t="s">
        <v>595</v>
      </c>
      <c r="O29" s="153">
        <v>0</v>
      </c>
      <c r="P29" s="153">
        <v>0</v>
      </c>
    </row>
    <row r="30" spans="1:16" ht="20.100000000000001" hidden="1" customHeight="1">
      <c r="A30" s="126">
        <v>1.6</v>
      </c>
      <c r="B30" s="132" t="s">
        <v>587</v>
      </c>
      <c r="C30" s="400">
        <v>1.1499999999999999</v>
      </c>
      <c r="D30" s="401"/>
      <c r="E30" s="400">
        <v>1.1499999999999999</v>
      </c>
      <c r="F30" s="401"/>
      <c r="G30" s="145"/>
      <c r="H30" s="146"/>
      <c r="I30" s="427"/>
      <c r="J30" s="413"/>
      <c r="K30" s="153">
        <v>2</v>
      </c>
      <c r="L30" s="153">
        <v>2</v>
      </c>
      <c r="M30" s="413"/>
      <c r="N30" s="413"/>
      <c r="O30" s="153">
        <v>2</v>
      </c>
      <c r="P30" s="153"/>
    </row>
    <row r="31" spans="1:16" ht="20.100000000000001" hidden="1" customHeight="1">
      <c r="A31" s="126">
        <v>2</v>
      </c>
      <c r="B31" s="132" t="s">
        <v>596</v>
      </c>
      <c r="C31" s="402"/>
      <c r="D31" s="403"/>
      <c r="E31" s="402"/>
      <c r="F31" s="403"/>
      <c r="G31" s="402"/>
      <c r="H31" s="403"/>
      <c r="I31" s="427"/>
      <c r="J31" s="413"/>
      <c r="K31" s="153">
        <v>3</v>
      </c>
      <c r="L31" s="153"/>
      <c r="M31" s="413"/>
      <c r="N31" s="413"/>
      <c r="O31" s="153">
        <v>3</v>
      </c>
      <c r="P31" s="153"/>
    </row>
    <row r="32" spans="1:16" ht="20.100000000000001" hidden="1" customHeight="1">
      <c r="A32" s="126">
        <v>3</v>
      </c>
      <c r="B32" s="132" t="s">
        <v>577</v>
      </c>
      <c r="C32" s="144" t="s">
        <v>578</v>
      </c>
      <c r="D32" s="144" t="s">
        <v>579</v>
      </c>
      <c r="E32" s="144" t="s">
        <v>578</v>
      </c>
      <c r="F32" s="144" t="s">
        <v>579</v>
      </c>
      <c r="G32" s="144"/>
      <c r="H32" s="144"/>
      <c r="I32" s="427">
        <v>4</v>
      </c>
      <c r="J32" s="413" t="s">
        <v>597</v>
      </c>
      <c r="K32" s="153">
        <v>-2</v>
      </c>
      <c r="L32" s="153"/>
      <c r="M32" s="413"/>
      <c r="N32" s="413"/>
      <c r="O32" s="153">
        <v>4</v>
      </c>
      <c r="P32" s="153"/>
    </row>
    <row r="33" spans="1:16" ht="20.100000000000001" hidden="1" customHeight="1">
      <c r="A33" s="126">
        <v>3.1</v>
      </c>
      <c r="B33" s="132" t="s">
        <v>598</v>
      </c>
      <c r="C33" s="145">
        <v>0.43</v>
      </c>
      <c r="D33" s="146">
        <f>C21*C33</f>
        <v>0</v>
      </c>
      <c r="E33" s="145">
        <v>0.38</v>
      </c>
      <c r="F33" s="146">
        <f>E21*E33</f>
        <v>0</v>
      </c>
      <c r="G33" s="145"/>
      <c r="H33" s="146"/>
      <c r="I33" s="427"/>
      <c r="J33" s="413"/>
      <c r="K33" s="153">
        <v>1</v>
      </c>
      <c r="L33" s="153"/>
      <c r="M33" s="413">
        <v>10</v>
      </c>
      <c r="N33" s="413" t="s">
        <v>599</v>
      </c>
      <c r="O33" s="153">
        <v>-1</v>
      </c>
      <c r="P33" s="153">
        <v>-1</v>
      </c>
    </row>
    <row r="34" spans="1:16" ht="20.100000000000001" hidden="1" customHeight="1">
      <c r="A34" s="126">
        <v>3.2</v>
      </c>
      <c r="B34" s="132" t="s">
        <v>600</v>
      </c>
      <c r="C34" s="145">
        <v>0.56999999999999995</v>
      </c>
      <c r="D34" s="146">
        <f>C21*C34</f>
        <v>0</v>
      </c>
      <c r="E34" s="145">
        <v>0.62</v>
      </c>
      <c r="F34" s="146">
        <f>E21*E34</f>
        <v>0</v>
      </c>
      <c r="G34" s="145"/>
      <c r="H34" s="146"/>
      <c r="I34" s="427"/>
      <c r="J34" s="413"/>
      <c r="K34" s="153">
        <v>2</v>
      </c>
      <c r="L34" s="153">
        <v>2</v>
      </c>
      <c r="M34" s="413"/>
      <c r="N34" s="413"/>
      <c r="O34" s="153">
        <v>2</v>
      </c>
      <c r="P34" s="153"/>
    </row>
    <row r="35" spans="1:16" ht="20.100000000000001" hidden="1" customHeight="1">
      <c r="A35" s="126"/>
      <c r="B35" s="132"/>
      <c r="C35" s="145"/>
      <c r="D35" s="146"/>
      <c r="E35" s="145"/>
      <c r="F35" s="146"/>
      <c r="G35" s="145"/>
      <c r="H35" s="146"/>
      <c r="I35" s="427"/>
      <c r="J35" s="413"/>
      <c r="K35" s="153">
        <v>3</v>
      </c>
      <c r="L35" s="153"/>
      <c r="M35" s="413"/>
      <c r="N35" s="413"/>
      <c r="O35" s="153">
        <v>3</v>
      </c>
      <c r="P35" s="153"/>
    </row>
    <row r="36" spans="1:16" ht="20.100000000000001" hidden="1" customHeight="1">
      <c r="A36" s="126"/>
      <c r="B36" s="132"/>
      <c r="C36" s="142"/>
      <c r="D36" s="143"/>
      <c r="E36" s="142"/>
      <c r="F36" s="143"/>
      <c r="G36" s="139"/>
      <c r="H36" s="139"/>
      <c r="I36" s="427">
        <v>5</v>
      </c>
      <c r="J36" s="413" t="s">
        <v>601</v>
      </c>
      <c r="K36" s="153">
        <v>-2</v>
      </c>
      <c r="L36" s="153"/>
      <c r="M36" s="413">
        <v>11</v>
      </c>
      <c r="N36" s="413" t="s">
        <v>602</v>
      </c>
      <c r="O36" s="153">
        <v>-1</v>
      </c>
      <c r="P36" s="153"/>
    </row>
    <row r="37" spans="1:16" ht="20.100000000000001" hidden="1" customHeight="1">
      <c r="A37" s="132"/>
      <c r="B37" s="132"/>
      <c r="C37" s="391"/>
      <c r="D37" s="392"/>
      <c r="E37" s="391"/>
      <c r="F37" s="392"/>
      <c r="G37" s="139"/>
      <c r="H37" s="139"/>
      <c r="I37" s="427"/>
      <c r="J37" s="413"/>
      <c r="K37" s="153">
        <v>1</v>
      </c>
      <c r="L37" s="153"/>
      <c r="M37" s="413"/>
      <c r="N37" s="413"/>
      <c r="O37" s="153">
        <v>1</v>
      </c>
      <c r="P37" s="153">
        <v>1</v>
      </c>
    </row>
    <row r="38" spans="1:16" ht="20.100000000000001" customHeight="1">
      <c r="A38" s="132"/>
      <c r="B38" s="129" t="s">
        <v>603</v>
      </c>
      <c r="C38" s="407">
        <f>C4+C20</f>
        <v>1.2074091998882321</v>
      </c>
      <c r="D38" s="408"/>
      <c r="E38" s="407">
        <f>E4+E20</f>
        <v>0</v>
      </c>
      <c r="F38" s="408"/>
      <c r="G38" s="407"/>
      <c r="H38" s="408"/>
      <c r="I38" s="427"/>
      <c r="J38" s="413"/>
      <c r="K38" s="153">
        <v>2</v>
      </c>
      <c r="L38" s="153">
        <v>2</v>
      </c>
      <c r="M38" s="413"/>
      <c r="N38" s="413"/>
      <c r="O38" s="153">
        <v>3</v>
      </c>
      <c r="P38" s="153"/>
    </row>
    <row r="39" spans="1:16" ht="20.100000000000001" customHeight="1">
      <c r="A39" s="132"/>
      <c r="B39" s="129" t="s">
        <v>604</v>
      </c>
      <c r="C39" s="393">
        <f>C38+E38+G38</f>
        <v>1.2074091998882321</v>
      </c>
      <c r="D39" s="409"/>
      <c r="E39" s="409"/>
      <c r="F39" s="409"/>
      <c r="G39" s="409"/>
      <c r="H39" s="394"/>
      <c r="I39" s="427"/>
      <c r="J39" s="413"/>
      <c r="K39" s="153">
        <v>3</v>
      </c>
      <c r="L39" s="153"/>
      <c r="M39" s="71"/>
      <c r="N39" s="71"/>
      <c r="O39" s="153"/>
      <c r="P39" s="153"/>
    </row>
    <row r="40" spans="1:16" ht="41.25" customHeight="1">
      <c r="A40" s="410" t="s">
        <v>605</v>
      </c>
      <c r="B40" s="411"/>
      <c r="C40" s="411"/>
      <c r="D40" s="411"/>
      <c r="E40" s="411"/>
      <c r="F40" s="411"/>
      <c r="G40" s="411"/>
      <c r="H40" s="412"/>
      <c r="J40" s="153" t="s">
        <v>7</v>
      </c>
      <c r="K40" s="153">
        <f>L40+P40</f>
        <v>4</v>
      </c>
      <c r="L40" s="153">
        <f>SUM(L17:L39)</f>
        <v>3</v>
      </c>
      <c r="M40" s="154"/>
      <c r="N40" s="154"/>
      <c r="O40" s="154"/>
      <c r="P40" s="153">
        <f>SUM(P17:P39)</f>
        <v>1</v>
      </c>
    </row>
    <row r="41" spans="1:16" ht="20.100000000000001" customHeight="1">
      <c r="A41" s="148"/>
      <c r="B41" s="149"/>
      <c r="C41" s="149"/>
      <c r="D41" s="149"/>
      <c r="E41" s="149"/>
      <c r="F41" s="149"/>
      <c r="J41" s="154"/>
      <c r="K41" s="154" t="s">
        <v>606</v>
      </c>
      <c r="L41" s="154"/>
      <c r="M41" s="153"/>
      <c r="N41" s="153"/>
      <c r="O41" s="153"/>
      <c r="P41" s="153"/>
    </row>
    <row r="42" spans="1:16" ht="20.100000000000001" customHeight="1">
      <c r="A42" s="148"/>
      <c r="B42" s="149"/>
      <c r="C42" s="149"/>
      <c r="D42" s="149"/>
      <c r="E42" s="149"/>
      <c r="F42" s="149"/>
      <c r="P42" s="152"/>
    </row>
    <row r="43" spans="1:16" ht="20.100000000000001" customHeight="1">
      <c r="A43" s="388" t="s">
        <v>607</v>
      </c>
      <c r="B43" s="388"/>
      <c r="C43" s="388"/>
      <c r="D43" s="388"/>
      <c r="E43" s="388"/>
      <c r="F43" s="388"/>
      <c r="G43" s="388"/>
      <c r="H43" s="388"/>
      <c r="I43" s="390" t="s">
        <v>608</v>
      </c>
      <c r="J43" s="390"/>
      <c r="K43" s="390"/>
      <c r="L43" s="390"/>
      <c r="P43" s="152"/>
    </row>
    <row r="44" spans="1:16" ht="20.100000000000001" customHeight="1">
      <c r="A44" s="125"/>
      <c r="B44" s="125"/>
      <c r="C44" s="125"/>
      <c r="D44" s="125"/>
      <c r="E44" s="125"/>
      <c r="F44" s="125"/>
      <c r="I44" s="153" t="s">
        <v>523</v>
      </c>
      <c r="J44" s="153" t="s">
        <v>527</v>
      </c>
      <c r="K44" s="153" t="s">
        <v>609</v>
      </c>
      <c r="L44" s="153" t="s">
        <v>530</v>
      </c>
      <c r="P44" s="152"/>
    </row>
    <row r="45" spans="1:16" ht="20.100000000000001" customHeight="1">
      <c r="A45" s="126" t="s">
        <v>523</v>
      </c>
      <c r="B45" s="126" t="s">
        <v>524</v>
      </c>
      <c r="C45" s="391" t="s">
        <v>525</v>
      </c>
      <c r="D45" s="392"/>
      <c r="E45" s="391" t="s">
        <v>526</v>
      </c>
      <c r="F45" s="392"/>
      <c r="G45" s="127"/>
      <c r="H45" s="128"/>
      <c r="I45" s="428">
        <v>1</v>
      </c>
      <c r="J45" s="414" t="s">
        <v>610</v>
      </c>
      <c r="K45" s="153">
        <v>-10</v>
      </c>
      <c r="L45" s="153"/>
      <c r="P45" s="152"/>
    </row>
    <row r="46" spans="1:16" ht="20.100000000000001" customHeight="1">
      <c r="A46" s="126" t="s">
        <v>18</v>
      </c>
      <c r="B46" s="126" t="s">
        <v>611</v>
      </c>
      <c r="C46" s="130">
        <f>D57+D58+D59+D60</f>
        <v>1.4873881447898514</v>
      </c>
      <c r="D46" s="131"/>
      <c r="E46" s="130">
        <f>F57+F58+F59+F60</f>
        <v>0</v>
      </c>
      <c r="F46" s="131"/>
      <c r="G46" s="130"/>
      <c r="H46" s="131"/>
      <c r="I46" s="428"/>
      <c r="J46" s="414"/>
      <c r="K46" s="153">
        <v>5</v>
      </c>
      <c r="L46" s="153">
        <v>5</v>
      </c>
      <c r="P46" s="152"/>
    </row>
    <row r="47" spans="1:16" ht="20.100000000000001" customHeight="1">
      <c r="A47" s="126">
        <v>1</v>
      </c>
      <c r="B47" s="132" t="s">
        <v>612</v>
      </c>
      <c r="C47" s="133">
        <f>C48*C52*C53*C54*(1+C55)</f>
        <v>1.4873881447898514</v>
      </c>
      <c r="D47" s="134"/>
      <c r="E47" s="133">
        <f>E48*E52*E53*E54*(1+E55)</f>
        <v>0</v>
      </c>
      <c r="F47" s="134"/>
      <c r="G47" s="133"/>
      <c r="H47" s="134"/>
      <c r="I47" s="428"/>
      <c r="J47" s="414"/>
      <c r="K47" s="153">
        <v>10</v>
      </c>
      <c r="L47" s="153"/>
      <c r="P47" s="152"/>
    </row>
    <row r="48" spans="1:16" ht="20.100000000000001" customHeight="1">
      <c r="A48" s="126">
        <v>1.1000000000000001</v>
      </c>
      <c r="B48" s="132" t="s">
        <v>613</v>
      </c>
      <c r="C48" s="133">
        <f>C51+(C49-C50)/(D50-C50)*(D51-C51)</f>
        <v>2.5733358906398811</v>
      </c>
      <c r="D48" s="134"/>
      <c r="E48" s="133">
        <f>E51+(E49-E50)/(F50-E50)*(F51-E51)</f>
        <v>0</v>
      </c>
      <c r="F48" s="134"/>
      <c r="G48" s="133"/>
      <c r="H48" s="134"/>
      <c r="I48" s="428">
        <v>2</v>
      </c>
      <c r="J48" s="404" t="s">
        <v>590</v>
      </c>
      <c r="K48" s="153">
        <v>-1</v>
      </c>
      <c r="L48" s="153"/>
      <c r="P48" s="152"/>
    </row>
    <row r="49" spans="1:24" ht="20.100000000000001" customHeight="1">
      <c r="A49" s="132"/>
      <c r="B49" s="135" t="s">
        <v>547</v>
      </c>
      <c r="C49" s="415">
        <f>C7</f>
        <v>37.983257747223895</v>
      </c>
      <c r="D49" s="416"/>
      <c r="E49" s="415">
        <f>E7</f>
        <v>0</v>
      </c>
      <c r="F49" s="416"/>
      <c r="G49" s="150">
        <f>E49+C49</f>
        <v>37.983257747223895</v>
      </c>
      <c r="H49" s="136"/>
      <c r="I49" s="428"/>
      <c r="J49" s="404"/>
      <c r="K49" s="153">
        <v>2</v>
      </c>
      <c r="L49" s="153">
        <v>2</v>
      </c>
      <c r="P49" s="152"/>
    </row>
    <row r="50" spans="1:24" ht="20.100000000000001" customHeight="1">
      <c r="A50" s="126"/>
      <c r="B50" s="137" t="s">
        <v>552</v>
      </c>
      <c r="C50" s="138">
        <f>C8</f>
        <v>200</v>
      </c>
      <c r="D50" s="138">
        <f>D8</f>
        <v>500</v>
      </c>
      <c r="E50" s="138">
        <f>E8</f>
        <v>0</v>
      </c>
      <c r="F50" s="138">
        <f>F8</f>
        <v>500</v>
      </c>
      <c r="G50" s="139"/>
      <c r="H50" s="139"/>
      <c r="I50" s="428"/>
      <c r="J50" s="404"/>
      <c r="K50" s="153">
        <v>6</v>
      </c>
      <c r="L50" s="153"/>
      <c r="M50" s="167"/>
      <c r="N50" s="167"/>
      <c r="O50" s="167"/>
      <c r="P50" s="167"/>
    </row>
    <row r="51" spans="1:24" ht="20.100000000000001" customHeight="1">
      <c r="A51" s="126"/>
      <c r="B51" s="137" t="s">
        <v>557</v>
      </c>
      <c r="C51" s="138">
        <f>C9</f>
        <v>9</v>
      </c>
      <c r="D51" s="138">
        <f>D9</f>
        <v>20.9</v>
      </c>
      <c r="E51" s="138">
        <f>E9</f>
        <v>0</v>
      </c>
      <c r="F51" s="138">
        <f>F9</f>
        <v>20.9</v>
      </c>
      <c r="G51" s="139"/>
      <c r="H51" s="139"/>
      <c r="I51" s="428"/>
      <c r="J51" s="404"/>
      <c r="K51" s="153">
        <v>7</v>
      </c>
      <c r="L51" s="153"/>
      <c r="M51" s="417" t="s">
        <v>614</v>
      </c>
      <c r="N51" s="417"/>
      <c r="O51" s="417"/>
      <c r="P51" s="417"/>
      <c r="Q51" s="417"/>
      <c r="R51" s="417"/>
      <c r="S51" s="417"/>
      <c r="T51" s="417"/>
      <c r="U51" s="417"/>
      <c r="V51" s="417"/>
      <c r="W51" s="417"/>
      <c r="X51" s="417"/>
    </row>
    <row r="52" spans="1:24" ht="20.100000000000001" customHeight="1">
      <c r="A52" s="126">
        <v>1.2</v>
      </c>
      <c r="B52" s="132" t="s">
        <v>532</v>
      </c>
      <c r="C52" s="400">
        <v>0.8</v>
      </c>
      <c r="D52" s="401"/>
      <c r="E52" s="400">
        <v>0.8</v>
      </c>
      <c r="F52" s="401"/>
      <c r="G52" s="140"/>
      <c r="H52" s="141"/>
      <c r="I52" s="428"/>
      <c r="J52" s="404"/>
      <c r="K52" s="153">
        <v>7</v>
      </c>
      <c r="L52" s="153"/>
      <c r="M52" s="425" t="s">
        <v>615</v>
      </c>
      <c r="N52" s="152">
        <v>1</v>
      </c>
      <c r="O52" s="168" t="s">
        <v>616</v>
      </c>
      <c r="Q52" s="152"/>
    </row>
    <row r="53" spans="1:24" ht="20.100000000000001" customHeight="1">
      <c r="A53" s="126">
        <v>1.3</v>
      </c>
      <c r="B53" s="132" t="s">
        <v>567</v>
      </c>
      <c r="C53" s="400">
        <v>0.85</v>
      </c>
      <c r="D53" s="401"/>
      <c r="E53" s="400">
        <v>0.85</v>
      </c>
      <c r="F53" s="401"/>
      <c r="G53" s="140"/>
      <c r="H53" s="141"/>
      <c r="I53" s="428">
        <v>3</v>
      </c>
      <c r="J53" s="404" t="s">
        <v>617</v>
      </c>
      <c r="K53" s="153">
        <v>-6</v>
      </c>
      <c r="L53" s="153"/>
      <c r="M53" s="425"/>
      <c r="N53" s="152">
        <v>2</v>
      </c>
      <c r="O53" s="168" t="s">
        <v>618</v>
      </c>
      <c r="Q53" s="152"/>
    </row>
    <row r="54" spans="1:24" ht="20.100000000000001" customHeight="1">
      <c r="A54" s="126">
        <v>1.4</v>
      </c>
      <c r="B54" s="132" t="s">
        <v>572</v>
      </c>
      <c r="C54" s="400">
        <v>0.85</v>
      </c>
      <c r="D54" s="401"/>
      <c r="E54" s="400">
        <v>1.3</v>
      </c>
      <c r="F54" s="401"/>
      <c r="G54" s="140"/>
      <c r="H54" s="141"/>
      <c r="I54" s="428"/>
      <c r="J54" s="404"/>
      <c r="K54" s="153">
        <v>1</v>
      </c>
      <c r="L54" s="153">
        <v>1</v>
      </c>
      <c r="M54" s="425"/>
      <c r="N54" s="152">
        <v>3</v>
      </c>
      <c r="O54" s="168" t="s">
        <v>619</v>
      </c>
      <c r="P54" s="152"/>
    </row>
    <row r="55" spans="1:24" ht="20.100000000000001" customHeight="1">
      <c r="A55" s="126">
        <v>2</v>
      </c>
      <c r="B55" s="132" t="s">
        <v>576</v>
      </c>
      <c r="C55" s="142"/>
      <c r="D55" s="143"/>
      <c r="E55" s="142"/>
      <c r="F55" s="143"/>
      <c r="G55" s="142"/>
      <c r="H55" s="143"/>
      <c r="I55" s="428"/>
      <c r="J55" s="404"/>
      <c r="K55" s="153">
        <v>2</v>
      </c>
      <c r="L55" s="153"/>
      <c r="M55" s="425"/>
      <c r="N55" s="152">
        <v>4</v>
      </c>
      <c r="O55" s="168" t="s">
        <v>620</v>
      </c>
      <c r="P55" s="152"/>
    </row>
    <row r="56" spans="1:24" ht="20.100000000000001" customHeight="1">
      <c r="A56" s="126">
        <v>3</v>
      </c>
      <c r="B56" s="132" t="s">
        <v>577</v>
      </c>
      <c r="C56" s="144" t="s">
        <v>578</v>
      </c>
      <c r="D56" s="144" t="s">
        <v>579</v>
      </c>
      <c r="E56" s="144" t="s">
        <v>578</v>
      </c>
      <c r="F56" s="144" t="s">
        <v>579</v>
      </c>
      <c r="G56" s="144"/>
      <c r="H56" s="144"/>
      <c r="I56" s="428"/>
      <c r="J56" s="404"/>
      <c r="K56" s="153">
        <v>4</v>
      </c>
      <c r="L56" s="153"/>
      <c r="M56" s="425"/>
      <c r="N56" s="152">
        <v>5</v>
      </c>
      <c r="O56" s="168" t="s">
        <v>621</v>
      </c>
      <c r="P56" s="152"/>
    </row>
    <row r="57" spans="1:24" ht="20.100000000000001" customHeight="1">
      <c r="A57" s="126">
        <v>3.1</v>
      </c>
      <c r="B57" s="132" t="s">
        <v>580</v>
      </c>
      <c r="C57" s="145">
        <v>0.45</v>
      </c>
      <c r="D57" s="146">
        <f>C47*C57</f>
        <v>0.6693246651554331</v>
      </c>
      <c r="E57" s="145">
        <v>0.25</v>
      </c>
      <c r="F57" s="146">
        <f>E47*E57</f>
        <v>0</v>
      </c>
      <c r="G57" s="147"/>
      <c r="H57" s="146"/>
      <c r="I57" s="428"/>
      <c r="J57" s="404"/>
      <c r="K57" s="153">
        <v>6</v>
      </c>
      <c r="L57" s="153"/>
      <c r="M57" s="425" t="s">
        <v>622</v>
      </c>
      <c r="N57" s="152">
        <v>1</v>
      </c>
      <c r="O57" s="168" t="s">
        <v>623</v>
      </c>
    </row>
    <row r="58" spans="1:24" ht="20.100000000000001" customHeight="1">
      <c r="A58" s="126">
        <v>3.2</v>
      </c>
      <c r="B58" s="132" t="s">
        <v>582</v>
      </c>
      <c r="C58" s="145">
        <v>0.2</v>
      </c>
      <c r="D58" s="146">
        <f>C47*C58</f>
        <v>0.29747762895797031</v>
      </c>
      <c r="E58" s="145">
        <v>0.2</v>
      </c>
      <c r="F58" s="146">
        <f>E47*E58</f>
        <v>0</v>
      </c>
      <c r="G58" s="147"/>
      <c r="H58" s="146"/>
      <c r="I58" s="428">
        <v>4</v>
      </c>
      <c r="J58" s="404" t="s">
        <v>624</v>
      </c>
      <c r="K58" s="153">
        <v>-3</v>
      </c>
      <c r="L58" s="153"/>
      <c r="M58" s="425"/>
      <c r="N58" s="152">
        <v>2</v>
      </c>
      <c r="O58" s="168" t="s">
        <v>625</v>
      </c>
    </row>
    <row r="59" spans="1:24" ht="20.100000000000001" customHeight="1">
      <c r="A59" s="126">
        <v>3.3</v>
      </c>
      <c r="B59" s="132" t="s">
        <v>584</v>
      </c>
      <c r="C59" s="145">
        <v>0.35</v>
      </c>
      <c r="D59" s="146">
        <f>C47*C59</f>
        <v>0.52058585067644791</v>
      </c>
      <c r="E59" s="145">
        <v>0.55000000000000004</v>
      </c>
      <c r="F59" s="146">
        <f>E47*E59</f>
        <v>0</v>
      </c>
      <c r="G59" s="147"/>
      <c r="H59" s="146"/>
      <c r="I59" s="428"/>
      <c r="J59" s="404"/>
      <c r="K59" s="153">
        <v>1</v>
      </c>
      <c r="L59" s="153"/>
      <c r="M59" s="425"/>
      <c r="N59" s="152">
        <v>3</v>
      </c>
      <c r="O59" s="168" t="s">
        <v>626</v>
      </c>
      <c r="P59" s="152"/>
    </row>
    <row r="60" spans="1:24" ht="20.100000000000001" customHeight="1">
      <c r="A60" s="126">
        <v>4</v>
      </c>
      <c r="B60" s="151" t="s">
        <v>587</v>
      </c>
      <c r="C60" s="144"/>
      <c r="D60" s="146">
        <f>C47*C60</f>
        <v>0</v>
      </c>
      <c r="E60" s="144"/>
      <c r="F60" s="146">
        <f>E47*E60</f>
        <v>0</v>
      </c>
      <c r="G60" s="144"/>
      <c r="H60" s="146"/>
      <c r="I60" s="428"/>
      <c r="J60" s="404"/>
      <c r="K60" s="153">
        <v>3</v>
      </c>
      <c r="L60" s="153">
        <v>3</v>
      </c>
      <c r="M60" s="425" t="s">
        <v>627</v>
      </c>
      <c r="N60" s="152">
        <v>1</v>
      </c>
      <c r="O60" s="168" t="s">
        <v>628</v>
      </c>
      <c r="P60" s="152"/>
    </row>
    <row r="61" spans="1:24" ht="20.100000000000001" customHeight="1">
      <c r="A61" s="126"/>
      <c r="B61" s="132"/>
      <c r="C61" s="144"/>
      <c r="D61" s="144"/>
      <c r="E61" s="144"/>
      <c r="F61" s="144"/>
      <c r="G61" s="139"/>
      <c r="H61" s="139"/>
      <c r="I61" s="428">
        <v>5</v>
      </c>
      <c r="J61" s="404" t="s">
        <v>629</v>
      </c>
      <c r="K61" s="153">
        <v>-4</v>
      </c>
      <c r="L61" s="153">
        <v>-4</v>
      </c>
      <c r="M61" s="425"/>
      <c r="N61" s="152">
        <v>2</v>
      </c>
      <c r="O61" s="168" t="s">
        <v>630</v>
      </c>
      <c r="P61" s="152"/>
    </row>
    <row r="62" spans="1:24" ht="20.100000000000001" hidden="1" customHeight="1">
      <c r="A62" s="129" t="s">
        <v>20</v>
      </c>
      <c r="B62" s="129" t="s">
        <v>631</v>
      </c>
      <c r="C62" s="130">
        <f>D64+D65+D66</f>
        <v>0</v>
      </c>
      <c r="D62" s="131"/>
      <c r="E62" s="130">
        <f>F64+F65+F66</f>
        <v>0</v>
      </c>
      <c r="F62" s="131"/>
      <c r="G62" s="130"/>
      <c r="H62" s="131"/>
      <c r="I62" s="428"/>
      <c r="J62" s="404"/>
      <c r="K62" s="153">
        <v>5</v>
      </c>
      <c r="L62" s="153"/>
      <c r="M62" s="425"/>
      <c r="N62" s="152">
        <v>3</v>
      </c>
      <c r="O62" s="168" t="s">
        <v>632</v>
      </c>
      <c r="P62" s="152"/>
    </row>
    <row r="63" spans="1:24" ht="20.100000000000001" hidden="1" customHeight="1">
      <c r="A63" s="126">
        <v>3</v>
      </c>
      <c r="B63" s="132" t="s">
        <v>577</v>
      </c>
      <c r="C63" s="144" t="s">
        <v>578</v>
      </c>
      <c r="D63" s="144" t="s">
        <v>579</v>
      </c>
      <c r="E63" s="144" t="s">
        <v>578</v>
      </c>
      <c r="F63" s="144" t="s">
        <v>579</v>
      </c>
      <c r="G63" s="144"/>
      <c r="H63" s="144"/>
      <c r="I63" s="153">
        <v>6</v>
      </c>
      <c r="J63" s="153" t="s">
        <v>633</v>
      </c>
      <c r="K63" s="153">
        <v>5</v>
      </c>
      <c r="L63" s="153">
        <v>5</v>
      </c>
      <c r="M63" s="425"/>
      <c r="N63" s="152">
        <v>4</v>
      </c>
      <c r="O63" s="168" t="s">
        <v>634</v>
      </c>
      <c r="P63" s="152"/>
    </row>
    <row r="64" spans="1:24" ht="20.100000000000001" hidden="1" customHeight="1">
      <c r="A64" s="126">
        <v>3.1</v>
      </c>
      <c r="B64" s="132" t="s">
        <v>598</v>
      </c>
      <c r="C64" s="145">
        <f>C67</f>
        <v>0.4</v>
      </c>
      <c r="D64" s="146">
        <f>D33*C64</f>
        <v>0</v>
      </c>
      <c r="E64" s="145">
        <f>E67</f>
        <v>0.4</v>
      </c>
      <c r="F64" s="146">
        <f>F33*E64</f>
        <v>0</v>
      </c>
      <c r="G64" s="145"/>
      <c r="H64" s="146"/>
      <c r="I64" s="428">
        <v>7</v>
      </c>
      <c r="J64" s="404" t="s">
        <v>635</v>
      </c>
      <c r="K64" s="153">
        <v>-4</v>
      </c>
      <c r="L64" s="153"/>
      <c r="P64" s="152"/>
    </row>
    <row r="65" spans="1:24" ht="20.100000000000001" hidden="1" customHeight="1">
      <c r="A65" s="126">
        <v>3.2</v>
      </c>
      <c r="B65" s="132" t="s">
        <v>600</v>
      </c>
      <c r="C65" s="145">
        <f>C64</f>
        <v>0.4</v>
      </c>
      <c r="D65" s="146">
        <f>D34*C65</f>
        <v>0</v>
      </c>
      <c r="E65" s="145">
        <f>E64</f>
        <v>0.4</v>
      </c>
      <c r="F65" s="146">
        <f>F34*E65</f>
        <v>0</v>
      </c>
      <c r="G65" s="145"/>
      <c r="H65" s="146"/>
      <c r="I65" s="428"/>
      <c r="J65" s="404"/>
      <c r="K65" s="153">
        <v>1</v>
      </c>
      <c r="L65" s="153">
        <v>1</v>
      </c>
      <c r="M65" s="417" t="s">
        <v>636</v>
      </c>
      <c r="N65" s="417"/>
      <c r="O65" s="417"/>
      <c r="P65" s="417"/>
      <c r="Q65" s="417"/>
      <c r="R65" s="417"/>
      <c r="S65" s="417"/>
      <c r="T65" s="417"/>
      <c r="U65" s="417"/>
      <c r="V65" s="417"/>
      <c r="W65" s="417"/>
      <c r="X65" s="417"/>
    </row>
    <row r="66" spans="1:24" ht="20.100000000000001" hidden="1" customHeight="1">
      <c r="A66" s="126">
        <v>4</v>
      </c>
      <c r="B66" s="151" t="s">
        <v>587</v>
      </c>
      <c r="C66" s="145"/>
      <c r="D66" s="146">
        <f>D35*C66</f>
        <v>0</v>
      </c>
      <c r="E66" s="145"/>
      <c r="F66" s="146">
        <f>F35*E66</f>
        <v>0</v>
      </c>
      <c r="G66" s="145"/>
      <c r="H66" s="146"/>
      <c r="I66" s="428"/>
      <c r="J66" s="404"/>
      <c r="K66" s="153">
        <v>2</v>
      </c>
      <c r="L66" s="153"/>
      <c r="M66" s="429" t="s">
        <v>637</v>
      </c>
      <c r="N66" s="429"/>
      <c r="O66" s="429"/>
      <c r="P66" s="429"/>
      <c r="Q66" s="429"/>
      <c r="R66" s="429"/>
      <c r="S66" s="429"/>
      <c r="T66" s="429"/>
      <c r="U66" s="429"/>
      <c r="V66" s="429"/>
      <c r="W66" s="429"/>
      <c r="X66" s="429"/>
    </row>
    <row r="67" spans="1:24" ht="20.100000000000001" hidden="1" customHeight="1">
      <c r="A67" s="126">
        <v>2</v>
      </c>
      <c r="B67" s="132" t="s">
        <v>578</v>
      </c>
      <c r="C67" s="418">
        <v>0.4</v>
      </c>
      <c r="D67" s="419"/>
      <c r="E67" s="418">
        <v>0.4</v>
      </c>
      <c r="F67" s="419"/>
      <c r="G67" s="418"/>
      <c r="H67" s="419"/>
      <c r="I67" s="428"/>
      <c r="J67" s="404"/>
      <c r="K67" s="153">
        <v>4</v>
      </c>
      <c r="L67" s="153"/>
      <c r="M67" s="429"/>
      <c r="N67" s="429"/>
      <c r="O67" s="429"/>
      <c r="P67" s="429"/>
      <c r="Q67" s="429"/>
      <c r="R67" s="429"/>
      <c r="S67" s="429"/>
      <c r="T67" s="429"/>
      <c r="U67" s="429"/>
      <c r="V67" s="429"/>
      <c r="W67" s="429"/>
      <c r="X67" s="429"/>
    </row>
    <row r="68" spans="1:24" ht="20.100000000000001" hidden="1" customHeight="1">
      <c r="A68" s="126"/>
      <c r="B68" s="132"/>
      <c r="C68" s="402"/>
      <c r="D68" s="403"/>
      <c r="E68" s="402"/>
      <c r="F68" s="403"/>
      <c r="G68" s="139"/>
      <c r="H68" s="139"/>
      <c r="I68" s="428"/>
      <c r="J68" s="404"/>
      <c r="K68" s="153">
        <v>6</v>
      </c>
      <c r="L68" s="153"/>
      <c r="M68" s="429"/>
      <c r="N68" s="429"/>
      <c r="O68" s="429"/>
      <c r="P68" s="429"/>
      <c r="Q68" s="429"/>
      <c r="R68" s="429"/>
      <c r="S68" s="429"/>
      <c r="T68" s="429"/>
      <c r="U68" s="429"/>
      <c r="V68" s="429"/>
      <c r="W68" s="429"/>
      <c r="X68" s="429"/>
    </row>
    <row r="69" spans="1:24" ht="20.100000000000001" hidden="1" customHeight="1">
      <c r="A69" s="132"/>
      <c r="B69" s="132"/>
      <c r="C69" s="391"/>
      <c r="D69" s="392"/>
      <c r="E69" s="391"/>
      <c r="F69" s="392"/>
      <c r="G69" s="139"/>
      <c r="H69" s="139"/>
      <c r="I69" s="153">
        <v>8</v>
      </c>
      <c r="J69" s="153" t="s">
        <v>638</v>
      </c>
      <c r="K69" s="153">
        <v>4</v>
      </c>
      <c r="L69" s="153">
        <v>4</v>
      </c>
      <c r="P69" s="152"/>
    </row>
    <row r="70" spans="1:24" ht="20.100000000000001" customHeight="1">
      <c r="A70" s="132"/>
      <c r="B70" s="129" t="s">
        <v>639</v>
      </c>
      <c r="C70" s="420">
        <f>C46+C62</f>
        <v>1.4873881447898514</v>
      </c>
      <c r="D70" s="421"/>
      <c r="E70" s="420">
        <f>E46+E62</f>
        <v>0</v>
      </c>
      <c r="F70" s="421"/>
      <c r="G70" s="420"/>
      <c r="H70" s="421"/>
      <c r="I70" s="404">
        <v>9</v>
      </c>
      <c r="J70" s="404" t="s">
        <v>640</v>
      </c>
      <c r="K70" s="153">
        <v>-4</v>
      </c>
      <c r="L70" s="153"/>
    </row>
    <row r="71" spans="1:24" ht="20.100000000000001" customHeight="1">
      <c r="A71" s="132"/>
      <c r="B71" s="129" t="s">
        <v>641</v>
      </c>
      <c r="C71" s="393">
        <f>C70+E70+G70</f>
        <v>1.4873881447898514</v>
      </c>
      <c r="D71" s="409"/>
      <c r="E71" s="409"/>
      <c r="F71" s="409"/>
      <c r="G71" s="409"/>
      <c r="H71" s="394"/>
      <c r="I71" s="404"/>
      <c r="J71" s="404"/>
      <c r="K71" s="153">
        <v>1</v>
      </c>
      <c r="L71" s="153">
        <v>1</v>
      </c>
    </row>
    <row r="72" spans="1:24" ht="41.25" customHeight="1">
      <c r="A72" s="422" t="s">
        <v>642</v>
      </c>
      <c r="B72" s="423"/>
      <c r="C72" s="423"/>
      <c r="D72" s="423"/>
      <c r="E72" s="423"/>
      <c r="F72" s="423"/>
      <c r="G72" s="139"/>
      <c r="H72" s="139"/>
      <c r="I72" s="404"/>
      <c r="J72" s="404"/>
      <c r="K72" s="153">
        <v>4</v>
      </c>
      <c r="L72" s="153"/>
      <c r="P72" s="152"/>
    </row>
    <row r="73" spans="1:24" ht="20.100000000000001" customHeight="1">
      <c r="I73" s="153">
        <v>10</v>
      </c>
      <c r="J73" s="154" t="s">
        <v>643</v>
      </c>
      <c r="K73" s="153">
        <v>4</v>
      </c>
      <c r="L73" s="153"/>
      <c r="P73" s="152"/>
    </row>
    <row r="74" spans="1:24" ht="20.100000000000001" customHeight="1">
      <c r="B74" s="169" t="s">
        <v>523</v>
      </c>
      <c r="C74" s="169" t="s">
        <v>644</v>
      </c>
      <c r="D74" s="169" t="s">
        <v>645</v>
      </c>
      <c r="I74" s="153">
        <v>11</v>
      </c>
      <c r="J74" s="154" t="s">
        <v>646</v>
      </c>
      <c r="K74" s="153">
        <v>3</v>
      </c>
      <c r="L74" s="153">
        <v>3</v>
      </c>
      <c r="P74" s="152"/>
    </row>
    <row r="75" spans="1:24" ht="20.100000000000001" customHeight="1">
      <c r="B75" s="169">
        <v>1</v>
      </c>
      <c r="C75" s="169">
        <v>200</v>
      </c>
      <c r="D75" s="169">
        <v>9</v>
      </c>
      <c r="I75" s="154"/>
      <c r="J75" s="154" t="s">
        <v>7</v>
      </c>
      <c r="K75" s="153"/>
      <c r="L75" s="153">
        <f>SUM(L45:L74)</f>
        <v>21</v>
      </c>
      <c r="P75" s="152"/>
    </row>
    <row r="76" spans="1:24" ht="20.100000000000001" customHeight="1">
      <c r="B76" s="169">
        <v>2</v>
      </c>
      <c r="C76" s="169">
        <v>500</v>
      </c>
      <c r="D76" s="169">
        <v>20.9</v>
      </c>
      <c r="J76" s="168" t="s">
        <v>647</v>
      </c>
      <c r="P76" s="152"/>
    </row>
    <row r="77" spans="1:24" ht="20.100000000000001" customHeight="1">
      <c r="B77" s="169">
        <v>3</v>
      </c>
      <c r="C77" s="169">
        <v>1000</v>
      </c>
      <c r="D77" s="169">
        <v>38.799999999999997</v>
      </c>
      <c r="P77" s="152"/>
    </row>
    <row r="78" spans="1:24" ht="20.100000000000001" customHeight="1">
      <c r="B78" s="169">
        <v>4</v>
      </c>
      <c r="C78" s="169">
        <v>3000</v>
      </c>
      <c r="D78" s="169">
        <v>103.8</v>
      </c>
      <c r="I78" s="424" t="s">
        <v>648</v>
      </c>
      <c r="J78" s="424"/>
      <c r="K78" s="424"/>
      <c r="L78" s="424"/>
      <c r="P78" s="152"/>
    </row>
    <row r="79" spans="1:24" ht="20.100000000000001" customHeight="1">
      <c r="B79" s="169">
        <v>5</v>
      </c>
      <c r="C79" s="169">
        <v>5000</v>
      </c>
      <c r="D79" s="169">
        <v>163.9</v>
      </c>
      <c r="I79" s="46" t="s">
        <v>523</v>
      </c>
      <c r="J79" s="153" t="s">
        <v>531</v>
      </c>
      <c r="K79" s="46" t="s">
        <v>532</v>
      </c>
      <c r="L79" s="46" t="s">
        <v>530</v>
      </c>
      <c r="P79" s="152"/>
    </row>
    <row r="80" spans="1:24" ht="20.100000000000001" customHeight="1">
      <c r="B80" s="169">
        <v>6</v>
      </c>
      <c r="C80" s="169">
        <v>8000</v>
      </c>
      <c r="D80" s="169">
        <v>249.6</v>
      </c>
      <c r="I80" s="46">
        <v>1</v>
      </c>
      <c r="J80" s="71" t="s">
        <v>649</v>
      </c>
      <c r="K80" s="46">
        <v>1.2</v>
      </c>
      <c r="L80" s="71"/>
      <c r="P80" s="152"/>
    </row>
    <row r="81" spans="2:16" ht="20.100000000000001" customHeight="1">
      <c r="B81" s="169">
        <v>7</v>
      </c>
      <c r="C81" s="169">
        <v>10000</v>
      </c>
      <c r="D81" s="169">
        <v>304.8</v>
      </c>
      <c r="I81" s="46">
        <v>2</v>
      </c>
      <c r="J81" s="71" t="s">
        <v>650</v>
      </c>
      <c r="K81" s="46">
        <v>0.8</v>
      </c>
      <c r="L81" s="170">
        <v>0.8</v>
      </c>
      <c r="P81" s="152"/>
    </row>
    <row r="82" spans="2:16" ht="20.100000000000001" customHeight="1">
      <c r="B82" s="169">
        <v>8</v>
      </c>
      <c r="C82" s="169">
        <v>20000</v>
      </c>
      <c r="D82" s="169">
        <v>566.79999999999995</v>
      </c>
      <c r="P82" s="152"/>
    </row>
    <row r="83" spans="2:16" ht="20.100000000000001" customHeight="1">
      <c r="B83" s="169">
        <v>9</v>
      </c>
      <c r="C83" s="169">
        <v>40000</v>
      </c>
      <c r="D83" s="169">
        <v>1054</v>
      </c>
      <c r="K83" s="152"/>
      <c r="P83" s="152"/>
    </row>
    <row r="84" spans="2:16" ht="20.100000000000001" customHeight="1">
      <c r="B84" s="169">
        <v>10</v>
      </c>
      <c r="C84" s="169">
        <v>60000</v>
      </c>
      <c r="D84" s="169">
        <v>1515.2</v>
      </c>
      <c r="K84" s="152"/>
      <c r="P84" s="152"/>
    </row>
    <row r="85" spans="2:16" ht="20.100000000000001" customHeight="1">
      <c r="B85" s="169">
        <v>11</v>
      </c>
      <c r="C85" s="169">
        <v>80000</v>
      </c>
      <c r="D85" s="169">
        <v>1960.1</v>
      </c>
      <c r="I85" s="417"/>
      <c r="J85" s="417"/>
      <c r="P85" s="152"/>
    </row>
    <row r="86" spans="2:16" ht="20.100000000000001" customHeight="1">
      <c r="B86" s="169">
        <v>12</v>
      </c>
      <c r="C86" s="169">
        <v>100000</v>
      </c>
      <c r="D86" s="169">
        <v>2393.4</v>
      </c>
      <c r="I86" s="425"/>
      <c r="J86" s="425"/>
      <c r="P86" s="152"/>
    </row>
    <row r="87" spans="2:16" ht="20.100000000000001" customHeight="1">
      <c r="B87" s="169">
        <v>13</v>
      </c>
      <c r="C87" s="169">
        <v>200000</v>
      </c>
      <c r="D87" s="169">
        <v>4450.8</v>
      </c>
      <c r="P87" s="152"/>
    </row>
    <row r="88" spans="2:16" ht="20.100000000000001" customHeight="1">
      <c r="B88" s="169">
        <v>14</v>
      </c>
      <c r="C88" s="169">
        <v>400000</v>
      </c>
      <c r="D88" s="169">
        <v>8276.7000000000007</v>
      </c>
      <c r="P88" s="152"/>
    </row>
    <row r="89" spans="2:16" ht="20.100000000000001" customHeight="1">
      <c r="B89" s="169">
        <v>15</v>
      </c>
      <c r="C89" s="169">
        <v>600000</v>
      </c>
      <c r="D89" s="169">
        <v>11897.5</v>
      </c>
      <c r="K89" s="152"/>
      <c r="P89" s="152"/>
    </row>
    <row r="90" spans="2:16" ht="20.100000000000001" customHeight="1">
      <c r="B90" s="169">
        <v>16</v>
      </c>
      <c r="C90" s="169">
        <v>800000</v>
      </c>
      <c r="D90" s="169">
        <v>15391.4</v>
      </c>
      <c r="K90" s="152"/>
      <c r="P90" s="152"/>
    </row>
    <row r="91" spans="2:16" ht="20.100000000000001" customHeight="1">
      <c r="B91" s="169">
        <v>17</v>
      </c>
      <c r="C91" s="169">
        <v>1000000</v>
      </c>
      <c r="D91" s="169">
        <v>18793.8</v>
      </c>
      <c r="P91" s="152"/>
    </row>
    <row r="92" spans="2:16" ht="20.100000000000001" customHeight="1">
      <c r="B92" s="169">
        <v>18</v>
      </c>
      <c r="C92" s="169">
        <v>2000000</v>
      </c>
      <c r="D92" s="169">
        <v>34948.9</v>
      </c>
      <c r="P92" s="152"/>
    </row>
  </sheetData>
  <mergeCells count="137">
    <mergeCell ref="J58:J60"/>
    <mergeCell ref="N25:N28"/>
    <mergeCell ref="N29:N32"/>
    <mergeCell ref="N33:N35"/>
    <mergeCell ref="N36:N38"/>
    <mergeCell ref="M66:X68"/>
    <mergeCell ref="J70:J72"/>
    <mergeCell ref="M17:M20"/>
    <mergeCell ref="M21:M24"/>
    <mergeCell ref="M25:M28"/>
    <mergeCell ref="M29:M32"/>
    <mergeCell ref="M33:M35"/>
    <mergeCell ref="M36:M38"/>
    <mergeCell ref="M52:M56"/>
    <mergeCell ref="M57:M59"/>
    <mergeCell ref="M60:M63"/>
    <mergeCell ref="M65:X65"/>
    <mergeCell ref="C70:D70"/>
    <mergeCell ref="E70:F70"/>
    <mergeCell ref="G70:H70"/>
    <mergeCell ref="C71:H71"/>
    <mergeCell ref="A72:F72"/>
    <mergeCell ref="I78:L78"/>
    <mergeCell ref="I85:J85"/>
    <mergeCell ref="I86:J86"/>
    <mergeCell ref="I17:I21"/>
    <mergeCell ref="I22:I26"/>
    <mergeCell ref="I27:I31"/>
    <mergeCell ref="I32:I35"/>
    <mergeCell ref="I36:I39"/>
    <mergeCell ref="I45:I47"/>
    <mergeCell ref="I48:I52"/>
    <mergeCell ref="I53:I57"/>
    <mergeCell ref="I58:I60"/>
    <mergeCell ref="I61:I62"/>
    <mergeCell ref="I64:I68"/>
    <mergeCell ref="I70:I72"/>
    <mergeCell ref="J17:J21"/>
    <mergeCell ref="J22:J26"/>
    <mergeCell ref="J27:J31"/>
    <mergeCell ref="J32:J35"/>
    <mergeCell ref="C67:D67"/>
    <mergeCell ref="E67:F67"/>
    <mergeCell ref="G67:H67"/>
    <mergeCell ref="J61:J62"/>
    <mergeCell ref="J64:J68"/>
    <mergeCell ref="C68:D68"/>
    <mergeCell ref="E68:F68"/>
    <mergeCell ref="C69:D69"/>
    <mergeCell ref="E69:F69"/>
    <mergeCell ref="C49:D49"/>
    <mergeCell ref="E49:F49"/>
    <mergeCell ref="M51:X51"/>
    <mergeCell ref="C52:D52"/>
    <mergeCell ref="E52:F52"/>
    <mergeCell ref="C53:D53"/>
    <mergeCell ref="E53:F53"/>
    <mergeCell ref="C54:D54"/>
    <mergeCell ref="E54:F54"/>
    <mergeCell ref="J48:J52"/>
    <mergeCell ref="J53:J57"/>
    <mergeCell ref="C38:D38"/>
    <mergeCell ref="E38:F38"/>
    <mergeCell ref="G38:H38"/>
    <mergeCell ref="C39:H39"/>
    <mergeCell ref="A40:H40"/>
    <mergeCell ref="A43:H43"/>
    <mergeCell ref="I43:L43"/>
    <mergeCell ref="C45:D45"/>
    <mergeCell ref="E45:F45"/>
    <mergeCell ref="J36:J39"/>
    <mergeCell ref="J45:J47"/>
    <mergeCell ref="C29:D29"/>
    <mergeCell ref="E29:F29"/>
    <mergeCell ref="G29:H29"/>
    <mergeCell ref="C30:D30"/>
    <mergeCell ref="E30:F30"/>
    <mergeCell ref="C31:D31"/>
    <mergeCell ref="E31:F31"/>
    <mergeCell ref="G31:H31"/>
    <mergeCell ref="C37:D37"/>
    <mergeCell ref="E37:F37"/>
    <mergeCell ref="C26:D26"/>
    <mergeCell ref="E26:F26"/>
    <mergeCell ref="G26:H26"/>
    <mergeCell ref="C27:D27"/>
    <mergeCell ref="E27:F27"/>
    <mergeCell ref="G27:H27"/>
    <mergeCell ref="C28:D28"/>
    <mergeCell ref="E28:F28"/>
    <mergeCell ref="G28:H28"/>
    <mergeCell ref="I15:P15"/>
    <mergeCell ref="C20:D20"/>
    <mergeCell ref="E20:F20"/>
    <mergeCell ref="G20:H20"/>
    <mergeCell ref="C21:D21"/>
    <mergeCell ref="E21:F21"/>
    <mergeCell ref="G21:H21"/>
    <mergeCell ref="N17:N20"/>
    <mergeCell ref="N21:N24"/>
    <mergeCell ref="C22:D22"/>
    <mergeCell ref="E22:F22"/>
    <mergeCell ref="G22:H22"/>
    <mergeCell ref="C23:D23"/>
    <mergeCell ref="E23:F23"/>
    <mergeCell ref="G23:H23"/>
    <mergeCell ref="C11:D11"/>
    <mergeCell ref="E11:F11"/>
    <mergeCell ref="G11:H11"/>
    <mergeCell ref="C12:D12"/>
    <mergeCell ref="E12:F12"/>
    <mergeCell ref="G12:H12"/>
    <mergeCell ref="C13:D13"/>
    <mergeCell ref="E13:F13"/>
    <mergeCell ref="G13:H13"/>
    <mergeCell ref="C6:D6"/>
    <mergeCell ref="E6:F6"/>
    <mergeCell ref="G6:H6"/>
    <mergeCell ref="C7:D7"/>
    <mergeCell ref="E7:F7"/>
    <mergeCell ref="G7:H7"/>
    <mergeCell ref="C10:D10"/>
    <mergeCell ref="E10:F10"/>
    <mergeCell ref="G10:H10"/>
    <mergeCell ref="A1:H1"/>
    <mergeCell ref="I2:M2"/>
    <mergeCell ref="N2:Q2"/>
    <mergeCell ref="C3:D3"/>
    <mergeCell ref="E3:F3"/>
    <mergeCell ref="G3:H3"/>
    <mergeCell ref="C4:D4"/>
    <mergeCell ref="E4:F4"/>
    <mergeCell ref="G4:H4"/>
    <mergeCell ref="J4:J5"/>
    <mergeCell ref="C5:D5"/>
    <mergeCell ref="E5:F5"/>
    <mergeCell ref="G5:H5"/>
  </mergeCells>
  <phoneticPr fontId="79" type="noConversion"/>
  <pageMargins left="0.75" right="0.75" top="1" bottom="1" header="0.5" footer="0.5"/>
  <pageSetup paperSize="9" orientation="portrait" horizontalDpi="300" verticalDpi="300"/>
  <headerFooter alignWithMargins="0"/>
  <legacyDrawing r:id="rId1"/>
</worksheet>
</file>

<file path=xl/worksheets/sheet11.xml><?xml version="1.0" encoding="utf-8"?>
<worksheet xmlns="http://schemas.openxmlformats.org/spreadsheetml/2006/main" xmlns:r="http://schemas.openxmlformats.org/officeDocument/2006/relationships">
  <dimension ref="A1:DK36"/>
  <sheetViews>
    <sheetView workbookViewId="0">
      <pane ySplit="5" topLeftCell="A6" activePane="bottomLeft" state="frozen"/>
      <selection pane="bottomLeft" activeCell="W11" sqref="W11"/>
    </sheetView>
  </sheetViews>
  <sheetFormatPr defaultColWidth="9" defaultRowHeight="14.25"/>
  <cols>
    <col min="1" max="1" width="4.625" customWidth="1"/>
    <col min="2" max="2" width="1" customWidth="1"/>
    <col min="3" max="3" width="5.25" customWidth="1"/>
    <col min="4" max="4" width="6" customWidth="1"/>
    <col min="5" max="5" width="13.875" customWidth="1"/>
    <col min="6" max="10" width="9" customWidth="1"/>
    <col min="11" max="11" width="9.625" customWidth="1"/>
    <col min="12" max="68" width="9" customWidth="1"/>
    <col min="69" max="69" width="10.375" customWidth="1"/>
    <col min="70" max="73" width="9" customWidth="1"/>
  </cols>
  <sheetData>
    <row r="1" spans="1:98" ht="18" customHeight="1">
      <c r="A1" s="112"/>
      <c r="C1" s="430" t="s">
        <v>651</v>
      </c>
      <c r="D1" s="430"/>
      <c r="E1" s="430"/>
      <c r="F1" s="113">
        <v>1</v>
      </c>
      <c r="G1" s="113">
        <f>F1+1</f>
        <v>2</v>
      </c>
      <c r="H1" s="113">
        <f>G1+1</f>
        <v>3</v>
      </c>
      <c r="I1" s="113">
        <f>H1+1</f>
        <v>4</v>
      </c>
      <c r="J1" s="113">
        <f t="shared" ref="J1:AH1" si="0">I1+1</f>
        <v>5</v>
      </c>
      <c r="K1" s="113">
        <f t="shared" si="0"/>
        <v>6</v>
      </c>
      <c r="L1" s="113">
        <f t="shared" si="0"/>
        <v>7</v>
      </c>
      <c r="M1" s="113">
        <f t="shared" si="0"/>
        <v>8</v>
      </c>
      <c r="N1" s="113">
        <f t="shared" si="0"/>
        <v>9</v>
      </c>
      <c r="O1" s="113">
        <f t="shared" si="0"/>
        <v>10</v>
      </c>
      <c r="P1" s="113">
        <f t="shared" si="0"/>
        <v>11</v>
      </c>
      <c r="Q1" s="113">
        <f t="shared" si="0"/>
        <v>12</v>
      </c>
      <c r="R1" s="113">
        <f t="shared" si="0"/>
        <v>13</v>
      </c>
      <c r="S1" s="113">
        <f t="shared" si="0"/>
        <v>14</v>
      </c>
      <c r="T1" s="113">
        <f t="shared" si="0"/>
        <v>15</v>
      </c>
      <c r="U1" s="113">
        <f t="shared" si="0"/>
        <v>16</v>
      </c>
      <c r="V1" s="113">
        <f t="shared" si="0"/>
        <v>17</v>
      </c>
      <c r="W1" s="113">
        <f t="shared" si="0"/>
        <v>18</v>
      </c>
      <c r="X1" s="113">
        <f t="shared" si="0"/>
        <v>19</v>
      </c>
      <c r="Y1" s="113">
        <f t="shared" si="0"/>
        <v>20</v>
      </c>
      <c r="Z1" s="113">
        <f t="shared" si="0"/>
        <v>21</v>
      </c>
      <c r="AA1" s="113">
        <f t="shared" si="0"/>
        <v>22</v>
      </c>
      <c r="AB1" s="113">
        <f t="shared" si="0"/>
        <v>23</v>
      </c>
      <c r="AC1" s="113">
        <f t="shared" si="0"/>
        <v>24</v>
      </c>
      <c r="AD1" s="113">
        <f t="shared" si="0"/>
        <v>25</v>
      </c>
      <c r="AE1" s="113">
        <f t="shared" si="0"/>
        <v>26</v>
      </c>
      <c r="AF1" s="113">
        <f t="shared" si="0"/>
        <v>27</v>
      </c>
      <c r="AG1" s="113">
        <f t="shared" si="0"/>
        <v>28</v>
      </c>
      <c r="AH1" s="113">
        <f t="shared" si="0"/>
        <v>29</v>
      </c>
      <c r="AI1" s="113">
        <f t="shared" ref="AI1:CT1" si="1">AH1+1</f>
        <v>30</v>
      </c>
      <c r="AJ1" s="113">
        <f t="shared" si="1"/>
        <v>31</v>
      </c>
      <c r="AK1" s="113">
        <f t="shared" si="1"/>
        <v>32</v>
      </c>
      <c r="AL1" s="113">
        <f t="shared" si="1"/>
        <v>33</v>
      </c>
      <c r="AM1" s="113">
        <f t="shared" si="1"/>
        <v>34</v>
      </c>
      <c r="AN1" s="113">
        <f t="shared" si="1"/>
        <v>35</v>
      </c>
      <c r="AO1" s="113">
        <f t="shared" si="1"/>
        <v>36</v>
      </c>
      <c r="AP1" s="113">
        <f t="shared" si="1"/>
        <v>37</v>
      </c>
      <c r="AQ1" s="113">
        <f t="shared" si="1"/>
        <v>38</v>
      </c>
      <c r="AR1" s="113">
        <f t="shared" si="1"/>
        <v>39</v>
      </c>
      <c r="AS1" s="113">
        <f t="shared" si="1"/>
        <v>40</v>
      </c>
      <c r="AT1" s="113">
        <f t="shared" si="1"/>
        <v>41</v>
      </c>
      <c r="AU1" s="113">
        <f t="shared" si="1"/>
        <v>42</v>
      </c>
      <c r="AV1" s="113">
        <f t="shared" si="1"/>
        <v>43</v>
      </c>
      <c r="AW1" s="113">
        <f t="shared" si="1"/>
        <v>44</v>
      </c>
      <c r="AX1" s="113">
        <f t="shared" si="1"/>
        <v>45</v>
      </c>
      <c r="AY1" s="113">
        <f t="shared" si="1"/>
        <v>46</v>
      </c>
      <c r="AZ1" s="113">
        <f t="shared" si="1"/>
        <v>47</v>
      </c>
      <c r="BA1" s="113">
        <f t="shared" si="1"/>
        <v>48</v>
      </c>
      <c r="BB1" s="113">
        <f t="shared" si="1"/>
        <v>49</v>
      </c>
      <c r="BC1" s="113">
        <f t="shared" si="1"/>
        <v>50</v>
      </c>
      <c r="BD1" s="113">
        <f t="shared" si="1"/>
        <v>51</v>
      </c>
      <c r="BE1" s="113">
        <f t="shared" si="1"/>
        <v>52</v>
      </c>
      <c r="BF1" s="113">
        <f t="shared" si="1"/>
        <v>53</v>
      </c>
      <c r="BG1" s="113">
        <f t="shared" si="1"/>
        <v>54</v>
      </c>
      <c r="BH1" s="113">
        <f t="shared" si="1"/>
        <v>55</v>
      </c>
      <c r="BI1" s="113">
        <f t="shared" si="1"/>
        <v>56</v>
      </c>
      <c r="BJ1" s="113">
        <f t="shared" si="1"/>
        <v>57</v>
      </c>
      <c r="BK1" s="113">
        <f t="shared" si="1"/>
        <v>58</v>
      </c>
      <c r="BL1" s="113">
        <f t="shared" si="1"/>
        <v>59</v>
      </c>
      <c r="BM1" s="113">
        <f t="shared" si="1"/>
        <v>60</v>
      </c>
      <c r="BN1" s="113">
        <f t="shared" si="1"/>
        <v>61</v>
      </c>
      <c r="BO1" s="113">
        <f t="shared" si="1"/>
        <v>62</v>
      </c>
      <c r="BP1" s="113">
        <f t="shared" si="1"/>
        <v>63</v>
      </c>
      <c r="BQ1" s="113">
        <f t="shared" si="1"/>
        <v>64</v>
      </c>
      <c r="BR1" s="113">
        <f t="shared" si="1"/>
        <v>65</v>
      </c>
      <c r="BS1" s="113">
        <f t="shared" si="1"/>
        <v>66</v>
      </c>
      <c r="BT1" s="113">
        <f t="shared" si="1"/>
        <v>67</v>
      </c>
      <c r="BU1" s="113">
        <f t="shared" si="1"/>
        <v>68</v>
      </c>
      <c r="BV1" s="113">
        <f t="shared" si="1"/>
        <v>69</v>
      </c>
      <c r="BW1" s="113"/>
      <c r="BX1" s="113">
        <f>BV1+1</f>
        <v>70</v>
      </c>
      <c r="BY1" s="113">
        <f>BX1+1</f>
        <v>71</v>
      </c>
      <c r="BZ1" s="113">
        <f>BY1+1</f>
        <v>72</v>
      </c>
      <c r="CA1" s="113">
        <f>BZ1+1</f>
        <v>73</v>
      </c>
      <c r="CB1" s="113">
        <f t="shared" si="1"/>
        <v>74</v>
      </c>
      <c r="CC1" s="113">
        <f t="shared" si="1"/>
        <v>75</v>
      </c>
      <c r="CD1" s="113">
        <f t="shared" si="1"/>
        <v>76</v>
      </c>
      <c r="CE1" s="113">
        <f t="shared" si="1"/>
        <v>77</v>
      </c>
      <c r="CF1" s="113">
        <f t="shared" si="1"/>
        <v>78</v>
      </c>
      <c r="CG1" s="113">
        <f>CN1+1</f>
        <v>86</v>
      </c>
      <c r="CH1" s="113">
        <f>CF1+1</f>
        <v>79</v>
      </c>
      <c r="CI1" s="113">
        <f t="shared" si="1"/>
        <v>80</v>
      </c>
      <c r="CJ1" s="113">
        <f t="shared" si="1"/>
        <v>81</v>
      </c>
      <c r="CK1" s="113">
        <f t="shared" si="1"/>
        <v>82</v>
      </c>
      <c r="CL1" s="113">
        <f t="shared" si="1"/>
        <v>83</v>
      </c>
      <c r="CM1" s="113">
        <f t="shared" si="1"/>
        <v>84</v>
      </c>
      <c r="CN1" s="113">
        <f t="shared" si="1"/>
        <v>85</v>
      </c>
      <c r="CO1" s="113">
        <f>CG1+1</f>
        <v>87</v>
      </c>
      <c r="CP1" s="113">
        <f t="shared" si="1"/>
        <v>88</v>
      </c>
      <c r="CQ1" s="113">
        <f t="shared" si="1"/>
        <v>89</v>
      </c>
      <c r="CR1" s="113">
        <f t="shared" si="1"/>
        <v>90</v>
      </c>
      <c r="CS1" s="113">
        <f t="shared" si="1"/>
        <v>91</v>
      </c>
      <c r="CT1" s="113">
        <f t="shared" si="1"/>
        <v>92</v>
      </c>
    </row>
    <row r="2" spans="1:98" ht="18" customHeight="1">
      <c r="A2" s="112"/>
      <c r="C2" s="452" t="s">
        <v>652</v>
      </c>
      <c r="D2" s="453"/>
      <c r="E2" s="454"/>
      <c r="F2" s="448" t="s">
        <v>653</v>
      </c>
      <c r="G2" s="436" t="s">
        <v>654</v>
      </c>
      <c r="H2" s="436" t="s">
        <v>655</v>
      </c>
      <c r="I2" s="436" t="s">
        <v>655</v>
      </c>
      <c r="J2" s="436" t="s">
        <v>655</v>
      </c>
      <c r="K2" s="436" t="s">
        <v>656</v>
      </c>
      <c r="L2" s="436" t="s">
        <v>656</v>
      </c>
      <c r="M2" s="448" t="s">
        <v>657</v>
      </c>
      <c r="N2" s="436" t="s">
        <v>658</v>
      </c>
      <c r="O2" s="448" t="s">
        <v>659</v>
      </c>
      <c r="P2" s="448" t="s">
        <v>660</v>
      </c>
      <c r="Q2" s="430" t="s">
        <v>661</v>
      </c>
      <c r="R2" s="448" t="s">
        <v>662</v>
      </c>
      <c r="S2" s="448" t="s">
        <v>662</v>
      </c>
      <c r="T2" s="448" t="s">
        <v>663</v>
      </c>
      <c r="U2" s="448" t="s">
        <v>663</v>
      </c>
      <c r="V2" s="448" t="s">
        <v>664</v>
      </c>
      <c r="W2" s="448" t="s">
        <v>665</v>
      </c>
      <c r="X2" s="448" t="s">
        <v>666</v>
      </c>
      <c r="Y2" s="448" t="s">
        <v>667</v>
      </c>
      <c r="Z2" s="436" t="s">
        <v>668</v>
      </c>
      <c r="AA2" s="436" t="s">
        <v>419</v>
      </c>
      <c r="AB2" s="448" t="s">
        <v>669</v>
      </c>
      <c r="AC2" s="448" t="s">
        <v>670</v>
      </c>
      <c r="AD2" s="448" t="s">
        <v>671</v>
      </c>
      <c r="AE2" s="436" t="s">
        <v>672</v>
      </c>
      <c r="AF2" s="430" t="s">
        <v>673</v>
      </c>
      <c r="AG2" s="448" t="s">
        <v>674</v>
      </c>
      <c r="AH2" s="448" t="s">
        <v>674</v>
      </c>
      <c r="AI2" s="448" t="s">
        <v>675</v>
      </c>
      <c r="AJ2" s="436" t="s">
        <v>676</v>
      </c>
      <c r="AK2" s="436" t="s">
        <v>677</v>
      </c>
      <c r="AL2" s="436" t="s">
        <v>677</v>
      </c>
      <c r="AM2" s="430" t="s">
        <v>678</v>
      </c>
      <c r="AN2" s="436" t="s">
        <v>678</v>
      </c>
      <c r="AO2" s="436" t="s">
        <v>678</v>
      </c>
      <c r="AP2" s="436" t="s">
        <v>678</v>
      </c>
      <c r="AQ2" s="448" t="s">
        <v>436</v>
      </c>
      <c r="AR2" s="448" t="s">
        <v>679</v>
      </c>
      <c r="AS2" s="436" t="s">
        <v>680</v>
      </c>
      <c r="AT2" s="436" t="s">
        <v>680</v>
      </c>
      <c r="AU2" s="436" t="s">
        <v>681</v>
      </c>
      <c r="AV2" s="448" t="s">
        <v>682</v>
      </c>
      <c r="AW2" s="448" t="s">
        <v>683</v>
      </c>
      <c r="AX2" s="448" t="s">
        <v>683</v>
      </c>
      <c r="AY2" s="448" t="s">
        <v>683</v>
      </c>
      <c r="AZ2" s="448" t="s">
        <v>684</v>
      </c>
      <c r="BA2" s="448" t="s">
        <v>684</v>
      </c>
      <c r="BB2" s="448" t="s">
        <v>684</v>
      </c>
      <c r="BC2" s="448" t="s">
        <v>684</v>
      </c>
      <c r="BD2" s="448" t="s">
        <v>685</v>
      </c>
      <c r="BE2" s="448" t="s">
        <v>685</v>
      </c>
      <c r="BF2" s="448" t="s">
        <v>686</v>
      </c>
      <c r="BG2" s="448" t="s">
        <v>687</v>
      </c>
      <c r="BH2" s="448" t="s">
        <v>688</v>
      </c>
      <c r="BI2" s="448" t="s">
        <v>689</v>
      </c>
      <c r="BJ2" s="451" t="s">
        <v>690</v>
      </c>
      <c r="BK2" s="448" t="s">
        <v>691</v>
      </c>
      <c r="BL2" s="448" t="s">
        <v>692</v>
      </c>
      <c r="BM2" s="448" t="s">
        <v>693</v>
      </c>
      <c r="BN2" s="448" t="s">
        <v>694</v>
      </c>
      <c r="BO2" s="448" t="s">
        <v>695</v>
      </c>
      <c r="BP2" s="448" t="s">
        <v>461</v>
      </c>
      <c r="BQ2" s="430" t="s">
        <v>462</v>
      </c>
      <c r="BR2" s="436" t="s">
        <v>463</v>
      </c>
      <c r="BS2" s="436" t="s">
        <v>464</v>
      </c>
      <c r="BT2" s="430" t="s">
        <v>465</v>
      </c>
      <c r="BU2" s="430" t="s">
        <v>466</v>
      </c>
      <c r="BV2" s="448" t="s">
        <v>696</v>
      </c>
      <c r="BW2" s="448" t="s">
        <v>697</v>
      </c>
      <c r="BX2" s="430" t="s">
        <v>468</v>
      </c>
      <c r="BY2" s="436" t="s">
        <v>698</v>
      </c>
      <c r="BZ2" s="451" t="s">
        <v>699</v>
      </c>
      <c r="CA2" s="436" t="s">
        <v>700</v>
      </c>
      <c r="CB2" s="436" t="s">
        <v>405</v>
      </c>
      <c r="CC2" s="436" t="s">
        <v>701</v>
      </c>
      <c r="CD2" s="436" t="s">
        <v>702</v>
      </c>
      <c r="CE2" s="448" t="s">
        <v>703</v>
      </c>
      <c r="CF2" s="448" t="s">
        <v>704</v>
      </c>
      <c r="CG2" s="451" t="s">
        <v>704</v>
      </c>
      <c r="CH2" s="448" t="s">
        <v>705</v>
      </c>
      <c r="CI2" s="451" t="s">
        <v>706</v>
      </c>
      <c r="CJ2" s="448" t="s">
        <v>707</v>
      </c>
      <c r="CK2" s="448" t="s">
        <v>707</v>
      </c>
      <c r="CL2" s="448" t="s">
        <v>708</v>
      </c>
      <c r="CM2" s="430" t="s">
        <v>709</v>
      </c>
      <c r="CN2" s="451" t="s">
        <v>710</v>
      </c>
      <c r="CO2" s="451" t="s">
        <v>478</v>
      </c>
      <c r="CP2" s="448" t="s">
        <v>479</v>
      </c>
      <c r="CQ2" s="448" t="s">
        <v>408</v>
      </c>
      <c r="CR2" s="448" t="s">
        <v>711</v>
      </c>
      <c r="CS2" s="451" t="s">
        <v>712</v>
      </c>
      <c r="CT2" s="451" t="s">
        <v>713</v>
      </c>
    </row>
    <row r="3" spans="1:98" ht="18" customHeight="1">
      <c r="A3" s="112"/>
      <c r="C3" s="455"/>
      <c r="D3" s="456"/>
      <c r="E3" s="457"/>
      <c r="F3" s="450"/>
      <c r="G3" s="438"/>
      <c r="H3" s="438"/>
      <c r="I3" s="438"/>
      <c r="J3" s="438"/>
      <c r="K3" s="438"/>
      <c r="L3" s="438"/>
      <c r="M3" s="450"/>
      <c r="N3" s="438"/>
      <c r="O3" s="450"/>
      <c r="P3" s="450"/>
      <c r="Q3" s="430"/>
      <c r="R3" s="450"/>
      <c r="S3" s="450"/>
      <c r="T3" s="450"/>
      <c r="U3" s="450"/>
      <c r="V3" s="450"/>
      <c r="W3" s="450"/>
      <c r="X3" s="450"/>
      <c r="Y3" s="450"/>
      <c r="Z3" s="438"/>
      <c r="AA3" s="438"/>
      <c r="AB3" s="450"/>
      <c r="AC3" s="450"/>
      <c r="AD3" s="450"/>
      <c r="AE3" s="438"/>
      <c r="AF3" s="430"/>
      <c r="AG3" s="450"/>
      <c r="AH3" s="450"/>
      <c r="AI3" s="450"/>
      <c r="AJ3" s="438"/>
      <c r="AK3" s="438"/>
      <c r="AL3" s="438"/>
      <c r="AM3" s="430"/>
      <c r="AN3" s="438"/>
      <c r="AO3" s="438"/>
      <c r="AP3" s="438"/>
      <c r="AQ3" s="450"/>
      <c r="AR3" s="450"/>
      <c r="AS3" s="438"/>
      <c r="AT3" s="438"/>
      <c r="AU3" s="438"/>
      <c r="AV3" s="450"/>
      <c r="AW3" s="450"/>
      <c r="AX3" s="450"/>
      <c r="AY3" s="450"/>
      <c r="AZ3" s="450"/>
      <c r="BA3" s="450"/>
      <c r="BB3" s="450"/>
      <c r="BC3" s="450"/>
      <c r="BD3" s="450"/>
      <c r="BE3" s="450"/>
      <c r="BF3" s="450"/>
      <c r="BG3" s="450"/>
      <c r="BH3" s="450"/>
      <c r="BI3" s="450"/>
      <c r="BJ3" s="451"/>
      <c r="BK3" s="450"/>
      <c r="BL3" s="450"/>
      <c r="BM3" s="450"/>
      <c r="BN3" s="450"/>
      <c r="BO3" s="450"/>
      <c r="BP3" s="450"/>
      <c r="BQ3" s="430"/>
      <c r="BR3" s="438"/>
      <c r="BS3" s="438"/>
      <c r="BT3" s="430"/>
      <c r="BU3" s="430"/>
      <c r="BV3" s="450"/>
      <c r="BW3" s="450"/>
      <c r="BX3" s="430"/>
      <c r="BY3" s="438"/>
      <c r="BZ3" s="451"/>
      <c r="CA3" s="438"/>
      <c r="CB3" s="438"/>
      <c r="CC3" s="438"/>
      <c r="CD3" s="438"/>
      <c r="CE3" s="450"/>
      <c r="CF3" s="450"/>
      <c r="CG3" s="451"/>
      <c r="CH3" s="450"/>
      <c r="CI3" s="451"/>
      <c r="CJ3" s="450"/>
      <c r="CK3" s="450"/>
      <c r="CL3" s="450"/>
      <c r="CM3" s="430"/>
      <c r="CN3" s="451"/>
      <c r="CO3" s="451"/>
      <c r="CP3" s="450"/>
      <c r="CQ3" s="450"/>
      <c r="CR3" s="450"/>
      <c r="CS3" s="451"/>
      <c r="CT3" s="451"/>
    </row>
    <row r="4" spans="1:98" ht="18" customHeight="1">
      <c r="A4" s="112"/>
      <c r="C4" s="430" t="s">
        <v>714</v>
      </c>
      <c r="D4" s="430"/>
      <c r="E4" s="430"/>
      <c r="F4" s="113" t="s">
        <v>715</v>
      </c>
      <c r="G4" s="114" t="s">
        <v>716</v>
      </c>
      <c r="H4" s="113" t="s">
        <v>717</v>
      </c>
      <c r="I4" s="113" t="s">
        <v>718</v>
      </c>
      <c r="J4" s="113" t="s">
        <v>719</v>
      </c>
      <c r="K4" s="114" t="s">
        <v>717</v>
      </c>
      <c r="L4" s="114" t="s">
        <v>718</v>
      </c>
      <c r="M4" s="114" t="s">
        <v>720</v>
      </c>
      <c r="N4" s="114" t="s">
        <v>721</v>
      </c>
      <c r="O4" s="114" t="s">
        <v>722</v>
      </c>
      <c r="P4" s="113"/>
      <c r="Q4" s="113"/>
      <c r="R4" s="114" t="s">
        <v>723</v>
      </c>
      <c r="S4" s="114" t="s">
        <v>724</v>
      </c>
      <c r="T4" s="114" t="s">
        <v>725</v>
      </c>
      <c r="U4" s="114" t="s">
        <v>726</v>
      </c>
      <c r="V4" s="114" t="s">
        <v>727</v>
      </c>
      <c r="W4" s="114" t="s">
        <v>728</v>
      </c>
      <c r="X4" s="114" t="s">
        <v>729</v>
      </c>
      <c r="Y4" s="114" t="s">
        <v>730</v>
      </c>
      <c r="Z4" s="114" t="s">
        <v>731</v>
      </c>
      <c r="AA4" s="114" t="s">
        <v>732</v>
      </c>
      <c r="AB4" s="114" t="s">
        <v>733</v>
      </c>
      <c r="AC4" s="114" t="s">
        <v>734</v>
      </c>
      <c r="AD4" s="114" t="s">
        <v>735</v>
      </c>
      <c r="AE4" s="114" t="s">
        <v>736</v>
      </c>
      <c r="AF4" s="114" t="s">
        <v>737</v>
      </c>
      <c r="AG4" s="114" t="s">
        <v>738</v>
      </c>
      <c r="AH4" s="114" t="s">
        <v>739</v>
      </c>
      <c r="AI4" s="114" t="s">
        <v>740</v>
      </c>
      <c r="AJ4" s="114" t="s">
        <v>741</v>
      </c>
      <c r="AK4" s="114" t="s">
        <v>742</v>
      </c>
      <c r="AL4" s="114" t="s">
        <v>743</v>
      </c>
      <c r="AM4" s="114" t="s">
        <v>744</v>
      </c>
      <c r="AN4" s="114" t="s">
        <v>742</v>
      </c>
      <c r="AO4" s="114" t="s">
        <v>745</v>
      </c>
      <c r="AP4" s="114" t="s">
        <v>743</v>
      </c>
      <c r="AQ4" s="113"/>
      <c r="AR4" s="113" t="s">
        <v>746</v>
      </c>
      <c r="AS4" s="114" t="s">
        <v>747</v>
      </c>
      <c r="AT4" s="114" t="s">
        <v>742</v>
      </c>
      <c r="AU4" s="114" t="s">
        <v>748</v>
      </c>
      <c r="AV4" s="114" t="s">
        <v>749</v>
      </c>
      <c r="AW4" s="114" t="s">
        <v>750</v>
      </c>
      <c r="AX4" s="114" t="s">
        <v>743</v>
      </c>
      <c r="AY4" s="114" t="s">
        <v>751</v>
      </c>
      <c r="AZ4" s="114" t="s">
        <v>742</v>
      </c>
      <c r="BA4" s="114" t="s">
        <v>752</v>
      </c>
      <c r="BB4" s="114" t="s">
        <v>753</v>
      </c>
      <c r="BC4" s="114" t="s">
        <v>751</v>
      </c>
      <c r="BD4" s="114" t="s">
        <v>743</v>
      </c>
      <c r="BE4" s="114" t="s">
        <v>754</v>
      </c>
      <c r="BF4" s="114" t="s">
        <v>755</v>
      </c>
      <c r="BG4" s="114" t="s">
        <v>755</v>
      </c>
      <c r="BH4" s="114" t="s">
        <v>756</v>
      </c>
      <c r="BI4" s="122" t="s">
        <v>757</v>
      </c>
      <c r="BJ4" s="113" t="s">
        <v>746</v>
      </c>
      <c r="BK4" s="114" t="s">
        <v>758</v>
      </c>
      <c r="BL4" s="114" t="s">
        <v>759</v>
      </c>
      <c r="BM4" s="114" t="s">
        <v>735</v>
      </c>
      <c r="BN4" s="114" t="s">
        <v>734</v>
      </c>
      <c r="BO4" s="114" t="s">
        <v>760</v>
      </c>
      <c r="BP4" s="114"/>
      <c r="BQ4" s="123" t="s">
        <v>761</v>
      </c>
      <c r="BR4" s="123"/>
      <c r="BS4" s="123"/>
      <c r="BT4" s="113"/>
      <c r="BU4" s="113"/>
      <c r="BV4" s="113"/>
      <c r="BW4" s="113"/>
      <c r="BX4" s="113"/>
      <c r="BY4" s="113" t="s">
        <v>762</v>
      </c>
      <c r="BZ4" s="113" t="s">
        <v>763</v>
      </c>
      <c r="CA4" s="114" t="s">
        <v>764</v>
      </c>
      <c r="CB4" s="113"/>
      <c r="CC4" s="113" t="s">
        <v>765</v>
      </c>
      <c r="CD4" s="114" t="s">
        <v>766</v>
      </c>
      <c r="CE4" s="114" t="s">
        <v>767</v>
      </c>
      <c r="CF4" s="114" t="s">
        <v>735</v>
      </c>
      <c r="CG4" s="113" t="s">
        <v>768</v>
      </c>
      <c r="CH4" s="113"/>
      <c r="CI4" s="113"/>
      <c r="CJ4" s="113" t="s">
        <v>769</v>
      </c>
      <c r="CK4" s="113" t="s">
        <v>770</v>
      </c>
      <c r="CL4" s="113" t="s">
        <v>771</v>
      </c>
      <c r="CM4" s="114" t="s">
        <v>759</v>
      </c>
      <c r="CN4" s="113" t="s">
        <v>772</v>
      </c>
      <c r="CO4" s="113"/>
      <c r="CP4" s="113"/>
      <c r="CQ4" s="113"/>
      <c r="CR4" s="113" t="s">
        <v>773</v>
      </c>
      <c r="CS4" s="113" t="s">
        <v>774</v>
      </c>
      <c r="CT4" s="113" t="s">
        <v>775</v>
      </c>
    </row>
    <row r="5" spans="1:98" ht="18" customHeight="1">
      <c r="A5" s="115" t="s">
        <v>776</v>
      </c>
      <c r="B5" s="435"/>
      <c r="C5" s="430" t="s">
        <v>777</v>
      </c>
      <c r="D5" s="430"/>
      <c r="E5" s="430"/>
      <c r="F5" s="113">
        <v>1004</v>
      </c>
      <c r="G5" s="113">
        <v>1008</v>
      </c>
      <c r="H5" s="113">
        <v>1015</v>
      </c>
      <c r="I5" s="113">
        <v>1016</v>
      </c>
      <c r="J5" s="113">
        <v>1017</v>
      </c>
      <c r="K5" s="113">
        <v>1010</v>
      </c>
      <c r="L5" s="113">
        <v>1011</v>
      </c>
      <c r="M5" s="113">
        <v>1021</v>
      </c>
      <c r="N5" s="113">
        <v>1030</v>
      </c>
      <c r="O5" s="113">
        <v>1034</v>
      </c>
      <c r="P5" s="113">
        <v>3031</v>
      </c>
      <c r="Q5" s="113">
        <v>1094</v>
      </c>
      <c r="R5" s="113">
        <v>2002</v>
      </c>
      <c r="S5" s="113">
        <v>2003</v>
      </c>
      <c r="T5" s="113">
        <v>2010</v>
      </c>
      <c r="U5" s="113">
        <v>2009</v>
      </c>
      <c r="V5" s="113">
        <v>2012</v>
      </c>
      <c r="W5" s="113">
        <v>2013</v>
      </c>
      <c r="X5" s="113">
        <v>2021</v>
      </c>
      <c r="Y5" s="113">
        <v>2032</v>
      </c>
      <c r="Z5" s="113">
        <v>1042</v>
      </c>
      <c r="AA5" s="113">
        <v>2022</v>
      </c>
      <c r="AB5" s="113">
        <v>8005</v>
      </c>
      <c r="AC5" s="113">
        <v>8010</v>
      </c>
      <c r="AD5" s="113">
        <v>9032</v>
      </c>
      <c r="AE5" s="113">
        <v>8016</v>
      </c>
      <c r="AF5" s="113">
        <v>5013</v>
      </c>
      <c r="AG5" s="113">
        <v>8035</v>
      </c>
      <c r="AH5" s="113">
        <v>8036</v>
      </c>
      <c r="AI5" s="113">
        <v>8033</v>
      </c>
      <c r="AJ5" s="113">
        <v>2013</v>
      </c>
      <c r="AK5" s="113">
        <v>3002</v>
      </c>
      <c r="AL5" s="113">
        <v>3003</v>
      </c>
      <c r="AM5" s="113">
        <v>3004</v>
      </c>
      <c r="AN5" s="113">
        <v>3005</v>
      </c>
      <c r="AO5" s="113">
        <v>3006</v>
      </c>
      <c r="AP5" s="113">
        <v>3007</v>
      </c>
      <c r="AQ5" s="113">
        <v>2099</v>
      </c>
      <c r="AR5" s="113">
        <v>4151</v>
      </c>
      <c r="AS5" s="113">
        <v>4069</v>
      </c>
      <c r="AT5" s="113">
        <v>4070</v>
      </c>
      <c r="AU5" s="113">
        <v>4066</v>
      </c>
      <c r="AV5" s="113">
        <v>4007</v>
      </c>
      <c r="AW5" s="113">
        <v>4002</v>
      </c>
      <c r="AX5" s="113">
        <v>4004</v>
      </c>
      <c r="AY5" s="113">
        <v>4006</v>
      </c>
      <c r="AZ5" s="113">
        <v>4027</v>
      </c>
      <c r="BA5" s="113">
        <v>4031</v>
      </c>
      <c r="BB5" s="113">
        <v>4032</v>
      </c>
      <c r="BC5" s="113">
        <v>4033</v>
      </c>
      <c r="BD5" s="113">
        <v>4018</v>
      </c>
      <c r="BE5" s="113">
        <v>4019</v>
      </c>
      <c r="BF5" s="113">
        <v>4011</v>
      </c>
      <c r="BG5" s="113">
        <v>4059</v>
      </c>
      <c r="BH5" s="113">
        <v>4082</v>
      </c>
      <c r="BI5" s="113">
        <v>4015</v>
      </c>
      <c r="BJ5" s="113">
        <v>4054</v>
      </c>
      <c r="BK5" s="113">
        <v>8044</v>
      </c>
      <c r="BL5" s="113">
        <v>8042</v>
      </c>
      <c r="BM5" s="113">
        <v>8048</v>
      </c>
      <c r="BN5" s="113">
        <v>8047</v>
      </c>
      <c r="BO5" s="113">
        <v>9148</v>
      </c>
      <c r="BP5" s="113">
        <v>9150</v>
      </c>
      <c r="BQ5" s="113">
        <v>7002</v>
      </c>
      <c r="BR5" s="113">
        <v>9202</v>
      </c>
      <c r="BS5" s="113">
        <v>9204</v>
      </c>
      <c r="BT5" s="113">
        <v>8060</v>
      </c>
      <c r="BU5" s="113">
        <v>8054</v>
      </c>
      <c r="BV5" s="113">
        <v>8056</v>
      </c>
      <c r="BW5" s="113">
        <v>8058</v>
      </c>
      <c r="BX5" s="113">
        <v>8059</v>
      </c>
      <c r="BY5" s="113">
        <v>1035</v>
      </c>
      <c r="BZ5" s="113">
        <v>1036</v>
      </c>
      <c r="CA5" s="113">
        <v>1043</v>
      </c>
      <c r="CB5" s="113">
        <v>1133</v>
      </c>
      <c r="CC5" s="113">
        <v>1135</v>
      </c>
      <c r="CD5" s="113">
        <v>5015</v>
      </c>
      <c r="CE5" s="113">
        <v>5005</v>
      </c>
      <c r="CF5" s="113">
        <v>8025</v>
      </c>
      <c r="CG5" s="113">
        <v>8027</v>
      </c>
      <c r="CH5" s="113">
        <v>5008</v>
      </c>
      <c r="CI5" s="113">
        <v>5009</v>
      </c>
      <c r="CJ5" s="113">
        <v>5010</v>
      </c>
      <c r="CK5" s="113">
        <v>5011</v>
      </c>
      <c r="CL5" s="113">
        <v>9048</v>
      </c>
      <c r="CM5" s="113">
        <v>5002</v>
      </c>
      <c r="CN5" s="113">
        <v>1028</v>
      </c>
      <c r="CO5" s="113">
        <v>1121</v>
      </c>
      <c r="CP5" s="113">
        <v>3033</v>
      </c>
      <c r="CQ5" s="113">
        <v>3038</v>
      </c>
      <c r="CR5" s="113">
        <v>1017</v>
      </c>
      <c r="CS5" s="113">
        <v>1033</v>
      </c>
      <c r="CT5" s="113">
        <v>1045</v>
      </c>
    </row>
    <row r="6" spans="1:98" ht="18" customHeight="1">
      <c r="A6" s="115"/>
      <c r="B6" s="435"/>
      <c r="C6" s="436" t="s">
        <v>778</v>
      </c>
      <c r="D6" s="439" t="s">
        <v>779</v>
      </c>
      <c r="E6" s="116" t="s">
        <v>780</v>
      </c>
      <c r="F6" s="116">
        <v>28.77</v>
      </c>
      <c r="G6" s="116">
        <v>16.809999999999999</v>
      </c>
      <c r="H6" s="116">
        <v>10.8</v>
      </c>
      <c r="I6" s="116">
        <v>19</v>
      </c>
      <c r="J6" s="116">
        <v>26.72</v>
      </c>
      <c r="K6" s="116">
        <v>5.7</v>
      </c>
      <c r="L6" s="116">
        <v>9.65</v>
      </c>
      <c r="M6" s="116">
        <v>0.81</v>
      </c>
      <c r="N6" s="116">
        <v>1.27</v>
      </c>
      <c r="O6" s="116">
        <v>0.17</v>
      </c>
      <c r="P6" s="116">
        <v>0.26</v>
      </c>
      <c r="Q6" s="116"/>
      <c r="R6" s="116">
        <v>3.29</v>
      </c>
      <c r="S6" s="116">
        <v>4.3899999999999997</v>
      </c>
      <c r="T6" s="116">
        <v>0.51</v>
      </c>
      <c r="U6" s="116">
        <v>0.32</v>
      </c>
      <c r="V6" s="116">
        <v>0.43</v>
      </c>
      <c r="W6" s="116">
        <v>1.32</v>
      </c>
      <c r="X6" s="116">
        <v>0.61</v>
      </c>
      <c r="Y6" s="116"/>
      <c r="Z6" s="116">
        <v>0.41</v>
      </c>
      <c r="AA6" s="116">
        <v>3.29</v>
      </c>
      <c r="AB6" s="116">
        <v>0.31</v>
      </c>
      <c r="AC6" s="116">
        <v>1.07</v>
      </c>
      <c r="AD6" s="116"/>
      <c r="AE6" s="116">
        <v>0.27</v>
      </c>
      <c r="AF6" s="116">
        <v>1.78</v>
      </c>
      <c r="AG6" s="116">
        <v>0.94</v>
      </c>
      <c r="AH6" s="116">
        <v>1.03</v>
      </c>
      <c r="AI6" s="116">
        <v>0.33</v>
      </c>
      <c r="AJ6" s="116">
        <v>1.32</v>
      </c>
      <c r="AK6" s="116">
        <v>7.77</v>
      </c>
      <c r="AL6" s="116">
        <v>20.95</v>
      </c>
      <c r="AM6" s="116">
        <v>7.91</v>
      </c>
      <c r="AN6" s="116">
        <v>10.73</v>
      </c>
      <c r="AO6" s="116">
        <v>22.59</v>
      </c>
      <c r="AP6" s="116">
        <v>30.49</v>
      </c>
      <c r="AQ6" s="116"/>
      <c r="AR6" s="116"/>
      <c r="AS6" s="116">
        <v>1.75</v>
      </c>
      <c r="AT6" s="116">
        <v>2.97</v>
      </c>
      <c r="AU6" s="116">
        <v>1.24</v>
      </c>
      <c r="AV6" s="116">
        <v>102.67</v>
      </c>
      <c r="AW6" s="116">
        <v>24.94</v>
      </c>
      <c r="AX6" s="116">
        <v>41.37</v>
      </c>
      <c r="AY6" s="116">
        <v>70.3</v>
      </c>
      <c r="AZ6" s="116">
        <v>12.92</v>
      </c>
      <c r="BA6" s="116">
        <v>37.619999999999997</v>
      </c>
      <c r="BB6" s="116">
        <v>46.14</v>
      </c>
      <c r="BC6" s="116">
        <v>74.64</v>
      </c>
      <c r="BD6" s="116">
        <v>31.79</v>
      </c>
      <c r="BE6" s="116">
        <v>37.880000000000003</v>
      </c>
      <c r="BF6" s="116">
        <v>17.690000000000001</v>
      </c>
      <c r="BG6" s="116">
        <v>16.149999999999999</v>
      </c>
      <c r="BH6" s="116">
        <v>195.05</v>
      </c>
      <c r="BI6" s="116">
        <v>24.94</v>
      </c>
      <c r="BJ6" s="116">
        <v>0.24</v>
      </c>
      <c r="BK6" s="116">
        <v>0.53</v>
      </c>
      <c r="BL6" s="116">
        <v>1.69</v>
      </c>
      <c r="BM6" s="116">
        <v>1.6</v>
      </c>
      <c r="BN6" s="116">
        <v>1.18</v>
      </c>
      <c r="BO6" s="116"/>
      <c r="BP6" s="116"/>
      <c r="BQ6" s="116">
        <v>1.52</v>
      </c>
      <c r="BR6" s="116"/>
      <c r="BS6" s="116"/>
      <c r="BT6" s="116">
        <v>3.26</v>
      </c>
      <c r="BU6" s="116">
        <v>5.07</v>
      </c>
      <c r="BV6" s="116">
        <v>3.12</v>
      </c>
      <c r="BW6" s="116">
        <v>0.43</v>
      </c>
      <c r="BX6" s="116">
        <v>2.2599999999999998</v>
      </c>
      <c r="BY6" s="116">
        <v>0.54</v>
      </c>
      <c r="BZ6" s="116">
        <v>0.82</v>
      </c>
      <c r="CA6" s="116">
        <v>0.63</v>
      </c>
      <c r="CB6" s="116"/>
      <c r="CC6" s="116"/>
      <c r="CD6" s="116">
        <v>9.98</v>
      </c>
      <c r="CE6" s="116">
        <v>16.5</v>
      </c>
      <c r="CF6" s="116">
        <v>2.4500000000000002</v>
      </c>
      <c r="CG6" s="116">
        <v>4.18</v>
      </c>
      <c r="CH6" s="116">
        <v>3.21</v>
      </c>
      <c r="CI6" s="116">
        <v>0.83</v>
      </c>
      <c r="CJ6" s="116">
        <v>2.38</v>
      </c>
      <c r="CK6" s="116">
        <v>2.76</v>
      </c>
      <c r="CL6" s="116"/>
      <c r="CM6" s="116">
        <v>3.8</v>
      </c>
      <c r="CN6" s="116">
        <v>17.23</v>
      </c>
      <c r="CO6" s="116"/>
      <c r="CP6" s="116">
        <v>5.14</v>
      </c>
      <c r="CQ6" s="116">
        <v>0.68</v>
      </c>
      <c r="CR6" s="116">
        <v>26.72</v>
      </c>
      <c r="CS6" s="116">
        <v>10.119999999999999</v>
      </c>
      <c r="CT6" s="113">
        <v>178.76</v>
      </c>
    </row>
    <row r="7" spans="1:98" ht="18" customHeight="1">
      <c r="A7" s="115"/>
      <c r="B7" s="435"/>
      <c r="C7" s="437"/>
      <c r="D7" s="440"/>
      <c r="E7" s="116" t="s">
        <v>781</v>
      </c>
      <c r="F7" s="116">
        <v>1.1299999999999999</v>
      </c>
      <c r="G7" s="116">
        <v>1.1299999999999999</v>
      </c>
      <c r="H7" s="116">
        <v>1.1299999999999999</v>
      </c>
      <c r="I7" s="116">
        <v>1.1299999999999999</v>
      </c>
      <c r="J7" s="116">
        <v>1.1299999999999999</v>
      </c>
      <c r="K7" s="116">
        <v>1.1299999999999999</v>
      </c>
      <c r="L7" s="116">
        <v>1.1299999999999999</v>
      </c>
      <c r="M7" s="116">
        <v>1.1299999999999999</v>
      </c>
      <c r="N7" s="116">
        <v>1.1299999999999999</v>
      </c>
      <c r="O7" s="116">
        <v>1.1299999999999999</v>
      </c>
      <c r="P7" s="116">
        <v>1.1299999999999999</v>
      </c>
      <c r="Q7" s="116">
        <v>1.1299999999999999</v>
      </c>
      <c r="R7" s="116">
        <v>1.1299999999999999</v>
      </c>
      <c r="S7" s="116">
        <v>1.1299999999999999</v>
      </c>
      <c r="T7" s="116">
        <v>1.1299999999999999</v>
      </c>
      <c r="U7" s="116">
        <v>1.1299999999999999</v>
      </c>
      <c r="V7" s="116">
        <v>1.1299999999999999</v>
      </c>
      <c r="W7" s="116">
        <v>1.1299999999999999</v>
      </c>
      <c r="X7" s="116">
        <v>1.1299999999999999</v>
      </c>
      <c r="Y7" s="116">
        <v>1.1299999999999999</v>
      </c>
      <c r="Z7" s="116">
        <v>1.1299999999999999</v>
      </c>
      <c r="AA7" s="116">
        <v>1.1299999999999999</v>
      </c>
      <c r="AB7" s="116">
        <v>1.1299999999999999</v>
      </c>
      <c r="AC7" s="116">
        <v>1.1299999999999999</v>
      </c>
      <c r="AD7" s="116">
        <v>1.1299999999999999</v>
      </c>
      <c r="AE7" s="116">
        <v>1.1299999999999999</v>
      </c>
      <c r="AF7" s="116">
        <v>1.1299999999999999</v>
      </c>
      <c r="AG7" s="116">
        <v>1.1299999999999999</v>
      </c>
      <c r="AH7" s="116">
        <v>1.1299999999999999</v>
      </c>
      <c r="AI7" s="116">
        <v>1.1299999999999999</v>
      </c>
      <c r="AJ7" s="116">
        <v>1.1299999999999999</v>
      </c>
      <c r="AK7" s="116">
        <v>1.1299999999999999</v>
      </c>
      <c r="AL7" s="116">
        <v>1.1299999999999999</v>
      </c>
      <c r="AM7" s="116">
        <v>1.1299999999999999</v>
      </c>
      <c r="AN7" s="116">
        <v>1.1299999999999999</v>
      </c>
      <c r="AO7" s="116">
        <v>1.1299999999999999</v>
      </c>
      <c r="AP7" s="116">
        <v>1.1299999999999999</v>
      </c>
      <c r="AQ7" s="116">
        <v>1.1299999999999999</v>
      </c>
      <c r="AR7" s="116">
        <v>1.1299999999999999</v>
      </c>
      <c r="AS7" s="116">
        <v>1.1299999999999999</v>
      </c>
      <c r="AT7" s="116">
        <v>1.1299999999999999</v>
      </c>
      <c r="AU7" s="116">
        <v>1.1299999999999999</v>
      </c>
      <c r="AV7" s="116">
        <v>1.1299999999999999</v>
      </c>
      <c r="AW7" s="116">
        <v>1.1299999999999999</v>
      </c>
      <c r="AX7" s="116">
        <v>1.1299999999999999</v>
      </c>
      <c r="AY7" s="116">
        <v>1.1299999999999999</v>
      </c>
      <c r="AZ7" s="116">
        <v>1.1299999999999999</v>
      </c>
      <c r="BA7" s="116">
        <v>1.1299999999999999</v>
      </c>
      <c r="BB7" s="116">
        <v>1.1299999999999999</v>
      </c>
      <c r="BC7" s="116">
        <v>1.1299999999999999</v>
      </c>
      <c r="BD7" s="116">
        <v>1.1299999999999999</v>
      </c>
      <c r="BE7" s="116">
        <v>1.1299999999999999</v>
      </c>
      <c r="BF7" s="116">
        <v>1.1299999999999999</v>
      </c>
      <c r="BG7" s="116">
        <v>1.1299999999999999</v>
      </c>
      <c r="BH7" s="116">
        <v>1.1299999999999999</v>
      </c>
      <c r="BI7" s="116">
        <v>1.1299999999999999</v>
      </c>
      <c r="BJ7" s="116">
        <v>1.1299999999999999</v>
      </c>
      <c r="BK7" s="116">
        <v>1.1299999999999999</v>
      </c>
      <c r="BL7" s="116">
        <v>1.1299999999999999</v>
      </c>
      <c r="BM7" s="116">
        <v>1.1299999999999999</v>
      </c>
      <c r="BN7" s="116">
        <v>1.1299999999999999</v>
      </c>
      <c r="BO7" s="116">
        <v>1.1299999999999999</v>
      </c>
      <c r="BP7" s="116">
        <v>1.1299999999999999</v>
      </c>
      <c r="BQ7" s="116">
        <v>1.1299999999999999</v>
      </c>
      <c r="BR7" s="116">
        <v>1.1299999999999999</v>
      </c>
      <c r="BS7" s="116">
        <v>1.1299999999999999</v>
      </c>
      <c r="BT7" s="116">
        <v>1.1299999999999999</v>
      </c>
      <c r="BU7" s="116">
        <v>1.1299999999999999</v>
      </c>
      <c r="BV7" s="116">
        <v>1.1299999999999999</v>
      </c>
      <c r="BW7" s="116">
        <v>1.1299999999999999</v>
      </c>
      <c r="BX7" s="116">
        <v>1.1299999999999999</v>
      </c>
      <c r="BY7" s="116">
        <v>1.1299999999999999</v>
      </c>
      <c r="BZ7" s="116">
        <v>1.1299999999999999</v>
      </c>
      <c r="CA7" s="116">
        <v>1.1299999999999999</v>
      </c>
      <c r="CB7" s="116">
        <v>1.1299999999999999</v>
      </c>
      <c r="CC7" s="116">
        <v>1.1299999999999999</v>
      </c>
      <c r="CD7" s="116">
        <v>1.1299999999999999</v>
      </c>
      <c r="CE7" s="116">
        <v>1.1299999999999999</v>
      </c>
      <c r="CF7" s="116">
        <v>1.1299999999999999</v>
      </c>
      <c r="CG7" s="116">
        <v>1.1299999999999999</v>
      </c>
      <c r="CH7" s="116">
        <v>1.1299999999999999</v>
      </c>
      <c r="CI7" s="116">
        <v>1.1299999999999999</v>
      </c>
      <c r="CJ7" s="116">
        <v>1.1299999999999999</v>
      </c>
      <c r="CK7" s="116">
        <v>1.1299999999999999</v>
      </c>
      <c r="CL7" s="116">
        <v>1.1299999999999999</v>
      </c>
      <c r="CM7" s="116">
        <v>1.1299999999999999</v>
      </c>
      <c r="CN7" s="116">
        <v>1.1299999999999999</v>
      </c>
      <c r="CO7" s="116">
        <v>1.1299999999999999</v>
      </c>
      <c r="CP7" s="116">
        <v>1.1299999999999999</v>
      </c>
      <c r="CQ7" s="116">
        <v>1.1299999999999999</v>
      </c>
      <c r="CR7" s="116">
        <v>1.1299999999999999</v>
      </c>
      <c r="CS7" s="116">
        <v>1.1299999999999999</v>
      </c>
      <c r="CT7" s="116">
        <v>1.1299999999999999</v>
      </c>
    </row>
    <row r="8" spans="1:98" ht="18" customHeight="1">
      <c r="A8" s="115"/>
      <c r="B8" s="435"/>
      <c r="C8" s="437"/>
      <c r="D8" s="441"/>
      <c r="E8" s="116" t="s">
        <v>782</v>
      </c>
      <c r="F8" s="117">
        <v>25.0173913043478</v>
      </c>
      <c r="G8" s="117">
        <v>14.6173913043478</v>
      </c>
      <c r="H8" s="117">
        <v>9.3913043478260896</v>
      </c>
      <c r="I8" s="117">
        <v>16.521739130434799</v>
      </c>
      <c r="J8" s="117">
        <v>23.234782608695699</v>
      </c>
      <c r="K8" s="117">
        <v>4.9565217391304399</v>
      </c>
      <c r="L8" s="117">
        <v>8.3913043478260896</v>
      </c>
      <c r="M8" s="117">
        <v>0.70434782608695701</v>
      </c>
      <c r="N8" s="117">
        <v>1.1043478260869599</v>
      </c>
      <c r="O8" s="117">
        <v>0.147826086956522</v>
      </c>
      <c r="P8" s="117">
        <v>0.22608695652173899</v>
      </c>
      <c r="Q8" s="117">
        <v>0</v>
      </c>
      <c r="R8" s="117">
        <v>2.8608695652173899</v>
      </c>
      <c r="S8" s="117">
        <v>3.8173913043478298</v>
      </c>
      <c r="T8" s="117">
        <v>0.44347826086956499</v>
      </c>
      <c r="U8" s="117">
        <v>0.27826086956521701</v>
      </c>
      <c r="V8" s="117">
        <v>0.37391304347826099</v>
      </c>
      <c r="W8" s="117">
        <v>1.14782608695652</v>
      </c>
      <c r="X8" s="117">
        <v>0.53043478260869603</v>
      </c>
      <c r="Y8" s="117">
        <v>0</v>
      </c>
      <c r="Z8" s="117">
        <v>0.356521739130435</v>
      </c>
      <c r="AA8" s="117">
        <v>2.8608695652173899</v>
      </c>
      <c r="AB8" s="117">
        <v>0.26956521739130401</v>
      </c>
      <c r="AC8" s="117">
        <v>0.93043478260869605</v>
      </c>
      <c r="AD8" s="117">
        <v>0</v>
      </c>
      <c r="AE8" s="117">
        <v>0.23478260869565201</v>
      </c>
      <c r="AF8" s="117">
        <v>1.5478260869565199</v>
      </c>
      <c r="AG8" s="117">
        <v>0.81739130434782603</v>
      </c>
      <c r="AH8" s="117">
        <v>0.89565217391304397</v>
      </c>
      <c r="AI8" s="117">
        <v>0.28695652173913</v>
      </c>
      <c r="AJ8" s="117">
        <v>1.14782608695652</v>
      </c>
      <c r="AK8" s="117">
        <v>6.7565217391304397</v>
      </c>
      <c r="AL8" s="117">
        <v>18.2173913043478</v>
      </c>
      <c r="AM8" s="117">
        <v>6.8782608695652199</v>
      </c>
      <c r="AN8" s="117">
        <v>9.3304347826087</v>
      </c>
      <c r="AO8" s="117">
        <v>19.6434782608696</v>
      </c>
      <c r="AP8" s="117">
        <v>26.513043478260901</v>
      </c>
      <c r="AQ8" s="117">
        <v>0</v>
      </c>
      <c r="AR8" s="117">
        <v>0</v>
      </c>
      <c r="AS8" s="117">
        <v>1.52173913043478</v>
      </c>
      <c r="AT8" s="117">
        <v>2.5826086956521701</v>
      </c>
      <c r="AU8" s="117">
        <v>1.07826086956522</v>
      </c>
      <c r="AV8" s="117">
        <v>89.278260869565202</v>
      </c>
      <c r="AW8" s="117">
        <v>21.686956521739098</v>
      </c>
      <c r="AX8" s="117">
        <v>35.973913043478298</v>
      </c>
      <c r="AY8" s="117">
        <v>61.130434782608702</v>
      </c>
      <c r="AZ8" s="117">
        <v>11.234782608695699</v>
      </c>
      <c r="BA8" s="117">
        <v>32.7130434782609</v>
      </c>
      <c r="BB8" s="117">
        <v>40.121739130434797</v>
      </c>
      <c r="BC8" s="117">
        <v>64.904347826087005</v>
      </c>
      <c r="BD8" s="117">
        <v>27.6434782608696</v>
      </c>
      <c r="BE8" s="117">
        <v>32.939130434782598</v>
      </c>
      <c r="BF8" s="117">
        <v>15.3826086956522</v>
      </c>
      <c r="BG8" s="117">
        <v>14.0434782608696</v>
      </c>
      <c r="BH8" s="117">
        <v>169.60869565217399</v>
      </c>
      <c r="BI8" s="117">
        <v>21.686956521739098</v>
      </c>
      <c r="BJ8" s="117">
        <v>0.208695652173913</v>
      </c>
      <c r="BK8" s="117">
        <v>0.46086956521739098</v>
      </c>
      <c r="BL8" s="117">
        <v>1.4695652173913001</v>
      </c>
      <c r="BM8" s="117">
        <v>1.39130434782609</v>
      </c>
      <c r="BN8" s="117">
        <v>1.0260869565217401</v>
      </c>
      <c r="BO8" s="117">
        <v>0</v>
      </c>
      <c r="BP8" s="117">
        <v>0</v>
      </c>
      <c r="BQ8" s="117">
        <v>1.3217391304347801</v>
      </c>
      <c r="BR8" s="117">
        <v>0</v>
      </c>
      <c r="BS8" s="117">
        <v>0</v>
      </c>
      <c r="BT8" s="117">
        <v>2.83478260869565</v>
      </c>
      <c r="BU8" s="117">
        <v>4.4086956521739102</v>
      </c>
      <c r="BV8" s="117">
        <v>2.7130434782608699</v>
      </c>
      <c r="BW8" s="117">
        <f>BW6/BW7</f>
        <v>0.38053097345132703</v>
      </c>
      <c r="BX8" s="117">
        <v>1.96521739130435</v>
      </c>
      <c r="BY8" s="117">
        <v>0.46956521739130402</v>
      </c>
      <c r="BZ8" s="117">
        <v>0.71304347826087</v>
      </c>
      <c r="CA8" s="117">
        <v>0.54782608695652202</v>
      </c>
      <c r="CB8" s="117">
        <v>0</v>
      </c>
      <c r="CC8" s="117">
        <v>0</v>
      </c>
      <c r="CD8" s="117">
        <v>8.6782608695652197</v>
      </c>
      <c r="CE8" s="117">
        <v>14.3478260869565</v>
      </c>
      <c r="CF8" s="117">
        <v>2.1304347826086998</v>
      </c>
      <c r="CG8" s="117">
        <v>3.6347826086956498</v>
      </c>
      <c r="CH8" s="117">
        <v>2.7913043478260899</v>
      </c>
      <c r="CI8" s="117">
        <v>0.72173913043478299</v>
      </c>
      <c r="CJ8" s="117">
        <v>2.0695652173912999</v>
      </c>
      <c r="CK8" s="117">
        <v>2.4</v>
      </c>
      <c r="CL8" s="117">
        <v>0</v>
      </c>
      <c r="CM8" s="117">
        <v>3.3043478260869601</v>
      </c>
      <c r="CN8" s="117">
        <v>14.9826086956522</v>
      </c>
      <c r="CO8" s="117">
        <v>0</v>
      </c>
      <c r="CP8" s="117">
        <v>4.4695652173912999</v>
      </c>
      <c r="CQ8" s="117">
        <v>0.59130434782608698</v>
      </c>
      <c r="CR8" s="117">
        <v>23.234782608695699</v>
      </c>
      <c r="CS8" s="117">
        <v>8.8000000000000007</v>
      </c>
      <c r="CT8" s="117">
        <v>8.8000000000000007</v>
      </c>
    </row>
    <row r="9" spans="1:98" ht="18" customHeight="1">
      <c r="A9" s="115"/>
      <c r="B9" s="435"/>
      <c r="C9" s="437"/>
      <c r="D9" s="442" t="s">
        <v>783</v>
      </c>
      <c r="E9" s="116" t="s">
        <v>780</v>
      </c>
      <c r="F9" s="116">
        <v>25.46</v>
      </c>
      <c r="G9" s="116">
        <v>10.92</v>
      </c>
      <c r="H9" s="116">
        <v>13.02</v>
      </c>
      <c r="I9" s="116">
        <v>22.81</v>
      </c>
      <c r="J9" s="116">
        <v>29.07</v>
      </c>
      <c r="K9" s="116">
        <v>6.84</v>
      </c>
      <c r="L9" s="116">
        <v>11.38</v>
      </c>
      <c r="M9" s="116">
        <v>2.12</v>
      </c>
      <c r="N9" s="116">
        <v>1.06</v>
      </c>
      <c r="O9" s="116">
        <v>1.01</v>
      </c>
      <c r="P9" s="116">
        <v>0.64</v>
      </c>
      <c r="Q9" s="116"/>
      <c r="R9" s="116">
        <v>5.34</v>
      </c>
      <c r="S9" s="116">
        <v>6.3</v>
      </c>
      <c r="T9" s="116">
        <v>1.8</v>
      </c>
      <c r="U9" s="116">
        <v>1.22</v>
      </c>
      <c r="V9" s="116">
        <v>1.24</v>
      </c>
      <c r="W9" s="116">
        <v>4.79</v>
      </c>
      <c r="X9" s="116">
        <v>1.92</v>
      </c>
      <c r="Y9" s="116"/>
      <c r="Z9" s="116">
        <v>0.81</v>
      </c>
      <c r="AA9" s="116">
        <v>0.42</v>
      </c>
      <c r="AB9" s="116">
        <v>1.76</v>
      </c>
      <c r="AC9" s="116">
        <v>4.37</v>
      </c>
      <c r="AD9" s="116"/>
      <c r="AE9" s="116">
        <v>1.84</v>
      </c>
      <c r="AF9" s="116">
        <v>6.33</v>
      </c>
      <c r="AG9" s="116">
        <v>0.6</v>
      </c>
      <c r="AH9" s="116">
        <v>0.68</v>
      </c>
      <c r="AI9" s="116">
        <v>0.3</v>
      </c>
      <c r="AJ9" s="116">
        <v>4.79</v>
      </c>
      <c r="AK9" s="116">
        <v>10.86</v>
      </c>
      <c r="AL9" s="116">
        <v>20.82</v>
      </c>
      <c r="AM9" s="116">
        <v>3.95</v>
      </c>
      <c r="AN9" s="116">
        <v>5.37</v>
      </c>
      <c r="AO9" s="116">
        <v>13.55</v>
      </c>
      <c r="AP9" s="116">
        <v>18.3</v>
      </c>
      <c r="AQ9" s="116"/>
      <c r="AR9" s="116"/>
      <c r="AS9" s="116">
        <v>0.68</v>
      </c>
      <c r="AT9" s="116">
        <v>1.1599999999999999</v>
      </c>
      <c r="AU9" s="116">
        <v>0.76</v>
      </c>
      <c r="AV9" s="116">
        <v>33.869999999999997</v>
      </c>
      <c r="AW9" s="116">
        <v>9.17</v>
      </c>
      <c r="AX9" s="116">
        <v>16.89</v>
      </c>
      <c r="AY9" s="116">
        <v>26.66</v>
      </c>
      <c r="AZ9" s="116">
        <v>12.42</v>
      </c>
      <c r="BA9" s="116">
        <v>26.17</v>
      </c>
      <c r="BB9" s="116">
        <v>28.94</v>
      </c>
      <c r="BC9" s="116">
        <v>40.31</v>
      </c>
      <c r="BD9" s="116">
        <v>18.690000000000001</v>
      </c>
      <c r="BE9" s="116">
        <v>22.29</v>
      </c>
      <c r="BF9" s="116">
        <v>5.07</v>
      </c>
      <c r="BG9" s="116">
        <v>10.99</v>
      </c>
      <c r="BH9" s="116">
        <v>29.26</v>
      </c>
      <c r="BI9" s="116">
        <v>9.17</v>
      </c>
      <c r="BJ9" s="116">
        <v>0.08</v>
      </c>
      <c r="BK9" s="116">
        <v>1.45</v>
      </c>
      <c r="BL9" s="116">
        <v>2.56</v>
      </c>
      <c r="BM9" s="116">
        <v>2.69</v>
      </c>
      <c r="BN9" s="116">
        <v>1.71</v>
      </c>
      <c r="BO9" s="116"/>
      <c r="BP9" s="116"/>
      <c r="BQ9" s="116">
        <v>3.13</v>
      </c>
      <c r="BR9" s="116"/>
      <c r="BS9" s="116"/>
      <c r="BT9" s="116">
        <v>5.21</v>
      </c>
      <c r="BU9" s="116">
        <v>4.7699999999999996</v>
      </c>
      <c r="BV9" s="116">
        <v>1.9</v>
      </c>
      <c r="BW9" s="116">
        <v>0.66</v>
      </c>
      <c r="BX9" s="116">
        <v>2.09</v>
      </c>
      <c r="BY9" s="116">
        <v>1.89</v>
      </c>
      <c r="BZ9" s="116">
        <v>2.46</v>
      </c>
      <c r="CA9" s="116">
        <v>1.52</v>
      </c>
      <c r="CB9" s="116"/>
      <c r="CC9" s="116"/>
      <c r="CD9" s="116">
        <v>9.48</v>
      </c>
      <c r="CE9" s="116">
        <v>23.42</v>
      </c>
      <c r="CF9" s="116">
        <v>3.77</v>
      </c>
      <c r="CG9" s="116">
        <v>6.95</v>
      </c>
      <c r="CH9" s="116">
        <v>6.51</v>
      </c>
      <c r="CI9" s="116">
        <v>2.2799999999999998</v>
      </c>
      <c r="CJ9" s="116">
        <v>6.95</v>
      </c>
      <c r="CK9" s="116">
        <v>7.76</v>
      </c>
      <c r="CL9" s="116"/>
      <c r="CM9" s="116">
        <v>8.56</v>
      </c>
      <c r="CN9" s="116">
        <v>7.1</v>
      </c>
      <c r="CO9" s="116"/>
      <c r="CP9" s="116">
        <v>4.1100000000000003</v>
      </c>
      <c r="CQ9" s="116">
        <v>0.18</v>
      </c>
      <c r="CR9" s="116">
        <v>29.07</v>
      </c>
      <c r="CS9" s="116">
        <v>17.28</v>
      </c>
      <c r="CT9" s="113">
        <v>46.2</v>
      </c>
    </row>
    <row r="10" spans="1:98" ht="18" customHeight="1">
      <c r="A10" s="115"/>
      <c r="B10" s="435"/>
      <c r="C10" s="437"/>
      <c r="D10" s="443"/>
      <c r="E10" s="116" t="s">
        <v>781</v>
      </c>
      <c r="F10" s="116">
        <v>1.0900000000000001</v>
      </c>
      <c r="G10" s="116">
        <v>1.0900000000000001</v>
      </c>
      <c r="H10" s="116">
        <v>1.0900000000000001</v>
      </c>
      <c r="I10" s="116">
        <v>1.0900000000000001</v>
      </c>
      <c r="J10" s="116">
        <v>1.0900000000000001</v>
      </c>
      <c r="K10" s="116">
        <v>1.0900000000000001</v>
      </c>
      <c r="L10" s="116">
        <v>1.0900000000000001</v>
      </c>
      <c r="M10" s="116">
        <v>1.0900000000000001</v>
      </c>
      <c r="N10" s="116">
        <v>1.0900000000000001</v>
      </c>
      <c r="O10" s="116">
        <v>1.0900000000000001</v>
      </c>
      <c r="P10" s="116">
        <v>1.0900000000000001</v>
      </c>
      <c r="Q10" s="116">
        <v>1.0900000000000001</v>
      </c>
      <c r="R10" s="116">
        <v>1.0900000000000001</v>
      </c>
      <c r="S10" s="116">
        <v>1.0900000000000001</v>
      </c>
      <c r="T10" s="116">
        <v>1.0900000000000001</v>
      </c>
      <c r="U10" s="116">
        <v>1.0900000000000001</v>
      </c>
      <c r="V10" s="116">
        <v>1.0900000000000001</v>
      </c>
      <c r="W10" s="116">
        <v>1.0900000000000001</v>
      </c>
      <c r="X10" s="116">
        <v>1.0900000000000001</v>
      </c>
      <c r="Y10" s="116">
        <v>1.0900000000000001</v>
      </c>
      <c r="Z10" s="116">
        <v>1.0900000000000001</v>
      </c>
      <c r="AA10" s="116">
        <v>1.0900000000000001</v>
      </c>
      <c r="AB10" s="116">
        <v>1.0900000000000001</v>
      </c>
      <c r="AC10" s="116">
        <v>1.0900000000000001</v>
      </c>
      <c r="AD10" s="116">
        <v>1.0900000000000001</v>
      </c>
      <c r="AE10" s="116">
        <v>1.0900000000000001</v>
      </c>
      <c r="AF10" s="116">
        <v>1.0900000000000001</v>
      </c>
      <c r="AG10" s="116">
        <v>1.0900000000000001</v>
      </c>
      <c r="AH10" s="116">
        <v>1.0900000000000001</v>
      </c>
      <c r="AI10" s="116">
        <v>1.0900000000000001</v>
      </c>
      <c r="AJ10" s="116">
        <v>1.0900000000000001</v>
      </c>
      <c r="AK10" s="116">
        <v>1.0900000000000001</v>
      </c>
      <c r="AL10" s="116">
        <v>1.0900000000000001</v>
      </c>
      <c r="AM10" s="116">
        <v>1.0900000000000001</v>
      </c>
      <c r="AN10" s="116">
        <v>1.0900000000000001</v>
      </c>
      <c r="AO10" s="116">
        <v>1.0900000000000001</v>
      </c>
      <c r="AP10" s="116">
        <v>1.0900000000000001</v>
      </c>
      <c r="AQ10" s="116">
        <v>1.0900000000000001</v>
      </c>
      <c r="AR10" s="116">
        <v>1.0900000000000001</v>
      </c>
      <c r="AS10" s="116">
        <v>1.0900000000000001</v>
      </c>
      <c r="AT10" s="116">
        <v>1.0900000000000001</v>
      </c>
      <c r="AU10" s="116">
        <v>1.0900000000000001</v>
      </c>
      <c r="AV10" s="116">
        <v>1.0900000000000001</v>
      </c>
      <c r="AW10" s="116">
        <v>1.0900000000000001</v>
      </c>
      <c r="AX10" s="116">
        <v>1.0900000000000001</v>
      </c>
      <c r="AY10" s="116">
        <v>1.0900000000000001</v>
      </c>
      <c r="AZ10" s="116">
        <v>1.0900000000000001</v>
      </c>
      <c r="BA10" s="116">
        <v>1.0900000000000001</v>
      </c>
      <c r="BB10" s="116">
        <v>1.0900000000000001</v>
      </c>
      <c r="BC10" s="116">
        <v>1.0900000000000001</v>
      </c>
      <c r="BD10" s="116">
        <v>1.0900000000000001</v>
      </c>
      <c r="BE10" s="116">
        <v>1.0900000000000001</v>
      </c>
      <c r="BF10" s="116">
        <v>1.0900000000000001</v>
      </c>
      <c r="BG10" s="116">
        <v>1.0900000000000001</v>
      </c>
      <c r="BH10" s="116">
        <v>1.0900000000000001</v>
      </c>
      <c r="BI10" s="116">
        <v>1.0900000000000001</v>
      </c>
      <c r="BJ10" s="116">
        <v>1.0900000000000001</v>
      </c>
      <c r="BK10" s="116">
        <v>1.0900000000000001</v>
      </c>
      <c r="BL10" s="116">
        <v>1.0900000000000001</v>
      </c>
      <c r="BM10" s="116">
        <v>1.0900000000000001</v>
      </c>
      <c r="BN10" s="116">
        <v>1.0900000000000001</v>
      </c>
      <c r="BO10" s="116">
        <v>1.0900000000000001</v>
      </c>
      <c r="BP10" s="116">
        <v>1.0900000000000001</v>
      </c>
      <c r="BQ10" s="116">
        <v>1.0900000000000001</v>
      </c>
      <c r="BR10" s="116">
        <v>1.0900000000000001</v>
      </c>
      <c r="BS10" s="116">
        <v>1.0900000000000001</v>
      </c>
      <c r="BT10" s="116">
        <v>1.0900000000000001</v>
      </c>
      <c r="BU10" s="116">
        <v>1.0900000000000001</v>
      </c>
      <c r="BV10" s="116">
        <v>1.0900000000000001</v>
      </c>
      <c r="BW10" s="116">
        <v>1.0900000000000001</v>
      </c>
      <c r="BX10" s="116">
        <v>1.0900000000000001</v>
      </c>
      <c r="BY10" s="116">
        <v>1.0900000000000001</v>
      </c>
      <c r="BZ10" s="116">
        <v>1.0900000000000001</v>
      </c>
      <c r="CA10" s="116">
        <v>1.0900000000000001</v>
      </c>
      <c r="CB10" s="116">
        <v>1.0900000000000001</v>
      </c>
      <c r="CC10" s="116">
        <v>1.0900000000000001</v>
      </c>
      <c r="CD10" s="116">
        <v>1.0900000000000001</v>
      </c>
      <c r="CE10" s="116">
        <v>1.0900000000000001</v>
      </c>
      <c r="CF10" s="116">
        <v>1.0900000000000001</v>
      </c>
      <c r="CG10" s="116">
        <v>1.0900000000000001</v>
      </c>
      <c r="CH10" s="116">
        <v>1.0900000000000001</v>
      </c>
      <c r="CI10" s="116">
        <v>1.0900000000000001</v>
      </c>
      <c r="CJ10" s="116">
        <v>1.0900000000000001</v>
      </c>
      <c r="CK10" s="116">
        <v>1.0900000000000001</v>
      </c>
      <c r="CL10" s="116">
        <v>1.0900000000000001</v>
      </c>
      <c r="CM10" s="116">
        <v>1.0900000000000001</v>
      </c>
      <c r="CN10" s="116">
        <v>1.0900000000000001</v>
      </c>
      <c r="CO10" s="116">
        <v>1.0900000000000001</v>
      </c>
      <c r="CP10" s="116">
        <v>1.0900000000000001</v>
      </c>
      <c r="CQ10" s="116">
        <v>1.0900000000000001</v>
      </c>
      <c r="CR10" s="116">
        <v>1.0900000000000001</v>
      </c>
      <c r="CS10" s="116">
        <v>1.0900000000000001</v>
      </c>
      <c r="CT10" s="116">
        <v>1.0900000000000001</v>
      </c>
    </row>
    <row r="11" spans="1:98" ht="18" customHeight="1">
      <c r="A11" s="115"/>
      <c r="B11" s="435"/>
      <c r="C11" s="437"/>
      <c r="D11" s="444"/>
      <c r="E11" s="116" t="s">
        <v>782</v>
      </c>
      <c r="F11" s="117">
        <v>22.936936936936899</v>
      </c>
      <c r="G11" s="117">
        <v>9.8378378378378404</v>
      </c>
      <c r="H11" s="117">
        <v>11.7297297297297</v>
      </c>
      <c r="I11" s="117">
        <v>20.5495495495495</v>
      </c>
      <c r="J11" s="117">
        <v>26.1891891891892</v>
      </c>
      <c r="K11" s="117">
        <v>6.1621621621621596</v>
      </c>
      <c r="L11" s="117">
        <v>10.252252252252299</v>
      </c>
      <c r="M11" s="117">
        <v>1.9099099099099099</v>
      </c>
      <c r="N11" s="117">
        <v>0.95495495495495497</v>
      </c>
      <c r="O11" s="117">
        <v>0.90990990990991005</v>
      </c>
      <c r="P11" s="117">
        <v>0.57657657657657702</v>
      </c>
      <c r="Q11" s="117">
        <v>0</v>
      </c>
      <c r="R11" s="117">
        <v>4.8108108108108096</v>
      </c>
      <c r="S11" s="117">
        <v>5.6756756756756799</v>
      </c>
      <c r="T11" s="117">
        <v>1.6216216216216199</v>
      </c>
      <c r="U11" s="117">
        <v>1.0990990990991001</v>
      </c>
      <c r="V11" s="117">
        <v>1.1171171171171199</v>
      </c>
      <c r="W11" s="117">
        <v>4.3153153153153196</v>
      </c>
      <c r="X11" s="117">
        <v>1.72972972972973</v>
      </c>
      <c r="Y11" s="117">
        <v>0</v>
      </c>
      <c r="Z11" s="117">
        <v>0.72972972972973005</v>
      </c>
      <c r="AA11" s="117">
        <v>0.37837837837837801</v>
      </c>
      <c r="AB11" s="117">
        <v>1.58558558558559</v>
      </c>
      <c r="AC11" s="117">
        <v>3.9369369369369398</v>
      </c>
      <c r="AD11" s="117">
        <v>0</v>
      </c>
      <c r="AE11" s="117">
        <v>1.65765765765766</v>
      </c>
      <c r="AF11" s="117">
        <v>5.7027027027027</v>
      </c>
      <c r="AG11" s="117">
        <v>0.54054054054054002</v>
      </c>
      <c r="AH11" s="117">
        <v>0.61261261261261302</v>
      </c>
      <c r="AI11" s="117">
        <v>0.27027027027027001</v>
      </c>
      <c r="AJ11" s="117">
        <v>4.3153153153153196</v>
      </c>
      <c r="AK11" s="117">
        <v>9.7837837837837807</v>
      </c>
      <c r="AL11" s="117">
        <v>18.756756756756801</v>
      </c>
      <c r="AM11" s="117">
        <v>3.55855855855856</v>
      </c>
      <c r="AN11" s="117">
        <v>4.8378378378378404</v>
      </c>
      <c r="AO11" s="117">
        <v>12.207207207207199</v>
      </c>
      <c r="AP11" s="117">
        <v>16.486486486486498</v>
      </c>
      <c r="AQ11" s="117">
        <v>0</v>
      </c>
      <c r="AR11" s="117">
        <v>0</v>
      </c>
      <c r="AS11" s="117">
        <v>0.61261261261261302</v>
      </c>
      <c r="AT11" s="117">
        <v>1.0450450450450399</v>
      </c>
      <c r="AU11" s="117">
        <v>0.68468468468468502</v>
      </c>
      <c r="AV11" s="117">
        <v>30.513513513513502</v>
      </c>
      <c r="AW11" s="117">
        <v>8.2612612612612608</v>
      </c>
      <c r="AX11" s="117">
        <v>15.2162162162162</v>
      </c>
      <c r="AY11" s="117">
        <v>24.018018018018001</v>
      </c>
      <c r="AZ11" s="117">
        <v>11.1891891891892</v>
      </c>
      <c r="BA11" s="117">
        <v>23.576576576576599</v>
      </c>
      <c r="BB11" s="117">
        <v>26.0720720720721</v>
      </c>
      <c r="BC11" s="117">
        <v>36.315315315315303</v>
      </c>
      <c r="BD11" s="117">
        <v>16.8378378378378</v>
      </c>
      <c r="BE11" s="117">
        <v>20.081081081081098</v>
      </c>
      <c r="BF11" s="117">
        <v>4.5675675675675702</v>
      </c>
      <c r="BG11" s="117">
        <v>9.9009009009009006</v>
      </c>
      <c r="BH11" s="117">
        <v>26.360360360360399</v>
      </c>
      <c r="BI11" s="117">
        <v>8.2612612612612608</v>
      </c>
      <c r="BJ11" s="117">
        <v>7.2072072072072099E-2</v>
      </c>
      <c r="BK11" s="117">
        <v>1.3063063063063101</v>
      </c>
      <c r="BL11" s="117">
        <v>2.3063063063063098</v>
      </c>
      <c r="BM11" s="117">
        <v>2.42342342342342</v>
      </c>
      <c r="BN11" s="117">
        <v>1.5405405405405399</v>
      </c>
      <c r="BO11" s="117">
        <v>0</v>
      </c>
      <c r="BP11" s="117">
        <v>0</v>
      </c>
      <c r="BQ11" s="117">
        <v>2.8198198198198199</v>
      </c>
      <c r="BR11" s="117">
        <v>0</v>
      </c>
      <c r="BS11" s="117">
        <v>0</v>
      </c>
      <c r="BT11" s="117">
        <v>4.6936936936936897</v>
      </c>
      <c r="BU11" s="117">
        <v>4.2972972972973</v>
      </c>
      <c r="BV11" s="117">
        <v>1.71171171171171</v>
      </c>
      <c r="BW11" s="117">
        <f>BW9/BW10</f>
        <v>0.605504587155963</v>
      </c>
      <c r="BX11" s="117">
        <v>1.8828828828828801</v>
      </c>
      <c r="BY11" s="117">
        <v>1.7027027027027</v>
      </c>
      <c r="BZ11" s="117">
        <v>2.2162162162162198</v>
      </c>
      <c r="CA11" s="117">
        <v>1.36936936936937</v>
      </c>
      <c r="CB11" s="117">
        <v>0</v>
      </c>
      <c r="CC11" s="117">
        <v>0</v>
      </c>
      <c r="CD11" s="117">
        <v>8.5405405405405403</v>
      </c>
      <c r="CE11" s="117">
        <v>21.099099099099099</v>
      </c>
      <c r="CF11" s="117">
        <v>3.3963963963963999</v>
      </c>
      <c r="CG11" s="117">
        <v>6.2612612612612599</v>
      </c>
      <c r="CH11" s="117">
        <v>5.8648648648648596</v>
      </c>
      <c r="CI11" s="117">
        <v>2.0540540540540499</v>
      </c>
      <c r="CJ11" s="117">
        <v>6.2612612612612599</v>
      </c>
      <c r="CK11" s="117">
        <v>6.9909909909909898</v>
      </c>
      <c r="CL11" s="117">
        <v>0</v>
      </c>
      <c r="CM11" s="117">
        <v>7.7117117117117102</v>
      </c>
      <c r="CN11" s="117">
        <v>6.3963963963964003</v>
      </c>
      <c r="CO11" s="117">
        <v>0</v>
      </c>
      <c r="CP11" s="117">
        <v>3.7027027027027</v>
      </c>
      <c r="CQ11" s="117">
        <v>0.162162162162162</v>
      </c>
      <c r="CR11" s="117">
        <v>26.1891891891892</v>
      </c>
      <c r="CS11" s="117">
        <v>15.5675675675676</v>
      </c>
      <c r="CT11" s="117">
        <v>15.5675675675676</v>
      </c>
    </row>
    <row r="12" spans="1:98" ht="18" customHeight="1">
      <c r="A12" s="115"/>
      <c r="B12" s="435"/>
      <c r="C12" s="437"/>
      <c r="D12" s="445" t="s">
        <v>784</v>
      </c>
      <c r="E12" s="116" t="s">
        <v>780</v>
      </c>
      <c r="F12" s="116">
        <v>2.1800000000000002</v>
      </c>
      <c r="G12" s="116"/>
      <c r="H12" s="116">
        <v>0.49</v>
      </c>
      <c r="I12" s="116">
        <v>0.86</v>
      </c>
      <c r="J12" s="116">
        <v>1.06</v>
      </c>
      <c r="K12" s="116">
        <v>0.37</v>
      </c>
      <c r="L12" s="116">
        <v>0.54</v>
      </c>
      <c r="M12" s="116">
        <v>0.08</v>
      </c>
      <c r="N12" s="116"/>
      <c r="O12" s="116"/>
      <c r="P12" s="116"/>
      <c r="Q12" s="116"/>
      <c r="R12" s="116">
        <v>1.07</v>
      </c>
      <c r="S12" s="116">
        <v>1.35</v>
      </c>
      <c r="T12" s="116"/>
      <c r="U12" s="116"/>
      <c r="V12" s="116"/>
      <c r="W12" s="116"/>
      <c r="X12" s="116"/>
      <c r="Y12" s="116"/>
      <c r="Z12" s="116"/>
      <c r="AA12" s="116"/>
      <c r="AB12" s="116">
        <v>0.51</v>
      </c>
      <c r="AC12" s="116">
        <v>1.23</v>
      </c>
      <c r="AD12" s="116"/>
      <c r="AE12" s="116">
        <v>0.78</v>
      </c>
      <c r="AF12" s="116">
        <v>0.89</v>
      </c>
      <c r="AG12" s="116">
        <v>0.17</v>
      </c>
      <c r="AH12" s="116">
        <v>0.19</v>
      </c>
      <c r="AI12" s="116">
        <v>0.09</v>
      </c>
      <c r="AJ12" s="116"/>
      <c r="AK12" s="116"/>
      <c r="AL12" s="116"/>
      <c r="AM12" s="116"/>
      <c r="AN12" s="116"/>
      <c r="AO12" s="116"/>
      <c r="AP12" s="116"/>
      <c r="AQ12" s="116"/>
      <c r="AR12" s="116"/>
      <c r="AS12" s="116">
        <v>0.03</v>
      </c>
      <c r="AT12" s="116">
        <v>0.05</v>
      </c>
      <c r="AU12" s="116"/>
      <c r="AV12" s="116"/>
      <c r="AW12" s="116">
        <v>2.29</v>
      </c>
      <c r="AX12" s="116">
        <v>3.1</v>
      </c>
      <c r="AY12" s="116"/>
      <c r="AZ12" s="116"/>
      <c r="BA12" s="116"/>
      <c r="BB12" s="116"/>
      <c r="BC12" s="116"/>
      <c r="BD12" s="116">
        <v>1.18</v>
      </c>
      <c r="BE12" s="116">
        <v>1.41</v>
      </c>
      <c r="BF12" s="116">
        <v>1.56</v>
      </c>
      <c r="BG12" s="116">
        <v>6.54</v>
      </c>
      <c r="BH12" s="116"/>
      <c r="BI12" s="116">
        <v>1</v>
      </c>
      <c r="BJ12" s="116"/>
      <c r="BK12" s="116">
        <v>0.24</v>
      </c>
      <c r="BL12" s="116">
        <v>0.76</v>
      </c>
      <c r="BM12" s="116">
        <v>0.44</v>
      </c>
      <c r="BN12" s="116">
        <v>0.28000000000000003</v>
      </c>
      <c r="BO12" s="116"/>
      <c r="BP12" s="116"/>
      <c r="BQ12" s="116">
        <v>0.43</v>
      </c>
      <c r="BR12" s="116"/>
      <c r="BS12" s="116"/>
      <c r="BT12" s="116">
        <v>7.0000000000000007E-2</v>
      </c>
      <c r="BU12" s="116">
        <v>0.04</v>
      </c>
      <c r="BV12" s="116">
        <v>0.02</v>
      </c>
      <c r="BW12" s="116"/>
      <c r="BX12" s="116">
        <v>0.5</v>
      </c>
      <c r="BY12" s="116"/>
      <c r="BZ12" s="116"/>
      <c r="CA12" s="116"/>
      <c r="CB12" s="116"/>
      <c r="CC12" s="116"/>
      <c r="CD12" s="116">
        <v>0.87</v>
      </c>
      <c r="CE12" s="116">
        <v>6.19</v>
      </c>
      <c r="CF12" s="116">
        <v>0.57999999999999996</v>
      </c>
      <c r="CG12" s="116">
        <v>1.1100000000000001</v>
      </c>
      <c r="CH12" s="116">
        <v>0.57999999999999996</v>
      </c>
      <c r="CI12" s="116">
        <v>0.2</v>
      </c>
      <c r="CJ12" s="116">
        <v>0.56999999999999995</v>
      </c>
      <c r="CK12" s="116">
        <v>0.64</v>
      </c>
      <c r="CL12" s="116"/>
      <c r="CM12" s="116">
        <v>2.37</v>
      </c>
      <c r="CN12" s="116"/>
      <c r="CO12" s="116"/>
      <c r="CP12" s="116"/>
      <c r="CQ12" s="116"/>
      <c r="CR12" s="116">
        <v>1.06</v>
      </c>
      <c r="CS12" s="116"/>
      <c r="CT12" s="113"/>
    </row>
    <row r="13" spans="1:98" ht="18" customHeight="1">
      <c r="A13" s="115"/>
      <c r="B13" s="435"/>
      <c r="C13" s="437"/>
      <c r="D13" s="446"/>
      <c r="E13" s="116" t="s">
        <v>781</v>
      </c>
      <c r="F13" s="116">
        <v>1</v>
      </c>
      <c r="G13" s="116">
        <v>1</v>
      </c>
      <c r="H13" s="116">
        <v>1</v>
      </c>
      <c r="I13" s="116">
        <v>1</v>
      </c>
      <c r="J13" s="116">
        <v>1</v>
      </c>
      <c r="K13" s="116">
        <v>1</v>
      </c>
      <c r="L13" s="116">
        <v>1</v>
      </c>
      <c r="M13" s="116">
        <v>1</v>
      </c>
      <c r="N13" s="116">
        <v>1</v>
      </c>
      <c r="O13" s="116">
        <v>1</v>
      </c>
      <c r="P13" s="116">
        <v>1</v>
      </c>
      <c r="Q13" s="116">
        <v>1</v>
      </c>
      <c r="R13" s="116">
        <v>1</v>
      </c>
      <c r="S13" s="116">
        <v>1</v>
      </c>
      <c r="T13" s="116">
        <v>1</v>
      </c>
      <c r="U13" s="116">
        <v>1</v>
      </c>
      <c r="V13" s="116">
        <v>1</v>
      </c>
      <c r="W13" s="116">
        <v>1</v>
      </c>
      <c r="X13" s="116">
        <v>1</v>
      </c>
      <c r="Y13" s="116">
        <v>1</v>
      </c>
      <c r="Z13" s="116">
        <v>1</v>
      </c>
      <c r="AA13" s="116">
        <v>1</v>
      </c>
      <c r="AB13" s="116">
        <v>1</v>
      </c>
      <c r="AC13" s="116">
        <v>1</v>
      </c>
      <c r="AD13" s="116">
        <v>1</v>
      </c>
      <c r="AE13" s="116">
        <v>1</v>
      </c>
      <c r="AF13" s="116">
        <v>1</v>
      </c>
      <c r="AG13" s="116">
        <v>1</v>
      </c>
      <c r="AH13" s="116">
        <v>1</v>
      </c>
      <c r="AI13" s="116">
        <v>1</v>
      </c>
      <c r="AJ13" s="116">
        <v>1</v>
      </c>
      <c r="AK13" s="116">
        <v>1</v>
      </c>
      <c r="AL13" s="116">
        <v>1</v>
      </c>
      <c r="AM13" s="116">
        <v>1</v>
      </c>
      <c r="AN13" s="116">
        <v>1</v>
      </c>
      <c r="AO13" s="116">
        <v>1</v>
      </c>
      <c r="AP13" s="116">
        <v>1</v>
      </c>
      <c r="AQ13" s="116">
        <v>1</v>
      </c>
      <c r="AR13" s="116">
        <v>1</v>
      </c>
      <c r="AS13" s="116">
        <v>1</v>
      </c>
      <c r="AT13" s="116">
        <v>1</v>
      </c>
      <c r="AU13" s="116">
        <v>1</v>
      </c>
      <c r="AV13" s="116">
        <v>1</v>
      </c>
      <c r="AW13" s="116">
        <v>1</v>
      </c>
      <c r="AX13" s="116">
        <v>1</v>
      </c>
      <c r="AY13" s="116">
        <v>1</v>
      </c>
      <c r="AZ13" s="116">
        <v>1</v>
      </c>
      <c r="BA13" s="116">
        <v>1</v>
      </c>
      <c r="BB13" s="116">
        <v>1</v>
      </c>
      <c r="BC13" s="116">
        <v>1</v>
      </c>
      <c r="BD13" s="116">
        <v>1</v>
      </c>
      <c r="BE13" s="116">
        <v>1</v>
      </c>
      <c r="BF13" s="116">
        <v>1</v>
      </c>
      <c r="BG13" s="116">
        <v>1</v>
      </c>
      <c r="BH13" s="116">
        <v>1</v>
      </c>
      <c r="BI13" s="116">
        <v>1</v>
      </c>
      <c r="BJ13" s="116">
        <v>1</v>
      </c>
      <c r="BK13" s="116">
        <v>1</v>
      </c>
      <c r="BL13" s="116">
        <v>1</v>
      </c>
      <c r="BM13" s="116">
        <v>1</v>
      </c>
      <c r="BN13" s="116">
        <v>1</v>
      </c>
      <c r="BO13" s="116">
        <v>1</v>
      </c>
      <c r="BP13" s="116">
        <v>1</v>
      </c>
      <c r="BQ13" s="116">
        <v>1</v>
      </c>
      <c r="BR13" s="116">
        <v>1</v>
      </c>
      <c r="BS13" s="116">
        <v>1</v>
      </c>
      <c r="BT13" s="116">
        <v>1</v>
      </c>
      <c r="BU13" s="116">
        <v>1</v>
      </c>
      <c r="BV13" s="116">
        <v>1</v>
      </c>
      <c r="BW13" s="116"/>
      <c r="BX13" s="116">
        <v>1</v>
      </c>
      <c r="BY13" s="116">
        <v>1</v>
      </c>
      <c r="BZ13" s="116">
        <v>1</v>
      </c>
      <c r="CA13" s="116">
        <v>1</v>
      </c>
      <c r="CB13" s="116">
        <v>1</v>
      </c>
      <c r="CC13" s="116">
        <v>1</v>
      </c>
      <c r="CD13" s="116">
        <v>1</v>
      </c>
      <c r="CE13" s="116">
        <v>1</v>
      </c>
      <c r="CF13" s="116">
        <v>1</v>
      </c>
      <c r="CG13" s="116">
        <v>1</v>
      </c>
      <c r="CH13" s="116">
        <v>1</v>
      </c>
      <c r="CI13" s="116">
        <v>1</v>
      </c>
      <c r="CJ13" s="116">
        <v>1</v>
      </c>
      <c r="CK13" s="116">
        <v>1</v>
      </c>
      <c r="CL13" s="116">
        <v>1</v>
      </c>
      <c r="CM13" s="116">
        <v>1</v>
      </c>
      <c r="CN13" s="116">
        <v>1</v>
      </c>
      <c r="CO13" s="116">
        <v>1</v>
      </c>
      <c r="CP13" s="116">
        <v>1</v>
      </c>
      <c r="CQ13" s="116">
        <v>1</v>
      </c>
      <c r="CR13" s="116">
        <v>1</v>
      </c>
      <c r="CS13" s="116">
        <v>1</v>
      </c>
      <c r="CT13" s="116">
        <v>1</v>
      </c>
    </row>
    <row r="14" spans="1:98" ht="18" customHeight="1">
      <c r="A14" s="115"/>
      <c r="B14" s="435"/>
      <c r="C14" s="437"/>
      <c r="D14" s="447"/>
      <c r="E14" s="116" t="s">
        <v>782</v>
      </c>
      <c r="F14" s="116">
        <v>2.1800000000000002</v>
      </c>
      <c r="G14" s="116">
        <v>0</v>
      </c>
      <c r="H14" s="116">
        <v>0.49</v>
      </c>
      <c r="I14" s="116">
        <v>0.86</v>
      </c>
      <c r="J14" s="116">
        <v>1.06</v>
      </c>
      <c r="K14" s="116">
        <v>0.37</v>
      </c>
      <c r="L14" s="116">
        <v>0.54</v>
      </c>
      <c r="M14" s="116">
        <v>0.08</v>
      </c>
      <c r="N14" s="116">
        <v>0</v>
      </c>
      <c r="O14" s="116">
        <v>0</v>
      </c>
      <c r="P14" s="116">
        <v>0</v>
      </c>
      <c r="Q14" s="116">
        <v>0</v>
      </c>
      <c r="R14" s="116">
        <v>1.07</v>
      </c>
      <c r="S14" s="116">
        <v>1.35</v>
      </c>
      <c r="T14" s="116">
        <v>0</v>
      </c>
      <c r="U14" s="116">
        <v>0</v>
      </c>
      <c r="V14" s="116">
        <v>0</v>
      </c>
      <c r="W14" s="116">
        <v>0</v>
      </c>
      <c r="X14" s="116">
        <v>0</v>
      </c>
      <c r="Y14" s="116">
        <v>0</v>
      </c>
      <c r="Z14" s="116">
        <v>0</v>
      </c>
      <c r="AA14" s="116">
        <v>0</v>
      </c>
      <c r="AB14" s="116">
        <v>0.51</v>
      </c>
      <c r="AC14" s="116">
        <v>1.23</v>
      </c>
      <c r="AD14" s="116">
        <v>0</v>
      </c>
      <c r="AE14" s="116">
        <v>0.78</v>
      </c>
      <c r="AF14" s="116">
        <v>0.89</v>
      </c>
      <c r="AG14" s="116">
        <v>0.17</v>
      </c>
      <c r="AH14" s="116">
        <v>0.19</v>
      </c>
      <c r="AI14" s="116">
        <v>0.09</v>
      </c>
      <c r="AJ14" s="116">
        <v>0</v>
      </c>
      <c r="AK14" s="116">
        <v>0</v>
      </c>
      <c r="AL14" s="116">
        <v>0</v>
      </c>
      <c r="AM14" s="116">
        <v>0</v>
      </c>
      <c r="AN14" s="116">
        <v>0</v>
      </c>
      <c r="AO14" s="116">
        <v>0</v>
      </c>
      <c r="AP14" s="116">
        <v>0</v>
      </c>
      <c r="AQ14" s="116">
        <v>0</v>
      </c>
      <c r="AR14" s="116">
        <v>0</v>
      </c>
      <c r="AS14" s="116">
        <v>0.03</v>
      </c>
      <c r="AT14" s="116">
        <v>0.05</v>
      </c>
      <c r="AU14" s="116">
        <v>0</v>
      </c>
      <c r="AV14" s="116">
        <v>0</v>
      </c>
      <c r="AW14" s="116">
        <v>2.29</v>
      </c>
      <c r="AX14" s="116">
        <v>3.1</v>
      </c>
      <c r="AY14" s="116">
        <v>0</v>
      </c>
      <c r="AZ14" s="116">
        <v>0</v>
      </c>
      <c r="BA14" s="116">
        <v>0</v>
      </c>
      <c r="BB14" s="116">
        <v>0</v>
      </c>
      <c r="BC14" s="116">
        <v>0</v>
      </c>
      <c r="BD14" s="116">
        <v>1.18</v>
      </c>
      <c r="BE14" s="116">
        <v>1.41</v>
      </c>
      <c r="BF14" s="116">
        <v>1.56</v>
      </c>
      <c r="BG14" s="116">
        <v>6.54</v>
      </c>
      <c r="BH14" s="116">
        <v>0</v>
      </c>
      <c r="BI14" s="116">
        <v>1</v>
      </c>
      <c r="BJ14" s="116">
        <v>0</v>
      </c>
      <c r="BK14" s="116">
        <v>0.24</v>
      </c>
      <c r="BL14" s="116">
        <v>0.76</v>
      </c>
      <c r="BM14" s="116">
        <v>0.44</v>
      </c>
      <c r="BN14" s="116">
        <v>0.28000000000000003</v>
      </c>
      <c r="BO14" s="116">
        <v>0</v>
      </c>
      <c r="BP14" s="116">
        <v>0</v>
      </c>
      <c r="BQ14" s="116">
        <v>0.43</v>
      </c>
      <c r="BR14" s="116">
        <v>0</v>
      </c>
      <c r="BS14" s="116">
        <v>0</v>
      </c>
      <c r="BT14" s="116">
        <v>7.0000000000000007E-2</v>
      </c>
      <c r="BU14" s="116">
        <v>0.04</v>
      </c>
      <c r="BV14" s="116">
        <v>0.02</v>
      </c>
      <c r="BW14" s="116"/>
      <c r="BX14" s="116">
        <v>0.5</v>
      </c>
      <c r="BY14" s="116">
        <v>0</v>
      </c>
      <c r="BZ14" s="116">
        <v>0</v>
      </c>
      <c r="CA14" s="116">
        <v>0</v>
      </c>
      <c r="CB14" s="116">
        <v>0</v>
      </c>
      <c r="CC14" s="116">
        <v>0</v>
      </c>
      <c r="CD14" s="116">
        <v>0.87</v>
      </c>
      <c r="CE14" s="116">
        <v>6.19</v>
      </c>
      <c r="CF14" s="116">
        <v>0.57999999999999996</v>
      </c>
      <c r="CG14" s="116">
        <v>1.1100000000000001</v>
      </c>
      <c r="CH14" s="116">
        <v>0.57999999999999996</v>
      </c>
      <c r="CI14" s="116">
        <v>0.2</v>
      </c>
      <c r="CJ14" s="116">
        <v>0.56999999999999995</v>
      </c>
      <c r="CK14" s="116">
        <v>0.64</v>
      </c>
      <c r="CL14" s="116">
        <v>0</v>
      </c>
      <c r="CM14" s="116">
        <v>2.37</v>
      </c>
      <c r="CN14" s="116">
        <v>0</v>
      </c>
      <c r="CO14" s="116">
        <v>0</v>
      </c>
      <c r="CP14" s="116">
        <v>0</v>
      </c>
      <c r="CQ14" s="116">
        <v>0</v>
      </c>
      <c r="CR14" s="116">
        <v>1.06</v>
      </c>
      <c r="CS14" s="116">
        <v>0</v>
      </c>
      <c r="CT14" s="116">
        <v>0</v>
      </c>
    </row>
    <row r="15" spans="1:98" ht="18" customHeight="1">
      <c r="A15" s="115"/>
      <c r="B15" s="435"/>
      <c r="C15" s="438"/>
      <c r="D15" s="430" t="s">
        <v>785</v>
      </c>
      <c r="E15" s="430"/>
      <c r="F15" s="118">
        <f>F8+F11+F14</f>
        <v>50.134328241284699</v>
      </c>
      <c r="G15" s="118">
        <f t="shared" ref="G15:AP15" si="2">G8+G11+G14</f>
        <v>24.455229142185601</v>
      </c>
      <c r="H15" s="118">
        <f t="shared" si="2"/>
        <v>21.6110340775558</v>
      </c>
      <c r="I15" s="118">
        <f t="shared" si="2"/>
        <v>37.931288679984299</v>
      </c>
      <c r="J15" s="118">
        <f t="shared" si="2"/>
        <v>50.483971797884898</v>
      </c>
      <c r="K15" s="118">
        <f t="shared" si="2"/>
        <v>11.4886839012926</v>
      </c>
      <c r="L15" s="118">
        <f t="shared" si="2"/>
        <v>19.183556600078401</v>
      </c>
      <c r="M15" s="118">
        <f t="shared" si="2"/>
        <v>2.69425773599687</v>
      </c>
      <c r="N15" s="118">
        <f t="shared" si="2"/>
        <v>2.05930278104191</v>
      </c>
      <c r="O15" s="118">
        <f t="shared" si="2"/>
        <v>1.0577359968664299</v>
      </c>
      <c r="P15" s="118">
        <f t="shared" si="2"/>
        <v>0.80266353309831595</v>
      </c>
      <c r="Q15" s="118">
        <v>19.62</v>
      </c>
      <c r="R15" s="118">
        <f t="shared" si="2"/>
        <v>8.7416803760281994</v>
      </c>
      <c r="S15" s="118">
        <f t="shared" si="2"/>
        <v>10.843066980023499</v>
      </c>
      <c r="T15" s="118">
        <f t="shared" si="2"/>
        <v>2.0650998824911801</v>
      </c>
      <c r="U15" s="118">
        <f t="shared" si="2"/>
        <v>1.3773599686643201</v>
      </c>
      <c r="V15" s="118">
        <f t="shared" si="2"/>
        <v>1.49103016059538</v>
      </c>
      <c r="W15" s="118">
        <f t="shared" si="2"/>
        <v>5.4631414022718401</v>
      </c>
      <c r="X15" s="118">
        <f t="shared" si="2"/>
        <v>2.26016451233843</v>
      </c>
      <c r="Y15" s="118">
        <v>53.21</v>
      </c>
      <c r="Z15" s="118">
        <f t="shared" si="2"/>
        <v>1.0862514688601601</v>
      </c>
      <c r="AA15" s="118">
        <f t="shared" si="2"/>
        <v>3.2392479435957702</v>
      </c>
      <c r="AB15" s="118">
        <f t="shared" si="2"/>
        <v>2.3651508029768902</v>
      </c>
      <c r="AC15" s="118">
        <f t="shared" si="2"/>
        <v>6.0973717195456398</v>
      </c>
      <c r="AD15" s="118">
        <v>2.97</v>
      </c>
      <c r="AE15" s="118">
        <f t="shared" si="2"/>
        <v>2.67244026635331</v>
      </c>
      <c r="AF15" s="118">
        <f t="shared" si="2"/>
        <v>8.1405287896592196</v>
      </c>
      <c r="AG15" s="118">
        <f t="shared" si="2"/>
        <v>1.5279318448883701</v>
      </c>
      <c r="AH15" s="118">
        <f t="shared" si="2"/>
        <v>1.6982647865256599</v>
      </c>
      <c r="AI15" s="118">
        <f t="shared" si="2"/>
        <v>0.64722679200940003</v>
      </c>
      <c r="AJ15" s="118">
        <f t="shared" si="2"/>
        <v>5.4631414022718401</v>
      </c>
      <c r="AK15" s="118">
        <f t="shared" si="2"/>
        <v>16.540305522914199</v>
      </c>
      <c r="AL15" s="118">
        <f t="shared" si="2"/>
        <v>36.9741480611046</v>
      </c>
      <c r="AM15" s="118">
        <f t="shared" si="2"/>
        <v>10.436819428123799</v>
      </c>
      <c r="AN15" s="118">
        <f t="shared" si="2"/>
        <v>14.168272620446499</v>
      </c>
      <c r="AO15" s="118">
        <f t="shared" si="2"/>
        <v>31.850685468076801</v>
      </c>
      <c r="AP15" s="118">
        <f t="shared" si="2"/>
        <v>42.999529964747403</v>
      </c>
      <c r="AQ15" s="118">
        <v>144.62</v>
      </c>
      <c r="AR15" s="118">
        <v>8.2799999999999994</v>
      </c>
      <c r="AS15" s="118">
        <f t="shared" ref="AS15:BN15" si="3">AS8+AS11+AS14</f>
        <v>2.1643517430473902</v>
      </c>
      <c r="AT15" s="118">
        <f t="shared" si="3"/>
        <v>3.6776537406972101</v>
      </c>
      <c r="AU15" s="118">
        <f t="shared" si="3"/>
        <v>1.76294555424991</v>
      </c>
      <c r="AV15" s="118">
        <f t="shared" si="3"/>
        <v>119.791774383079</v>
      </c>
      <c r="AW15" s="118">
        <f t="shared" si="3"/>
        <v>32.238217783000401</v>
      </c>
      <c r="AX15" s="118">
        <f t="shared" si="3"/>
        <v>54.290129259694503</v>
      </c>
      <c r="AY15" s="118">
        <f t="shared" si="3"/>
        <v>85.1484528006267</v>
      </c>
      <c r="AZ15" s="118">
        <f t="shared" si="3"/>
        <v>22.423971797884899</v>
      </c>
      <c r="BA15" s="118">
        <f t="shared" si="3"/>
        <v>56.289620054837499</v>
      </c>
      <c r="BB15" s="118">
        <f t="shared" si="3"/>
        <v>66.193811202506893</v>
      </c>
      <c r="BC15" s="118">
        <f t="shared" si="3"/>
        <v>101.21966314140199</v>
      </c>
      <c r="BD15" s="118">
        <f t="shared" si="3"/>
        <v>45.661316098707402</v>
      </c>
      <c r="BE15" s="118">
        <f t="shared" si="3"/>
        <v>54.430211515863697</v>
      </c>
      <c r="BF15" s="118">
        <f t="shared" si="3"/>
        <v>21.510176263219801</v>
      </c>
      <c r="BG15" s="118">
        <f t="shared" si="3"/>
        <v>30.484379161770502</v>
      </c>
      <c r="BH15" s="118">
        <f t="shared" si="3"/>
        <v>195.969056012534</v>
      </c>
      <c r="BI15" s="118">
        <f t="shared" si="3"/>
        <v>30.948217783000398</v>
      </c>
      <c r="BJ15" s="118">
        <f t="shared" si="3"/>
        <v>0.28076772424598501</v>
      </c>
      <c r="BK15" s="118">
        <f t="shared" si="3"/>
        <v>2.0071758715237</v>
      </c>
      <c r="BL15" s="118">
        <f t="shared" si="3"/>
        <v>4.5358715236976099</v>
      </c>
      <c r="BM15" s="118">
        <f t="shared" si="3"/>
        <v>4.2547277712495104</v>
      </c>
      <c r="BN15" s="118">
        <f t="shared" si="3"/>
        <v>2.84662749706228</v>
      </c>
      <c r="BO15" s="118">
        <v>14.87</v>
      </c>
      <c r="BP15" s="118">
        <v>4.59</v>
      </c>
      <c r="BQ15" s="118">
        <f>BQ8+BQ11+BQ14</f>
        <v>4.5715589502545999</v>
      </c>
      <c r="BR15" s="118">
        <v>1.62</v>
      </c>
      <c r="BS15" s="118">
        <v>2.2599999999999998</v>
      </c>
      <c r="BT15" s="118">
        <f t="shared" ref="BT15:CA15" si="4">BT8+BT11+BT14</f>
        <v>7.59847630238934</v>
      </c>
      <c r="BU15" s="118">
        <f t="shared" si="4"/>
        <v>8.7459929494712103</v>
      </c>
      <c r="BV15" s="118">
        <f t="shared" si="4"/>
        <v>4.4447551899725797</v>
      </c>
      <c r="BW15" s="118">
        <f t="shared" si="4"/>
        <v>0.98603556060729103</v>
      </c>
      <c r="BX15" s="118">
        <f t="shared" si="4"/>
        <v>4.3481002741872299</v>
      </c>
      <c r="BY15" s="118">
        <f t="shared" si="4"/>
        <v>2.1722679200939998</v>
      </c>
      <c r="BZ15" s="118">
        <f t="shared" si="4"/>
        <v>2.9292596944770901</v>
      </c>
      <c r="CA15" s="118">
        <f t="shared" si="4"/>
        <v>1.9171954563258899</v>
      </c>
      <c r="CB15" s="118">
        <v>2.29</v>
      </c>
      <c r="CC15" s="118">
        <v>1.87</v>
      </c>
      <c r="CD15" s="118">
        <f t="shared" ref="CD15:CT15" si="5">CD8+CD11+CD14</f>
        <v>18.088801410105798</v>
      </c>
      <c r="CE15" s="118">
        <f t="shared" si="5"/>
        <v>41.636925186055599</v>
      </c>
      <c r="CF15" s="118">
        <f t="shared" si="5"/>
        <v>6.1068311790051002</v>
      </c>
      <c r="CG15" s="118">
        <f t="shared" si="5"/>
        <v>11.006043869956899</v>
      </c>
      <c r="CH15" s="118">
        <f t="shared" si="5"/>
        <v>9.2361692126909496</v>
      </c>
      <c r="CI15" s="118">
        <f t="shared" si="5"/>
        <v>2.9757931844888299</v>
      </c>
      <c r="CJ15" s="118">
        <f t="shared" si="5"/>
        <v>8.9008264786525597</v>
      </c>
      <c r="CK15" s="118">
        <f t="shared" si="5"/>
        <v>10.030990990991</v>
      </c>
      <c r="CL15" s="118">
        <v>23.29</v>
      </c>
      <c r="CM15" s="118">
        <f t="shared" si="5"/>
        <v>13.386059537798699</v>
      </c>
      <c r="CN15" s="118">
        <f t="shared" si="5"/>
        <v>21.379005092048601</v>
      </c>
      <c r="CO15" s="118">
        <v>9.3000000000000007</v>
      </c>
      <c r="CP15" s="118">
        <f t="shared" si="5"/>
        <v>8.1722679200940007</v>
      </c>
      <c r="CQ15" s="118">
        <f t="shared" si="5"/>
        <v>0.75346650998824904</v>
      </c>
      <c r="CR15" s="118">
        <f t="shared" si="5"/>
        <v>50.483971797884898</v>
      </c>
      <c r="CS15" s="118">
        <f t="shared" si="5"/>
        <v>24.367567567567601</v>
      </c>
      <c r="CT15" s="118">
        <f t="shared" si="5"/>
        <v>24.367567567567601</v>
      </c>
    </row>
    <row r="16" spans="1:98" ht="18" customHeight="1">
      <c r="A16" s="115" t="s">
        <v>786</v>
      </c>
      <c r="B16" s="435"/>
      <c r="C16" s="436" t="s">
        <v>787</v>
      </c>
      <c r="D16" s="448" t="s">
        <v>788</v>
      </c>
      <c r="E16" s="119" t="s">
        <v>789</v>
      </c>
      <c r="F16" s="113">
        <v>2.7</v>
      </c>
      <c r="G16" s="113">
        <v>1.3</v>
      </c>
      <c r="H16" s="113">
        <v>2.4</v>
      </c>
      <c r="I16" s="113">
        <v>2.4</v>
      </c>
      <c r="J16" s="113">
        <v>2.4</v>
      </c>
      <c r="K16" s="113">
        <v>2.4</v>
      </c>
      <c r="L16" s="113">
        <v>2.4</v>
      </c>
      <c r="M16" s="113">
        <v>1</v>
      </c>
      <c r="N16" s="113"/>
      <c r="O16" s="113">
        <v>2</v>
      </c>
      <c r="P16" s="113"/>
      <c r="Q16" s="113">
        <v>2.4</v>
      </c>
      <c r="R16" s="113">
        <v>1.3</v>
      </c>
      <c r="S16" s="113">
        <v>1.3</v>
      </c>
      <c r="T16" s="113"/>
      <c r="U16" s="113"/>
      <c r="V16" s="113"/>
      <c r="W16" s="113"/>
      <c r="X16" s="113"/>
      <c r="Y16" s="113">
        <v>2.4</v>
      </c>
      <c r="Z16" s="113"/>
      <c r="AA16" s="113"/>
      <c r="AB16" s="113">
        <v>1.3</v>
      </c>
      <c r="AC16" s="113">
        <v>1.3</v>
      </c>
      <c r="AD16" s="113">
        <v>1.3</v>
      </c>
      <c r="AE16" s="113">
        <v>1.3</v>
      </c>
      <c r="AF16" s="113">
        <v>1.3</v>
      </c>
      <c r="AG16" s="113"/>
      <c r="AH16" s="113"/>
      <c r="AI16" s="113"/>
      <c r="AJ16" s="113">
        <v>0</v>
      </c>
      <c r="AK16" s="113">
        <v>1.3</v>
      </c>
      <c r="AL16" s="113">
        <v>1.3</v>
      </c>
      <c r="AM16" s="113">
        <v>1.33</v>
      </c>
      <c r="AN16" s="113">
        <v>1.3</v>
      </c>
      <c r="AO16" s="113">
        <v>1.3</v>
      </c>
      <c r="AP16" s="113">
        <v>1.3</v>
      </c>
      <c r="AQ16" s="113">
        <v>2.5</v>
      </c>
      <c r="AR16" s="113">
        <v>1.3</v>
      </c>
      <c r="AS16" s="113">
        <v>1</v>
      </c>
      <c r="AT16" s="113">
        <v>1.3</v>
      </c>
      <c r="AU16" s="113">
        <v>0</v>
      </c>
      <c r="AV16" s="113">
        <v>3.9</v>
      </c>
      <c r="AW16" s="113">
        <v>2.4</v>
      </c>
      <c r="AX16" s="113">
        <v>2.7</v>
      </c>
      <c r="AY16" s="113">
        <v>2.7</v>
      </c>
      <c r="AZ16" s="113">
        <v>2.7</v>
      </c>
      <c r="BA16" s="113">
        <v>2.7</v>
      </c>
      <c r="BB16" s="113">
        <v>2.7</v>
      </c>
      <c r="BC16" s="113">
        <v>2.7</v>
      </c>
      <c r="BD16" s="113">
        <v>2.4</v>
      </c>
      <c r="BE16" s="113">
        <v>2.4</v>
      </c>
      <c r="BF16" s="113">
        <v>2.4</v>
      </c>
      <c r="BG16" s="113">
        <v>2.4</v>
      </c>
      <c r="BH16" s="113">
        <v>7.7</v>
      </c>
      <c r="BI16" s="113">
        <v>1.3</v>
      </c>
      <c r="BJ16" s="113"/>
      <c r="BK16" s="113">
        <v>1.3</v>
      </c>
      <c r="BL16" s="113">
        <v>1.3</v>
      </c>
      <c r="BM16" s="113">
        <v>1.3</v>
      </c>
      <c r="BN16" s="113">
        <v>1.3</v>
      </c>
      <c r="BO16" s="113">
        <v>1.3</v>
      </c>
      <c r="BP16" s="113">
        <v>1.3</v>
      </c>
      <c r="BQ16" s="113">
        <v>1.3</v>
      </c>
      <c r="BR16" s="113">
        <v>2.4</v>
      </c>
      <c r="BS16" s="113">
        <v>1.3</v>
      </c>
      <c r="BT16" s="113">
        <v>1</v>
      </c>
      <c r="BU16" s="113">
        <v>1.3</v>
      </c>
      <c r="BV16" s="113">
        <v>1.3</v>
      </c>
      <c r="BW16" s="113">
        <v>1.3</v>
      </c>
      <c r="BX16" s="113">
        <v>1.3</v>
      </c>
      <c r="BY16" s="113"/>
      <c r="BZ16" s="113"/>
      <c r="CA16" s="113">
        <v>1</v>
      </c>
      <c r="CB16" s="113"/>
      <c r="CC16" s="113"/>
      <c r="CD16" s="113">
        <v>1.3</v>
      </c>
      <c r="CE16" s="113">
        <v>2.9</v>
      </c>
      <c r="CF16" s="113">
        <v>0.7</v>
      </c>
      <c r="CG16" s="113">
        <v>0.7</v>
      </c>
      <c r="CH16" s="113">
        <v>1.3</v>
      </c>
      <c r="CI16" s="113">
        <v>1.3</v>
      </c>
      <c r="CJ16" s="113">
        <v>2.4</v>
      </c>
      <c r="CK16" s="113">
        <v>2.4</v>
      </c>
      <c r="CL16" s="113">
        <v>1.3</v>
      </c>
      <c r="CM16" s="113">
        <v>2.9</v>
      </c>
      <c r="CN16" s="113"/>
      <c r="CO16" s="113">
        <v>2.4</v>
      </c>
      <c r="CP16" s="113">
        <v>1.3</v>
      </c>
      <c r="CQ16" s="113">
        <v>0</v>
      </c>
      <c r="CR16" s="113">
        <v>8.8000000000000007</v>
      </c>
      <c r="CS16" s="113">
        <v>2.4</v>
      </c>
      <c r="CT16" s="113">
        <v>3.7</v>
      </c>
    </row>
    <row r="17" spans="1:115" ht="18" customHeight="1">
      <c r="A17" s="115"/>
      <c r="B17" s="435"/>
      <c r="C17" s="437"/>
      <c r="D17" s="449"/>
      <c r="E17" s="119" t="s">
        <v>790</v>
      </c>
      <c r="F17" s="118">
        <v>8.1</v>
      </c>
      <c r="G17" s="118">
        <f>F17</f>
        <v>8.1</v>
      </c>
      <c r="H17" s="118">
        <f>G17</f>
        <v>8.1</v>
      </c>
      <c r="I17" s="118">
        <f>H17</f>
        <v>8.1</v>
      </c>
      <c r="J17" s="118">
        <f t="shared" ref="J17:BN17" si="6">I17</f>
        <v>8.1</v>
      </c>
      <c r="K17" s="118">
        <f t="shared" si="6"/>
        <v>8.1</v>
      </c>
      <c r="L17" s="118">
        <f t="shared" si="6"/>
        <v>8.1</v>
      </c>
      <c r="M17" s="118">
        <f t="shared" si="6"/>
        <v>8.1</v>
      </c>
      <c r="N17" s="118">
        <f t="shared" si="6"/>
        <v>8.1</v>
      </c>
      <c r="O17" s="118">
        <f t="shared" si="6"/>
        <v>8.1</v>
      </c>
      <c r="P17" s="118">
        <f t="shared" si="6"/>
        <v>8.1</v>
      </c>
      <c r="Q17" s="118">
        <f t="shared" si="6"/>
        <v>8.1</v>
      </c>
      <c r="R17" s="118">
        <f t="shared" si="6"/>
        <v>8.1</v>
      </c>
      <c r="S17" s="118">
        <f t="shared" si="6"/>
        <v>8.1</v>
      </c>
      <c r="T17" s="118">
        <f t="shared" si="6"/>
        <v>8.1</v>
      </c>
      <c r="U17" s="118">
        <f t="shared" si="6"/>
        <v>8.1</v>
      </c>
      <c r="V17" s="118">
        <f t="shared" si="6"/>
        <v>8.1</v>
      </c>
      <c r="W17" s="118">
        <f t="shared" si="6"/>
        <v>8.1</v>
      </c>
      <c r="X17" s="118">
        <f t="shared" si="6"/>
        <v>8.1</v>
      </c>
      <c r="Y17" s="118">
        <f t="shared" si="6"/>
        <v>8.1</v>
      </c>
      <c r="Z17" s="118">
        <f t="shared" si="6"/>
        <v>8.1</v>
      </c>
      <c r="AA17" s="118">
        <f t="shared" si="6"/>
        <v>8.1</v>
      </c>
      <c r="AB17" s="118">
        <f t="shared" si="6"/>
        <v>8.1</v>
      </c>
      <c r="AC17" s="118">
        <f t="shared" si="6"/>
        <v>8.1</v>
      </c>
      <c r="AD17" s="118">
        <f t="shared" si="6"/>
        <v>8.1</v>
      </c>
      <c r="AE17" s="118">
        <f t="shared" si="6"/>
        <v>8.1</v>
      </c>
      <c r="AF17" s="118">
        <f t="shared" si="6"/>
        <v>8.1</v>
      </c>
      <c r="AG17" s="118">
        <f t="shared" si="6"/>
        <v>8.1</v>
      </c>
      <c r="AH17" s="118">
        <f t="shared" si="6"/>
        <v>8.1</v>
      </c>
      <c r="AI17" s="118">
        <f t="shared" si="6"/>
        <v>8.1</v>
      </c>
      <c r="AJ17" s="118">
        <f t="shared" si="6"/>
        <v>8.1</v>
      </c>
      <c r="AK17" s="118">
        <f t="shared" si="6"/>
        <v>8.1</v>
      </c>
      <c r="AL17" s="118">
        <f t="shared" si="6"/>
        <v>8.1</v>
      </c>
      <c r="AM17" s="118">
        <f t="shared" si="6"/>
        <v>8.1</v>
      </c>
      <c r="AN17" s="118">
        <f t="shared" si="6"/>
        <v>8.1</v>
      </c>
      <c r="AO17" s="118">
        <f t="shared" si="6"/>
        <v>8.1</v>
      </c>
      <c r="AP17" s="118">
        <f t="shared" si="6"/>
        <v>8.1</v>
      </c>
      <c r="AQ17" s="118">
        <f t="shared" si="6"/>
        <v>8.1</v>
      </c>
      <c r="AR17" s="118">
        <f t="shared" si="6"/>
        <v>8.1</v>
      </c>
      <c r="AS17" s="118">
        <f t="shared" si="6"/>
        <v>8.1</v>
      </c>
      <c r="AT17" s="118">
        <f t="shared" si="6"/>
        <v>8.1</v>
      </c>
      <c r="AU17" s="118">
        <f t="shared" si="6"/>
        <v>8.1</v>
      </c>
      <c r="AV17" s="118">
        <f t="shared" si="6"/>
        <v>8.1</v>
      </c>
      <c r="AW17" s="118">
        <f t="shared" si="6"/>
        <v>8.1</v>
      </c>
      <c r="AX17" s="118">
        <f t="shared" si="6"/>
        <v>8.1</v>
      </c>
      <c r="AY17" s="118">
        <f t="shared" si="6"/>
        <v>8.1</v>
      </c>
      <c r="AZ17" s="118">
        <f t="shared" si="6"/>
        <v>8.1</v>
      </c>
      <c r="BA17" s="118">
        <f t="shared" si="6"/>
        <v>8.1</v>
      </c>
      <c r="BB17" s="118">
        <f t="shared" si="6"/>
        <v>8.1</v>
      </c>
      <c r="BC17" s="118">
        <f t="shared" si="6"/>
        <v>8.1</v>
      </c>
      <c r="BD17" s="118">
        <f t="shared" si="6"/>
        <v>8.1</v>
      </c>
      <c r="BE17" s="118">
        <f t="shared" si="6"/>
        <v>8.1</v>
      </c>
      <c r="BF17" s="118">
        <f t="shared" si="6"/>
        <v>8.1</v>
      </c>
      <c r="BG17" s="118">
        <f t="shared" si="6"/>
        <v>8.1</v>
      </c>
      <c r="BH17" s="118">
        <f t="shared" si="6"/>
        <v>8.1</v>
      </c>
      <c r="BI17" s="118">
        <f t="shared" si="6"/>
        <v>8.1</v>
      </c>
      <c r="BJ17" s="118">
        <f t="shared" si="6"/>
        <v>8.1</v>
      </c>
      <c r="BK17" s="118">
        <f t="shared" si="6"/>
        <v>8.1</v>
      </c>
      <c r="BL17" s="118">
        <f t="shared" si="6"/>
        <v>8.1</v>
      </c>
      <c r="BM17" s="118">
        <f t="shared" si="6"/>
        <v>8.1</v>
      </c>
      <c r="BN17" s="118">
        <f t="shared" si="6"/>
        <v>8.1</v>
      </c>
      <c r="BO17" s="118">
        <f t="shared" ref="BO17:CT17" si="7">BN17</f>
        <v>8.1</v>
      </c>
      <c r="BP17" s="118">
        <f t="shared" si="7"/>
        <v>8.1</v>
      </c>
      <c r="BQ17" s="118">
        <f t="shared" si="7"/>
        <v>8.1</v>
      </c>
      <c r="BR17" s="118">
        <f t="shared" si="7"/>
        <v>8.1</v>
      </c>
      <c r="BS17" s="118">
        <f t="shared" si="7"/>
        <v>8.1</v>
      </c>
      <c r="BT17" s="118">
        <f t="shared" si="7"/>
        <v>8.1</v>
      </c>
      <c r="BU17" s="118">
        <f t="shared" si="7"/>
        <v>8.1</v>
      </c>
      <c r="BV17" s="118">
        <f t="shared" si="7"/>
        <v>8.1</v>
      </c>
      <c r="BW17" s="118">
        <f t="shared" si="7"/>
        <v>8.1</v>
      </c>
      <c r="BX17" s="118">
        <f>BV17</f>
        <v>8.1</v>
      </c>
      <c r="BY17" s="118">
        <f t="shared" si="7"/>
        <v>8.1</v>
      </c>
      <c r="BZ17" s="118">
        <f t="shared" si="7"/>
        <v>8.1</v>
      </c>
      <c r="CA17" s="118">
        <f t="shared" si="7"/>
        <v>8.1</v>
      </c>
      <c r="CB17" s="118">
        <f t="shared" si="7"/>
        <v>8.1</v>
      </c>
      <c r="CC17" s="118">
        <f t="shared" si="7"/>
        <v>8.1</v>
      </c>
      <c r="CD17" s="118">
        <f t="shared" si="7"/>
        <v>8.1</v>
      </c>
      <c r="CE17" s="118">
        <f t="shared" si="7"/>
        <v>8.1</v>
      </c>
      <c r="CF17" s="118">
        <f t="shared" si="7"/>
        <v>8.1</v>
      </c>
      <c r="CG17" s="118">
        <f t="shared" si="7"/>
        <v>8.1</v>
      </c>
      <c r="CH17" s="118">
        <f t="shared" si="7"/>
        <v>8.1</v>
      </c>
      <c r="CI17" s="118">
        <f t="shared" si="7"/>
        <v>8.1</v>
      </c>
      <c r="CJ17" s="118">
        <f t="shared" si="7"/>
        <v>8.1</v>
      </c>
      <c r="CK17" s="118">
        <f t="shared" si="7"/>
        <v>8.1</v>
      </c>
      <c r="CL17" s="118">
        <f t="shared" si="7"/>
        <v>8.1</v>
      </c>
      <c r="CM17" s="118">
        <f t="shared" si="7"/>
        <v>8.1</v>
      </c>
      <c r="CN17" s="118">
        <f t="shared" si="7"/>
        <v>8.1</v>
      </c>
      <c r="CO17" s="118">
        <f t="shared" si="7"/>
        <v>8.1</v>
      </c>
      <c r="CP17" s="118">
        <f t="shared" si="7"/>
        <v>8.1</v>
      </c>
      <c r="CQ17" s="118">
        <f t="shared" si="7"/>
        <v>8.1</v>
      </c>
      <c r="CR17" s="118">
        <f t="shared" si="7"/>
        <v>8.1</v>
      </c>
      <c r="CS17" s="118">
        <f t="shared" si="7"/>
        <v>8.1</v>
      </c>
      <c r="CT17" s="118">
        <f t="shared" si="7"/>
        <v>8.1</v>
      </c>
      <c r="CU17" s="124"/>
      <c r="CV17" s="124"/>
      <c r="CW17" s="124"/>
      <c r="CX17" s="124"/>
      <c r="CY17" s="124"/>
      <c r="CZ17" s="124"/>
      <c r="DA17" s="124"/>
      <c r="DB17" s="124"/>
      <c r="DC17" s="124"/>
      <c r="DD17" s="124"/>
      <c r="DE17" s="124"/>
      <c r="DF17" s="124"/>
      <c r="DG17" s="124"/>
      <c r="DH17" s="124"/>
      <c r="DI17" s="124"/>
      <c r="DJ17" s="124"/>
      <c r="DK17" s="124"/>
    </row>
    <row r="18" spans="1:115" ht="18" customHeight="1">
      <c r="A18" s="115" t="s">
        <v>791</v>
      </c>
      <c r="B18" s="435"/>
      <c r="C18" s="437"/>
      <c r="D18" s="450"/>
      <c r="E18" s="119" t="s">
        <v>782</v>
      </c>
      <c r="F18" s="118">
        <f t="shared" ref="F18:BE18" si="8">F16*F17</f>
        <v>21.87</v>
      </c>
      <c r="G18" s="118">
        <f t="shared" si="8"/>
        <v>10.53</v>
      </c>
      <c r="H18" s="118">
        <f t="shared" si="8"/>
        <v>19.440000000000001</v>
      </c>
      <c r="I18" s="118">
        <f t="shared" si="8"/>
        <v>19.440000000000001</v>
      </c>
      <c r="J18" s="118">
        <f t="shared" si="8"/>
        <v>19.440000000000001</v>
      </c>
      <c r="K18" s="118">
        <f t="shared" si="8"/>
        <v>19.440000000000001</v>
      </c>
      <c r="L18" s="118">
        <f t="shared" si="8"/>
        <v>19.440000000000001</v>
      </c>
      <c r="M18" s="118">
        <f t="shared" si="8"/>
        <v>8.1</v>
      </c>
      <c r="N18" s="118">
        <f t="shared" si="8"/>
        <v>0</v>
      </c>
      <c r="O18" s="118">
        <f t="shared" si="8"/>
        <v>16.2</v>
      </c>
      <c r="P18" s="118">
        <f t="shared" si="8"/>
        <v>0</v>
      </c>
      <c r="Q18" s="118">
        <f t="shared" si="8"/>
        <v>19.440000000000001</v>
      </c>
      <c r="R18" s="118">
        <f t="shared" si="8"/>
        <v>10.53</v>
      </c>
      <c r="S18" s="118">
        <f t="shared" si="8"/>
        <v>10.53</v>
      </c>
      <c r="T18" s="118">
        <f t="shared" si="8"/>
        <v>0</v>
      </c>
      <c r="U18" s="118">
        <f t="shared" si="8"/>
        <v>0</v>
      </c>
      <c r="V18" s="118">
        <f t="shared" si="8"/>
        <v>0</v>
      </c>
      <c r="W18" s="118">
        <f t="shared" si="8"/>
        <v>0</v>
      </c>
      <c r="X18" s="118">
        <f t="shared" si="8"/>
        <v>0</v>
      </c>
      <c r="Y18" s="118">
        <f t="shared" si="8"/>
        <v>19.440000000000001</v>
      </c>
      <c r="Z18" s="118">
        <f t="shared" si="8"/>
        <v>0</v>
      </c>
      <c r="AA18" s="118">
        <f t="shared" si="8"/>
        <v>0</v>
      </c>
      <c r="AB18" s="118">
        <f t="shared" si="8"/>
        <v>10.53</v>
      </c>
      <c r="AC18" s="118">
        <f t="shared" si="8"/>
        <v>10.53</v>
      </c>
      <c r="AD18" s="118">
        <f t="shared" si="8"/>
        <v>10.53</v>
      </c>
      <c r="AE18" s="118">
        <f t="shared" si="8"/>
        <v>10.53</v>
      </c>
      <c r="AF18" s="118">
        <f t="shared" si="8"/>
        <v>10.53</v>
      </c>
      <c r="AG18" s="118">
        <f t="shared" si="8"/>
        <v>0</v>
      </c>
      <c r="AH18" s="118">
        <f t="shared" si="8"/>
        <v>0</v>
      </c>
      <c r="AI18" s="118">
        <f t="shared" si="8"/>
        <v>0</v>
      </c>
      <c r="AJ18" s="118">
        <f t="shared" si="8"/>
        <v>0</v>
      </c>
      <c r="AK18" s="118">
        <f t="shared" si="8"/>
        <v>10.53</v>
      </c>
      <c r="AL18" s="118">
        <f t="shared" si="8"/>
        <v>10.53</v>
      </c>
      <c r="AM18" s="118">
        <f t="shared" si="8"/>
        <v>10.773</v>
      </c>
      <c r="AN18" s="118">
        <f t="shared" si="8"/>
        <v>10.53</v>
      </c>
      <c r="AO18" s="118">
        <f t="shared" si="8"/>
        <v>10.53</v>
      </c>
      <c r="AP18" s="118">
        <f t="shared" si="8"/>
        <v>10.53</v>
      </c>
      <c r="AQ18" s="118">
        <f t="shared" si="8"/>
        <v>20.25</v>
      </c>
      <c r="AR18" s="118">
        <f t="shared" si="8"/>
        <v>10.53</v>
      </c>
      <c r="AS18" s="118">
        <f t="shared" si="8"/>
        <v>8.1</v>
      </c>
      <c r="AT18" s="118">
        <f t="shared" si="8"/>
        <v>10.53</v>
      </c>
      <c r="AU18" s="118">
        <f t="shared" si="8"/>
        <v>0</v>
      </c>
      <c r="AV18" s="118">
        <f t="shared" si="8"/>
        <v>31.59</v>
      </c>
      <c r="AW18" s="118">
        <f t="shared" si="8"/>
        <v>19.440000000000001</v>
      </c>
      <c r="AX18" s="118">
        <f t="shared" si="8"/>
        <v>21.87</v>
      </c>
      <c r="AY18" s="118">
        <f t="shared" si="8"/>
        <v>21.87</v>
      </c>
      <c r="AZ18" s="118">
        <f t="shared" si="8"/>
        <v>21.87</v>
      </c>
      <c r="BA18" s="118">
        <f t="shared" si="8"/>
        <v>21.87</v>
      </c>
      <c r="BB18" s="118">
        <f t="shared" si="8"/>
        <v>21.87</v>
      </c>
      <c r="BC18" s="118">
        <f t="shared" si="8"/>
        <v>21.87</v>
      </c>
      <c r="BD18" s="118">
        <f t="shared" si="8"/>
        <v>19.440000000000001</v>
      </c>
      <c r="BE18" s="118">
        <f t="shared" si="8"/>
        <v>19.440000000000001</v>
      </c>
      <c r="BF18" s="118">
        <f t="shared" ref="BF18:BN18" si="9">BF16*BF17</f>
        <v>19.440000000000001</v>
      </c>
      <c r="BG18" s="118">
        <f t="shared" si="9"/>
        <v>19.440000000000001</v>
      </c>
      <c r="BH18" s="118">
        <f t="shared" si="9"/>
        <v>62.37</v>
      </c>
      <c r="BI18" s="118">
        <f t="shared" si="9"/>
        <v>10.53</v>
      </c>
      <c r="BJ18" s="118">
        <f t="shared" si="9"/>
        <v>0</v>
      </c>
      <c r="BK18" s="118">
        <f t="shared" si="9"/>
        <v>10.53</v>
      </c>
      <c r="BL18" s="118">
        <f t="shared" si="9"/>
        <v>10.53</v>
      </c>
      <c r="BM18" s="118">
        <f t="shared" si="9"/>
        <v>10.53</v>
      </c>
      <c r="BN18" s="118">
        <f t="shared" si="9"/>
        <v>10.53</v>
      </c>
      <c r="BO18" s="118">
        <f t="shared" ref="BO18:CG18" si="10">BO16*BO17</f>
        <v>10.53</v>
      </c>
      <c r="BP18" s="118">
        <f t="shared" si="10"/>
        <v>10.53</v>
      </c>
      <c r="BQ18" s="118">
        <f t="shared" si="10"/>
        <v>10.53</v>
      </c>
      <c r="BR18" s="118">
        <f t="shared" si="10"/>
        <v>19.440000000000001</v>
      </c>
      <c r="BS18" s="118">
        <f t="shared" si="10"/>
        <v>10.53</v>
      </c>
      <c r="BT18" s="118">
        <f t="shared" si="10"/>
        <v>8.1</v>
      </c>
      <c r="BU18" s="118">
        <f t="shared" si="10"/>
        <v>10.53</v>
      </c>
      <c r="BV18" s="118">
        <f t="shared" si="10"/>
        <v>10.53</v>
      </c>
      <c r="BW18" s="118">
        <f t="shared" si="10"/>
        <v>10.53</v>
      </c>
      <c r="BX18" s="118">
        <f t="shared" si="10"/>
        <v>10.53</v>
      </c>
      <c r="BY18" s="118">
        <f t="shared" si="10"/>
        <v>0</v>
      </c>
      <c r="BZ18" s="118">
        <f t="shared" si="10"/>
        <v>0</v>
      </c>
      <c r="CA18" s="118">
        <f t="shared" si="10"/>
        <v>8.1</v>
      </c>
      <c r="CB18" s="118">
        <f t="shared" si="10"/>
        <v>0</v>
      </c>
      <c r="CC18" s="118">
        <f t="shared" si="10"/>
        <v>0</v>
      </c>
      <c r="CD18" s="118">
        <f t="shared" si="10"/>
        <v>10.53</v>
      </c>
      <c r="CE18" s="118">
        <f t="shared" si="10"/>
        <v>23.49</v>
      </c>
      <c r="CF18" s="118">
        <f t="shared" si="10"/>
        <v>5.67</v>
      </c>
      <c r="CG18" s="118">
        <f t="shared" si="10"/>
        <v>5.67</v>
      </c>
      <c r="CH18" s="118">
        <f t="shared" ref="CH18:CN18" si="11">CH16*CH17</f>
        <v>10.53</v>
      </c>
      <c r="CI18" s="118">
        <f t="shared" si="11"/>
        <v>10.53</v>
      </c>
      <c r="CJ18" s="118">
        <f t="shared" si="11"/>
        <v>19.440000000000001</v>
      </c>
      <c r="CK18" s="118">
        <f t="shared" si="11"/>
        <v>19.440000000000001</v>
      </c>
      <c r="CL18" s="118">
        <f t="shared" si="11"/>
        <v>10.53</v>
      </c>
      <c r="CM18" s="118">
        <f t="shared" si="11"/>
        <v>23.49</v>
      </c>
      <c r="CN18" s="118">
        <f t="shared" si="11"/>
        <v>0</v>
      </c>
      <c r="CO18" s="118">
        <f t="shared" ref="CO18:CT18" si="12">CO16*CO17</f>
        <v>19.440000000000001</v>
      </c>
      <c r="CP18" s="118">
        <f t="shared" si="12"/>
        <v>10.53</v>
      </c>
      <c r="CQ18" s="118">
        <f t="shared" si="12"/>
        <v>0</v>
      </c>
      <c r="CR18" s="118">
        <f t="shared" si="12"/>
        <v>71.28</v>
      </c>
      <c r="CS18" s="118">
        <f t="shared" si="12"/>
        <v>19.440000000000001</v>
      </c>
      <c r="CT18" s="118">
        <f t="shared" si="12"/>
        <v>29.97</v>
      </c>
    </row>
    <row r="19" spans="1:115" ht="18" customHeight="1">
      <c r="A19" s="115"/>
      <c r="B19" s="435"/>
      <c r="C19" s="437"/>
      <c r="D19" s="451" t="s">
        <v>515</v>
      </c>
      <c r="E19" s="119" t="s">
        <v>792</v>
      </c>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3">
        <v>7.2</v>
      </c>
      <c r="AL19" s="113"/>
      <c r="AM19" s="113">
        <v>7.7</v>
      </c>
      <c r="AN19" s="113"/>
      <c r="AO19" s="113"/>
      <c r="AP19" s="113"/>
      <c r="AQ19" s="113"/>
      <c r="AR19" s="113"/>
      <c r="AS19" s="113"/>
      <c r="AT19" s="113"/>
      <c r="AU19" s="113"/>
      <c r="AV19" s="113"/>
      <c r="AW19" s="113"/>
      <c r="AX19" s="113"/>
      <c r="AY19" s="113"/>
      <c r="AZ19" s="113">
        <v>5.8</v>
      </c>
      <c r="BA19" s="113"/>
      <c r="BB19" s="113"/>
      <c r="BC19" s="113"/>
      <c r="BD19" s="113"/>
      <c r="BE19" s="113"/>
      <c r="BF19" s="113"/>
      <c r="BG19" s="113"/>
      <c r="BH19" s="113"/>
      <c r="BI19" s="113"/>
      <c r="BJ19" s="113"/>
      <c r="BK19" s="113"/>
      <c r="BL19" s="113"/>
      <c r="BM19" s="113"/>
      <c r="BN19" s="113"/>
      <c r="BO19" s="113"/>
      <c r="BP19" s="113"/>
      <c r="BQ19" s="113"/>
      <c r="BR19" s="113"/>
      <c r="BS19" s="113"/>
      <c r="BT19" s="113"/>
      <c r="BU19" s="113"/>
      <c r="BV19" s="113"/>
      <c r="BW19" s="113"/>
      <c r="BX19" s="113"/>
      <c r="BY19" s="113"/>
      <c r="BZ19" s="113"/>
      <c r="CA19" s="113"/>
      <c r="CB19" s="113"/>
      <c r="CC19" s="113"/>
      <c r="CD19" s="113"/>
      <c r="CE19" s="113"/>
      <c r="CF19" s="113"/>
      <c r="CG19" s="113"/>
      <c r="CH19" s="113"/>
      <c r="CI19" s="113"/>
      <c r="CJ19" s="113"/>
      <c r="CK19" s="113"/>
      <c r="CL19" s="113"/>
      <c r="CM19" s="113"/>
      <c r="CN19" s="113"/>
      <c r="CO19" s="113"/>
      <c r="CP19" s="113"/>
      <c r="CQ19" s="113"/>
      <c r="CR19" s="113"/>
      <c r="CS19" s="113"/>
      <c r="CT19" s="113"/>
    </row>
    <row r="20" spans="1:115" ht="18" customHeight="1">
      <c r="A20" s="115" t="s">
        <v>793</v>
      </c>
      <c r="B20" s="435"/>
      <c r="C20" s="437"/>
      <c r="D20" s="451"/>
      <c r="E20" s="119" t="s">
        <v>794</v>
      </c>
      <c r="F20" s="118">
        <f>材料预算价格表!L13/1000</f>
        <v>3.0750000000000002</v>
      </c>
      <c r="G20" s="118">
        <f>F20</f>
        <v>3.0750000000000002</v>
      </c>
      <c r="H20" s="118">
        <f>G20</f>
        <v>3.0750000000000002</v>
      </c>
      <c r="I20" s="118">
        <f t="shared" ref="I20:BN20" si="13">H20</f>
        <v>3.0750000000000002</v>
      </c>
      <c r="J20" s="118">
        <f t="shared" si="13"/>
        <v>3.0750000000000002</v>
      </c>
      <c r="K20" s="118">
        <f t="shared" si="13"/>
        <v>3.0750000000000002</v>
      </c>
      <c r="L20" s="118">
        <f t="shared" si="13"/>
        <v>3.0750000000000002</v>
      </c>
      <c r="M20" s="118">
        <f t="shared" si="13"/>
        <v>3.0750000000000002</v>
      </c>
      <c r="N20" s="118">
        <f t="shared" si="13"/>
        <v>3.0750000000000002</v>
      </c>
      <c r="O20" s="118">
        <f t="shared" si="13"/>
        <v>3.0750000000000002</v>
      </c>
      <c r="P20" s="118">
        <f t="shared" si="13"/>
        <v>3.0750000000000002</v>
      </c>
      <c r="Q20" s="118">
        <f t="shared" si="13"/>
        <v>3.0750000000000002</v>
      </c>
      <c r="R20" s="118">
        <f t="shared" si="13"/>
        <v>3.0750000000000002</v>
      </c>
      <c r="S20" s="118">
        <f t="shared" si="13"/>
        <v>3.0750000000000002</v>
      </c>
      <c r="T20" s="118">
        <f t="shared" si="13"/>
        <v>3.0750000000000002</v>
      </c>
      <c r="U20" s="118">
        <f t="shared" si="13"/>
        <v>3.0750000000000002</v>
      </c>
      <c r="V20" s="118">
        <f t="shared" si="13"/>
        <v>3.0750000000000002</v>
      </c>
      <c r="W20" s="118">
        <f t="shared" si="13"/>
        <v>3.0750000000000002</v>
      </c>
      <c r="X20" s="118">
        <f t="shared" si="13"/>
        <v>3.0750000000000002</v>
      </c>
      <c r="Y20" s="118">
        <f t="shared" si="13"/>
        <v>3.0750000000000002</v>
      </c>
      <c r="Z20" s="118">
        <f t="shared" si="13"/>
        <v>3.0750000000000002</v>
      </c>
      <c r="AA20" s="118">
        <f t="shared" si="13"/>
        <v>3.0750000000000002</v>
      </c>
      <c r="AB20" s="118">
        <f t="shared" si="13"/>
        <v>3.0750000000000002</v>
      </c>
      <c r="AC20" s="118">
        <f t="shared" si="13"/>
        <v>3.0750000000000002</v>
      </c>
      <c r="AD20" s="118">
        <f t="shared" si="13"/>
        <v>3.0750000000000002</v>
      </c>
      <c r="AE20" s="118">
        <f t="shared" si="13"/>
        <v>3.0750000000000002</v>
      </c>
      <c r="AF20" s="118">
        <f t="shared" si="13"/>
        <v>3.0750000000000002</v>
      </c>
      <c r="AG20" s="118">
        <f t="shared" si="13"/>
        <v>3.0750000000000002</v>
      </c>
      <c r="AH20" s="118">
        <f t="shared" si="13"/>
        <v>3.0750000000000002</v>
      </c>
      <c r="AI20" s="118">
        <f t="shared" si="13"/>
        <v>3.0750000000000002</v>
      </c>
      <c r="AJ20" s="118">
        <f t="shared" si="13"/>
        <v>3.0750000000000002</v>
      </c>
      <c r="AK20" s="118">
        <f t="shared" si="13"/>
        <v>3.0750000000000002</v>
      </c>
      <c r="AL20" s="118">
        <f t="shared" si="13"/>
        <v>3.0750000000000002</v>
      </c>
      <c r="AM20" s="118">
        <f t="shared" si="13"/>
        <v>3.0750000000000002</v>
      </c>
      <c r="AN20" s="118">
        <f t="shared" si="13"/>
        <v>3.0750000000000002</v>
      </c>
      <c r="AO20" s="118">
        <f t="shared" si="13"/>
        <v>3.0750000000000002</v>
      </c>
      <c r="AP20" s="118">
        <f t="shared" si="13"/>
        <v>3.0750000000000002</v>
      </c>
      <c r="AQ20" s="118">
        <f t="shared" si="13"/>
        <v>3.0750000000000002</v>
      </c>
      <c r="AR20" s="118">
        <f t="shared" si="13"/>
        <v>3.0750000000000002</v>
      </c>
      <c r="AS20" s="118">
        <f t="shared" si="13"/>
        <v>3.0750000000000002</v>
      </c>
      <c r="AT20" s="118">
        <f t="shared" si="13"/>
        <v>3.0750000000000002</v>
      </c>
      <c r="AU20" s="118">
        <f t="shared" si="13"/>
        <v>3.0750000000000002</v>
      </c>
      <c r="AV20" s="118">
        <f t="shared" si="13"/>
        <v>3.0750000000000002</v>
      </c>
      <c r="AW20" s="118">
        <f t="shared" si="13"/>
        <v>3.0750000000000002</v>
      </c>
      <c r="AX20" s="118">
        <f t="shared" si="13"/>
        <v>3.0750000000000002</v>
      </c>
      <c r="AY20" s="118">
        <f t="shared" si="13"/>
        <v>3.0750000000000002</v>
      </c>
      <c r="AZ20" s="118">
        <f t="shared" si="13"/>
        <v>3.0750000000000002</v>
      </c>
      <c r="BA20" s="118">
        <f t="shared" si="13"/>
        <v>3.0750000000000002</v>
      </c>
      <c r="BB20" s="118">
        <f t="shared" si="13"/>
        <v>3.0750000000000002</v>
      </c>
      <c r="BC20" s="118">
        <f t="shared" si="13"/>
        <v>3.0750000000000002</v>
      </c>
      <c r="BD20" s="118">
        <f t="shared" si="13"/>
        <v>3.0750000000000002</v>
      </c>
      <c r="BE20" s="118">
        <f t="shared" si="13"/>
        <v>3.0750000000000002</v>
      </c>
      <c r="BF20" s="118">
        <f t="shared" si="13"/>
        <v>3.0750000000000002</v>
      </c>
      <c r="BG20" s="118">
        <f t="shared" si="13"/>
        <v>3.0750000000000002</v>
      </c>
      <c r="BH20" s="118">
        <f t="shared" si="13"/>
        <v>3.0750000000000002</v>
      </c>
      <c r="BI20" s="118">
        <f t="shared" si="13"/>
        <v>3.0750000000000002</v>
      </c>
      <c r="BJ20" s="118">
        <f t="shared" si="13"/>
        <v>3.0750000000000002</v>
      </c>
      <c r="BK20" s="118">
        <f t="shared" si="13"/>
        <v>3.0750000000000002</v>
      </c>
      <c r="BL20" s="118">
        <f t="shared" si="13"/>
        <v>3.0750000000000002</v>
      </c>
      <c r="BM20" s="118">
        <f t="shared" si="13"/>
        <v>3.0750000000000002</v>
      </c>
      <c r="BN20" s="118">
        <f t="shared" si="13"/>
        <v>3.0750000000000002</v>
      </c>
      <c r="BO20" s="118">
        <f t="shared" ref="BO20:CT20" si="14">BN20</f>
        <v>3.0750000000000002</v>
      </c>
      <c r="BP20" s="118">
        <f t="shared" si="14"/>
        <v>3.0750000000000002</v>
      </c>
      <c r="BQ20" s="118">
        <f t="shared" si="14"/>
        <v>3.0750000000000002</v>
      </c>
      <c r="BR20" s="118">
        <f t="shared" si="14"/>
        <v>3.0750000000000002</v>
      </c>
      <c r="BS20" s="118">
        <f t="shared" si="14"/>
        <v>3.0750000000000002</v>
      </c>
      <c r="BT20" s="118">
        <f t="shared" si="14"/>
        <v>3.0750000000000002</v>
      </c>
      <c r="BU20" s="118">
        <f t="shared" si="14"/>
        <v>3.0750000000000002</v>
      </c>
      <c r="BV20" s="118">
        <f t="shared" si="14"/>
        <v>3.0750000000000002</v>
      </c>
      <c r="BW20" s="118"/>
      <c r="BX20" s="118">
        <f>BV20</f>
        <v>3.0750000000000002</v>
      </c>
      <c r="BY20" s="118">
        <f t="shared" si="14"/>
        <v>3.0750000000000002</v>
      </c>
      <c r="BZ20" s="118">
        <f t="shared" si="14"/>
        <v>3.0750000000000002</v>
      </c>
      <c r="CA20" s="118">
        <f t="shared" si="14"/>
        <v>3.0750000000000002</v>
      </c>
      <c r="CB20" s="118">
        <f t="shared" si="14"/>
        <v>3.0750000000000002</v>
      </c>
      <c r="CC20" s="118">
        <f t="shared" si="14"/>
        <v>3.0750000000000002</v>
      </c>
      <c r="CD20" s="118">
        <f t="shared" si="14"/>
        <v>3.0750000000000002</v>
      </c>
      <c r="CE20" s="118">
        <f t="shared" si="14"/>
        <v>3.0750000000000002</v>
      </c>
      <c r="CF20" s="118">
        <f t="shared" si="14"/>
        <v>3.0750000000000002</v>
      </c>
      <c r="CG20" s="118">
        <f t="shared" si="14"/>
        <v>3.0750000000000002</v>
      </c>
      <c r="CH20" s="118">
        <f t="shared" si="14"/>
        <v>3.0750000000000002</v>
      </c>
      <c r="CI20" s="118">
        <f t="shared" si="14"/>
        <v>3.0750000000000002</v>
      </c>
      <c r="CJ20" s="118">
        <f t="shared" si="14"/>
        <v>3.0750000000000002</v>
      </c>
      <c r="CK20" s="118">
        <f t="shared" si="14"/>
        <v>3.0750000000000002</v>
      </c>
      <c r="CL20" s="118">
        <f t="shared" si="14"/>
        <v>3.0750000000000002</v>
      </c>
      <c r="CM20" s="118">
        <f t="shared" si="14"/>
        <v>3.0750000000000002</v>
      </c>
      <c r="CN20" s="118">
        <f t="shared" si="14"/>
        <v>3.0750000000000002</v>
      </c>
      <c r="CO20" s="118">
        <f t="shared" si="14"/>
        <v>3.0750000000000002</v>
      </c>
      <c r="CP20" s="118">
        <f t="shared" si="14"/>
        <v>3.0750000000000002</v>
      </c>
      <c r="CQ20" s="118">
        <f t="shared" si="14"/>
        <v>3.0750000000000002</v>
      </c>
      <c r="CR20" s="118">
        <f t="shared" si="14"/>
        <v>3.0750000000000002</v>
      </c>
      <c r="CS20" s="118">
        <f t="shared" si="14"/>
        <v>3.0750000000000002</v>
      </c>
      <c r="CT20" s="118">
        <f t="shared" si="14"/>
        <v>3.0750000000000002</v>
      </c>
    </row>
    <row r="21" spans="1:115" ht="18" customHeight="1">
      <c r="A21" s="115"/>
      <c r="B21" s="435"/>
      <c r="C21" s="437"/>
      <c r="D21" s="451"/>
      <c r="E21" s="119" t="s">
        <v>782</v>
      </c>
      <c r="F21" s="118">
        <f>F19*F20</f>
        <v>0</v>
      </c>
      <c r="G21" s="118">
        <f>G19*G20</f>
        <v>0</v>
      </c>
      <c r="H21" s="118">
        <f>H19*H20</f>
        <v>0</v>
      </c>
      <c r="I21" s="118">
        <f>I19*I20</f>
        <v>0</v>
      </c>
      <c r="J21" s="113">
        <v>0</v>
      </c>
      <c r="K21" s="118">
        <f t="shared" ref="K21:BE21" si="15">K19*K20</f>
        <v>0</v>
      </c>
      <c r="L21" s="118">
        <f t="shared" si="15"/>
        <v>0</v>
      </c>
      <c r="M21" s="118">
        <f t="shared" si="15"/>
        <v>0</v>
      </c>
      <c r="N21" s="118">
        <f t="shared" si="15"/>
        <v>0</v>
      </c>
      <c r="O21" s="118">
        <f t="shared" si="15"/>
        <v>0</v>
      </c>
      <c r="P21" s="118">
        <f t="shared" si="15"/>
        <v>0</v>
      </c>
      <c r="Q21" s="118">
        <f t="shared" si="15"/>
        <v>0</v>
      </c>
      <c r="R21" s="118">
        <f t="shared" si="15"/>
        <v>0</v>
      </c>
      <c r="S21" s="118">
        <f t="shared" si="15"/>
        <v>0</v>
      </c>
      <c r="T21" s="118">
        <f t="shared" si="15"/>
        <v>0</v>
      </c>
      <c r="U21" s="118">
        <f t="shared" si="15"/>
        <v>0</v>
      </c>
      <c r="V21" s="118">
        <f t="shared" si="15"/>
        <v>0</v>
      </c>
      <c r="W21" s="118">
        <f t="shared" si="15"/>
        <v>0</v>
      </c>
      <c r="X21" s="118">
        <f t="shared" si="15"/>
        <v>0</v>
      </c>
      <c r="Y21" s="118">
        <f t="shared" si="15"/>
        <v>0</v>
      </c>
      <c r="Z21" s="118">
        <f t="shared" si="15"/>
        <v>0</v>
      </c>
      <c r="AA21" s="118">
        <f t="shared" si="15"/>
        <v>0</v>
      </c>
      <c r="AB21" s="118">
        <f t="shared" si="15"/>
        <v>0</v>
      </c>
      <c r="AC21" s="118">
        <f t="shared" si="15"/>
        <v>0</v>
      </c>
      <c r="AD21" s="118">
        <f t="shared" si="15"/>
        <v>0</v>
      </c>
      <c r="AE21" s="118">
        <f t="shared" si="15"/>
        <v>0</v>
      </c>
      <c r="AF21" s="118">
        <f t="shared" si="15"/>
        <v>0</v>
      </c>
      <c r="AG21" s="118">
        <f t="shared" si="15"/>
        <v>0</v>
      </c>
      <c r="AH21" s="118">
        <f t="shared" si="15"/>
        <v>0</v>
      </c>
      <c r="AI21" s="118">
        <f t="shared" si="15"/>
        <v>0</v>
      </c>
      <c r="AJ21" s="118">
        <f t="shared" si="15"/>
        <v>0</v>
      </c>
      <c r="AK21" s="118">
        <f t="shared" si="15"/>
        <v>22.14</v>
      </c>
      <c r="AL21" s="118">
        <f t="shared" si="15"/>
        <v>0</v>
      </c>
      <c r="AM21" s="118">
        <f t="shared" si="15"/>
        <v>23.677500000000002</v>
      </c>
      <c r="AN21" s="118">
        <f t="shared" si="15"/>
        <v>0</v>
      </c>
      <c r="AO21" s="118">
        <f t="shared" si="15"/>
        <v>0</v>
      </c>
      <c r="AP21" s="118">
        <f t="shared" si="15"/>
        <v>0</v>
      </c>
      <c r="AQ21" s="118">
        <f t="shared" si="15"/>
        <v>0</v>
      </c>
      <c r="AR21" s="118">
        <f t="shared" si="15"/>
        <v>0</v>
      </c>
      <c r="AS21" s="118">
        <f t="shared" si="15"/>
        <v>0</v>
      </c>
      <c r="AT21" s="118">
        <f t="shared" si="15"/>
        <v>0</v>
      </c>
      <c r="AU21" s="118">
        <f t="shared" si="15"/>
        <v>0</v>
      </c>
      <c r="AV21" s="118">
        <f t="shared" si="15"/>
        <v>0</v>
      </c>
      <c r="AW21" s="118">
        <f t="shared" si="15"/>
        <v>0</v>
      </c>
      <c r="AX21" s="118">
        <f t="shared" si="15"/>
        <v>0</v>
      </c>
      <c r="AY21" s="118">
        <f t="shared" si="15"/>
        <v>0</v>
      </c>
      <c r="AZ21" s="118">
        <f t="shared" si="15"/>
        <v>17.835000000000001</v>
      </c>
      <c r="BA21" s="118">
        <f t="shared" si="15"/>
        <v>0</v>
      </c>
      <c r="BB21" s="118">
        <f t="shared" si="15"/>
        <v>0</v>
      </c>
      <c r="BC21" s="118">
        <f t="shared" si="15"/>
        <v>0</v>
      </c>
      <c r="BD21" s="118">
        <f t="shared" si="15"/>
        <v>0</v>
      </c>
      <c r="BE21" s="118">
        <f t="shared" si="15"/>
        <v>0</v>
      </c>
      <c r="BF21" s="118">
        <f t="shared" ref="BF21:BN21" si="16">BF19*BF20</f>
        <v>0</v>
      </c>
      <c r="BG21" s="118">
        <f t="shared" si="16"/>
        <v>0</v>
      </c>
      <c r="BH21" s="118">
        <f t="shared" si="16"/>
        <v>0</v>
      </c>
      <c r="BI21" s="118">
        <f t="shared" si="16"/>
        <v>0</v>
      </c>
      <c r="BJ21" s="118">
        <f t="shared" si="16"/>
        <v>0</v>
      </c>
      <c r="BK21" s="118">
        <f t="shared" si="16"/>
        <v>0</v>
      </c>
      <c r="BL21" s="118">
        <f t="shared" si="16"/>
        <v>0</v>
      </c>
      <c r="BM21" s="118">
        <f t="shared" si="16"/>
        <v>0</v>
      </c>
      <c r="BN21" s="118">
        <f t="shared" si="16"/>
        <v>0</v>
      </c>
      <c r="BO21" s="118">
        <f t="shared" ref="BO21:CG21" si="17">BO19*BO20</f>
        <v>0</v>
      </c>
      <c r="BP21" s="118">
        <f t="shared" si="17"/>
        <v>0</v>
      </c>
      <c r="BQ21" s="118">
        <f t="shared" si="17"/>
        <v>0</v>
      </c>
      <c r="BR21" s="118">
        <f t="shared" si="17"/>
        <v>0</v>
      </c>
      <c r="BS21" s="118">
        <f t="shared" si="17"/>
        <v>0</v>
      </c>
      <c r="BT21" s="118">
        <f t="shared" si="17"/>
        <v>0</v>
      </c>
      <c r="BU21" s="118">
        <f t="shared" si="17"/>
        <v>0</v>
      </c>
      <c r="BV21" s="118">
        <f t="shared" si="17"/>
        <v>0</v>
      </c>
      <c r="BW21" s="118"/>
      <c r="BX21" s="118">
        <f>BX19*BX20</f>
        <v>0</v>
      </c>
      <c r="BY21" s="118">
        <f t="shared" si="17"/>
        <v>0</v>
      </c>
      <c r="BZ21" s="118">
        <f t="shared" si="17"/>
        <v>0</v>
      </c>
      <c r="CA21" s="118">
        <f t="shared" si="17"/>
        <v>0</v>
      </c>
      <c r="CB21" s="118">
        <f t="shared" si="17"/>
        <v>0</v>
      </c>
      <c r="CC21" s="118">
        <f t="shared" si="17"/>
        <v>0</v>
      </c>
      <c r="CD21" s="118">
        <f t="shared" si="17"/>
        <v>0</v>
      </c>
      <c r="CE21" s="118">
        <f t="shared" si="17"/>
        <v>0</v>
      </c>
      <c r="CF21" s="118">
        <f t="shared" si="17"/>
        <v>0</v>
      </c>
      <c r="CG21" s="118">
        <f t="shared" si="17"/>
        <v>0</v>
      </c>
      <c r="CH21" s="118">
        <f t="shared" ref="CH21:CN21" si="18">CH19*CH20</f>
        <v>0</v>
      </c>
      <c r="CI21" s="118">
        <f t="shared" si="18"/>
        <v>0</v>
      </c>
      <c r="CJ21" s="118">
        <f t="shared" si="18"/>
        <v>0</v>
      </c>
      <c r="CK21" s="118">
        <f t="shared" si="18"/>
        <v>0</v>
      </c>
      <c r="CL21" s="118">
        <f t="shared" si="18"/>
        <v>0</v>
      </c>
      <c r="CM21" s="118">
        <f t="shared" si="18"/>
        <v>0</v>
      </c>
      <c r="CN21" s="118">
        <f t="shared" si="18"/>
        <v>0</v>
      </c>
      <c r="CO21" s="118">
        <f t="shared" ref="CO21:CT21" si="19">CO19*CO20</f>
        <v>0</v>
      </c>
      <c r="CP21" s="118">
        <f t="shared" si="19"/>
        <v>0</v>
      </c>
      <c r="CQ21" s="118">
        <f t="shared" si="19"/>
        <v>0</v>
      </c>
      <c r="CR21" s="118">
        <f t="shared" si="19"/>
        <v>0</v>
      </c>
      <c r="CS21" s="118">
        <f t="shared" si="19"/>
        <v>0</v>
      </c>
      <c r="CT21" s="118">
        <f t="shared" si="19"/>
        <v>0</v>
      </c>
    </row>
    <row r="22" spans="1:115" ht="18" customHeight="1">
      <c r="A22" s="115" t="s">
        <v>795</v>
      </c>
      <c r="B22" s="435"/>
      <c r="C22" s="437"/>
      <c r="D22" s="451" t="s">
        <v>516</v>
      </c>
      <c r="E22" s="119" t="s">
        <v>792</v>
      </c>
      <c r="F22" s="113">
        <v>14.9</v>
      </c>
      <c r="G22" s="113">
        <v>9.8000000000000007</v>
      </c>
      <c r="H22" s="113">
        <v>8.4</v>
      </c>
      <c r="I22" s="113">
        <v>10.6</v>
      </c>
      <c r="J22" s="113">
        <v>12.6</v>
      </c>
      <c r="K22" s="113">
        <v>7.9</v>
      </c>
      <c r="L22" s="113">
        <v>9.9</v>
      </c>
      <c r="M22" s="113">
        <v>1.7</v>
      </c>
      <c r="N22" s="113"/>
      <c r="O22" s="113"/>
      <c r="P22" s="113"/>
      <c r="Q22" s="113">
        <v>6.5</v>
      </c>
      <c r="R22" s="113"/>
      <c r="S22" s="113"/>
      <c r="T22" s="113"/>
      <c r="U22" s="113"/>
      <c r="V22" s="113"/>
      <c r="W22" s="113"/>
      <c r="X22" s="113"/>
      <c r="Y22" s="113"/>
      <c r="Z22" s="113"/>
      <c r="AA22" s="113"/>
      <c r="AB22" s="113"/>
      <c r="AC22" s="113"/>
      <c r="AD22" s="113"/>
      <c r="AE22" s="113"/>
      <c r="AF22" s="113">
        <v>0</v>
      </c>
      <c r="AG22" s="113"/>
      <c r="AH22" s="113"/>
      <c r="AI22" s="113"/>
      <c r="AJ22" s="113">
        <v>0</v>
      </c>
      <c r="AK22" s="113"/>
      <c r="AL22" s="113">
        <v>8.9</v>
      </c>
      <c r="AM22" s="113"/>
      <c r="AN22" s="113">
        <v>9.1</v>
      </c>
      <c r="AO22" s="113">
        <v>10.199999999999999</v>
      </c>
      <c r="AP22" s="113">
        <v>10.8</v>
      </c>
      <c r="AQ22" s="113"/>
      <c r="AR22" s="113"/>
      <c r="AS22" s="113"/>
      <c r="AT22" s="113"/>
      <c r="AU22" s="113">
        <v>0</v>
      </c>
      <c r="AV22" s="113"/>
      <c r="AW22" s="113"/>
      <c r="AX22" s="113"/>
      <c r="AY22" s="113"/>
      <c r="AZ22" s="113"/>
      <c r="BA22" s="113">
        <v>11.1</v>
      </c>
      <c r="BB22" s="113">
        <v>11.6</v>
      </c>
      <c r="BC22" s="113">
        <v>12.4</v>
      </c>
      <c r="BD22" s="113">
        <v>8.3000000000000007</v>
      </c>
      <c r="BE22" s="113">
        <v>11.9</v>
      </c>
      <c r="BF22" s="113"/>
      <c r="BG22" s="113"/>
      <c r="BH22" s="113">
        <v>0</v>
      </c>
      <c r="BI22" s="113"/>
      <c r="BJ22" s="113"/>
      <c r="BK22" s="113"/>
      <c r="BL22" s="113"/>
      <c r="BM22" s="113"/>
      <c r="BN22" s="113"/>
      <c r="BO22" s="113">
        <v>0</v>
      </c>
      <c r="BP22" s="113">
        <v>0</v>
      </c>
      <c r="BQ22" s="113">
        <v>0</v>
      </c>
      <c r="BR22" s="113">
        <v>0</v>
      </c>
      <c r="BS22" s="113">
        <v>0</v>
      </c>
      <c r="BT22" s="113"/>
      <c r="BU22" s="113"/>
      <c r="BV22" s="113"/>
      <c r="BW22" s="113"/>
      <c r="BX22" s="113"/>
      <c r="BY22" s="113"/>
      <c r="BZ22" s="113">
        <v>0</v>
      </c>
      <c r="CA22" s="113"/>
      <c r="CB22" s="113"/>
      <c r="CC22" s="113"/>
      <c r="CD22" s="113"/>
      <c r="CE22" s="113"/>
      <c r="CF22" s="113"/>
      <c r="CG22" s="113">
        <v>0</v>
      </c>
      <c r="CH22" s="113">
        <v>0</v>
      </c>
      <c r="CI22" s="113">
        <v>0</v>
      </c>
      <c r="CJ22" s="113"/>
      <c r="CK22" s="113"/>
      <c r="CL22" s="113"/>
      <c r="CM22" s="113"/>
      <c r="CN22" s="113">
        <v>9.5</v>
      </c>
      <c r="CO22" s="113">
        <v>0</v>
      </c>
      <c r="CP22" s="113">
        <v>0</v>
      </c>
      <c r="CQ22" s="113">
        <v>0</v>
      </c>
      <c r="CR22" s="113">
        <v>54.4</v>
      </c>
      <c r="CS22" s="113">
        <v>6.5</v>
      </c>
      <c r="CT22" s="113">
        <v>10.199999999999999</v>
      </c>
    </row>
    <row r="23" spans="1:115" ht="18" customHeight="1">
      <c r="A23" s="115"/>
      <c r="B23" s="435"/>
      <c r="C23" s="437"/>
      <c r="D23" s="451"/>
      <c r="E23" s="119" t="s">
        <v>794</v>
      </c>
      <c r="F23" s="118">
        <f>材料预算价格表!L14/1000</f>
        <v>2.99</v>
      </c>
      <c r="G23" s="118">
        <f>F23</f>
        <v>2.99</v>
      </c>
      <c r="H23" s="118">
        <f>G23</f>
        <v>2.99</v>
      </c>
      <c r="I23" s="118">
        <f t="shared" ref="I23:BN23" si="20">H23</f>
        <v>2.99</v>
      </c>
      <c r="J23" s="118">
        <f t="shared" si="20"/>
        <v>2.99</v>
      </c>
      <c r="K23" s="118">
        <f t="shared" si="20"/>
        <v>2.99</v>
      </c>
      <c r="L23" s="118">
        <f t="shared" si="20"/>
        <v>2.99</v>
      </c>
      <c r="M23" s="118">
        <f t="shared" si="20"/>
        <v>2.99</v>
      </c>
      <c r="N23" s="118">
        <f t="shared" si="20"/>
        <v>2.99</v>
      </c>
      <c r="O23" s="118">
        <f t="shared" si="20"/>
        <v>2.99</v>
      </c>
      <c r="P23" s="118">
        <f t="shared" si="20"/>
        <v>2.99</v>
      </c>
      <c r="Q23" s="118">
        <f t="shared" si="20"/>
        <v>2.99</v>
      </c>
      <c r="R23" s="118">
        <f t="shared" si="20"/>
        <v>2.99</v>
      </c>
      <c r="S23" s="118">
        <f t="shared" si="20"/>
        <v>2.99</v>
      </c>
      <c r="T23" s="118">
        <f t="shared" si="20"/>
        <v>2.99</v>
      </c>
      <c r="U23" s="118">
        <f t="shared" si="20"/>
        <v>2.99</v>
      </c>
      <c r="V23" s="118">
        <f t="shared" si="20"/>
        <v>2.99</v>
      </c>
      <c r="W23" s="118">
        <f t="shared" si="20"/>
        <v>2.99</v>
      </c>
      <c r="X23" s="118">
        <f t="shared" si="20"/>
        <v>2.99</v>
      </c>
      <c r="Y23" s="118">
        <f t="shared" si="20"/>
        <v>2.99</v>
      </c>
      <c r="Z23" s="118">
        <f t="shared" si="20"/>
        <v>2.99</v>
      </c>
      <c r="AA23" s="118">
        <f t="shared" si="20"/>
        <v>2.99</v>
      </c>
      <c r="AB23" s="118">
        <f t="shared" si="20"/>
        <v>2.99</v>
      </c>
      <c r="AC23" s="118">
        <f t="shared" si="20"/>
        <v>2.99</v>
      </c>
      <c r="AD23" s="118">
        <f t="shared" si="20"/>
        <v>2.99</v>
      </c>
      <c r="AE23" s="118">
        <f t="shared" si="20"/>
        <v>2.99</v>
      </c>
      <c r="AF23" s="118">
        <f t="shared" si="20"/>
        <v>2.99</v>
      </c>
      <c r="AG23" s="118">
        <f t="shared" si="20"/>
        <v>2.99</v>
      </c>
      <c r="AH23" s="118">
        <f t="shared" si="20"/>
        <v>2.99</v>
      </c>
      <c r="AI23" s="118">
        <f t="shared" si="20"/>
        <v>2.99</v>
      </c>
      <c r="AJ23" s="118">
        <f t="shared" si="20"/>
        <v>2.99</v>
      </c>
      <c r="AK23" s="118">
        <f t="shared" si="20"/>
        <v>2.99</v>
      </c>
      <c r="AL23" s="118">
        <f t="shared" si="20"/>
        <v>2.99</v>
      </c>
      <c r="AM23" s="118">
        <f t="shared" si="20"/>
        <v>2.99</v>
      </c>
      <c r="AN23" s="118">
        <f t="shared" si="20"/>
        <v>2.99</v>
      </c>
      <c r="AO23" s="118">
        <f t="shared" si="20"/>
        <v>2.99</v>
      </c>
      <c r="AP23" s="118">
        <f t="shared" si="20"/>
        <v>2.99</v>
      </c>
      <c r="AQ23" s="118">
        <f t="shared" si="20"/>
        <v>2.99</v>
      </c>
      <c r="AR23" s="118">
        <f t="shared" si="20"/>
        <v>2.99</v>
      </c>
      <c r="AS23" s="118">
        <f t="shared" si="20"/>
        <v>2.99</v>
      </c>
      <c r="AT23" s="118">
        <f t="shared" si="20"/>
        <v>2.99</v>
      </c>
      <c r="AU23" s="118">
        <f t="shared" si="20"/>
        <v>2.99</v>
      </c>
      <c r="AV23" s="118">
        <f t="shared" si="20"/>
        <v>2.99</v>
      </c>
      <c r="AW23" s="118">
        <f t="shared" si="20"/>
        <v>2.99</v>
      </c>
      <c r="AX23" s="118">
        <f t="shared" si="20"/>
        <v>2.99</v>
      </c>
      <c r="AY23" s="118">
        <f t="shared" si="20"/>
        <v>2.99</v>
      </c>
      <c r="AZ23" s="118">
        <f t="shared" si="20"/>
        <v>2.99</v>
      </c>
      <c r="BA23" s="118">
        <f t="shared" si="20"/>
        <v>2.99</v>
      </c>
      <c r="BB23" s="118">
        <f t="shared" si="20"/>
        <v>2.99</v>
      </c>
      <c r="BC23" s="118">
        <f t="shared" si="20"/>
        <v>2.99</v>
      </c>
      <c r="BD23" s="118">
        <f t="shared" si="20"/>
        <v>2.99</v>
      </c>
      <c r="BE23" s="118">
        <f t="shared" si="20"/>
        <v>2.99</v>
      </c>
      <c r="BF23" s="118">
        <f t="shared" si="20"/>
        <v>2.99</v>
      </c>
      <c r="BG23" s="118">
        <f t="shared" si="20"/>
        <v>2.99</v>
      </c>
      <c r="BH23" s="118">
        <f t="shared" si="20"/>
        <v>2.99</v>
      </c>
      <c r="BI23" s="118">
        <f t="shared" si="20"/>
        <v>2.99</v>
      </c>
      <c r="BJ23" s="118">
        <f t="shared" si="20"/>
        <v>2.99</v>
      </c>
      <c r="BK23" s="118">
        <f t="shared" si="20"/>
        <v>2.99</v>
      </c>
      <c r="BL23" s="118">
        <f t="shared" si="20"/>
        <v>2.99</v>
      </c>
      <c r="BM23" s="118">
        <f t="shared" si="20"/>
        <v>2.99</v>
      </c>
      <c r="BN23" s="118">
        <f t="shared" si="20"/>
        <v>2.99</v>
      </c>
      <c r="BO23" s="118">
        <f t="shared" ref="BO23:CT23" si="21">BN23</f>
        <v>2.99</v>
      </c>
      <c r="BP23" s="118">
        <f t="shared" si="21"/>
        <v>2.99</v>
      </c>
      <c r="BQ23" s="118">
        <f t="shared" si="21"/>
        <v>2.99</v>
      </c>
      <c r="BR23" s="118">
        <f t="shared" si="21"/>
        <v>2.99</v>
      </c>
      <c r="BS23" s="118">
        <f t="shared" si="21"/>
        <v>2.99</v>
      </c>
      <c r="BT23" s="118">
        <f t="shared" si="21"/>
        <v>2.99</v>
      </c>
      <c r="BU23" s="118">
        <f t="shared" si="21"/>
        <v>2.99</v>
      </c>
      <c r="BV23" s="118">
        <f t="shared" si="21"/>
        <v>2.99</v>
      </c>
      <c r="BW23" s="118"/>
      <c r="BX23" s="118">
        <f>BV23</f>
        <v>2.99</v>
      </c>
      <c r="BY23" s="118">
        <f t="shared" si="21"/>
        <v>2.99</v>
      </c>
      <c r="BZ23" s="118">
        <f t="shared" si="21"/>
        <v>2.99</v>
      </c>
      <c r="CA23" s="118">
        <f t="shared" si="21"/>
        <v>2.99</v>
      </c>
      <c r="CB23" s="118">
        <f t="shared" si="21"/>
        <v>2.99</v>
      </c>
      <c r="CC23" s="118">
        <f t="shared" si="21"/>
        <v>2.99</v>
      </c>
      <c r="CD23" s="118">
        <f t="shared" si="21"/>
        <v>2.99</v>
      </c>
      <c r="CE23" s="118">
        <f t="shared" si="21"/>
        <v>2.99</v>
      </c>
      <c r="CF23" s="118">
        <f t="shared" si="21"/>
        <v>2.99</v>
      </c>
      <c r="CG23" s="118">
        <f t="shared" si="21"/>
        <v>2.99</v>
      </c>
      <c r="CH23" s="118">
        <f t="shared" si="21"/>
        <v>2.99</v>
      </c>
      <c r="CI23" s="118">
        <f t="shared" si="21"/>
        <v>2.99</v>
      </c>
      <c r="CJ23" s="118">
        <f t="shared" si="21"/>
        <v>2.99</v>
      </c>
      <c r="CK23" s="118">
        <f t="shared" si="21"/>
        <v>2.99</v>
      </c>
      <c r="CL23" s="118">
        <f t="shared" si="21"/>
        <v>2.99</v>
      </c>
      <c r="CM23" s="118">
        <f t="shared" si="21"/>
        <v>2.99</v>
      </c>
      <c r="CN23" s="118">
        <f t="shared" si="21"/>
        <v>2.99</v>
      </c>
      <c r="CO23" s="118">
        <f t="shared" si="21"/>
        <v>2.99</v>
      </c>
      <c r="CP23" s="118">
        <f t="shared" si="21"/>
        <v>2.99</v>
      </c>
      <c r="CQ23" s="118">
        <f t="shared" si="21"/>
        <v>2.99</v>
      </c>
      <c r="CR23" s="118">
        <f t="shared" si="21"/>
        <v>2.99</v>
      </c>
      <c r="CS23" s="118">
        <f t="shared" si="21"/>
        <v>2.99</v>
      </c>
      <c r="CT23" s="118">
        <f t="shared" si="21"/>
        <v>2.99</v>
      </c>
    </row>
    <row r="24" spans="1:115" ht="18" customHeight="1">
      <c r="A24" s="115" t="s">
        <v>796</v>
      </c>
      <c r="B24" s="435"/>
      <c r="C24" s="437"/>
      <c r="D24" s="451"/>
      <c r="E24" s="119" t="s">
        <v>782</v>
      </c>
      <c r="F24" s="118">
        <f t="shared" ref="F24:BE24" si="22">F22*F23</f>
        <v>44.551000000000002</v>
      </c>
      <c r="G24" s="118">
        <f t="shared" si="22"/>
        <v>29.302000000000003</v>
      </c>
      <c r="H24" s="118">
        <f t="shared" si="22"/>
        <v>25.116000000000003</v>
      </c>
      <c r="I24" s="118">
        <f t="shared" si="22"/>
        <v>31.694000000000003</v>
      </c>
      <c r="J24" s="118">
        <f t="shared" si="22"/>
        <v>37.673999999999999</v>
      </c>
      <c r="K24" s="118">
        <f t="shared" si="22"/>
        <v>23.621000000000002</v>
      </c>
      <c r="L24" s="118">
        <f t="shared" si="22"/>
        <v>29.601000000000003</v>
      </c>
      <c r="M24" s="118">
        <f t="shared" si="22"/>
        <v>5.0830000000000002</v>
      </c>
      <c r="N24" s="118">
        <f t="shared" si="22"/>
        <v>0</v>
      </c>
      <c r="O24" s="118">
        <f t="shared" si="22"/>
        <v>0</v>
      </c>
      <c r="P24" s="118">
        <f t="shared" si="22"/>
        <v>0</v>
      </c>
      <c r="Q24" s="118">
        <f t="shared" si="22"/>
        <v>19.435000000000002</v>
      </c>
      <c r="R24" s="118">
        <f t="shared" si="22"/>
        <v>0</v>
      </c>
      <c r="S24" s="118">
        <f t="shared" si="22"/>
        <v>0</v>
      </c>
      <c r="T24" s="118">
        <f t="shared" si="22"/>
        <v>0</v>
      </c>
      <c r="U24" s="118">
        <f t="shared" si="22"/>
        <v>0</v>
      </c>
      <c r="V24" s="118">
        <f t="shared" si="22"/>
        <v>0</v>
      </c>
      <c r="W24" s="118">
        <f t="shared" si="22"/>
        <v>0</v>
      </c>
      <c r="X24" s="118">
        <f t="shared" si="22"/>
        <v>0</v>
      </c>
      <c r="Y24" s="118">
        <f t="shared" si="22"/>
        <v>0</v>
      </c>
      <c r="Z24" s="118">
        <f t="shared" si="22"/>
        <v>0</v>
      </c>
      <c r="AA24" s="118">
        <f t="shared" si="22"/>
        <v>0</v>
      </c>
      <c r="AB24" s="118">
        <f t="shared" si="22"/>
        <v>0</v>
      </c>
      <c r="AC24" s="118">
        <f t="shared" si="22"/>
        <v>0</v>
      </c>
      <c r="AD24" s="118">
        <f t="shared" si="22"/>
        <v>0</v>
      </c>
      <c r="AE24" s="118">
        <f t="shared" si="22"/>
        <v>0</v>
      </c>
      <c r="AF24" s="118">
        <f t="shared" si="22"/>
        <v>0</v>
      </c>
      <c r="AG24" s="118">
        <f t="shared" si="22"/>
        <v>0</v>
      </c>
      <c r="AH24" s="118">
        <f t="shared" si="22"/>
        <v>0</v>
      </c>
      <c r="AI24" s="118">
        <f t="shared" si="22"/>
        <v>0</v>
      </c>
      <c r="AJ24" s="118">
        <f t="shared" si="22"/>
        <v>0</v>
      </c>
      <c r="AK24" s="118">
        <f t="shared" si="22"/>
        <v>0</v>
      </c>
      <c r="AL24" s="118">
        <f t="shared" si="22"/>
        <v>26.611000000000004</v>
      </c>
      <c r="AM24" s="118">
        <f t="shared" si="22"/>
        <v>0</v>
      </c>
      <c r="AN24" s="118">
        <f t="shared" si="22"/>
        <v>27.209</v>
      </c>
      <c r="AO24" s="118">
        <f t="shared" si="22"/>
        <v>30.498000000000001</v>
      </c>
      <c r="AP24" s="118">
        <f t="shared" si="22"/>
        <v>32.292000000000002</v>
      </c>
      <c r="AQ24" s="118">
        <f t="shared" si="22"/>
        <v>0</v>
      </c>
      <c r="AR24" s="118">
        <f t="shared" si="22"/>
        <v>0</v>
      </c>
      <c r="AS24" s="118">
        <f t="shared" si="22"/>
        <v>0</v>
      </c>
      <c r="AT24" s="118">
        <f t="shared" si="22"/>
        <v>0</v>
      </c>
      <c r="AU24" s="118">
        <f t="shared" si="22"/>
        <v>0</v>
      </c>
      <c r="AV24" s="118">
        <f t="shared" si="22"/>
        <v>0</v>
      </c>
      <c r="AW24" s="118">
        <f t="shared" si="22"/>
        <v>0</v>
      </c>
      <c r="AX24" s="118">
        <f t="shared" si="22"/>
        <v>0</v>
      </c>
      <c r="AY24" s="118">
        <f t="shared" si="22"/>
        <v>0</v>
      </c>
      <c r="AZ24" s="118">
        <f t="shared" si="22"/>
        <v>0</v>
      </c>
      <c r="BA24" s="118">
        <f t="shared" si="22"/>
        <v>33.189</v>
      </c>
      <c r="BB24" s="118">
        <f t="shared" si="22"/>
        <v>34.684000000000005</v>
      </c>
      <c r="BC24" s="118">
        <f t="shared" si="22"/>
        <v>37.076000000000001</v>
      </c>
      <c r="BD24" s="118">
        <f t="shared" si="22"/>
        <v>24.817000000000004</v>
      </c>
      <c r="BE24" s="118">
        <f t="shared" si="22"/>
        <v>35.581000000000003</v>
      </c>
      <c r="BF24" s="118">
        <f t="shared" ref="BF24:BN24" si="23">BF22*BF23</f>
        <v>0</v>
      </c>
      <c r="BG24" s="118">
        <f t="shared" si="23"/>
        <v>0</v>
      </c>
      <c r="BH24" s="118">
        <f t="shared" si="23"/>
        <v>0</v>
      </c>
      <c r="BI24" s="118">
        <f t="shared" si="23"/>
        <v>0</v>
      </c>
      <c r="BJ24" s="118">
        <f t="shared" si="23"/>
        <v>0</v>
      </c>
      <c r="BK24" s="118">
        <f t="shared" si="23"/>
        <v>0</v>
      </c>
      <c r="BL24" s="118">
        <f t="shared" si="23"/>
        <v>0</v>
      </c>
      <c r="BM24" s="118">
        <f t="shared" si="23"/>
        <v>0</v>
      </c>
      <c r="BN24" s="118">
        <f t="shared" si="23"/>
        <v>0</v>
      </c>
      <c r="BO24" s="118">
        <f t="shared" ref="BO24:CG24" si="24">BO22*BO23</f>
        <v>0</v>
      </c>
      <c r="BP24" s="118">
        <f t="shared" si="24"/>
        <v>0</v>
      </c>
      <c r="BQ24" s="118">
        <f t="shared" si="24"/>
        <v>0</v>
      </c>
      <c r="BR24" s="118">
        <f t="shared" si="24"/>
        <v>0</v>
      </c>
      <c r="BS24" s="118">
        <f t="shared" si="24"/>
        <v>0</v>
      </c>
      <c r="BT24" s="118">
        <f t="shared" si="24"/>
        <v>0</v>
      </c>
      <c r="BU24" s="118">
        <f t="shared" si="24"/>
        <v>0</v>
      </c>
      <c r="BV24" s="118">
        <f t="shared" si="24"/>
        <v>0</v>
      </c>
      <c r="BW24" s="118"/>
      <c r="BX24" s="118">
        <f>BX22*BX23</f>
        <v>0</v>
      </c>
      <c r="BY24" s="118">
        <f t="shared" si="24"/>
        <v>0</v>
      </c>
      <c r="BZ24" s="118">
        <f t="shared" si="24"/>
        <v>0</v>
      </c>
      <c r="CA24" s="118">
        <f t="shared" si="24"/>
        <v>0</v>
      </c>
      <c r="CB24" s="118">
        <f t="shared" si="24"/>
        <v>0</v>
      </c>
      <c r="CC24" s="118">
        <f t="shared" si="24"/>
        <v>0</v>
      </c>
      <c r="CD24" s="118">
        <f t="shared" si="24"/>
        <v>0</v>
      </c>
      <c r="CE24" s="118">
        <f t="shared" si="24"/>
        <v>0</v>
      </c>
      <c r="CF24" s="118">
        <f t="shared" si="24"/>
        <v>0</v>
      </c>
      <c r="CG24" s="118">
        <f t="shared" si="24"/>
        <v>0</v>
      </c>
      <c r="CH24" s="118">
        <f t="shared" ref="CH24:CN24" si="25">CH22*CH23</f>
        <v>0</v>
      </c>
      <c r="CI24" s="118">
        <f t="shared" si="25"/>
        <v>0</v>
      </c>
      <c r="CJ24" s="118">
        <f t="shared" si="25"/>
        <v>0</v>
      </c>
      <c r="CK24" s="118">
        <f t="shared" si="25"/>
        <v>0</v>
      </c>
      <c r="CL24" s="118">
        <f t="shared" si="25"/>
        <v>0</v>
      </c>
      <c r="CM24" s="118">
        <f t="shared" si="25"/>
        <v>0</v>
      </c>
      <c r="CN24" s="118">
        <f t="shared" si="25"/>
        <v>28.405000000000001</v>
      </c>
      <c r="CO24" s="118">
        <f t="shared" ref="CO24:CT24" si="26">CO22*CO23</f>
        <v>0</v>
      </c>
      <c r="CP24" s="118">
        <f t="shared" si="26"/>
        <v>0</v>
      </c>
      <c r="CQ24" s="118">
        <f t="shared" si="26"/>
        <v>0</v>
      </c>
      <c r="CR24" s="118">
        <f t="shared" si="26"/>
        <v>162.65600000000001</v>
      </c>
      <c r="CS24" s="118">
        <f t="shared" si="26"/>
        <v>19.435000000000002</v>
      </c>
      <c r="CT24" s="118">
        <f t="shared" si="26"/>
        <v>30.498000000000001</v>
      </c>
    </row>
    <row r="25" spans="1:115" ht="18" customHeight="1">
      <c r="A25" s="115"/>
      <c r="B25" s="435"/>
      <c r="C25" s="437"/>
      <c r="D25" s="430" t="s">
        <v>797</v>
      </c>
      <c r="E25" s="119" t="s">
        <v>798</v>
      </c>
      <c r="F25" s="113"/>
      <c r="G25" s="113"/>
      <c r="H25" s="113"/>
      <c r="I25" s="113"/>
      <c r="J25" s="113"/>
      <c r="K25" s="113"/>
      <c r="L25" s="113"/>
      <c r="M25" s="113">
        <v>0</v>
      </c>
      <c r="N25" s="113"/>
      <c r="O25" s="113">
        <v>2.5</v>
      </c>
      <c r="P25" s="113"/>
      <c r="Q25" s="113">
        <v>0</v>
      </c>
      <c r="R25" s="113">
        <v>8.6</v>
      </c>
      <c r="S25" s="113">
        <v>18</v>
      </c>
      <c r="T25" s="113">
        <v>1.1000000000000001</v>
      </c>
      <c r="U25" s="113">
        <v>0.8</v>
      </c>
      <c r="V25" s="113">
        <v>1.7</v>
      </c>
      <c r="W25" s="113">
        <v>4.2</v>
      </c>
      <c r="X25" s="113"/>
      <c r="Y25" s="113">
        <v>26.7</v>
      </c>
      <c r="Z25" s="113"/>
      <c r="AA25" s="113"/>
      <c r="AB25" s="113">
        <v>15.5</v>
      </c>
      <c r="AC25" s="113">
        <v>19.3</v>
      </c>
      <c r="AD25" s="113">
        <v>14</v>
      </c>
      <c r="AE25" s="113">
        <v>3.9</v>
      </c>
      <c r="AF25" s="113">
        <v>4</v>
      </c>
      <c r="AG25" s="113">
        <v>20</v>
      </c>
      <c r="AH25" s="113">
        <v>30</v>
      </c>
      <c r="AI25" s="113">
        <v>14.5</v>
      </c>
      <c r="AJ25" s="113">
        <v>4.2</v>
      </c>
      <c r="AK25" s="113"/>
      <c r="AL25" s="113"/>
      <c r="AM25" s="113">
        <v>0</v>
      </c>
      <c r="AN25" s="113"/>
      <c r="AO25" s="113"/>
      <c r="AP25" s="113"/>
      <c r="AQ25" s="113">
        <v>19</v>
      </c>
      <c r="AR25" s="113">
        <v>10.1</v>
      </c>
      <c r="AS25" s="113">
        <v>5.4</v>
      </c>
      <c r="AT25" s="113">
        <v>7.9</v>
      </c>
      <c r="AU25" s="113">
        <v>4</v>
      </c>
      <c r="AV25" s="113">
        <v>90.8</v>
      </c>
      <c r="AW25" s="113">
        <v>21.1</v>
      </c>
      <c r="AX25" s="113">
        <v>36.700000000000003</v>
      </c>
      <c r="AY25" s="113">
        <v>78.7</v>
      </c>
      <c r="AZ25" s="113"/>
      <c r="BA25" s="113"/>
      <c r="BB25" s="113"/>
      <c r="BC25" s="113"/>
      <c r="BD25" s="113"/>
      <c r="BE25" s="113"/>
      <c r="BF25" s="113">
        <v>15.5</v>
      </c>
      <c r="BG25" s="113">
        <v>66.7</v>
      </c>
      <c r="BH25" s="113">
        <v>47.6</v>
      </c>
      <c r="BI25" s="113">
        <v>17</v>
      </c>
      <c r="BJ25" s="113"/>
      <c r="BK25" s="113">
        <v>6</v>
      </c>
      <c r="BL25" s="113">
        <v>80.099999999999994</v>
      </c>
      <c r="BM25" s="113">
        <v>7.2</v>
      </c>
      <c r="BN25" s="113">
        <v>17.2</v>
      </c>
      <c r="BO25" s="113">
        <v>10.1</v>
      </c>
      <c r="BP25" s="113">
        <v>7.8</v>
      </c>
      <c r="BQ25" s="113">
        <v>15.1</v>
      </c>
      <c r="BR25" s="113">
        <v>7.1</v>
      </c>
      <c r="BS25" s="113">
        <v>9</v>
      </c>
      <c r="BT25" s="113">
        <v>1.7</v>
      </c>
      <c r="BU25" s="113">
        <v>4</v>
      </c>
      <c r="BV25" s="113">
        <v>2.9</v>
      </c>
      <c r="BW25" s="113">
        <v>2</v>
      </c>
      <c r="BX25" s="113">
        <v>2.2999999999999998</v>
      </c>
      <c r="BY25" s="113"/>
      <c r="BZ25" s="113">
        <v>0</v>
      </c>
      <c r="CA25" s="113"/>
      <c r="CB25" s="113"/>
      <c r="CC25" s="113"/>
      <c r="CD25" s="113">
        <v>21.7</v>
      </c>
      <c r="CE25" s="113">
        <v>19.600000000000001</v>
      </c>
      <c r="CF25" s="113">
        <v>5.7</v>
      </c>
      <c r="CG25" s="113">
        <v>28</v>
      </c>
      <c r="CH25" s="113">
        <v>12.9</v>
      </c>
      <c r="CI25" s="113">
        <v>6.3</v>
      </c>
      <c r="CJ25" s="113">
        <v>13.2</v>
      </c>
      <c r="CK25" s="113">
        <v>10.1</v>
      </c>
      <c r="CL25" s="113">
        <v>111.1</v>
      </c>
      <c r="CM25" s="113">
        <v>10.7</v>
      </c>
      <c r="CN25" s="113">
        <v>0</v>
      </c>
      <c r="CO25" s="113">
        <v>0</v>
      </c>
      <c r="CP25" s="113">
        <v>5.4</v>
      </c>
      <c r="CQ25" s="113">
        <v>0</v>
      </c>
      <c r="CR25" s="113"/>
      <c r="CS25" s="113"/>
      <c r="CT25" s="113"/>
    </row>
    <row r="26" spans="1:115" ht="18" customHeight="1">
      <c r="A26" s="115" t="s">
        <v>799</v>
      </c>
      <c r="B26" s="435"/>
      <c r="C26" s="437"/>
      <c r="D26" s="430"/>
      <c r="E26" s="119" t="s">
        <v>800</v>
      </c>
      <c r="F26" s="113">
        <f>材料预算价格表!K16</f>
        <v>1.03</v>
      </c>
      <c r="G26" s="113">
        <f>F26</f>
        <v>1.03</v>
      </c>
      <c r="H26" s="113">
        <f>G26</f>
        <v>1.03</v>
      </c>
      <c r="I26" s="113">
        <f t="shared" ref="I26:BN26" si="27">H26</f>
        <v>1.03</v>
      </c>
      <c r="J26" s="113">
        <f t="shared" si="27"/>
        <v>1.03</v>
      </c>
      <c r="K26" s="113">
        <f t="shared" si="27"/>
        <v>1.03</v>
      </c>
      <c r="L26" s="113">
        <f t="shared" si="27"/>
        <v>1.03</v>
      </c>
      <c r="M26" s="113">
        <f t="shared" si="27"/>
        <v>1.03</v>
      </c>
      <c r="N26" s="113">
        <f t="shared" si="27"/>
        <v>1.03</v>
      </c>
      <c r="O26" s="113">
        <f t="shared" si="27"/>
        <v>1.03</v>
      </c>
      <c r="P26" s="113">
        <f t="shared" si="27"/>
        <v>1.03</v>
      </c>
      <c r="Q26" s="113">
        <f t="shared" si="27"/>
        <v>1.03</v>
      </c>
      <c r="R26" s="113">
        <f t="shared" si="27"/>
        <v>1.03</v>
      </c>
      <c r="S26" s="113">
        <f t="shared" si="27"/>
        <v>1.03</v>
      </c>
      <c r="T26" s="113">
        <f t="shared" si="27"/>
        <v>1.03</v>
      </c>
      <c r="U26" s="113">
        <f t="shared" si="27"/>
        <v>1.03</v>
      </c>
      <c r="V26" s="113">
        <f t="shared" si="27"/>
        <v>1.03</v>
      </c>
      <c r="W26" s="113">
        <f t="shared" si="27"/>
        <v>1.03</v>
      </c>
      <c r="X26" s="113">
        <f t="shared" si="27"/>
        <v>1.03</v>
      </c>
      <c r="Y26" s="113">
        <f t="shared" si="27"/>
        <v>1.03</v>
      </c>
      <c r="Z26" s="113">
        <f t="shared" si="27"/>
        <v>1.03</v>
      </c>
      <c r="AA26" s="113">
        <f t="shared" si="27"/>
        <v>1.03</v>
      </c>
      <c r="AB26" s="113">
        <f t="shared" si="27"/>
        <v>1.03</v>
      </c>
      <c r="AC26" s="113">
        <f t="shared" si="27"/>
        <v>1.03</v>
      </c>
      <c r="AD26" s="113">
        <f t="shared" si="27"/>
        <v>1.03</v>
      </c>
      <c r="AE26" s="113">
        <f t="shared" si="27"/>
        <v>1.03</v>
      </c>
      <c r="AF26" s="113">
        <f t="shared" si="27"/>
        <v>1.03</v>
      </c>
      <c r="AG26" s="113">
        <f t="shared" si="27"/>
        <v>1.03</v>
      </c>
      <c r="AH26" s="113">
        <f t="shared" si="27"/>
        <v>1.03</v>
      </c>
      <c r="AI26" s="113">
        <f t="shared" si="27"/>
        <v>1.03</v>
      </c>
      <c r="AJ26" s="113">
        <f t="shared" si="27"/>
        <v>1.03</v>
      </c>
      <c r="AK26" s="113">
        <f t="shared" si="27"/>
        <v>1.03</v>
      </c>
      <c r="AL26" s="113">
        <f t="shared" si="27"/>
        <v>1.03</v>
      </c>
      <c r="AM26" s="113">
        <f t="shared" si="27"/>
        <v>1.03</v>
      </c>
      <c r="AN26" s="113">
        <f t="shared" si="27"/>
        <v>1.03</v>
      </c>
      <c r="AO26" s="113">
        <f t="shared" si="27"/>
        <v>1.03</v>
      </c>
      <c r="AP26" s="113">
        <f t="shared" si="27"/>
        <v>1.03</v>
      </c>
      <c r="AQ26" s="113">
        <f t="shared" si="27"/>
        <v>1.03</v>
      </c>
      <c r="AR26" s="113">
        <f t="shared" si="27"/>
        <v>1.03</v>
      </c>
      <c r="AS26" s="113">
        <f t="shared" si="27"/>
        <v>1.03</v>
      </c>
      <c r="AT26" s="113">
        <f t="shared" si="27"/>
        <v>1.03</v>
      </c>
      <c r="AU26" s="113">
        <f t="shared" si="27"/>
        <v>1.03</v>
      </c>
      <c r="AV26" s="113">
        <f t="shared" si="27"/>
        <v>1.03</v>
      </c>
      <c r="AW26" s="113">
        <f t="shared" si="27"/>
        <v>1.03</v>
      </c>
      <c r="AX26" s="113">
        <f t="shared" si="27"/>
        <v>1.03</v>
      </c>
      <c r="AY26" s="113">
        <f t="shared" si="27"/>
        <v>1.03</v>
      </c>
      <c r="AZ26" s="113">
        <f t="shared" si="27"/>
        <v>1.03</v>
      </c>
      <c r="BA26" s="113">
        <f t="shared" si="27"/>
        <v>1.03</v>
      </c>
      <c r="BB26" s="113">
        <f t="shared" si="27"/>
        <v>1.03</v>
      </c>
      <c r="BC26" s="113">
        <f t="shared" si="27"/>
        <v>1.03</v>
      </c>
      <c r="BD26" s="113">
        <f t="shared" si="27"/>
        <v>1.03</v>
      </c>
      <c r="BE26" s="113">
        <f t="shared" si="27"/>
        <v>1.03</v>
      </c>
      <c r="BF26" s="113">
        <f t="shared" si="27"/>
        <v>1.03</v>
      </c>
      <c r="BG26" s="113">
        <f t="shared" si="27"/>
        <v>1.03</v>
      </c>
      <c r="BH26" s="113">
        <f t="shared" si="27"/>
        <v>1.03</v>
      </c>
      <c r="BI26" s="113">
        <f t="shared" si="27"/>
        <v>1.03</v>
      </c>
      <c r="BJ26" s="113">
        <f t="shared" si="27"/>
        <v>1.03</v>
      </c>
      <c r="BK26" s="113">
        <f t="shared" si="27"/>
        <v>1.03</v>
      </c>
      <c r="BL26" s="113">
        <f t="shared" si="27"/>
        <v>1.03</v>
      </c>
      <c r="BM26" s="113">
        <f t="shared" si="27"/>
        <v>1.03</v>
      </c>
      <c r="BN26" s="113">
        <f t="shared" si="27"/>
        <v>1.03</v>
      </c>
      <c r="BO26" s="113">
        <f t="shared" ref="BO26:CT26" si="28">BN26</f>
        <v>1.03</v>
      </c>
      <c r="BP26" s="113">
        <f t="shared" si="28"/>
        <v>1.03</v>
      </c>
      <c r="BQ26" s="113">
        <f t="shared" si="28"/>
        <v>1.03</v>
      </c>
      <c r="BR26" s="113">
        <f t="shared" si="28"/>
        <v>1.03</v>
      </c>
      <c r="BS26" s="113">
        <f t="shared" si="28"/>
        <v>1.03</v>
      </c>
      <c r="BT26" s="113">
        <f t="shared" si="28"/>
        <v>1.03</v>
      </c>
      <c r="BU26" s="113">
        <f t="shared" si="28"/>
        <v>1.03</v>
      </c>
      <c r="BV26" s="113">
        <f t="shared" si="28"/>
        <v>1.03</v>
      </c>
      <c r="BW26" s="113">
        <f t="shared" si="28"/>
        <v>1.03</v>
      </c>
      <c r="BX26" s="113">
        <f>BV26</f>
        <v>1.03</v>
      </c>
      <c r="BY26" s="113">
        <f t="shared" si="28"/>
        <v>1.03</v>
      </c>
      <c r="BZ26" s="113">
        <f t="shared" si="28"/>
        <v>1.03</v>
      </c>
      <c r="CA26" s="113">
        <f t="shared" si="28"/>
        <v>1.03</v>
      </c>
      <c r="CB26" s="113">
        <f t="shared" si="28"/>
        <v>1.03</v>
      </c>
      <c r="CC26" s="113">
        <f t="shared" si="28"/>
        <v>1.03</v>
      </c>
      <c r="CD26" s="113">
        <f t="shared" si="28"/>
        <v>1.03</v>
      </c>
      <c r="CE26" s="113">
        <f t="shared" si="28"/>
        <v>1.03</v>
      </c>
      <c r="CF26" s="113">
        <f t="shared" si="28"/>
        <v>1.03</v>
      </c>
      <c r="CG26" s="113">
        <f t="shared" si="28"/>
        <v>1.03</v>
      </c>
      <c r="CH26" s="113">
        <f t="shared" si="28"/>
        <v>1.03</v>
      </c>
      <c r="CI26" s="113">
        <f t="shared" si="28"/>
        <v>1.03</v>
      </c>
      <c r="CJ26" s="113">
        <f t="shared" si="28"/>
        <v>1.03</v>
      </c>
      <c r="CK26" s="113">
        <f t="shared" si="28"/>
        <v>1.03</v>
      </c>
      <c r="CL26" s="113">
        <f t="shared" si="28"/>
        <v>1.03</v>
      </c>
      <c r="CM26" s="113">
        <f t="shared" si="28"/>
        <v>1.03</v>
      </c>
      <c r="CN26" s="113">
        <f t="shared" si="28"/>
        <v>1.03</v>
      </c>
      <c r="CO26" s="113">
        <f t="shared" si="28"/>
        <v>1.03</v>
      </c>
      <c r="CP26" s="113">
        <f t="shared" si="28"/>
        <v>1.03</v>
      </c>
      <c r="CQ26" s="113">
        <f t="shared" si="28"/>
        <v>1.03</v>
      </c>
      <c r="CR26" s="113">
        <f t="shared" si="28"/>
        <v>1.03</v>
      </c>
      <c r="CS26" s="113">
        <f t="shared" si="28"/>
        <v>1.03</v>
      </c>
      <c r="CT26" s="113">
        <f t="shared" si="28"/>
        <v>1.03</v>
      </c>
    </row>
    <row r="27" spans="1:115" ht="18" customHeight="1">
      <c r="A27" s="115"/>
      <c r="B27" s="435"/>
      <c r="C27" s="437"/>
      <c r="D27" s="430"/>
      <c r="E27" s="119" t="s">
        <v>782</v>
      </c>
      <c r="F27" s="118">
        <f t="shared" ref="F27:BE27" si="29">F25*F26</f>
        <v>0</v>
      </c>
      <c r="G27" s="118">
        <f t="shared" si="29"/>
        <v>0</v>
      </c>
      <c r="H27" s="118">
        <f t="shared" si="29"/>
        <v>0</v>
      </c>
      <c r="I27" s="118">
        <f t="shared" si="29"/>
        <v>0</v>
      </c>
      <c r="J27" s="118">
        <f t="shared" si="29"/>
        <v>0</v>
      </c>
      <c r="K27" s="118">
        <f t="shared" si="29"/>
        <v>0</v>
      </c>
      <c r="L27" s="118">
        <f t="shared" si="29"/>
        <v>0</v>
      </c>
      <c r="M27" s="118">
        <f t="shared" si="29"/>
        <v>0</v>
      </c>
      <c r="N27" s="118">
        <f t="shared" si="29"/>
        <v>0</v>
      </c>
      <c r="O27" s="118">
        <f t="shared" si="29"/>
        <v>2.5750000000000002</v>
      </c>
      <c r="P27" s="118">
        <f t="shared" si="29"/>
        <v>0</v>
      </c>
      <c r="Q27" s="118">
        <f t="shared" si="29"/>
        <v>0</v>
      </c>
      <c r="R27" s="118">
        <f t="shared" si="29"/>
        <v>8.8580000000000005</v>
      </c>
      <c r="S27" s="118">
        <f t="shared" si="29"/>
        <v>18.54</v>
      </c>
      <c r="T27" s="118">
        <f t="shared" si="29"/>
        <v>1.1330000000000002</v>
      </c>
      <c r="U27" s="118">
        <f t="shared" si="29"/>
        <v>0.82400000000000007</v>
      </c>
      <c r="V27" s="113">
        <f t="shared" si="29"/>
        <v>1.7509999999999999</v>
      </c>
      <c r="W27" s="118">
        <f t="shared" si="29"/>
        <v>4.3260000000000005</v>
      </c>
      <c r="X27" s="118">
        <f t="shared" si="29"/>
        <v>0</v>
      </c>
      <c r="Y27" s="118">
        <f t="shared" si="29"/>
        <v>27.501000000000001</v>
      </c>
      <c r="Z27" s="118">
        <f t="shared" si="29"/>
        <v>0</v>
      </c>
      <c r="AA27" s="118">
        <f t="shared" si="29"/>
        <v>0</v>
      </c>
      <c r="AB27" s="118">
        <f t="shared" si="29"/>
        <v>15.965</v>
      </c>
      <c r="AC27" s="118">
        <f t="shared" si="29"/>
        <v>19.879000000000001</v>
      </c>
      <c r="AD27" s="118">
        <f t="shared" si="29"/>
        <v>14.42</v>
      </c>
      <c r="AE27" s="118">
        <f t="shared" si="29"/>
        <v>4.0170000000000003</v>
      </c>
      <c r="AF27" s="118">
        <f t="shared" si="29"/>
        <v>4.12</v>
      </c>
      <c r="AG27" s="118">
        <f t="shared" si="29"/>
        <v>20.6</v>
      </c>
      <c r="AH27" s="118">
        <f t="shared" si="29"/>
        <v>30.900000000000002</v>
      </c>
      <c r="AI27" s="118">
        <f t="shared" si="29"/>
        <v>14.935</v>
      </c>
      <c r="AJ27" s="118">
        <f t="shared" si="29"/>
        <v>4.3260000000000005</v>
      </c>
      <c r="AK27" s="118">
        <f t="shared" si="29"/>
        <v>0</v>
      </c>
      <c r="AL27" s="118">
        <f t="shared" si="29"/>
        <v>0</v>
      </c>
      <c r="AM27" s="118">
        <f t="shared" si="29"/>
        <v>0</v>
      </c>
      <c r="AN27" s="118">
        <f t="shared" si="29"/>
        <v>0</v>
      </c>
      <c r="AO27" s="118">
        <f t="shared" si="29"/>
        <v>0</v>
      </c>
      <c r="AP27" s="118">
        <f t="shared" si="29"/>
        <v>0</v>
      </c>
      <c r="AQ27" s="118">
        <f t="shared" si="29"/>
        <v>19.57</v>
      </c>
      <c r="AR27" s="118">
        <f t="shared" si="29"/>
        <v>10.403</v>
      </c>
      <c r="AS27" s="118">
        <f t="shared" si="29"/>
        <v>5.5620000000000003</v>
      </c>
      <c r="AT27" s="118">
        <f t="shared" si="29"/>
        <v>8.1370000000000005</v>
      </c>
      <c r="AU27" s="118">
        <f t="shared" si="29"/>
        <v>4.12</v>
      </c>
      <c r="AV27" s="118">
        <f t="shared" si="29"/>
        <v>93.524000000000001</v>
      </c>
      <c r="AW27" s="118">
        <f t="shared" si="29"/>
        <v>21.733000000000001</v>
      </c>
      <c r="AX27" s="118">
        <f t="shared" si="29"/>
        <v>37.801000000000002</v>
      </c>
      <c r="AY27" s="118">
        <f t="shared" si="29"/>
        <v>81.061000000000007</v>
      </c>
      <c r="AZ27" s="118">
        <f t="shared" si="29"/>
        <v>0</v>
      </c>
      <c r="BA27" s="118">
        <f t="shared" si="29"/>
        <v>0</v>
      </c>
      <c r="BB27" s="118">
        <f t="shared" si="29"/>
        <v>0</v>
      </c>
      <c r="BC27" s="118">
        <f t="shared" si="29"/>
        <v>0</v>
      </c>
      <c r="BD27" s="118">
        <f t="shared" si="29"/>
        <v>0</v>
      </c>
      <c r="BE27" s="118">
        <f t="shared" si="29"/>
        <v>0</v>
      </c>
      <c r="BF27" s="118">
        <f t="shared" ref="BF27:BN27" si="30">BF25*BF26</f>
        <v>15.965</v>
      </c>
      <c r="BG27" s="118">
        <f t="shared" si="30"/>
        <v>68.701000000000008</v>
      </c>
      <c r="BH27" s="118">
        <f t="shared" si="30"/>
        <v>49.028000000000006</v>
      </c>
      <c r="BI27" s="118">
        <f t="shared" si="30"/>
        <v>17.510000000000002</v>
      </c>
      <c r="BJ27" s="118">
        <f t="shared" si="30"/>
        <v>0</v>
      </c>
      <c r="BK27" s="118">
        <f t="shared" si="30"/>
        <v>6.18</v>
      </c>
      <c r="BL27" s="118">
        <f t="shared" si="30"/>
        <v>82.503</v>
      </c>
      <c r="BM27" s="118">
        <f t="shared" si="30"/>
        <v>7.4160000000000004</v>
      </c>
      <c r="BN27" s="118">
        <f t="shared" si="30"/>
        <v>17.716000000000001</v>
      </c>
      <c r="BO27" s="118">
        <f t="shared" ref="BO27:CG27" si="31">BO25*BO26</f>
        <v>10.403</v>
      </c>
      <c r="BP27" s="118">
        <f t="shared" si="31"/>
        <v>8.0340000000000007</v>
      </c>
      <c r="BQ27" s="118">
        <f t="shared" si="31"/>
        <v>15.553000000000001</v>
      </c>
      <c r="BR27" s="118">
        <f t="shared" si="31"/>
        <v>7.3129999999999997</v>
      </c>
      <c r="BS27" s="118">
        <f t="shared" si="31"/>
        <v>9.27</v>
      </c>
      <c r="BT27" s="118">
        <f t="shared" si="31"/>
        <v>1.7509999999999999</v>
      </c>
      <c r="BU27" s="118">
        <f t="shared" si="31"/>
        <v>4.12</v>
      </c>
      <c r="BV27" s="118">
        <f t="shared" si="31"/>
        <v>2.9870000000000001</v>
      </c>
      <c r="BW27" s="118">
        <f t="shared" si="31"/>
        <v>2.06</v>
      </c>
      <c r="BX27" s="118">
        <f t="shared" si="31"/>
        <v>2.3689999999999998</v>
      </c>
      <c r="BY27" s="118">
        <f t="shared" si="31"/>
        <v>0</v>
      </c>
      <c r="BZ27" s="118">
        <f t="shared" si="31"/>
        <v>0</v>
      </c>
      <c r="CA27" s="118">
        <f t="shared" si="31"/>
        <v>0</v>
      </c>
      <c r="CB27" s="118">
        <f t="shared" si="31"/>
        <v>0</v>
      </c>
      <c r="CC27" s="118">
        <f t="shared" si="31"/>
        <v>0</v>
      </c>
      <c r="CD27" s="118">
        <f t="shared" si="31"/>
        <v>22.350999999999999</v>
      </c>
      <c r="CE27" s="118">
        <f t="shared" si="31"/>
        <v>20.188000000000002</v>
      </c>
      <c r="CF27" s="118">
        <f t="shared" si="31"/>
        <v>5.8710000000000004</v>
      </c>
      <c r="CG27" s="118">
        <f t="shared" si="31"/>
        <v>28.84</v>
      </c>
      <c r="CH27" s="118">
        <f t="shared" ref="CH27:CN27" si="32">CH25*CH26</f>
        <v>13.287000000000001</v>
      </c>
      <c r="CI27" s="118">
        <f t="shared" si="32"/>
        <v>6.4889999999999999</v>
      </c>
      <c r="CJ27" s="118">
        <f t="shared" si="32"/>
        <v>13.596</v>
      </c>
      <c r="CK27" s="118">
        <f t="shared" si="32"/>
        <v>10.403</v>
      </c>
      <c r="CL27" s="118">
        <f t="shared" si="32"/>
        <v>114.43299999999999</v>
      </c>
      <c r="CM27" s="118">
        <f t="shared" si="32"/>
        <v>11.020999999999999</v>
      </c>
      <c r="CN27" s="118">
        <f t="shared" si="32"/>
        <v>0</v>
      </c>
      <c r="CO27" s="118">
        <f t="shared" ref="CO27:CT27" si="33">CO25*CO26</f>
        <v>0</v>
      </c>
      <c r="CP27" s="118">
        <f t="shared" si="33"/>
        <v>5.5620000000000003</v>
      </c>
      <c r="CQ27" s="118">
        <f t="shared" si="33"/>
        <v>0</v>
      </c>
      <c r="CR27" s="118">
        <f t="shared" si="33"/>
        <v>0</v>
      </c>
      <c r="CS27" s="118">
        <f t="shared" si="33"/>
        <v>0</v>
      </c>
      <c r="CT27" s="118">
        <f t="shared" si="33"/>
        <v>0</v>
      </c>
    </row>
    <row r="28" spans="1:115" ht="18" customHeight="1">
      <c r="A28" s="115" t="s">
        <v>801</v>
      </c>
      <c r="B28" s="435"/>
      <c r="C28" s="437"/>
      <c r="D28" s="430" t="s">
        <v>802</v>
      </c>
      <c r="E28" s="119" t="s">
        <v>803</v>
      </c>
      <c r="F28" s="113"/>
      <c r="G28" s="113"/>
      <c r="H28" s="113"/>
      <c r="I28" s="113"/>
      <c r="J28" s="113"/>
      <c r="K28" s="113"/>
      <c r="L28" s="113"/>
      <c r="M28" s="113"/>
      <c r="N28" s="113"/>
      <c r="O28" s="113"/>
      <c r="P28" s="113"/>
      <c r="Q28" s="113"/>
      <c r="R28" s="113"/>
      <c r="S28" s="113"/>
      <c r="T28" s="113"/>
      <c r="U28" s="113"/>
      <c r="V28" s="113"/>
      <c r="W28" s="113"/>
      <c r="X28" s="113"/>
      <c r="Y28" s="113"/>
      <c r="Z28" s="113"/>
      <c r="AA28" s="113">
        <v>202.5</v>
      </c>
      <c r="AB28" s="113"/>
      <c r="AC28" s="113"/>
      <c r="AD28" s="113"/>
      <c r="AE28" s="113"/>
      <c r="AF28" s="113"/>
      <c r="AG28" s="113"/>
      <c r="AH28" s="113"/>
      <c r="AI28" s="113"/>
      <c r="AJ28" s="113"/>
      <c r="AK28" s="113"/>
      <c r="AL28" s="113"/>
      <c r="AM28" s="113"/>
      <c r="AN28" s="113"/>
      <c r="AO28" s="113"/>
      <c r="AP28" s="113"/>
      <c r="AQ28" s="113"/>
      <c r="AR28" s="113"/>
      <c r="AS28" s="113"/>
      <c r="AT28" s="113"/>
      <c r="AU28" s="113"/>
      <c r="AV28" s="113"/>
      <c r="AW28" s="113"/>
      <c r="AX28" s="113"/>
      <c r="AY28" s="113"/>
      <c r="AZ28" s="113"/>
      <c r="BA28" s="113"/>
      <c r="BB28" s="113"/>
      <c r="BC28" s="113"/>
      <c r="BD28" s="113"/>
      <c r="BE28" s="113"/>
      <c r="BF28" s="113"/>
      <c r="BG28" s="113"/>
      <c r="BH28" s="113"/>
      <c r="BI28" s="113"/>
      <c r="BJ28" s="113"/>
      <c r="BK28" s="113"/>
      <c r="BL28" s="113">
        <v>8.1</v>
      </c>
      <c r="BM28" s="113"/>
      <c r="BN28" s="113"/>
      <c r="BO28" s="113"/>
      <c r="BP28" s="113"/>
      <c r="BQ28" s="113"/>
      <c r="BR28" s="113"/>
      <c r="BS28" s="113"/>
      <c r="BT28" s="113"/>
      <c r="BU28" s="113"/>
      <c r="BV28" s="113"/>
      <c r="BW28" s="113"/>
      <c r="BX28" s="113"/>
      <c r="BY28" s="113">
        <v>180.1</v>
      </c>
      <c r="BZ28" s="113">
        <v>248.4</v>
      </c>
      <c r="CA28" s="113"/>
      <c r="CB28" s="113"/>
      <c r="CC28" s="113"/>
      <c r="CD28" s="113"/>
      <c r="CE28" s="113"/>
      <c r="CF28" s="113"/>
      <c r="CG28" s="113">
        <v>0</v>
      </c>
      <c r="CH28" s="113"/>
      <c r="CI28" s="113"/>
      <c r="CJ28" s="113"/>
      <c r="CK28" s="113"/>
      <c r="CL28" s="113"/>
      <c r="CM28" s="113"/>
      <c r="CN28" s="113"/>
      <c r="CO28" s="113">
        <v>714.2</v>
      </c>
      <c r="CP28" s="113"/>
      <c r="CQ28" s="113">
        <v>0</v>
      </c>
      <c r="CR28" s="113"/>
      <c r="CS28" s="113"/>
      <c r="CT28" s="113"/>
    </row>
    <row r="29" spans="1:115" ht="18" customHeight="1">
      <c r="A29" s="115"/>
      <c r="B29" s="435"/>
      <c r="C29" s="437"/>
      <c r="D29" s="430"/>
      <c r="E29" s="119" t="s">
        <v>804</v>
      </c>
      <c r="F29" s="113">
        <v>0.12</v>
      </c>
      <c r="G29" s="113">
        <f t="shared" ref="G29:L29" si="34">F29</f>
        <v>0.12</v>
      </c>
      <c r="H29" s="113">
        <f t="shared" si="34"/>
        <v>0.12</v>
      </c>
      <c r="I29" s="113">
        <f t="shared" si="34"/>
        <v>0.12</v>
      </c>
      <c r="J29" s="113">
        <f t="shared" si="34"/>
        <v>0.12</v>
      </c>
      <c r="K29" s="113">
        <f t="shared" si="34"/>
        <v>0.12</v>
      </c>
      <c r="L29" s="113">
        <f t="shared" si="34"/>
        <v>0.12</v>
      </c>
      <c r="M29" s="113">
        <f t="shared" ref="M29:BN29" si="35">L29</f>
        <v>0.12</v>
      </c>
      <c r="N29" s="113">
        <f t="shared" si="35"/>
        <v>0.12</v>
      </c>
      <c r="O29" s="113">
        <f t="shared" si="35"/>
        <v>0.12</v>
      </c>
      <c r="P29" s="113">
        <f t="shared" si="35"/>
        <v>0.12</v>
      </c>
      <c r="Q29" s="113">
        <f t="shared" si="35"/>
        <v>0.12</v>
      </c>
      <c r="R29" s="113">
        <f t="shared" si="35"/>
        <v>0.12</v>
      </c>
      <c r="S29" s="113">
        <f t="shared" si="35"/>
        <v>0.12</v>
      </c>
      <c r="T29" s="113">
        <f t="shared" si="35"/>
        <v>0.12</v>
      </c>
      <c r="U29" s="113">
        <f t="shared" si="35"/>
        <v>0.12</v>
      </c>
      <c r="V29" s="113">
        <f t="shared" si="35"/>
        <v>0.12</v>
      </c>
      <c r="W29" s="113">
        <f t="shared" si="35"/>
        <v>0.12</v>
      </c>
      <c r="X29" s="113">
        <f t="shared" si="35"/>
        <v>0.12</v>
      </c>
      <c r="Y29" s="113">
        <f t="shared" si="35"/>
        <v>0.12</v>
      </c>
      <c r="Z29" s="113">
        <f t="shared" si="35"/>
        <v>0.12</v>
      </c>
      <c r="AA29" s="113">
        <f t="shared" si="35"/>
        <v>0.12</v>
      </c>
      <c r="AB29" s="113">
        <f t="shared" si="35"/>
        <v>0.12</v>
      </c>
      <c r="AC29" s="113">
        <f t="shared" si="35"/>
        <v>0.12</v>
      </c>
      <c r="AD29" s="113">
        <f t="shared" si="35"/>
        <v>0.12</v>
      </c>
      <c r="AE29" s="113">
        <f t="shared" si="35"/>
        <v>0.12</v>
      </c>
      <c r="AF29" s="113">
        <f t="shared" si="35"/>
        <v>0.12</v>
      </c>
      <c r="AG29" s="113">
        <f t="shared" si="35"/>
        <v>0.12</v>
      </c>
      <c r="AH29" s="113">
        <f t="shared" si="35"/>
        <v>0.12</v>
      </c>
      <c r="AI29" s="113">
        <f t="shared" si="35"/>
        <v>0.12</v>
      </c>
      <c r="AJ29" s="113">
        <f t="shared" si="35"/>
        <v>0.12</v>
      </c>
      <c r="AK29" s="113">
        <f t="shared" si="35"/>
        <v>0.12</v>
      </c>
      <c r="AL29" s="113">
        <f t="shared" si="35"/>
        <v>0.12</v>
      </c>
      <c r="AM29" s="113">
        <f t="shared" si="35"/>
        <v>0.12</v>
      </c>
      <c r="AN29" s="113">
        <f t="shared" si="35"/>
        <v>0.12</v>
      </c>
      <c r="AO29" s="113">
        <f t="shared" si="35"/>
        <v>0.12</v>
      </c>
      <c r="AP29" s="113">
        <f t="shared" si="35"/>
        <v>0.12</v>
      </c>
      <c r="AQ29" s="113">
        <f t="shared" si="35"/>
        <v>0.12</v>
      </c>
      <c r="AR29" s="113">
        <f t="shared" si="35"/>
        <v>0.12</v>
      </c>
      <c r="AS29" s="113">
        <f t="shared" si="35"/>
        <v>0.12</v>
      </c>
      <c r="AT29" s="113">
        <f t="shared" si="35"/>
        <v>0.12</v>
      </c>
      <c r="AU29" s="113">
        <f t="shared" si="35"/>
        <v>0.12</v>
      </c>
      <c r="AV29" s="113">
        <f t="shared" si="35"/>
        <v>0.12</v>
      </c>
      <c r="AW29" s="113">
        <f t="shared" si="35"/>
        <v>0.12</v>
      </c>
      <c r="AX29" s="113">
        <f t="shared" si="35"/>
        <v>0.12</v>
      </c>
      <c r="AY29" s="113">
        <f t="shared" si="35"/>
        <v>0.12</v>
      </c>
      <c r="AZ29" s="113">
        <f t="shared" si="35"/>
        <v>0.12</v>
      </c>
      <c r="BA29" s="113">
        <f t="shared" si="35"/>
        <v>0.12</v>
      </c>
      <c r="BB29" s="113">
        <f t="shared" si="35"/>
        <v>0.12</v>
      </c>
      <c r="BC29" s="113">
        <f t="shared" si="35"/>
        <v>0.12</v>
      </c>
      <c r="BD29" s="113">
        <f t="shared" si="35"/>
        <v>0.12</v>
      </c>
      <c r="BE29" s="113">
        <f t="shared" si="35"/>
        <v>0.12</v>
      </c>
      <c r="BF29" s="113">
        <f t="shared" si="35"/>
        <v>0.12</v>
      </c>
      <c r="BG29" s="113">
        <f t="shared" si="35"/>
        <v>0.12</v>
      </c>
      <c r="BH29" s="113">
        <f t="shared" si="35"/>
        <v>0.12</v>
      </c>
      <c r="BI29" s="113">
        <f t="shared" si="35"/>
        <v>0.12</v>
      </c>
      <c r="BJ29" s="113">
        <f t="shared" si="35"/>
        <v>0.12</v>
      </c>
      <c r="BK29" s="113">
        <f t="shared" si="35"/>
        <v>0.12</v>
      </c>
      <c r="BL29" s="113">
        <f t="shared" si="35"/>
        <v>0.12</v>
      </c>
      <c r="BM29" s="113">
        <f t="shared" si="35"/>
        <v>0.12</v>
      </c>
      <c r="BN29" s="113">
        <f t="shared" si="35"/>
        <v>0.12</v>
      </c>
      <c r="BO29" s="113">
        <f t="shared" ref="BO29:CT29" si="36">BN29</f>
        <v>0.12</v>
      </c>
      <c r="BP29" s="113">
        <f t="shared" si="36"/>
        <v>0.12</v>
      </c>
      <c r="BQ29" s="113">
        <f t="shared" si="36"/>
        <v>0.12</v>
      </c>
      <c r="BR29" s="113">
        <f t="shared" si="36"/>
        <v>0.12</v>
      </c>
      <c r="BS29" s="113">
        <f t="shared" si="36"/>
        <v>0.12</v>
      </c>
      <c r="BT29" s="113">
        <f t="shared" si="36"/>
        <v>0.12</v>
      </c>
      <c r="BU29" s="113">
        <f t="shared" si="36"/>
        <v>0.12</v>
      </c>
      <c r="BV29" s="113">
        <f t="shared" si="36"/>
        <v>0.12</v>
      </c>
      <c r="BW29" s="113"/>
      <c r="BX29" s="113">
        <f>BV29</f>
        <v>0.12</v>
      </c>
      <c r="BY29" s="113">
        <f t="shared" si="36"/>
        <v>0.12</v>
      </c>
      <c r="BZ29" s="113">
        <f t="shared" si="36"/>
        <v>0.12</v>
      </c>
      <c r="CA29" s="113">
        <f t="shared" si="36"/>
        <v>0.12</v>
      </c>
      <c r="CB29" s="113">
        <f t="shared" si="36"/>
        <v>0.12</v>
      </c>
      <c r="CC29" s="113">
        <f t="shared" si="36"/>
        <v>0.12</v>
      </c>
      <c r="CD29" s="113">
        <f t="shared" si="36"/>
        <v>0.12</v>
      </c>
      <c r="CE29" s="113">
        <f t="shared" si="36"/>
        <v>0.12</v>
      </c>
      <c r="CF29" s="113">
        <f t="shared" si="36"/>
        <v>0.12</v>
      </c>
      <c r="CG29" s="113">
        <f t="shared" si="36"/>
        <v>0.12</v>
      </c>
      <c r="CH29" s="113">
        <f t="shared" si="36"/>
        <v>0.12</v>
      </c>
      <c r="CI29" s="113">
        <f t="shared" si="36"/>
        <v>0.12</v>
      </c>
      <c r="CJ29" s="113">
        <f t="shared" si="36"/>
        <v>0.12</v>
      </c>
      <c r="CK29" s="113">
        <f t="shared" si="36"/>
        <v>0.12</v>
      </c>
      <c r="CL29" s="113">
        <f t="shared" si="36"/>
        <v>0.12</v>
      </c>
      <c r="CM29" s="113">
        <f t="shared" si="36"/>
        <v>0.12</v>
      </c>
      <c r="CN29" s="113">
        <f t="shared" si="36"/>
        <v>0.12</v>
      </c>
      <c r="CO29" s="113">
        <f t="shared" si="36"/>
        <v>0.12</v>
      </c>
      <c r="CP29" s="113">
        <f t="shared" si="36"/>
        <v>0.12</v>
      </c>
      <c r="CQ29" s="113">
        <f t="shared" si="36"/>
        <v>0.12</v>
      </c>
      <c r="CR29" s="113">
        <f t="shared" si="36"/>
        <v>0.12</v>
      </c>
      <c r="CS29" s="113">
        <f t="shared" si="36"/>
        <v>0.12</v>
      </c>
      <c r="CT29" s="113">
        <f t="shared" si="36"/>
        <v>0.12</v>
      </c>
    </row>
    <row r="30" spans="1:115" ht="18" customHeight="1">
      <c r="A30" s="115" t="s">
        <v>805</v>
      </c>
      <c r="B30" s="435"/>
      <c r="C30" s="437"/>
      <c r="D30" s="430"/>
      <c r="E30" s="119" t="s">
        <v>782</v>
      </c>
      <c r="F30" s="118">
        <f t="shared" ref="F30:BE30" si="37">F28*F29</f>
        <v>0</v>
      </c>
      <c r="G30" s="118">
        <f t="shared" si="37"/>
        <v>0</v>
      </c>
      <c r="H30" s="118">
        <f t="shared" si="37"/>
        <v>0</v>
      </c>
      <c r="I30" s="118">
        <f t="shared" si="37"/>
        <v>0</v>
      </c>
      <c r="J30" s="118">
        <f t="shared" si="37"/>
        <v>0</v>
      </c>
      <c r="K30" s="118">
        <f t="shared" si="37"/>
        <v>0</v>
      </c>
      <c r="L30" s="118">
        <f t="shared" si="37"/>
        <v>0</v>
      </c>
      <c r="M30" s="118">
        <f t="shared" si="37"/>
        <v>0</v>
      </c>
      <c r="N30" s="118">
        <f t="shared" si="37"/>
        <v>0</v>
      </c>
      <c r="O30" s="118">
        <f t="shared" si="37"/>
        <v>0</v>
      </c>
      <c r="P30" s="118">
        <f t="shared" si="37"/>
        <v>0</v>
      </c>
      <c r="Q30" s="118">
        <f t="shared" si="37"/>
        <v>0</v>
      </c>
      <c r="R30" s="118">
        <f t="shared" si="37"/>
        <v>0</v>
      </c>
      <c r="S30" s="118">
        <f t="shared" si="37"/>
        <v>0</v>
      </c>
      <c r="T30" s="118">
        <f t="shared" si="37"/>
        <v>0</v>
      </c>
      <c r="U30" s="118">
        <f t="shared" si="37"/>
        <v>0</v>
      </c>
      <c r="V30" s="118">
        <f t="shared" si="37"/>
        <v>0</v>
      </c>
      <c r="W30" s="118">
        <f t="shared" si="37"/>
        <v>0</v>
      </c>
      <c r="X30" s="118">
        <f t="shared" si="37"/>
        <v>0</v>
      </c>
      <c r="Y30" s="118">
        <f t="shared" si="37"/>
        <v>0</v>
      </c>
      <c r="Z30" s="118">
        <f t="shared" si="37"/>
        <v>0</v>
      </c>
      <c r="AA30" s="118">
        <f t="shared" si="37"/>
        <v>24.3</v>
      </c>
      <c r="AB30" s="118">
        <f t="shared" si="37"/>
        <v>0</v>
      </c>
      <c r="AC30" s="118">
        <f t="shared" si="37"/>
        <v>0</v>
      </c>
      <c r="AD30" s="118">
        <f t="shared" si="37"/>
        <v>0</v>
      </c>
      <c r="AE30" s="118">
        <f t="shared" si="37"/>
        <v>0</v>
      </c>
      <c r="AF30" s="118">
        <f t="shared" si="37"/>
        <v>0</v>
      </c>
      <c r="AG30" s="118">
        <f t="shared" si="37"/>
        <v>0</v>
      </c>
      <c r="AH30" s="118">
        <f t="shared" si="37"/>
        <v>0</v>
      </c>
      <c r="AI30" s="118">
        <f t="shared" si="37"/>
        <v>0</v>
      </c>
      <c r="AJ30" s="118">
        <f t="shared" si="37"/>
        <v>0</v>
      </c>
      <c r="AK30" s="118">
        <f t="shared" si="37"/>
        <v>0</v>
      </c>
      <c r="AL30" s="118">
        <f t="shared" si="37"/>
        <v>0</v>
      </c>
      <c r="AM30" s="118">
        <f t="shared" si="37"/>
        <v>0</v>
      </c>
      <c r="AN30" s="118">
        <f t="shared" si="37"/>
        <v>0</v>
      </c>
      <c r="AO30" s="118">
        <f t="shared" si="37"/>
        <v>0</v>
      </c>
      <c r="AP30" s="118">
        <f t="shared" si="37"/>
        <v>0</v>
      </c>
      <c r="AQ30" s="118">
        <f t="shared" si="37"/>
        <v>0</v>
      </c>
      <c r="AR30" s="118">
        <f t="shared" si="37"/>
        <v>0</v>
      </c>
      <c r="AS30" s="118">
        <f t="shared" si="37"/>
        <v>0</v>
      </c>
      <c r="AT30" s="118">
        <f t="shared" si="37"/>
        <v>0</v>
      </c>
      <c r="AU30" s="118">
        <f t="shared" si="37"/>
        <v>0</v>
      </c>
      <c r="AV30" s="118">
        <f t="shared" si="37"/>
        <v>0</v>
      </c>
      <c r="AW30" s="118">
        <f t="shared" si="37"/>
        <v>0</v>
      </c>
      <c r="AX30" s="118">
        <f t="shared" si="37"/>
        <v>0</v>
      </c>
      <c r="AY30" s="118">
        <f t="shared" si="37"/>
        <v>0</v>
      </c>
      <c r="AZ30" s="118">
        <f t="shared" si="37"/>
        <v>0</v>
      </c>
      <c r="BA30" s="118">
        <f t="shared" si="37"/>
        <v>0</v>
      </c>
      <c r="BB30" s="118">
        <f t="shared" si="37"/>
        <v>0</v>
      </c>
      <c r="BC30" s="118">
        <f t="shared" si="37"/>
        <v>0</v>
      </c>
      <c r="BD30" s="118">
        <f t="shared" si="37"/>
        <v>0</v>
      </c>
      <c r="BE30" s="118">
        <f t="shared" si="37"/>
        <v>0</v>
      </c>
      <c r="BF30" s="118">
        <f t="shared" ref="BF30:BN30" si="38">BF28*BF29</f>
        <v>0</v>
      </c>
      <c r="BG30" s="118">
        <f t="shared" si="38"/>
        <v>0</v>
      </c>
      <c r="BH30" s="118">
        <f t="shared" si="38"/>
        <v>0</v>
      </c>
      <c r="BI30" s="118">
        <f t="shared" si="38"/>
        <v>0</v>
      </c>
      <c r="BJ30" s="118">
        <f t="shared" si="38"/>
        <v>0</v>
      </c>
      <c r="BK30" s="118">
        <f t="shared" si="38"/>
        <v>0</v>
      </c>
      <c r="BL30" s="118">
        <f t="shared" si="38"/>
        <v>0.97199999999999998</v>
      </c>
      <c r="BM30" s="118">
        <f t="shared" si="38"/>
        <v>0</v>
      </c>
      <c r="BN30" s="118">
        <f t="shared" si="38"/>
        <v>0</v>
      </c>
      <c r="BO30" s="118">
        <f t="shared" ref="BO30:CG30" si="39">BO28*BO29</f>
        <v>0</v>
      </c>
      <c r="BP30" s="118">
        <f t="shared" si="39"/>
        <v>0</v>
      </c>
      <c r="BQ30" s="118">
        <f t="shared" si="39"/>
        <v>0</v>
      </c>
      <c r="BR30" s="118">
        <f t="shared" si="39"/>
        <v>0</v>
      </c>
      <c r="BS30" s="118">
        <f t="shared" si="39"/>
        <v>0</v>
      </c>
      <c r="BT30" s="118">
        <f t="shared" si="39"/>
        <v>0</v>
      </c>
      <c r="BU30" s="118">
        <f t="shared" si="39"/>
        <v>0</v>
      </c>
      <c r="BV30" s="118">
        <f t="shared" si="39"/>
        <v>0</v>
      </c>
      <c r="BW30" s="118"/>
      <c r="BX30" s="118">
        <f>BX28*BX29</f>
        <v>0</v>
      </c>
      <c r="BY30" s="118">
        <f t="shared" si="39"/>
        <v>21.611999999999998</v>
      </c>
      <c r="BZ30" s="118">
        <f t="shared" si="39"/>
        <v>29.808</v>
      </c>
      <c r="CA30" s="118">
        <f t="shared" si="39"/>
        <v>0</v>
      </c>
      <c r="CB30" s="118">
        <f t="shared" si="39"/>
        <v>0</v>
      </c>
      <c r="CC30" s="118">
        <f t="shared" si="39"/>
        <v>0</v>
      </c>
      <c r="CD30" s="118">
        <f t="shared" si="39"/>
        <v>0</v>
      </c>
      <c r="CE30" s="118">
        <f t="shared" si="39"/>
        <v>0</v>
      </c>
      <c r="CF30" s="118">
        <f t="shared" si="39"/>
        <v>0</v>
      </c>
      <c r="CG30" s="118">
        <f t="shared" si="39"/>
        <v>0</v>
      </c>
      <c r="CH30" s="118">
        <f t="shared" ref="CH30:CN30" si="40">CH28*CH29</f>
        <v>0</v>
      </c>
      <c r="CI30" s="118">
        <f t="shared" si="40"/>
        <v>0</v>
      </c>
      <c r="CJ30" s="118">
        <f t="shared" si="40"/>
        <v>0</v>
      </c>
      <c r="CK30" s="118">
        <f t="shared" si="40"/>
        <v>0</v>
      </c>
      <c r="CL30" s="118">
        <f t="shared" si="40"/>
        <v>0</v>
      </c>
      <c r="CM30" s="118">
        <f t="shared" si="40"/>
        <v>0</v>
      </c>
      <c r="CN30" s="118">
        <f t="shared" si="40"/>
        <v>0</v>
      </c>
      <c r="CO30" s="118">
        <f t="shared" ref="CO30:CT30" si="41">CO28*CO29</f>
        <v>85.703999999999994</v>
      </c>
      <c r="CP30" s="118">
        <f t="shared" si="41"/>
        <v>0</v>
      </c>
      <c r="CQ30" s="118">
        <f t="shared" si="41"/>
        <v>0</v>
      </c>
      <c r="CR30" s="118">
        <f t="shared" si="41"/>
        <v>0</v>
      </c>
      <c r="CS30" s="118">
        <f t="shared" si="41"/>
        <v>0</v>
      </c>
      <c r="CT30" s="118">
        <f t="shared" si="41"/>
        <v>0</v>
      </c>
    </row>
    <row r="31" spans="1:115" ht="18" customHeight="1">
      <c r="A31" s="115"/>
      <c r="B31" s="120"/>
      <c r="C31" s="437"/>
      <c r="D31" s="430" t="s">
        <v>806</v>
      </c>
      <c r="E31" s="119" t="s">
        <v>807</v>
      </c>
      <c r="F31" s="113"/>
      <c r="G31" s="113"/>
      <c r="H31" s="113"/>
      <c r="I31" s="113"/>
      <c r="J31" s="113"/>
      <c r="K31" s="113"/>
      <c r="L31" s="113"/>
      <c r="M31" s="113"/>
      <c r="N31" s="113"/>
      <c r="O31" s="113"/>
      <c r="P31" s="113"/>
      <c r="Q31" s="113"/>
      <c r="R31" s="113"/>
      <c r="S31" s="113"/>
      <c r="T31" s="113"/>
      <c r="U31" s="113"/>
      <c r="V31" s="113"/>
      <c r="W31" s="113"/>
      <c r="X31" s="113"/>
      <c r="Y31" s="113"/>
      <c r="Z31" s="113"/>
      <c r="AA31" s="113">
        <v>4.0999999999999996</v>
      </c>
      <c r="AB31" s="113"/>
      <c r="AC31" s="114"/>
      <c r="AD31" s="113"/>
      <c r="AE31" s="113"/>
      <c r="AF31" s="113"/>
      <c r="AG31" s="113"/>
      <c r="AH31" s="113"/>
      <c r="AI31" s="113"/>
      <c r="AJ31" s="113"/>
      <c r="AK31" s="113"/>
      <c r="AL31" s="113"/>
      <c r="AM31" s="113"/>
      <c r="AN31" s="113"/>
      <c r="AO31" s="113"/>
      <c r="AP31" s="113"/>
      <c r="AQ31" s="113"/>
      <c r="AR31" s="113"/>
      <c r="AS31" s="113"/>
      <c r="AT31" s="113"/>
      <c r="AU31" s="113"/>
      <c r="AV31" s="113"/>
      <c r="AW31" s="113"/>
      <c r="AX31" s="113"/>
      <c r="AY31" s="113"/>
      <c r="AZ31" s="113"/>
      <c r="BA31" s="113"/>
      <c r="BB31" s="113"/>
      <c r="BC31" s="113"/>
      <c r="BD31" s="113"/>
      <c r="BE31" s="113"/>
      <c r="BF31" s="113"/>
      <c r="BG31" s="113"/>
      <c r="BH31" s="113"/>
      <c r="BI31" s="113"/>
      <c r="BJ31" s="113"/>
      <c r="BK31" s="113"/>
      <c r="BL31" s="113">
        <v>3.2</v>
      </c>
      <c r="BM31" s="113"/>
      <c r="BN31" s="113"/>
      <c r="BO31" s="113"/>
      <c r="BP31" s="113"/>
      <c r="BQ31" s="113"/>
      <c r="BR31" s="113"/>
      <c r="BS31" s="113"/>
      <c r="BT31" s="113"/>
      <c r="BU31" s="113"/>
      <c r="BV31" s="113"/>
      <c r="BW31" s="113"/>
      <c r="BX31" s="113"/>
      <c r="BY31" s="113">
        <v>0.3</v>
      </c>
      <c r="BZ31" s="113">
        <v>0.4</v>
      </c>
      <c r="CA31" s="113"/>
      <c r="CB31" s="113"/>
      <c r="CC31" s="113"/>
      <c r="CD31" s="113"/>
      <c r="CE31" s="113"/>
      <c r="CF31" s="113"/>
      <c r="CG31" s="113">
        <v>0</v>
      </c>
      <c r="CH31" s="113"/>
      <c r="CI31" s="113"/>
      <c r="CJ31" s="113"/>
      <c r="CK31" s="113"/>
      <c r="CL31" s="113"/>
      <c r="CM31" s="113"/>
      <c r="CN31" s="113"/>
      <c r="CO31" s="113">
        <v>0</v>
      </c>
      <c r="CP31" s="113">
        <v>0</v>
      </c>
      <c r="CQ31" s="113">
        <v>0</v>
      </c>
      <c r="CR31" s="113">
        <v>110.3</v>
      </c>
      <c r="CS31" s="113"/>
      <c r="CT31" s="113"/>
    </row>
    <row r="32" spans="1:115" ht="18" customHeight="1">
      <c r="A32" s="112"/>
      <c r="C32" s="437"/>
      <c r="D32" s="430"/>
      <c r="E32" s="119" t="s">
        <v>808</v>
      </c>
      <c r="F32" s="118">
        <f>材料预算价格表!K15</f>
        <v>3.88</v>
      </c>
      <c r="G32" s="118">
        <f>F32</f>
        <v>3.88</v>
      </c>
      <c r="H32" s="118">
        <f>G32</f>
        <v>3.88</v>
      </c>
      <c r="I32" s="118">
        <f t="shared" ref="I32:BN32" si="42">H32</f>
        <v>3.88</v>
      </c>
      <c r="J32" s="118">
        <f t="shared" si="42"/>
        <v>3.88</v>
      </c>
      <c r="K32" s="118">
        <f t="shared" si="42"/>
        <v>3.88</v>
      </c>
      <c r="L32" s="118">
        <f t="shared" si="42"/>
        <v>3.88</v>
      </c>
      <c r="M32" s="118">
        <f t="shared" si="42"/>
        <v>3.88</v>
      </c>
      <c r="N32" s="118">
        <f t="shared" si="42"/>
        <v>3.88</v>
      </c>
      <c r="O32" s="118">
        <f t="shared" si="42"/>
        <v>3.88</v>
      </c>
      <c r="P32" s="118">
        <f t="shared" si="42"/>
        <v>3.88</v>
      </c>
      <c r="Q32" s="118">
        <f t="shared" si="42"/>
        <v>3.88</v>
      </c>
      <c r="R32" s="118">
        <f t="shared" si="42"/>
        <v>3.88</v>
      </c>
      <c r="S32" s="118">
        <f t="shared" si="42"/>
        <v>3.88</v>
      </c>
      <c r="T32" s="118">
        <f t="shared" si="42"/>
        <v>3.88</v>
      </c>
      <c r="U32" s="118">
        <f t="shared" si="42"/>
        <v>3.88</v>
      </c>
      <c r="V32" s="118">
        <f t="shared" si="42"/>
        <v>3.88</v>
      </c>
      <c r="W32" s="118">
        <f t="shared" si="42"/>
        <v>3.88</v>
      </c>
      <c r="X32" s="118">
        <f t="shared" si="42"/>
        <v>3.88</v>
      </c>
      <c r="Y32" s="118">
        <f t="shared" si="42"/>
        <v>3.88</v>
      </c>
      <c r="Z32" s="118">
        <f t="shared" si="42"/>
        <v>3.88</v>
      </c>
      <c r="AA32" s="118">
        <f t="shared" si="42"/>
        <v>3.88</v>
      </c>
      <c r="AB32" s="118">
        <f t="shared" si="42"/>
        <v>3.88</v>
      </c>
      <c r="AC32" s="118">
        <f t="shared" si="42"/>
        <v>3.88</v>
      </c>
      <c r="AD32" s="118">
        <f t="shared" si="42"/>
        <v>3.88</v>
      </c>
      <c r="AE32" s="118">
        <f t="shared" si="42"/>
        <v>3.88</v>
      </c>
      <c r="AF32" s="118">
        <f t="shared" si="42"/>
        <v>3.88</v>
      </c>
      <c r="AG32" s="118">
        <f t="shared" si="42"/>
        <v>3.88</v>
      </c>
      <c r="AH32" s="118">
        <f t="shared" si="42"/>
        <v>3.88</v>
      </c>
      <c r="AI32" s="118">
        <f t="shared" si="42"/>
        <v>3.88</v>
      </c>
      <c r="AJ32" s="118">
        <f t="shared" si="42"/>
        <v>3.88</v>
      </c>
      <c r="AK32" s="118">
        <f t="shared" si="42"/>
        <v>3.88</v>
      </c>
      <c r="AL32" s="118">
        <f t="shared" si="42"/>
        <v>3.88</v>
      </c>
      <c r="AM32" s="118">
        <f t="shared" si="42"/>
        <v>3.88</v>
      </c>
      <c r="AN32" s="118">
        <f t="shared" si="42"/>
        <v>3.88</v>
      </c>
      <c r="AO32" s="118">
        <f t="shared" si="42"/>
        <v>3.88</v>
      </c>
      <c r="AP32" s="118">
        <f t="shared" si="42"/>
        <v>3.88</v>
      </c>
      <c r="AQ32" s="118">
        <f t="shared" si="42"/>
        <v>3.88</v>
      </c>
      <c r="AR32" s="118">
        <f t="shared" si="42"/>
        <v>3.88</v>
      </c>
      <c r="AS32" s="118">
        <f t="shared" si="42"/>
        <v>3.88</v>
      </c>
      <c r="AT32" s="118">
        <f t="shared" si="42"/>
        <v>3.88</v>
      </c>
      <c r="AU32" s="118">
        <f t="shared" si="42"/>
        <v>3.88</v>
      </c>
      <c r="AV32" s="118">
        <f t="shared" si="42"/>
        <v>3.88</v>
      </c>
      <c r="AW32" s="118">
        <f t="shared" si="42"/>
        <v>3.88</v>
      </c>
      <c r="AX32" s="118">
        <f t="shared" si="42"/>
        <v>3.88</v>
      </c>
      <c r="AY32" s="118">
        <f t="shared" si="42"/>
        <v>3.88</v>
      </c>
      <c r="AZ32" s="118">
        <f t="shared" si="42"/>
        <v>3.88</v>
      </c>
      <c r="BA32" s="118">
        <f t="shared" si="42"/>
        <v>3.88</v>
      </c>
      <c r="BB32" s="118">
        <f t="shared" si="42"/>
        <v>3.88</v>
      </c>
      <c r="BC32" s="118">
        <f t="shared" si="42"/>
        <v>3.88</v>
      </c>
      <c r="BD32" s="118">
        <f t="shared" si="42"/>
        <v>3.88</v>
      </c>
      <c r="BE32" s="118">
        <f t="shared" si="42"/>
        <v>3.88</v>
      </c>
      <c r="BF32" s="118">
        <f t="shared" si="42"/>
        <v>3.88</v>
      </c>
      <c r="BG32" s="118">
        <f t="shared" si="42"/>
        <v>3.88</v>
      </c>
      <c r="BH32" s="118">
        <f t="shared" si="42"/>
        <v>3.88</v>
      </c>
      <c r="BI32" s="118">
        <f t="shared" si="42"/>
        <v>3.88</v>
      </c>
      <c r="BJ32" s="118">
        <f t="shared" si="42"/>
        <v>3.88</v>
      </c>
      <c r="BK32" s="118">
        <f t="shared" si="42"/>
        <v>3.88</v>
      </c>
      <c r="BL32" s="118">
        <f t="shared" si="42"/>
        <v>3.88</v>
      </c>
      <c r="BM32" s="118">
        <f t="shared" si="42"/>
        <v>3.88</v>
      </c>
      <c r="BN32" s="118">
        <f t="shared" si="42"/>
        <v>3.88</v>
      </c>
      <c r="BO32" s="118">
        <f t="shared" ref="BO32:CT32" si="43">BN32</f>
        <v>3.88</v>
      </c>
      <c r="BP32" s="118">
        <f t="shared" si="43"/>
        <v>3.88</v>
      </c>
      <c r="BQ32" s="118">
        <f t="shared" si="43"/>
        <v>3.88</v>
      </c>
      <c r="BR32" s="118">
        <f t="shared" si="43"/>
        <v>3.88</v>
      </c>
      <c r="BS32" s="118">
        <f t="shared" si="43"/>
        <v>3.88</v>
      </c>
      <c r="BT32" s="118">
        <f t="shared" si="43"/>
        <v>3.88</v>
      </c>
      <c r="BU32" s="118">
        <f t="shared" si="43"/>
        <v>3.88</v>
      </c>
      <c r="BV32" s="118">
        <f t="shared" si="43"/>
        <v>3.88</v>
      </c>
      <c r="BW32" s="118"/>
      <c r="BX32" s="118">
        <f>BV32</f>
        <v>3.88</v>
      </c>
      <c r="BY32" s="118">
        <f t="shared" si="43"/>
        <v>3.88</v>
      </c>
      <c r="BZ32" s="118">
        <f t="shared" si="43"/>
        <v>3.88</v>
      </c>
      <c r="CA32" s="118">
        <f t="shared" si="43"/>
        <v>3.88</v>
      </c>
      <c r="CB32" s="118">
        <f t="shared" si="43"/>
        <v>3.88</v>
      </c>
      <c r="CC32" s="118">
        <f t="shared" si="43"/>
        <v>3.88</v>
      </c>
      <c r="CD32" s="118">
        <f t="shared" si="43"/>
        <v>3.88</v>
      </c>
      <c r="CE32" s="118">
        <f t="shared" si="43"/>
        <v>3.88</v>
      </c>
      <c r="CF32" s="118">
        <f t="shared" si="43"/>
        <v>3.88</v>
      </c>
      <c r="CG32" s="118">
        <f t="shared" si="43"/>
        <v>3.88</v>
      </c>
      <c r="CH32" s="118">
        <f t="shared" si="43"/>
        <v>3.88</v>
      </c>
      <c r="CI32" s="118">
        <f t="shared" si="43"/>
        <v>3.88</v>
      </c>
      <c r="CJ32" s="118">
        <f t="shared" si="43"/>
        <v>3.88</v>
      </c>
      <c r="CK32" s="118">
        <f t="shared" si="43"/>
        <v>3.88</v>
      </c>
      <c r="CL32" s="118">
        <f t="shared" si="43"/>
        <v>3.88</v>
      </c>
      <c r="CM32" s="118">
        <f t="shared" si="43"/>
        <v>3.88</v>
      </c>
      <c r="CN32" s="118">
        <f t="shared" si="43"/>
        <v>3.88</v>
      </c>
      <c r="CO32" s="118">
        <f t="shared" si="43"/>
        <v>3.88</v>
      </c>
      <c r="CP32" s="118">
        <f t="shared" si="43"/>
        <v>3.88</v>
      </c>
      <c r="CQ32" s="118">
        <f t="shared" si="43"/>
        <v>3.88</v>
      </c>
      <c r="CR32" s="118">
        <f t="shared" si="43"/>
        <v>3.88</v>
      </c>
      <c r="CS32" s="118">
        <f t="shared" si="43"/>
        <v>3.88</v>
      </c>
      <c r="CT32" s="118">
        <f t="shared" si="43"/>
        <v>3.88</v>
      </c>
    </row>
    <row r="33" spans="1:98" ht="18" customHeight="1">
      <c r="A33" s="112"/>
      <c r="C33" s="437"/>
      <c r="D33" s="430"/>
      <c r="E33" s="119" t="s">
        <v>782</v>
      </c>
      <c r="F33" s="118">
        <f t="shared" ref="F33:BE33" si="44">F31*F32</f>
        <v>0</v>
      </c>
      <c r="G33" s="118">
        <f t="shared" si="44"/>
        <v>0</v>
      </c>
      <c r="H33" s="118">
        <f t="shared" si="44"/>
        <v>0</v>
      </c>
      <c r="I33" s="118">
        <f t="shared" si="44"/>
        <v>0</v>
      </c>
      <c r="J33" s="118">
        <f t="shared" si="44"/>
        <v>0</v>
      </c>
      <c r="K33" s="118">
        <f t="shared" si="44"/>
        <v>0</v>
      </c>
      <c r="L33" s="118">
        <f t="shared" si="44"/>
        <v>0</v>
      </c>
      <c r="M33" s="118">
        <f t="shared" si="44"/>
        <v>0</v>
      </c>
      <c r="N33" s="118">
        <f t="shared" si="44"/>
        <v>0</v>
      </c>
      <c r="O33" s="118">
        <f t="shared" si="44"/>
        <v>0</v>
      </c>
      <c r="P33" s="118">
        <f t="shared" si="44"/>
        <v>0</v>
      </c>
      <c r="Q33" s="118">
        <f t="shared" si="44"/>
        <v>0</v>
      </c>
      <c r="R33" s="118">
        <f t="shared" si="44"/>
        <v>0</v>
      </c>
      <c r="S33" s="118">
        <f t="shared" si="44"/>
        <v>0</v>
      </c>
      <c r="T33" s="118">
        <f t="shared" si="44"/>
        <v>0</v>
      </c>
      <c r="U33" s="118">
        <f t="shared" si="44"/>
        <v>0</v>
      </c>
      <c r="V33" s="118">
        <f t="shared" si="44"/>
        <v>0</v>
      </c>
      <c r="W33" s="118">
        <f t="shared" si="44"/>
        <v>0</v>
      </c>
      <c r="X33" s="118">
        <f t="shared" si="44"/>
        <v>0</v>
      </c>
      <c r="Y33" s="118">
        <f t="shared" si="44"/>
        <v>0</v>
      </c>
      <c r="Z33" s="118">
        <f t="shared" si="44"/>
        <v>0</v>
      </c>
      <c r="AA33" s="118">
        <f t="shared" si="44"/>
        <v>15.907999999999998</v>
      </c>
      <c r="AB33" s="118">
        <f t="shared" si="44"/>
        <v>0</v>
      </c>
      <c r="AC33" s="118">
        <f t="shared" si="44"/>
        <v>0</v>
      </c>
      <c r="AD33" s="118">
        <f t="shared" si="44"/>
        <v>0</v>
      </c>
      <c r="AE33" s="118">
        <f t="shared" si="44"/>
        <v>0</v>
      </c>
      <c r="AF33" s="118">
        <f t="shared" si="44"/>
        <v>0</v>
      </c>
      <c r="AG33" s="118">
        <f t="shared" si="44"/>
        <v>0</v>
      </c>
      <c r="AH33" s="118">
        <f t="shared" si="44"/>
        <v>0</v>
      </c>
      <c r="AI33" s="118">
        <f t="shared" si="44"/>
        <v>0</v>
      </c>
      <c r="AJ33" s="118">
        <f t="shared" si="44"/>
        <v>0</v>
      </c>
      <c r="AK33" s="118">
        <f t="shared" si="44"/>
        <v>0</v>
      </c>
      <c r="AL33" s="118">
        <f t="shared" si="44"/>
        <v>0</v>
      </c>
      <c r="AM33" s="118">
        <f t="shared" si="44"/>
        <v>0</v>
      </c>
      <c r="AN33" s="118">
        <f t="shared" si="44"/>
        <v>0</v>
      </c>
      <c r="AO33" s="118">
        <f t="shared" si="44"/>
        <v>0</v>
      </c>
      <c r="AP33" s="118">
        <f t="shared" si="44"/>
        <v>0</v>
      </c>
      <c r="AQ33" s="118">
        <f t="shared" si="44"/>
        <v>0</v>
      </c>
      <c r="AR33" s="118">
        <f t="shared" si="44"/>
        <v>0</v>
      </c>
      <c r="AS33" s="118">
        <f t="shared" si="44"/>
        <v>0</v>
      </c>
      <c r="AT33" s="118">
        <f t="shared" si="44"/>
        <v>0</v>
      </c>
      <c r="AU33" s="118">
        <f t="shared" si="44"/>
        <v>0</v>
      </c>
      <c r="AV33" s="118">
        <f t="shared" si="44"/>
        <v>0</v>
      </c>
      <c r="AW33" s="118">
        <f t="shared" si="44"/>
        <v>0</v>
      </c>
      <c r="AX33" s="118">
        <f t="shared" si="44"/>
        <v>0</v>
      </c>
      <c r="AY33" s="118">
        <f t="shared" si="44"/>
        <v>0</v>
      </c>
      <c r="AZ33" s="118">
        <f t="shared" si="44"/>
        <v>0</v>
      </c>
      <c r="BA33" s="118">
        <f t="shared" si="44"/>
        <v>0</v>
      </c>
      <c r="BB33" s="118">
        <f t="shared" si="44"/>
        <v>0</v>
      </c>
      <c r="BC33" s="118">
        <f t="shared" si="44"/>
        <v>0</v>
      </c>
      <c r="BD33" s="118">
        <f t="shared" si="44"/>
        <v>0</v>
      </c>
      <c r="BE33" s="118">
        <f t="shared" si="44"/>
        <v>0</v>
      </c>
      <c r="BF33" s="118">
        <f t="shared" ref="BF33:BN33" si="45">BF31*BF32</f>
        <v>0</v>
      </c>
      <c r="BG33" s="118">
        <f t="shared" si="45"/>
        <v>0</v>
      </c>
      <c r="BH33" s="118">
        <f t="shared" si="45"/>
        <v>0</v>
      </c>
      <c r="BI33" s="118">
        <f t="shared" si="45"/>
        <v>0</v>
      </c>
      <c r="BJ33" s="118">
        <f t="shared" si="45"/>
        <v>0</v>
      </c>
      <c r="BK33" s="118">
        <f t="shared" si="45"/>
        <v>0</v>
      </c>
      <c r="BL33" s="118">
        <f t="shared" si="45"/>
        <v>12.416</v>
      </c>
      <c r="BM33" s="118">
        <f t="shared" si="45"/>
        <v>0</v>
      </c>
      <c r="BN33" s="118">
        <f t="shared" si="45"/>
        <v>0</v>
      </c>
      <c r="BO33" s="118">
        <f t="shared" ref="BO33:CG33" si="46">BO31*BO32</f>
        <v>0</v>
      </c>
      <c r="BP33" s="118">
        <f t="shared" si="46"/>
        <v>0</v>
      </c>
      <c r="BQ33" s="118">
        <f t="shared" si="46"/>
        <v>0</v>
      </c>
      <c r="BR33" s="118">
        <f t="shared" si="46"/>
        <v>0</v>
      </c>
      <c r="BS33" s="118">
        <f t="shared" si="46"/>
        <v>0</v>
      </c>
      <c r="BT33" s="118">
        <f t="shared" si="46"/>
        <v>0</v>
      </c>
      <c r="BU33" s="118">
        <f t="shared" si="46"/>
        <v>0</v>
      </c>
      <c r="BV33" s="118">
        <f t="shared" si="46"/>
        <v>0</v>
      </c>
      <c r="BW33" s="118"/>
      <c r="BX33" s="118">
        <f>BX31*BX32</f>
        <v>0</v>
      </c>
      <c r="BY33" s="118">
        <f t="shared" si="46"/>
        <v>1.1639999999999999</v>
      </c>
      <c r="BZ33" s="118">
        <f t="shared" si="46"/>
        <v>1.552</v>
      </c>
      <c r="CA33" s="118">
        <f t="shared" si="46"/>
        <v>0</v>
      </c>
      <c r="CB33" s="118">
        <f t="shared" si="46"/>
        <v>0</v>
      </c>
      <c r="CC33" s="118">
        <f t="shared" si="46"/>
        <v>0</v>
      </c>
      <c r="CD33" s="118">
        <f t="shared" si="46"/>
        <v>0</v>
      </c>
      <c r="CE33" s="118">
        <f t="shared" si="46"/>
        <v>0</v>
      </c>
      <c r="CF33" s="118">
        <f t="shared" si="46"/>
        <v>0</v>
      </c>
      <c r="CG33" s="118">
        <f t="shared" si="46"/>
        <v>0</v>
      </c>
      <c r="CH33" s="118">
        <f t="shared" ref="CH33:CN33" si="47">CH31*CH32</f>
        <v>0</v>
      </c>
      <c r="CI33" s="118">
        <f t="shared" si="47"/>
        <v>0</v>
      </c>
      <c r="CJ33" s="118">
        <f t="shared" si="47"/>
        <v>0</v>
      </c>
      <c r="CK33" s="118">
        <f t="shared" si="47"/>
        <v>0</v>
      </c>
      <c r="CL33" s="118">
        <f t="shared" si="47"/>
        <v>0</v>
      </c>
      <c r="CM33" s="118">
        <f t="shared" si="47"/>
        <v>0</v>
      </c>
      <c r="CN33" s="118">
        <f t="shared" si="47"/>
        <v>0</v>
      </c>
      <c r="CO33" s="118">
        <f t="shared" ref="CO33:CT33" si="48">CO31*CO32</f>
        <v>0</v>
      </c>
      <c r="CP33" s="118">
        <f t="shared" si="48"/>
        <v>0</v>
      </c>
      <c r="CQ33" s="118">
        <f t="shared" si="48"/>
        <v>0</v>
      </c>
      <c r="CR33" s="118">
        <f t="shared" si="48"/>
        <v>427.964</v>
      </c>
      <c r="CS33" s="118">
        <f t="shared" si="48"/>
        <v>0</v>
      </c>
      <c r="CT33" s="118">
        <f t="shared" si="48"/>
        <v>0</v>
      </c>
    </row>
    <row r="34" spans="1:98" ht="18" customHeight="1">
      <c r="A34" s="112"/>
      <c r="C34" s="438"/>
      <c r="D34" s="430" t="s">
        <v>809</v>
      </c>
      <c r="E34" s="430"/>
      <c r="F34" s="121">
        <f t="shared" ref="F34:O34" si="49">F18+F21+F24+F27+F30+F33</f>
        <v>66.421000000000006</v>
      </c>
      <c r="G34" s="121">
        <f t="shared" si="49"/>
        <v>39.832000000000001</v>
      </c>
      <c r="H34" s="121">
        <f t="shared" si="49"/>
        <v>44.556000000000004</v>
      </c>
      <c r="I34" s="121">
        <f t="shared" si="49"/>
        <v>51.134</v>
      </c>
      <c r="J34" s="121">
        <f t="shared" si="49"/>
        <v>57.114000000000004</v>
      </c>
      <c r="K34" s="121">
        <f t="shared" si="49"/>
        <v>43.061000000000007</v>
      </c>
      <c r="L34" s="121">
        <f t="shared" si="49"/>
        <v>49.041000000000004</v>
      </c>
      <c r="M34" s="121">
        <f t="shared" si="49"/>
        <v>13.183</v>
      </c>
      <c r="N34" s="121">
        <f t="shared" si="49"/>
        <v>0</v>
      </c>
      <c r="O34" s="121">
        <f t="shared" si="49"/>
        <v>18.774999999999999</v>
      </c>
      <c r="P34" s="121">
        <f t="shared" ref="P34:AJ34" si="50">P18+P21+P24+P27+P30+P33</f>
        <v>0</v>
      </c>
      <c r="Q34" s="121">
        <f t="shared" si="50"/>
        <v>38.875</v>
      </c>
      <c r="R34" s="121">
        <f t="shared" si="50"/>
        <v>19.387999999999998</v>
      </c>
      <c r="S34" s="121">
        <f t="shared" si="50"/>
        <v>29.07</v>
      </c>
      <c r="T34" s="121">
        <f t="shared" si="50"/>
        <v>1.1330000000000002</v>
      </c>
      <c r="U34" s="121">
        <f t="shared" si="50"/>
        <v>0.82400000000000007</v>
      </c>
      <c r="V34" s="121">
        <f t="shared" si="50"/>
        <v>1.7509999999999999</v>
      </c>
      <c r="W34" s="121">
        <f t="shared" si="50"/>
        <v>4.3260000000000005</v>
      </c>
      <c r="X34" s="121">
        <f t="shared" si="50"/>
        <v>0</v>
      </c>
      <c r="Y34" s="121">
        <f t="shared" si="50"/>
        <v>46.941000000000003</v>
      </c>
      <c r="Z34" s="118">
        <f t="shared" si="50"/>
        <v>0</v>
      </c>
      <c r="AA34" s="121">
        <f t="shared" si="50"/>
        <v>40.207999999999998</v>
      </c>
      <c r="AB34" s="121">
        <f t="shared" si="50"/>
        <v>26.494999999999997</v>
      </c>
      <c r="AC34" s="118">
        <f t="shared" si="50"/>
        <v>30.408999999999999</v>
      </c>
      <c r="AD34" s="118">
        <f t="shared" si="50"/>
        <v>24.95</v>
      </c>
      <c r="AE34" s="121">
        <f t="shared" si="50"/>
        <v>14.547000000000001</v>
      </c>
      <c r="AF34" s="121">
        <f t="shared" si="50"/>
        <v>14.649999999999999</v>
      </c>
      <c r="AG34" s="118">
        <f t="shared" si="50"/>
        <v>20.6</v>
      </c>
      <c r="AH34" s="118">
        <f t="shared" si="50"/>
        <v>30.900000000000002</v>
      </c>
      <c r="AI34" s="118">
        <f t="shared" si="50"/>
        <v>14.935</v>
      </c>
      <c r="AJ34" s="121">
        <f t="shared" si="50"/>
        <v>4.3260000000000005</v>
      </c>
      <c r="AK34" s="121">
        <f t="shared" ref="AK34:BN34" si="51">AK18+AK21+AK24+AK27+AK30+AK33</f>
        <v>32.67</v>
      </c>
      <c r="AL34" s="121">
        <f t="shared" si="51"/>
        <v>37.141000000000005</v>
      </c>
      <c r="AM34" s="121">
        <f t="shared" si="51"/>
        <v>34.450500000000005</v>
      </c>
      <c r="AN34" s="121">
        <f t="shared" si="51"/>
        <v>37.738999999999997</v>
      </c>
      <c r="AO34" s="121">
        <f t="shared" si="51"/>
        <v>41.027999999999999</v>
      </c>
      <c r="AP34" s="121">
        <f t="shared" si="51"/>
        <v>42.822000000000003</v>
      </c>
      <c r="AQ34" s="121">
        <f t="shared" si="51"/>
        <v>39.82</v>
      </c>
      <c r="AR34" s="121">
        <f t="shared" si="51"/>
        <v>20.933</v>
      </c>
      <c r="AS34" s="121">
        <f t="shared" si="51"/>
        <v>13.661999999999999</v>
      </c>
      <c r="AT34" s="121">
        <f t="shared" si="51"/>
        <v>18.667000000000002</v>
      </c>
      <c r="AU34" s="121">
        <f t="shared" si="51"/>
        <v>4.12</v>
      </c>
      <c r="AV34" s="121">
        <f t="shared" si="51"/>
        <v>125.114</v>
      </c>
      <c r="AW34" s="121">
        <f t="shared" si="51"/>
        <v>41.173000000000002</v>
      </c>
      <c r="AX34" s="121">
        <f t="shared" si="51"/>
        <v>59.671000000000006</v>
      </c>
      <c r="AY34" s="118">
        <f t="shared" si="51"/>
        <v>102.93100000000001</v>
      </c>
      <c r="AZ34" s="121">
        <f t="shared" si="51"/>
        <v>39.704999999999998</v>
      </c>
      <c r="BA34" s="118">
        <f t="shared" si="51"/>
        <v>55.058999999999997</v>
      </c>
      <c r="BB34" s="118">
        <f t="shared" si="51"/>
        <v>56.554000000000002</v>
      </c>
      <c r="BC34" s="121">
        <f t="shared" si="51"/>
        <v>58.945999999999998</v>
      </c>
      <c r="BD34" s="121">
        <f t="shared" si="51"/>
        <v>44.257000000000005</v>
      </c>
      <c r="BE34" s="121">
        <f t="shared" si="51"/>
        <v>55.021000000000001</v>
      </c>
      <c r="BF34" s="121">
        <f t="shared" si="51"/>
        <v>35.405000000000001</v>
      </c>
      <c r="BG34" s="121">
        <f t="shared" si="51"/>
        <v>88.141000000000005</v>
      </c>
      <c r="BH34" s="121">
        <f t="shared" si="51"/>
        <v>111.398</v>
      </c>
      <c r="BI34" s="121">
        <f t="shared" si="51"/>
        <v>28.04</v>
      </c>
      <c r="BJ34" s="121">
        <f t="shared" si="51"/>
        <v>0</v>
      </c>
      <c r="BK34" s="118">
        <f t="shared" si="51"/>
        <v>16.71</v>
      </c>
      <c r="BL34" s="118">
        <f t="shared" si="51"/>
        <v>106.42099999999999</v>
      </c>
      <c r="BM34" s="118">
        <f t="shared" si="51"/>
        <v>17.945999999999998</v>
      </c>
      <c r="BN34" s="118">
        <f t="shared" si="51"/>
        <v>28.246000000000002</v>
      </c>
      <c r="BO34" s="121">
        <f t="shared" ref="BO34:CC34" si="52">BO18+BO21+BO24+BO27+BO30+BO33</f>
        <v>20.933</v>
      </c>
      <c r="BP34" s="121">
        <f t="shared" si="52"/>
        <v>18.564</v>
      </c>
      <c r="BQ34" s="121">
        <f t="shared" si="52"/>
        <v>26.082999999999998</v>
      </c>
      <c r="BR34" s="121">
        <f t="shared" si="52"/>
        <v>26.753</v>
      </c>
      <c r="BS34" s="121">
        <f t="shared" si="52"/>
        <v>19.799999999999997</v>
      </c>
      <c r="BT34" s="121">
        <f t="shared" si="52"/>
        <v>9.8509999999999991</v>
      </c>
      <c r="BU34" s="121">
        <f t="shared" si="52"/>
        <v>14.649999999999999</v>
      </c>
      <c r="BV34" s="121">
        <f t="shared" si="52"/>
        <v>13.516999999999999</v>
      </c>
      <c r="BW34" s="121">
        <f t="shared" si="52"/>
        <v>12.59</v>
      </c>
      <c r="BX34" s="121">
        <f t="shared" si="52"/>
        <v>12.898999999999999</v>
      </c>
      <c r="BY34" s="121">
        <f t="shared" si="52"/>
        <v>22.776</v>
      </c>
      <c r="BZ34" s="121">
        <f t="shared" si="52"/>
        <v>31.36</v>
      </c>
      <c r="CA34" s="121">
        <f t="shared" si="52"/>
        <v>8.1</v>
      </c>
      <c r="CB34" s="121">
        <f t="shared" si="52"/>
        <v>0</v>
      </c>
      <c r="CC34" s="121">
        <f t="shared" si="52"/>
        <v>0</v>
      </c>
      <c r="CD34" s="118">
        <f t="shared" ref="CD34:CI34" si="53">CD18+CD21+CD24+CD27+CD30+CD33</f>
        <v>32.881</v>
      </c>
      <c r="CE34" s="121">
        <f t="shared" si="53"/>
        <v>43.677999999999997</v>
      </c>
      <c r="CF34" s="121">
        <f t="shared" si="53"/>
        <v>11.541</v>
      </c>
      <c r="CG34" s="121">
        <f t="shared" si="53"/>
        <v>34.51</v>
      </c>
      <c r="CH34" s="121">
        <f t="shared" si="53"/>
        <v>23.817</v>
      </c>
      <c r="CI34" s="121">
        <f t="shared" si="53"/>
        <v>17.018999999999998</v>
      </c>
      <c r="CJ34" s="121">
        <f t="shared" ref="CJ34:CT34" si="54">CJ18+CJ21+CJ24+CJ27+CJ30+CJ33</f>
        <v>33.036000000000001</v>
      </c>
      <c r="CK34" s="121">
        <f t="shared" si="54"/>
        <v>29.843000000000004</v>
      </c>
      <c r="CL34" s="121">
        <f t="shared" si="54"/>
        <v>124.96299999999999</v>
      </c>
      <c r="CM34" s="121">
        <f t="shared" si="54"/>
        <v>34.510999999999996</v>
      </c>
      <c r="CN34" s="121">
        <f t="shared" si="54"/>
        <v>28.405000000000001</v>
      </c>
      <c r="CO34" s="121">
        <f t="shared" si="54"/>
        <v>105.14399999999999</v>
      </c>
      <c r="CP34" s="121">
        <f t="shared" si="54"/>
        <v>16.091999999999999</v>
      </c>
      <c r="CQ34" s="121">
        <f t="shared" si="54"/>
        <v>0</v>
      </c>
      <c r="CR34" s="121">
        <f t="shared" si="54"/>
        <v>661.9</v>
      </c>
      <c r="CS34" s="121">
        <f t="shared" si="54"/>
        <v>38.875</v>
      </c>
      <c r="CT34" s="121">
        <f t="shared" si="54"/>
        <v>60.468000000000004</v>
      </c>
    </row>
    <row r="35" spans="1:98" ht="18" customHeight="1">
      <c r="A35" s="112"/>
      <c r="C35" s="113" t="s">
        <v>810</v>
      </c>
      <c r="D35" s="431" t="s">
        <v>811</v>
      </c>
      <c r="E35" s="432"/>
      <c r="F35" s="113"/>
      <c r="G35" s="113"/>
      <c r="H35" s="113"/>
      <c r="I35" s="113"/>
      <c r="J35" s="113"/>
      <c r="K35" s="113"/>
      <c r="L35" s="113"/>
      <c r="M35" s="113"/>
      <c r="N35" s="113"/>
      <c r="O35" s="113"/>
      <c r="P35" s="113"/>
      <c r="Q35" s="113"/>
      <c r="R35" s="113"/>
      <c r="S35" s="113"/>
      <c r="T35" s="113"/>
      <c r="U35" s="113"/>
      <c r="V35" s="113"/>
      <c r="W35" s="113"/>
      <c r="X35" s="113"/>
      <c r="Y35" s="113"/>
      <c r="Z35" s="113"/>
      <c r="AA35" s="113"/>
      <c r="AB35" s="113"/>
      <c r="AC35" s="113"/>
      <c r="AD35" s="113"/>
      <c r="AE35" s="113"/>
      <c r="AF35" s="113"/>
      <c r="AG35" s="113"/>
      <c r="AH35" s="113"/>
      <c r="AI35" s="113"/>
      <c r="AJ35" s="113"/>
      <c r="AK35" s="113"/>
      <c r="AL35" s="113"/>
      <c r="AM35" s="113"/>
      <c r="AN35" s="113"/>
      <c r="AO35" s="113"/>
      <c r="AP35" s="113"/>
      <c r="AQ35" s="113"/>
      <c r="AR35" s="113"/>
      <c r="AS35" s="113"/>
      <c r="AT35" s="113"/>
      <c r="AU35" s="113"/>
      <c r="AV35" s="113"/>
      <c r="AW35" s="113"/>
      <c r="AX35" s="113"/>
      <c r="AY35" s="113"/>
      <c r="AZ35" s="113"/>
      <c r="BA35" s="113"/>
      <c r="BB35" s="113"/>
      <c r="BC35" s="113"/>
      <c r="BD35" s="113"/>
      <c r="BE35" s="113"/>
      <c r="BF35" s="113"/>
      <c r="BG35" s="113"/>
      <c r="BH35" s="113"/>
      <c r="BI35" s="113"/>
      <c r="BJ35" s="113"/>
      <c r="BK35" s="113"/>
      <c r="BL35" s="113"/>
      <c r="BM35" s="113"/>
      <c r="BN35" s="113"/>
      <c r="BO35" s="113"/>
      <c r="BP35" s="113"/>
      <c r="BQ35" s="113"/>
      <c r="BR35" s="113"/>
      <c r="BS35" s="113"/>
      <c r="BT35" s="113"/>
      <c r="BU35" s="113"/>
      <c r="BV35" s="113"/>
      <c r="BW35" s="113"/>
      <c r="BX35" s="113"/>
      <c r="BY35" s="113"/>
      <c r="BZ35" s="113"/>
      <c r="CA35" s="113"/>
      <c r="CB35" s="113"/>
      <c r="CC35" s="113"/>
      <c r="CD35" s="113"/>
      <c r="CE35" s="113"/>
      <c r="CF35" s="113"/>
      <c r="CG35" s="113"/>
      <c r="CH35" s="113"/>
      <c r="CI35" s="113"/>
      <c r="CJ35" s="113"/>
      <c r="CK35" s="113"/>
      <c r="CL35" s="113"/>
      <c r="CM35" s="113"/>
      <c r="CN35" s="113"/>
      <c r="CO35" s="113"/>
      <c r="CP35" s="113"/>
      <c r="CQ35" s="113"/>
      <c r="CR35" s="113"/>
      <c r="CS35" s="113"/>
      <c r="CT35" s="113"/>
    </row>
    <row r="36" spans="1:98" ht="18" customHeight="1">
      <c r="A36" s="112"/>
      <c r="C36" s="113" t="s">
        <v>7</v>
      </c>
      <c r="D36" s="433" t="s">
        <v>812</v>
      </c>
      <c r="E36" s="434"/>
      <c r="F36" s="121">
        <f t="shared" ref="F36:BE36" si="55">F15+F34+F35</f>
        <v>116.55532824128471</v>
      </c>
      <c r="G36" s="121">
        <f t="shared" si="55"/>
        <v>64.287229142185595</v>
      </c>
      <c r="H36" s="121">
        <f t="shared" si="55"/>
        <v>66.167034077555797</v>
      </c>
      <c r="I36" s="121">
        <f t="shared" si="55"/>
        <v>89.065288679984292</v>
      </c>
      <c r="J36" s="121">
        <f t="shared" si="55"/>
        <v>107.5979717978849</v>
      </c>
      <c r="K36" s="121">
        <f t="shared" si="55"/>
        <v>54.54968390129261</v>
      </c>
      <c r="L36" s="121">
        <f t="shared" si="55"/>
        <v>68.224556600078401</v>
      </c>
      <c r="M36" s="121">
        <f t="shared" si="55"/>
        <v>15.877257735996871</v>
      </c>
      <c r="N36" s="121">
        <f t="shared" si="55"/>
        <v>2.05930278104191</v>
      </c>
      <c r="O36" s="121">
        <f t="shared" si="55"/>
        <v>19.832735996866429</v>
      </c>
      <c r="P36" s="121">
        <f t="shared" si="55"/>
        <v>0.80266353309831595</v>
      </c>
      <c r="Q36" s="121">
        <f t="shared" si="55"/>
        <v>58.495000000000005</v>
      </c>
      <c r="R36" s="121">
        <f t="shared" si="55"/>
        <v>28.129680376028197</v>
      </c>
      <c r="S36" s="121">
        <f t="shared" si="55"/>
        <v>39.913066980023501</v>
      </c>
      <c r="T36" s="121">
        <f t="shared" si="55"/>
        <v>3.1980998824911806</v>
      </c>
      <c r="U36" s="121">
        <f t="shared" si="55"/>
        <v>2.2013599686643204</v>
      </c>
      <c r="V36" s="121">
        <f t="shared" si="55"/>
        <v>3.2420301605953799</v>
      </c>
      <c r="W36" s="121">
        <f t="shared" si="55"/>
        <v>9.7891414022718415</v>
      </c>
      <c r="X36" s="121">
        <f t="shared" si="55"/>
        <v>2.26016451233843</v>
      </c>
      <c r="Y36" s="121">
        <f t="shared" si="55"/>
        <v>100.15100000000001</v>
      </c>
      <c r="Z36" s="121">
        <f t="shared" si="55"/>
        <v>1.0862514688601601</v>
      </c>
      <c r="AA36" s="121">
        <f t="shared" si="55"/>
        <v>43.447247943595769</v>
      </c>
      <c r="AB36" s="121">
        <f t="shared" si="55"/>
        <v>28.860150802976889</v>
      </c>
      <c r="AC36" s="121">
        <f t="shared" si="55"/>
        <v>36.506371719545641</v>
      </c>
      <c r="AD36" s="121">
        <f t="shared" si="55"/>
        <v>27.919999999999998</v>
      </c>
      <c r="AE36" s="121">
        <f t="shared" si="55"/>
        <v>17.21944026635331</v>
      </c>
      <c r="AF36" s="121">
        <f t="shared" si="55"/>
        <v>22.79052878965922</v>
      </c>
      <c r="AG36" s="121">
        <f t="shared" si="55"/>
        <v>22.127931844888373</v>
      </c>
      <c r="AH36" s="121">
        <f t="shared" si="55"/>
        <v>32.598264786525661</v>
      </c>
      <c r="AI36" s="121">
        <f t="shared" si="55"/>
        <v>15.582226792009401</v>
      </c>
      <c r="AJ36" s="121">
        <f t="shared" si="55"/>
        <v>9.7891414022718415</v>
      </c>
      <c r="AK36" s="121">
        <f t="shared" si="55"/>
        <v>49.210305522914197</v>
      </c>
      <c r="AL36" s="121">
        <f t="shared" si="55"/>
        <v>74.115148061104605</v>
      </c>
      <c r="AM36" s="121">
        <f t="shared" si="55"/>
        <v>44.887319428123803</v>
      </c>
      <c r="AN36" s="121">
        <f t="shared" si="55"/>
        <v>51.907272620446498</v>
      </c>
      <c r="AO36" s="121">
        <f t="shared" si="55"/>
        <v>72.878685468076796</v>
      </c>
      <c r="AP36" s="121">
        <f t="shared" si="55"/>
        <v>85.821529964747413</v>
      </c>
      <c r="AQ36" s="121">
        <f t="shared" si="55"/>
        <v>184.44</v>
      </c>
      <c r="AR36" s="121">
        <f t="shared" si="55"/>
        <v>29.213000000000001</v>
      </c>
      <c r="AS36" s="121">
        <f t="shared" si="55"/>
        <v>15.82635174304739</v>
      </c>
      <c r="AT36" s="121">
        <f t="shared" si="55"/>
        <v>22.344653740697211</v>
      </c>
      <c r="AU36" s="121">
        <f t="shared" si="55"/>
        <v>5.8829455542499103</v>
      </c>
      <c r="AV36" s="121">
        <f t="shared" si="55"/>
        <v>244.90577438307901</v>
      </c>
      <c r="AW36" s="121">
        <f t="shared" si="55"/>
        <v>73.41121778300041</v>
      </c>
      <c r="AX36" s="121">
        <f t="shared" si="55"/>
        <v>113.9611292596945</v>
      </c>
      <c r="AY36" s="121">
        <f t="shared" si="55"/>
        <v>188.07945280062671</v>
      </c>
      <c r="AZ36" s="121">
        <f t="shared" si="55"/>
        <v>62.128971797884901</v>
      </c>
      <c r="BA36" s="121">
        <f t="shared" si="55"/>
        <v>111.3486200548375</v>
      </c>
      <c r="BB36" s="121">
        <f t="shared" si="55"/>
        <v>122.7478112025069</v>
      </c>
      <c r="BC36" s="121">
        <f t="shared" si="55"/>
        <v>160.16566314140198</v>
      </c>
      <c r="BD36" s="121">
        <f t="shared" si="55"/>
        <v>89.918316098707407</v>
      </c>
      <c r="BE36" s="121">
        <f t="shared" si="55"/>
        <v>109.45121151586369</v>
      </c>
      <c r="BF36" s="121">
        <f t="shared" ref="BF36:BN36" si="56">BF15+BF34+BF35</f>
        <v>56.915176263219806</v>
      </c>
      <c r="BG36" s="121">
        <f t="shared" si="56"/>
        <v>118.62537916177051</v>
      </c>
      <c r="BH36" s="121">
        <f t="shared" si="56"/>
        <v>307.36705601253402</v>
      </c>
      <c r="BI36" s="121">
        <f t="shared" si="56"/>
        <v>58.988217783000394</v>
      </c>
      <c r="BJ36" s="121">
        <f t="shared" si="56"/>
        <v>0.28076772424598501</v>
      </c>
      <c r="BK36" s="121">
        <f t="shared" si="56"/>
        <v>18.7171758715237</v>
      </c>
      <c r="BL36" s="121">
        <f t="shared" si="56"/>
        <v>110.9568715236976</v>
      </c>
      <c r="BM36" s="121">
        <f t="shared" si="56"/>
        <v>22.200727771249507</v>
      </c>
      <c r="BN36" s="121">
        <f t="shared" si="56"/>
        <v>31.092627497062281</v>
      </c>
      <c r="BO36" s="121">
        <f t="shared" ref="BO36:CG36" si="57">BO15+BO34+BO35</f>
        <v>35.802999999999997</v>
      </c>
      <c r="BP36" s="121">
        <f t="shared" si="57"/>
        <v>23.154</v>
      </c>
      <c r="BQ36" s="121">
        <f t="shared" si="57"/>
        <v>30.654558950254597</v>
      </c>
      <c r="BR36" s="121">
        <f t="shared" si="57"/>
        <v>28.373000000000001</v>
      </c>
      <c r="BS36" s="121">
        <f t="shared" si="57"/>
        <v>22.059999999999995</v>
      </c>
      <c r="BT36" s="121">
        <f t="shared" si="57"/>
        <v>17.449476302389339</v>
      </c>
      <c r="BU36" s="121">
        <f t="shared" si="57"/>
        <v>23.395992949471207</v>
      </c>
      <c r="BV36" s="121">
        <f t="shared" si="57"/>
        <v>17.961755189972578</v>
      </c>
      <c r="BW36" s="121">
        <f t="shared" si="57"/>
        <v>13.576035560607291</v>
      </c>
      <c r="BX36" s="121">
        <f t="shared" si="57"/>
        <v>17.247100274187229</v>
      </c>
      <c r="BY36" s="121">
        <f t="shared" si="57"/>
        <v>24.948267920094001</v>
      </c>
      <c r="BZ36" s="121">
        <f t="shared" si="57"/>
        <v>34.289259694477089</v>
      </c>
      <c r="CA36" s="121">
        <f t="shared" si="57"/>
        <v>10.01719545632589</v>
      </c>
      <c r="CB36" s="121">
        <f t="shared" si="57"/>
        <v>2.29</v>
      </c>
      <c r="CC36" s="121">
        <f t="shared" si="57"/>
        <v>1.87</v>
      </c>
      <c r="CD36" s="121">
        <f t="shared" si="57"/>
        <v>50.969801410105802</v>
      </c>
      <c r="CE36" s="121">
        <f t="shared" si="57"/>
        <v>85.314925186055603</v>
      </c>
      <c r="CF36" s="121">
        <f t="shared" si="57"/>
        <v>17.647831179005102</v>
      </c>
      <c r="CG36" s="121">
        <f t="shared" si="57"/>
        <v>45.516043869956896</v>
      </c>
      <c r="CH36" s="121">
        <f t="shared" ref="CH36:CN36" si="58">CH15+CH34+CH35</f>
        <v>33.053169212690946</v>
      </c>
      <c r="CI36" s="121">
        <f t="shared" si="58"/>
        <v>19.994793184488827</v>
      </c>
      <c r="CJ36" s="121">
        <f t="shared" si="58"/>
        <v>41.936826478652563</v>
      </c>
      <c r="CK36" s="121">
        <f t="shared" si="58"/>
        <v>39.873990990991004</v>
      </c>
      <c r="CL36" s="121">
        <f t="shared" si="58"/>
        <v>148.25299999999999</v>
      </c>
      <c r="CM36" s="121">
        <f t="shared" si="58"/>
        <v>47.897059537798697</v>
      </c>
      <c r="CN36" s="121">
        <f t="shared" si="58"/>
        <v>49.784005092048602</v>
      </c>
      <c r="CO36" s="121">
        <f t="shared" ref="CO36:CT36" si="59">CO15+CO34+CO35</f>
        <v>114.44399999999999</v>
      </c>
      <c r="CP36" s="121">
        <f t="shared" si="59"/>
        <v>24.264267920093999</v>
      </c>
      <c r="CQ36" s="121">
        <f t="shared" si="59"/>
        <v>0.75346650998824904</v>
      </c>
      <c r="CR36" s="121">
        <f t="shared" si="59"/>
        <v>712.3839717978849</v>
      </c>
      <c r="CS36" s="121">
        <f t="shared" si="59"/>
        <v>63.242567567567605</v>
      </c>
      <c r="CT36" s="121">
        <f t="shared" si="59"/>
        <v>84.835567567567608</v>
      </c>
    </row>
  </sheetData>
  <mergeCells count="113">
    <mergeCell ref="CR2:CR3"/>
    <mergeCell ref="CS2:CS3"/>
    <mergeCell ref="CT2:CT3"/>
    <mergeCell ref="C2:E3"/>
    <mergeCell ref="CI2:CI3"/>
    <mergeCell ref="CJ2:CJ3"/>
    <mergeCell ref="CK2:CK3"/>
    <mergeCell ref="CL2:CL3"/>
    <mergeCell ref="CM2:CM3"/>
    <mergeCell ref="CN2:CN3"/>
    <mergeCell ref="CO2:CO3"/>
    <mergeCell ref="CP2:CP3"/>
    <mergeCell ref="CQ2:CQ3"/>
    <mergeCell ref="BZ2:BZ3"/>
    <mergeCell ref="CA2:CA3"/>
    <mergeCell ref="CB2:CB3"/>
    <mergeCell ref="CC2:CC3"/>
    <mergeCell ref="CD2:CD3"/>
    <mergeCell ref="CE2:CE3"/>
    <mergeCell ref="CF2:CF3"/>
    <mergeCell ref="CG2:CG3"/>
    <mergeCell ref="CH2:CH3"/>
    <mergeCell ref="BQ2:BQ3"/>
    <mergeCell ref="BR2:BR3"/>
    <mergeCell ref="BS2:BS3"/>
    <mergeCell ref="BT2:BT3"/>
    <mergeCell ref="BU2:BU3"/>
    <mergeCell ref="BV2:BV3"/>
    <mergeCell ref="BW2:BW3"/>
    <mergeCell ref="BX2:BX3"/>
    <mergeCell ref="BY2:BY3"/>
    <mergeCell ref="BH2:BH3"/>
    <mergeCell ref="BI2:BI3"/>
    <mergeCell ref="BJ2:BJ3"/>
    <mergeCell ref="BK2:BK3"/>
    <mergeCell ref="BL2:BL3"/>
    <mergeCell ref="BM2:BM3"/>
    <mergeCell ref="BN2:BN3"/>
    <mergeCell ref="BO2:BO3"/>
    <mergeCell ref="BP2:BP3"/>
    <mergeCell ref="AY2:AY3"/>
    <mergeCell ref="AZ2:AZ3"/>
    <mergeCell ref="BA2:BA3"/>
    <mergeCell ref="BB2:BB3"/>
    <mergeCell ref="BC2:BC3"/>
    <mergeCell ref="BD2:BD3"/>
    <mergeCell ref="BE2:BE3"/>
    <mergeCell ref="BF2:BF3"/>
    <mergeCell ref="BG2:BG3"/>
    <mergeCell ref="AP2:AP3"/>
    <mergeCell ref="AQ2:AQ3"/>
    <mergeCell ref="AR2:AR3"/>
    <mergeCell ref="AS2:AS3"/>
    <mergeCell ref="AT2:AT3"/>
    <mergeCell ref="AU2:AU3"/>
    <mergeCell ref="AV2:AV3"/>
    <mergeCell ref="AW2:AW3"/>
    <mergeCell ref="AX2:AX3"/>
    <mergeCell ref="AG2:AG3"/>
    <mergeCell ref="AH2:AH3"/>
    <mergeCell ref="AI2:AI3"/>
    <mergeCell ref="AJ2:AJ3"/>
    <mergeCell ref="AK2:AK3"/>
    <mergeCell ref="AL2:AL3"/>
    <mergeCell ref="AM2:AM3"/>
    <mergeCell ref="AN2:AN3"/>
    <mergeCell ref="AO2:AO3"/>
    <mergeCell ref="X2:X3"/>
    <mergeCell ref="Y2:Y3"/>
    <mergeCell ref="Z2:Z3"/>
    <mergeCell ref="AA2:AA3"/>
    <mergeCell ref="AB2:AB3"/>
    <mergeCell ref="AC2:AC3"/>
    <mergeCell ref="AD2:AD3"/>
    <mergeCell ref="AE2:AE3"/>
    <mergeCell ref="AF2:AF3"/>
    <mergeCell ref="O2:O3"/>
    <mergeCell ref="P2:P3"/>
    <mergeCell ref="Q2:Q3"/>
    <mergeCell ref="R2:R3"/>
    <mergeCell ref="S2:S3"/>
    <mergeCell ref="T2:T3"/>
    <mergeCell ref="U2:U3"/>
    <mergeCell ref="V2:V3"/>
    <mergeCell ref="W2:W3"/>
    <mergeCell ref="F2:F3"/>
    <mergeCell ref="G2:G3"/>
    <mergeCell ref="H2:H3"/>
    <mergeCell ref="I2:I3"/>
    <mergeCell ref="J2:J3"/>
    <mergeCell ref="K2:K3"/>
    <mergeCell ref="L2:L3"/>
    <mergeCell ref="M2:M3"/>
    <mergeCell ref="N2:N3"/>
    <mergeCell ref="C1:E1"/>
    <mergeCell ref="C4:E4"/>
    <mergeCell ref="C5:E5"/>
    <mergeCell ref="D15:E15"/>
    <mergeCell ref="D34:E34"/>
    <mergeCell ref="D35:E35"/>
    <mergeCell ref="D36:E36"/>
    <mergeCell ref="B5:B30"/>
    <mergeCell ref="C6:C15"/>
    <mergeCell ref="C16:C34"/>
    <mergeCell ref="D6:D8"/>
    <mergeCell ref="D9:D11"/>
    <mergeCell ref="D12:D14"/>
    <mergeCell ref="D16:D18"/>
    <mergeCell ref="D19:D21"/>
    <mergeCell ref="D22:D24"/>
    <mergeCell ref="D25:D27"/>
    <mergeCell ref="D28:D30"/>
    <mergeCell ref="D31:D33"/>
  </mergeCells>
  <phoneticPr fontId="79" type="noConversion"/>
  <printOptions horizontalCentered="1"/>
  <pageMargins left="0.94444444444444398" right="0.74791666666666701" top="1.18055555555556" bottom="0.98402777777777795" header="0.51180555555555596" footer="0.51180555555555596"/>
  <pageSetup paperSize="9" orientation="portrait" horizontalDpi="1200" verticalDpi="1200"/>
  <headerFooter alignWithMargins="0"/>
</worksheet>
</file>

<file path=xl/worksheets/sheet12.xml><?xml version="1.0" encoding="utf-8"?>
<worksheet xmlns="http://schemas.openxmlformats.org/spreadsheetml/2006/main" xmlns:r="http://schemas.openxmlformats.org/officeDocument/2006/relationships">
  <dimension ref="A1:F73"/>
  <sheetViews>
    <sheetView topLeftCell="A37" workbookViewId="0">
      <selection activeCell="J28" sqref="J28"/>
    </sheetView>
  </sheetViews>
  <sheetFormatPr defaultColWidth="9" defaultRowHeight="14.25"/>
  <cols>
    <col min="2" max="2" width="14.25" customWidth="1"/>
  </cols>
  <sheetData>
    <row r="1" spans="1:6" ht="19.5">
      <c r="A1" s="461" t="s">
        <v>813</v>
      </c>
      <c r="B1" s="461"/>
      <c r="C1" s="461"/>
      <c r="D1" s="461"/>
      <c r="E1" s="461"/>
      <c r="F1" s="461"/>
    </row>
    <row r="2" spans="1:6">
      <c r="A2" s="462" t="s">
        <v>814</v>
      </c>
      <c r="B2" s="462"/>
      <c r="C2" s="462"/>
      <c r="D2" s="462"/>
      <c r="E2" s="462"/>
      <c r="F2" s="462"/>
    </row>
    <row r="3" spans="1:6">
      <c r="A3" s="46" t="s">
        <v>815</v>
      </c>
      <c r="B3" s="49">
        <v>8016</v>
      </c>
      <c r="D3" s="46"/>
      <c r="E3" s="47" t="s">
        <v>169</v>
      </c>
      <c r="F3" s="49" t="s">
        <v>816</v>
      </c>
    </row>
    <row r="4" spans="1:6">
      <c r="A4" s="7" t="s">
        <v>817</v>
      </c>
      <c r="B4" s="458"/>
      <c r="C4" s="459"/>
      <c r="D4" s="459"/>
      <c r="E4" s="459"/>
      <c r="F4" s="460"/>
    </row>
    <row r="5" spans="1:6">
      <c r="A5" s="7" t="s">
        <v>1</v>
      </c>
      <c r="B5" s="52" t="s">
        <v>344</v>
      </c>
      <c r="C5" s="7" t="s">
        <v>818</v>
      </c>
      <c r="D5" s="7" t="s">
        <v>819</v>
      </c>
      <c r="E5" s="7" t="s">
        <v>820</v>
      </c>
      <c r="F5" s="7" t="s">
        <v>821</v>
      </c>
    </row>
    <row r="6" spans="1:6">
      <c r="A6" s="7">
        <v>1</v>
      </c>
      <c r="B6" s="52" t="s">
        <v>822</v>
      </c>
      <c r="C6" s="7"/>
      <c r="D6" s="7"/>
      <c r="E6" s="7"/>
      <c r="F6" s="53">
        <f>F7+F26</f>
        <v>544.62016527970491</v>
      </c>
    </row>
    <row r="7" spans="1:6">
      <c r="A7" s="7">
        <v>1.1000000000000001</v>
      </c>
      <c r="B7" s="52" t="s">
        <v>823</v>
      </c>
      <c r="C7" s="7"/>
      <c r="D7" s="7"/>
      <c r="E7" s="7"/>
      <c r="F7" s="53">
        <f>F8+F11+F19</f>
        <v>516.22764481488616</v>
      </c>
    </row>
    <row r="8" spans="1:6">
      <c r="A8" s="7" t="s">
        <v>47</v>
      </c>
      <c r="B8" s="52" t="s">
        <v>176</v>
      </c>
      <c r="C8" s="7"/>
      <c r="D8" s="7"/>
      <c r="E8" s="7"/>
      <c r="F8" s="111">
        <f>SUM(F9:F10)</f>
        <v>305.88099999999997</v>
      </c>
    </row>
    <row r="9" spans="1:6">
      <c r="A9" s="7"/>
      <c r="B9" s="52" t="s">
        <v>824</v>
      </c>
      <c r="C9" s="7" t="s">
        <v>825</v>
      </c>
      <c r="D9" s="7">
        <v>8.1</v>
      </c>
      <c r="E9" s="7">
        <v>34.700000000000003</v>
      </c>
      <c r="F9" s="53">
        <f>D9*E9</f>
        <v>281.07</v>
      </c>
    </row>
    <row r="10" spans="1:6">
      <c r="A10" s="7"/>
      <c r="B10" s="52" t="s">
        <v>826</v>
      </c>
      <c r="C10" s="7" t="s">
        <v>825</v>
      </c>
      <c r="D10" s="7">
        <v>5.77</v>
      </c>
      <c r="E10" s="7">
        <v>4.3</v>
      </c>
      <c r="F10" s="53">
        <f t="shared" ref="F10:F36" si="0">D10*E10</f>
        <v>24.811</v>
      </c>
    </row>
    <row r="11" spans="1:6">
      <c r="A11" s="7" t="s">
        <v>57</v>
      </c>
      <c r="B11" s="52" t="s">
        <v>177</v>
      </c>
      <c r="C11" s="7"/>
      <c r="D11" s="7"/>
      <c r="E11" s="7"/>
      <c r="F11" s="111">
        <f>SUM(F12:F18)</f>
        <v>91.239722784930009</v>
      </c>
    </row>
    <row r="12" spans="1:6">
      <c r="A12" s="7"/>
      <c r="B12" s="52" t="s">
        <v>827</v>
      </c>
      <c r="C12" s="7" t="s">
        <v>49</v>
      </c>
      <c r="D12" s="7"/>
      <c r="E12" s="7">
        <v>10</v>
      </c>
      <c r="F12" s="53">
        <f t="shared" si="0"/>
        <v>0</v>
      </c>
    </row>
    <row r="13" spans="1:6">
      <c r="A13" s="7"/>
      <c r="B13" s="52" t="s">
        <v>828</v>
      </c>
      <c r="C13" s="7" t="s">
        <v>829</v>
      </c>
      <c r="D13" s="66">
        <v>3.57</v>
      </c>
      <c r="E13" s="7">
        <v>5.35</v>
      </c>
      <c r="F13" s="53">
        <f t="shared" si="0"/>
        <v>19.099499999999999</v>
      </c>
    </row>
    <row r="14" spans="1:6">
      <c r="A14" s="7"/>
      <c r="B14" s="52" t="s">
        <v>354</v>
      </c>
      <c r="C14" s="7" t="s">
        <v>829</v>
      </c>
      <c r="D14" s="66">
        <f>材料预算价格表!K6/1000</f>
        <v>0.37141514999999997</v>
      </c>
      <c r="E14" s="7">
        <v>12.62</v>
      </c>
      <c r="F14" s="53">
        <f t="shared" si="0"/>
        <v>4.6872591929999992</v>
      </c>
    </row>
    <row r="15" spans="1:6">
      <c r="A15" s="7"/>
      <c r="B15" s="52" t="s">
        <v>830</v>
      </c>
      <c r="C15" s="7" t="s">
        <v>829</v>
      </c>
      <c r="D15" s="66">
        <v>18.440000000000001</v>
      </c>
      <c r="E15" s="7">
        <v>2.58</v>
      </c>
      <c r="F15" s="53">
        <f t="shared" si="0"/>
        <v>47.575200000000002</v>
      </c>
    </row>
    <row r="16" spans="1:6">
      <c r="A16" s="7"/>
      <c r="B16" s="52" t="s">
        <v>831</v>
      </c>
      <c r="C16" s="7" t="s">
        <v>50</v>
      </c>
      <c r="D16" s="66">
        <v>2.77</v>
      </c>
      <c r="E16" s="7">
        <v>1.02</v>
      </c>
      <c r="F16" s="53">
        <f t="shared" si="0"/>
        <v>2.8254000000000001</v>
      </c>
    </row>
    <row r="17" spans="1:6">
      <c r="A17" s="7"/>
      <c r="B17" s="52" t="s">
        <v>832</v>
      </c>
      <c r="C17" s="7" t="s">
        <v>50</v>
      </c>
      <c r="D17" s="66">
        <v>15.38</v>
      </c>
      <c r="E17" s="7">
        <v>1.05</v>
      </c>
      <c r="F17" s="53">
        <f t="shared" si="0"/>
        <v>16.149000000000001</v>
      </c>
    </row>
    <row r="18" spans="1:6">
      <c r="A18" s="7"/>
      <c r="B18" s="52" t="s">
        <v>833</v>
      </c>
      <c r="C18" s="7" t="s">
        <v>834</v>
      </c>
      <c r="D18" s="66">
        <f>SUM(F12:F17)</f>
        <v>90.336359193000007</v>
      </c>
      <c r="E18" s="7">
        <v>1</v>
      </c>
      <c r="F18" s="53">
        <f>D18*E18/100</f>
        <v>0.90336359193000004</v>
      </c>
    </row>
    <row r="19" spans="1:6">
      <c r="A19" s="7" t="s">
        <v>835</v>
      </c>
      <c r="B19" s="52" t="s">
        <v>836</v>
      </c>
      <c r="C19" s="7"/>
      <c r="D19" s="7"/>
      <c r="E19" s="7"/>
      <c r="F19" s="111">
        <f>SUM(F20:F24)</f>
        <v>119.10692202995622</v>
      </c>
    </row>
    <row r="20" spans="1:6">
      <c r="A20" s="7"/>
      <c r="B20" s="52" t="s">
        <v>837</v>
      </c>
      <c r="C20" s="7"/>
      <c r="D20" s="66">
        <f>台时!BE36</f>
        <v>109.45121151586369</v>
      </c>
      <c r="E20" s="7">
        <v>0.8</v>
      </c>
      <c r="F20" s="53">
        <f t="shared" si="0"/>
        <v>87.560969212690964</v>
      </c>
    </row>
    <row r="21" spans="1:6">
      <c r="A21" s="7"/>
      <c r="B21" s="52" t="s">
        <v>697</v>
      </c>
      <c r="C21" s="7"/>
      <c r="D21" s="66">
        <f>台时!BW36</f>
        <v>13.576035560607291</v>
      </c>
      <c r="E21" s="7">
        <v>0.04</v>
      </c>
      <c r="F21" s="53">
        <f t="shared" si="0"/>
        <v>0.54304142242429165</v>
      </c>
    </row>
    <row r="22" spans="1:6">
      <c r="A22" s="7"/>
      <c r="B22" s="52" t="s">
        <v>838</v>
      </c>
      <c r="C22" s="7"/>
      <c r="D22" s="66">
        <f>台时!K36</f>
        <v>54.54968390129261</v>
      </c>
      <c r="E22" s="7">
        <v>0.3</v>
      </c>
      <c r="F22" s="53">
        <f t="shared" si="0"/>
        <v>16.364905170387782</v>
      </c>
    </row>
    <row r="23" spans="1:6">
      <c r="A23" s="7"/>
      <c r="B23" s="52" t="s">
        <v>839</v>
      </c>
      <c r="C23" s="7"/>
      <c r="D23" s="66">
        <f>台时!AK36</f>
        <v>49.210305522914197</v>
      </c>
      <c r="E23" s="7">
        <v>0.25</v>
      </c>
      <c r="F23" s="53">
        <f t="shared" si="0"/>
        <v>12.302576380728549</v>
      </c>
    </row>
    <row r="24" spans="1:6">
      <c r="A24" s="7"/>
      <c r="B24" s="52" t="s">
        <v>840</v>
      </c>
      <c r="C24" s="7"/>
      <c r="D24" s="66">
        <f>SUM(F20:F23)</f>
        <v>116.7714921862316</v>
      </c>
      <c r="E24" s="7">
        <v>2</v>
      </c>
      <c r="F24" s="53">
        <f>D24*E24/100</f>
        <v>2.3354298437246319</v>
      </c>
    </row>
    <row r="25" spans="1:6">
      <c r="A25" s="7"/>
      <c r="B25" s="52"/>
      <c r="C25" s="7"/>
      <c r="D25" s="7"/>
      <c r="E25" s="7"/>
      <c r="F25" s="53">
        <f t="shared" si="0"/>
        <v>0</v>
      </c>
    </row>
    <row r="26" spans="1:6">
      <c r="A26" s="7">
        <v>1.2</v>
      </c>
      <c r="B26" s="52" t="s">
        <v>841</v>
      </c>
      <c r="C26" s="7"/>
      <c r="D26" s="53">
        <f>F7</f>
        <v>516.22764481488616</v>
      </c>
      <c r="E26" s="56">
        <f>取费!C13</f>
        <v>5.5E-2</v>
      </c>
      <c r="F26" s="53">
        <f t="shared" si="0"/>
        <v>28.392520464818737</v>
      </c>
    </row>
    <row r="27" spans="1:6">
      <c r="A27" s="7">
        <v>1.3</v>
      </c>
      <c r="B27" s="52" t="s">
        <v>842</v>
      </c>
      <c r="C27" s="7"/>
      <c r="D27" s="53"/>
      <c r="E27" s="56"/>
      <c r="F27" s="53">
        <f t="shared" si="0"/>
        <v>0</v>
      </c>
    </row>
    <row r="28" spans="1:6">
      <c r="A28" s="7">
        <v>2</v>
      </c>
      <c r="B28" s="52" t="s">
        <v>182</v>
      </c>
      <c r="C28" s="7"/>
      <c r="D28" s="53">
        <f>F8</f>
        <v>305.88099999999997</v>
      </c>
      <c r="E28" s="56">
        <f>取费!E13</f>
        <v>0.7</v>
      </c>
      <c r="F28" s="53">
        <f t="shared" si="0"/>
        <v>214.11669999999998</v>
      </c>
    </row>
    <row r="29" spans="1:6">
      <c r="A29" s="7">
        <v>3</v>
      </c>
      <c r="B29" s="52" t="s">
        <v>843</v>
      </c>
      <c r="C29" s="7"/>
      <c r="D29" s="53">
        <f>F6+F28</f>
        <v>758.73686527970494</v>
      </c>
      <c r="E29" s="56">
        <f>取费!F13</f>
        <v>7.0000000000000007E-2</v>
      </c>
      <c r="F29" s="53">
        <f t="shared" si="0"/>
        <v>53.111580569579353</v>
      </c>
    </row>
    <row r="30" spans="1:6">
      <c r="A30" s="7">
        <v>4</v>
      </c>
      <c r="B30" s="52" t="s">
        <v>184</v>
      </c>
      <c r="C30" s="7"/>
      <c r="D30" s="7"/>
      <c r="E30" s="7"/>
      <c r="F30" s="53">
        <f>SUM(F31:F33)</f>
        <v>1519.4340929999998</v>
      </c>
    </row>
    <row r="31" spans="1:6">
      <c r="A31" s="7"/>
      <c r="B31" s="52" t="s">
        <v>354</v>
      </c>
      <c r="C31" s="7" t="s">
        <v>829</v>
      </c>
      <c r="D31" s="7">
        <f>材料预算价格表!M6</f>
        <v>116.41515</v>
      </c>
      <c r="E31" s="66">
        <f>E14</f>
        <v>12.62</v>
      </c>
      <c r="F31" s="53">
        <f t="shared" si="0"/>
        <v>1469.159193</v>
      </c>
    </row>
    <row r="32" spans="1:6">
      <c r="A32" s="7"/>
      <c r="B32" s="52" t="s">
        <v>515</v>
      </c>
      <c r="C32" s="7" t="s">
        <v>844</v>
      </c>
      <c r="D32" s="7">
        <f>材料预算价格表!M13/1000</f>
        <v>4.7450000000000001</v>
      </c>
      <c r="E32" s="66">
        <f>台时!AK19*管道安装!E23</f>
        <v>1.8</v>
      </c>
      <c r="F32" s="53">
        <f t="shared" si="0"/>
        <v>8.5410000000000004</v>
      </c>
    </row>
    <row r="33" spans="1:6">
      <c r="A33" s="7"/>
      <c r="B33" s="52" t="s">
        <v>516</v>
      </c>
      <c r="C33" s="7" t="s">
        <v>844</v>
      </c>
      <c r="D33" s="7">
        <f>材料预算价格表!M14/1000</f>
        <v>3.51</v>
      </c>
      <c r="E33" s="66">
        <f>E22*台时!K22+台时!BE22*管道安装!E20</f>
        <v>11.89</v>
      </c>
      <c r="F33" s="53">
        <f t="shared" si="0"/>
        <v>41.733899999999998</v>
      </c>
    </row>
    <row r="34" spans="1:6">
      <c r="A34" s="7">
        <v>5</v>
      </c>
      <c r="B34" s="52" t="s">
        <v>845</v>
      </c>
      <c r="C34" s="7"/>
      <c r="D34" s="53">
        <f>F6+F28+F29+F30</f>
        <v>2331.2825388492843</v>
      </c>
      <c r="E34" s="56">
        <f>取费!G14</f>
        <v>0.09</v>
      </c>
      <c r="F34" s="53">
        <f t="shared" si="0"/>
        <v>209.81542849643557</v>
      </c>
    </row>
    <row r="35" spans="1:6">
      <c r="A35" s="7">
        <v>6</v>
      </c>
      <c r="B35" s="52" t="s">
        <v>7</v>
      </c>
      <c r="C35" s="7"/>
      <c r="D35" s="7"/>
      <c r="E35" s="7"/>
      <c r="F35" s="53">
        <f>D34+F34</f>
        <v>2541.09796734572</v>
      </c>
    </row>
    <row r="36" spans="1:6">
      <c r="A36" s="7"/>
      <c r="B36" s="52" t="s">
        <v>846</v>
      </c>
      <c r="C36" s="7"/>
      <c r="D36" s="53">
        <f>F35</f>
        <v>2541.09796734572</v>
      </c>
      <c r="E36" s="56">
        <f>取费!H6</f>
        <v>0.03</v>
      </c>
      <c r="F36" s="53">
        <f t="shared" si="0"/>
        <v>76.232939020371603</v>
      </c>
    </row>
    <row r="37" spans="1:6">
      <c r="A37" s="7"/>
      <c r="B37" s="52" t="s">
        <v>44</v>
      </c>
      <c r="C37" s="7"/>
      <c r="D37" s="7"/>
      <c r="E37" s="7"/>
      <c r="F37" s="53">
        <f>F35+F36</f>
        <v>2617.3309063660918</v>
      </c>
    </row>
    <row r="40" spans="1:6" ht="19.5">
      <c r="A40" s="461" t="s">
        <v>813</v>
      </c>
      <c r="B40" s="461"/>
      <c r="C40" s="461"/>
      <c r="D40" s="461"/>
      <c r="E40" s="461"/>
      <c r="F40" s="461"/>
    </row>
    <row r="41" spans="1:6">
      <c r="A41" s="462" t="s">
        <v>814</v>
      </c>
      <c r="B41" s="462"/>
      <c r="C41" s="462"/>
      <c r="D41" s="462"/>
      <c r="E41" s="462"/>
      <c r="F41" s="462"/>
    </row>
    <row r="42" spans="1:6">
      <c r="A42" s="46" t="s">
        <v>815</v>
      </c>
      <c r="B42" s="49">
        <v>8016</v>
      </c>
      <c r="D42" s="46"/>
      <c r="E42" s="47" t="s">
        <v>169</v>
      </c>
      <c r="F42" s="49" t="s">
        <v>816</v>
      </c>
    </row>
    <row r="43" spans="1:6">
      <c r="A43" s="7" t="s">
        <v>817</v>
      </c>
      <c r="B43" s="458"/>
      <c r="C43" s="459"/>
      <c r="D43" s="459"/>
      <c r="E43" s="459"/>
      <c r="F43" s="460"/>
    </row>
    <row r="44" spans="1:6">
      <c r="A44" s="7" t="s">
        <v>1</v>
      </c>
      <c r="B44" s="52" t="s">
        <v>344</v>
      </c>
      <c r="C44" s="7" t="s">
        <v>818</v>
      </c>
      <c r="D44" s="7" t="s">
        <v>819</v>
      </c>
      <c r="E44" s="7" t="s">
        <v>820</v>
      </c>
      <c r="F44" s="7" t="s">
        <v>821</v>
      </c>
    </row>
    <row r="45" spans="1:6">
      <c r="A45" s="7">
        <v>1</v>
      </c>
      <c r="B45" s="52" t="s">
        <v>822</v>
      </c>
      <c r="C45" s="7"/>
      <c r="D45" s="7"/>
      <c r="E45" s="7"/>
      <c r="F45" s="53">
        <f>F46+F63</f>
        <v>1583.5448403816038</v>
      </c>
    </row>
    <row r="46" spans="1:6">
      <c r="A46" s="7">
        <v>1.1000000000000001</v>
      </c>
      <c r="B46" s="52" t="s">
        <v>823</v>
      </c>
      <c r="C46" s="7"/>
      <c r="D46" s="7"/>
      <c r="E46" s="7"/>
      <c r="F46" s="53">
        <f>F47+F50+F56</f>
        <v>1500.9903700299562</v>
      </c>
    </row>
    <row r="47" spans="1:6">
      <c r="A47" s="7" t="s">
        <v>47</v>
      </c>
      <c r="B47" s="52" t="s">
        <v>176</v>
      </c>
      <c r="C47" s="7"/>
      <c r="D47" s="7"/>
      <c r="E47" s="7"/>
      <c r="F47" s="111">
        <f>SUM(F48:F49)</f>
        <v>324.04500000000002</v>
      </c>
    </row>
    <row r="48" spans="1:6">
      <c r="A48" s="7"/>
      <c r="B48" s="52" t="s">
        <v>824</v>
      </c>
      <c r="C48" s="7" t="s">
        <v>825</v>
      </c>
      <c r="D48" s="7">
        <v>8.1</v>
      </c>
      <c r="E48" s="7">
        <v>36.799999999999997</v>
      </c>
      <c r="F48" s="53">
        <f>D48*E48</f>
        <v>298.08</v>
      </c>
    </row>
    <row r="49" spans="1:6">
      <c r="A49" s="7"/>
      <c r="B49" s="52" t="s">
        <v>826</v>
      </c>
      <c r="C49" s="7" t="s">
        <v>825</v>
      </c>
      <c r="D49" s="7">
        <v>5.77</v>
      </c>
      <c r="E49" s="7">
        <v>4.5</v>
      </c>
      <c r="F49" s="53">
        <f t="shared" ref="F49" si="1">D49*E49</f>
        <v>25.965</v>
      </c>
    </row>
    <row r="50" spans="1:6">
      <c r="A50" s="7" t="s">
        <v>57</v>
      </c>
      <c r="B50" s="52" t="s">
        <v>177</v>
      </c>
      <c r="C50" s="7"/>
      <c r="D50" s="7"/>
      <c r="E50" s="7"/>
      <c r="F50" s="111">
        <f>SUM(F51:F55)</f>
        <v>1057.838448</v>
      </c>
    </row>
    <row r="51" spans="1:6">
      <c r="A51" s="7"/>
      <c r="B51" s="52" t="s">
        <v>827</v>
      </c>
      <c r="C51" s="7" t="s">
        <v>49</v>
      </c>
      <c r="D51" s="7"/>
      <c r="E51" s="7">
        <v>10</v>
      </c>
      <c r="F51" s="53">
        <f t="shared" ref="F51:F54" si="2">D51*E51</f>
        <v>0</v>
      </c>
    </row>
    <row r="52" spans="1:6">
      <c r="A52" s="7"/>
      <c r="B52" s="52" t="s">
        <v>847</v>
      </c>
      <c r="C52" s="7" t="s">
        <v>829</v>
      </c>
      <c r="D52" s="66">
        <v>14.9</v>
      </c>
      <c r="E52" s="7">
        <v>64.12</v>
      </c>
      <c r="F52" s="53">
        <f t="shared" si="2"/>
        <v>955.38800000000003</v>
      </c>
    </row>
    <row r="53" spans="1:6">
      <c r="A53" s="7"/>
      <c r="B53" s="52" t="s">
        <v>830</v>
      </c>
      <c r="C53" s="7" t="s">
        <v>829</v>
      </c>
      <c r="D53" s="66">
        <v>18.440000000000001</v>
      </c>
      <c r="E53" s="7">
        <v>3.12</v>
      </c>
      <c r="F53" s="53">
        <f t="shared" si="2"/>
        <v>57.532800000000002</v>
      </c>
    </row>
    <row r="54" spans="1:6">
      <c r="A54" s="7"/>
      <c r="B54" s="52" t="s">
        <v>848</v>
      </c>
      <c r="C54" s="7" t="s">
        <v>50</v>
      </c>
      <c r="D54" s="66">
        <v>1.58</v>
      </c>
      <c r="E54" s="7">
        <v>21.8</v>
      </c>
      <c r="F54" s="53">
        <f t="shared" si="2"/>
        <v>34.444000000000003</v>
      </c>
    </row>
    <row r="55" spans="1:6">
      <c r="A55" s="7"/>
      <c r="B55" s="52" t="s">
        <v>833</v>
      </c>
      <c r="C55" s="7" t="s">
        <v>834</v>
      </c>
      <c r="D55" s="66">
        <f>SUM(F51:F54)</f>
        <v>1047.3648000000001</v>
      </c>
      <c r="E55" s="7">
        <v>1</v>
      </c>
      <c r="F55" s="53">
        <f>D55*E55/100</f>
        <v>10.473648000000001</v>
      </c>
    </row>
    <row r="56" spans="1:6">
      <c r="A56" s="7" t="s">
        <v>835</v>
      </c>
      <c r="B56" s="52" t="s">
        <v>836</v>
      </c>
      <c r="C56" s="7"/>
      <c r="D56" s="7"/>
      <c r="E56" s="7"/>
      <c r="F56" s="111">
        <f>SUM(F57:F61)</f>
        <v>119.10692202995622</v>
      </c>
    </row>
    <row r="57" spans="1:6">
      <c r="A57" s="7"/>
      <c r="B57" s="52" t="s">
        <v>837</v>
      </c>
      <c r="C57" s="7"/>
      <c r="D57" s="66">
        <f>D20</f>
        <v>109.45121151586369</v>
      </c>
      <c r="E57" s="7">
        <v>0.8</v>
      </c>
      <c r="F57" s="53">
        <f t="shared" ref="F57:F60" si="3">D57*E57</f>
        <v>87.560969212690964</v>
      </c>
    </row>
    <row r="58" spans="1:6">
      <c r="A58" s="7"/>
      <c r="B58" s="52" t="s">
        <v>697</v>
      </c>
      <c r="C58" s="7"/>
      <c r="D58" s="66">
        <f t="shared" ref="D58:D60" si="4">D21</f>
        <v>13.576035560607291</v>
      </c>
      <c r="E58" s="7">
        <v>0.04</v>
      </c>
      <c r="F58" s="53">
        <f t="shared" si="3"/>
        <v>0.54304142242429165</v>
      </c>
    </row>
    <row r="59" spans="1:6">
      <c r="A59" s="7"/>
      <c r="B59" s="52" t="s">
        <v>838</v>
      </c>
      <c r="C59" s="7"/>
      <c r="D59" s="66">
        <f t="shared" si="4"/>
        <v>54.54968390129261</v>
      </c>
      <c r="E59" s="7">
        <v>0.3</v>
      </c>
      <c r="F59" s="53">
        <f t="shared" si="3"/>
        <v>16.364905170387782</v>
      </c>
    </row>
    <row r="60" spans="1:6">
      <c r="A60" s="7"/>
      <c r="B60" s="52" t="s">
        <v>839</v>
      </c>
      <c r="C60" s="7"/>
      <c r="D60" s="66">
        <f t="shared" si="4"/>
        <v>49.210305522914197</v>
      </c>
      <c r="E60" s="7">
        <v>0.25</v>
      </c>
      <c r="F60" s="53">
        <f t="shared" si="3"/>
        <v>12.302576380728549</v>
      </c>
    </row>
    <row r="61" spans="1:6">
      <c r="A61" s="7"/>
      <c r="B61" s="52" t="s">
        <v>840</v>
      </c>
      <c r="C61" s="7"/>
      <c r="D61" s="66">
        <f>SUM(F57:F60)</f>
        <v>116.7714921862316</v>
      </c>
      <c r="E61" s="7">
        <v>2</v>
      </c>
      <c r="F61" s="53">
        <f>D61*E61/100</f>
        <v>2.3354298437246319</v>
      </c>
    </row>
    <row r="62" spans="1:6">
      <c r="A62" s="7"/>
      <c r="B62" s="52"/>
      <c r="C62" s="7"/>
      <c r="D62" s="7"/>
      <c r="E62" s="7"/>
      <c r="F62" s="53">
        <f t="shared" ref="F62:F66" si="5">D62*E62</f>
        <v>0</v>
      </c>
    </row>
    <row r="63" spans="1:6">
      <c r="A63" s="7">
        <v>1.2</v>
      </c>
      <c r="B63" s="52" t="s">
        <v>841</v>
      </c>
      <c r="C63" s="7"/>
      <c r="D63" s="53">
        <f>F46</f>
        <v>1500.9903700299562</v>
      </c>
      <c r="E63" s="56">
        <f>E26</f>
        <v>5.5E-2</v>
      </c>
      <c r="F63" s="53">
        <f t="shared" si="5"/>
        <v>82.554470351647595</v>
      </c>
    </row>
    <row r="64" spans="1:6">
      <c r="A64" s="7">
        <v>1.3</v>
      </c>
      <c r="B64" s="52" t="s">
        <v>842</v>
      </c>
      <c r="C64" s="7"/>
      <c r="D64" s="53"/>
      <c r="E64" s="56"/>
      <c r="F64" s="53">
        <f t="shared" si="5"/>
        <v>0</v>
      </c>
    </row>
    <row r="65" spans="1:6">
      <c r="A65" s="7">
        <v>2</v>
      </c>
      <c r="B65" s="52" t="s">
        <v>182</v>
      </c>
      <c r="C65" s="7"/>
      <c r="D65" s="53">
        <f>F47</f>
        <v>324.04500000000002</v>
      </c>
      <c r="E65" s="56">
        <f>E28</f>
        <v>0.7</v>
      </c>
      <c r="F65" s="53">
        <f t="shared" si="5"/>
        <v>226.83150000000001</v>
      </c>
    </row>
    <row r="66" spans="1:6">
      <c r="A66" s="7">
        <v>3</v>
      </c>
      <c r="B66" s="52" t="s">
        <v>843</v>
      </c>
      <c r="C66" s="7"/>
      <c r="D66" s="53">
        <f>F45+F65</f>
        <v>1810.3763403816038</v>
      </c>
      <c r="E66" s="56">
        <f>E29</f>
        <v>7.0000000000000007E-2</v>
      </c>
      <c r="F66" s="53">
        <f t="shared" si="5"/>
        <v>126.72634382671228</v>
      </c>
    </row>
    <row r="67" spans="1:6">
      <c r="A67" s="7">
        <v>4</v>
      </c>
      <c r="B67" s="52" t="s">
        <v>184</v>
      </c>
      <c r="C67" s="7"/>
      <c r="D67" s="7"/>
      <c r="E67" s="7"/>
      <c r="F67" s="53">
        <f>SUM(F68:F69)</f>
        <v>50.274900000000002</v>
      </c>
    </row>
    <row r="68" spans="1:6">
      <c r="A68" s="7"/>
      <c r="B68" s="52" t="s">
        <v>515</v>
      </c>
      <c r="C68" s="7" t="s">
        <v>844</v>
      </c>
      <c r="D68" s="7">
        <f>D32</f>
        <v>4.7450000000000001</v>
      </c>
      <c r="E68" s="66">
        <f>E32</f>
        <v>1.8</v>
      </c>
      <c r="F68" s="53">
        <f t="shared" ref="F68:F70" si="6">D68*E68</f>
        <v>8.5410000000000004</v>
      </c>
    </row>
    <row r="69" spans="1:6">
      <c r="A69" s="7"/>
      <c r="B69" s="52" t="s">
        <v>516</v>
      </c>
      <c r="C69" s="7" t="s">
        <v>844</v>
      </c>
      <c r="D69" s="7">
        <f>D33</f>
        <v>3.51</v>
      </c>
      <c r="E69" s="66">
        <f>E33</f>
        <v>11.89</v>
      </c>
      <c r="F69" s="53">
        <f t="shared" si="6"/>
        <v>41.733899999999998</v>
      </c>
    </row>
    <row r="70" spans="1:6">
      <c r="A70" s="7">
        <v>5</v>
      </c>
      <c r="B70" s="52" t="s">
        <v>845</v>
      </c>
      <c r="C70" s="7"/>
      <c r="D70" s="53">
        <f>F45+F65+F66+F67</f>
        <v>1987.377584208316</v>
      </c>
      <c r="E70" s="56">
        <f>E34</f>
        <v>0.09</v>
      </c>
      <c r="F70" s="53">
        <f t="shared" si="6"/>
        <v>178.86398257874842</v>
      </c>
    </row>
    <row r="71" spans="1:6">
      <c r="A71" s="7">
        <v>6</v>
      </c>
      <c r="B71" s="52" t="s">
        <v>7</v>
      </c>
      <c r="C71" s="7"/>
      <c r="D71" s="7"/>
      <c r="E71" s="7"/>
      <c r="F71" s="53">
        <f>D70+F70</f>
        <v>2166.2415667870646</v>
      </c>
    </row>
    <row r="72" spans="1:6">
      <c r="A72" s="7"/>
      <c r="B72" s="52" t="s">
        <v>846</v>
      </c>
      <c r="C72" s="7"/>
      <c r="D72" s="53">
        <f>F71</f>
        <v>2166.2415667870646</v>
      </c>
      <c r="E72" s="56">
        <f>E36</f>
        <v>0.03</v>
      </c>
      <c r="F72" s="53">
        <f t="shared" ref="F72" si="7">D72*E72</f>
        <v>64.987247003611941</v>
      </c>
    </row>
    <row r="73" spans="1:6">
      <c r="A73" s="7"/>
      <c r="B73" s="52" t="s">
        <v>44</v>
      </c>
      <c r="C73" s="7"/>
      <c r="D73" s="7"/>
      <c r="E73" s="7"/>
      <c r="F73" s="53">
        <f>F71+F72</f>
        <v>2231.2288137906767</v>
      </c>
    </row>
  </sheetData>
  <mergeCells count="6">
    <mergeCell ref="B43:F43"/>
    <mergeCell ref="A1:F1"/>
    <mergeCell ref="A2:F2"/>
    <mergeCell ref="B4:F4"/>
    <mergeCell ref="A40:F40"/>
    <mergeCell ref="A41:F41"/>
  </mergeCells>
  <phoneticPr fontId="79" type="noConversion"/>
  <pageMargins left="0.69930555555555596" right="0.69930555555555596" top="0.75" bottom="0.75" header="0.3" footer="0.3"/>
</worksheet>
</file>

<file path=xl/worksheets/sheet13.xml><?xml version="1.0" encoding="utf-8"?>
<worksheet xmlns="http://schemas.openxmlformats.org/spreadsheetml/2006/main" xmlns:r="http://schemas.openxmlformats.org/officeDocument/2006/relationships">
  <dimension ref="A1:J141"/>
  <sheetViews>
    <sheetView workbookViewId="0">
      <selection activeCell="I18" sqref="I18"/>
    </sheetView>
  </sheetViews>
  <sheetFormatPr defaultColWidth="9" defaultRowHeight="14.25"/>
  <cols>
    <col min="3" max="3" width="1.875" customWidth="1"/>
    <col min="7" max="7" width="0.875" customWidth="1"/>
  </cols>
  <sheetData>
    <row r="1" spans="1:10" ht="22.5" customHeight="1">
      <c r="A1" s="378" t="s">
        <v>849</v>
      </c>
      <c r="B1" s="378"/>
      <c r="C1" s="378"/>
      <c r="D1" s="378"/>
      <c r="E1" s="378"/>
      <c r="F1" s="378"/>
      <c r="G1" s="378"/>
      <c r="H1" s="378"/>
      <c r="I1" s="378"/>
      <c r="J1" s="378"/>
    </row>
    <row r="2" spans="1:10" ht="6" customHeight="1">
      <c r="A2" s="80"/>
      <c r="B2" s="80"/>
      <c r="C2" s="80"/>
      <c r="D2" s="80"/>
      <c r="E2" s="80"/>
      <c r="F2" s="80"/>
      <c r="G2" s="80"/>
      <c r="H2" s="80"/>
      <c r="I2" s="80"/>
      <c r="J2" s="80"/>
    </row>
    <row r="3" spans="1:10" ht="18.75" customHeight="1">
      <c r="A3" t="s">
        <v>850</v>
      </c>
      <c r="B3" s="81"/>
      <c r="C3" s="82"/>
      <c r="D3" s="463" t="s">
        <v>851</v>
      </c>
      <c r="E3" s="463"/>
      <c r="F3" s="463"/>
      <c r="H3" s="83" t="s">
        <v>852</v>
      </c>
      <c r="I3" s="103" t="s">
        <v>169</v>
      </c>
      <c r="J3" s="81" t="s">
        <v>357</v>
      </c>
    </row>
    <row r="4" spans="1:10" ht="6" customHeight="1"/>
    <row r="5" spans="1:10" ht="18.75" customHeight="1">
      <c r="A5" s="84" t="s">
        <v>817</v>
      </c>
      <c r="B5" s="85"/>
      <c r="C5" s="85"/>
      <c r="D5" s="85"/>
      <c r="E5" s="85"/>
      <c r="F5" s="85"/>
      <c r="G5" s="85"/>
      <c r="H5" s="85"/>
      <c r="I5" s="85"/>
      <c r="J5" s="104"/>
    </row>
    <row r="6" spans="1:10" ht="18.75" customHeight="1">
      <c r="A6" s="86"/>
      <c r="B6" s="81"/>
      <c r="C6" s="81"/>
      <c r="D6" s="81"/>
      <c r="E6" s="81"/>
      <c r="F6" s="81"/>
      <c r="G6" s="81"/>
      <c r="H6" s="81"/>
      <c r="I6" s="81"/>
      <c r="J6" s="105"/>
    </row>
    <row r="7" spans="1:10" ht="30" customHeight="1">
      <c r="A7" s="87" t="s">
        <v>1</v>
      </c>
      <c r="B7" s="464" t="s">
        <v>344</v>
      </c>
      <c r="C7" s="465"/>
      <c r="D7" s="465"/>
      <c r="E7" s="466"/>
      <c r="F7" s="87" t="s">
        <v>818</v>
      </c>
      <c r="G7" s="467" t="s">
        <v>819</v>
      </c>
      <c r="H7" s="468"/>
      <c r="I7" s="87" t="s">
        <v>820</v>
      </c>
      <c r="J7" s="102" t="s">
        <v>821</v>
      </c>
    </row>
    <row r="8" spans="1:10" ht="19.5" customHeight="1">
      <c r="A8" s="51">
        <v>1</v>
      </c>
      <c r="B8" s="469" t="s">
        <v>853</v>
      </c>
      <c r="C8" s="470"/>
      <c r="D8" s="470"/>
      <c r="E8" s="471"/>
      <c r="F8" s="91"/>
      <c r="G8" s="472"/>
      <c r="H8" s="473"/>
      <c r="I8" s="91"/>
      <c r="J8" s="106">
        <f>J9+J10+J11+J12</f>
        <v>183.29938899999999</v>
      </c>
    </row>
    <row r="9" spans="1:10" ht="19.5" customHeight="1">
      <c r="A9" s="51">
        <v>1.1000000000000001</v>
      </c>
      <c r="B9" s="469" t="s">
        <v>354</v>
      </c>
      <c r="C9" s="470"/>
      <c r="D9" s="470"/>
      <c r="E9" s="471"/>
      <c r="F9" s="51" t="s">
        <v>353</v>
      </c>
      <c r="G9" s="474">
        <f>材料预算价格表!L6</f>
        <v>255</v>
      </c>
      <c r="H9" s="473"/>
      <c r="I9" s="107">
        <f>0.289*1.1*1.07</f>
        <v>0.34015299999999998</v>
      </c>
      <c r="J9" s="106">
        <f>G9*I9</f>
        <v>86.739014999999995</v>
      </c>
    </row>
    <row r="10" spans="1:10" ht="19.5" customHeight="1">
      <c r="A10" s="51">
        <v>1.2</v>
      </c>
      <c r="B10" s="469" t="s">
        <v>507</v>
      </c>
      <c r="C10" s="470"/>
      <c r="D10" s="470"/>
      <c r="E10" s="471"/>
      <c r="F10" s="51" t="s">
        <v>357</v>
      </c>
      <c r="G10" s="474">
        <f>材料预算价格表!L9</f>
        <v>70</v>
      </c>
      <c r="H10" s="473"/>
      <c r="I10" s="107">
        <f>0.49*1.1*0.98</f>
        <v>0.52822000000000002</v>
      </c>
      <c r="J10" s="106">
        <f>G10*I10</f>
        <v>36.9754</v>
      </c>
    </row>
    <row r="11" spans="1:10" ht="19.5" customHeight="1">
      <c r="A11" s="51">
        <v>1.3</v>
      </c>
      <c r="B11" s="469" t="s">
        <v>509</v>
      </c>
      <c r="C11" s="470"/>
      <c r="D11" s="470"/>
      <c r="E11" s="471"/>
      <c r="F11" s="51" t="s">
        <v>357</v>
      </c>
      <c r="G11" s="474">
        <f>材料预算价格表!L10</f>
        <v>70</v>
      </c>
      <c r="H11" s="473"/>
      <c r="I11" s="107">
        <f>0.81*1.06*0.98</f>
        <v>0.84142799999999995</v>
      </c>
      <c r="J11" s="106">
        <f>G11*I11</f>
        <v>58.89996</v>
      </c>
    </row>
    <row r="12" spans="1:10" ht="19.5" customHeight="1">
      <c r="A12" s="51">
        <v>1.4</v>
      </c>
      <c r="B12" s="469" t="s">
        <v>806</v>
      </c>
      <c r="C12" s="470"/>
      <c r="D12" s="470"/>
      <c r="E12" s="471"/>
      <c r="F12" s="51" t="s">
        <v>357</v>
      </c>
      <c r="G12" s="475">
        <f>材料预算价格表!K15</f>
        <v>3.88</v>
      </c>
      <c r="H12" s="473"/>
      <c r="I12" s="107">
        <f>0.15*1.1*1.07</f>
        <v>0.17655000000000001</v>
      </c>
      <c r="J12" s="106">
        <f>G12*I12</f>
        <v>0.68501400000000001</v>
      </c>
    </row>
    <row r="13" spans="1:10" ht="19.5" customHeight="1">
      <c r="A13" s="51"/>
      <c r="B13" s="469"/>
      <c r="C13" s="470"/>
      <c r="D13" s="470"/>
      <c r="E13" s="471"/>
      <c r="F13" s="51"/>
      <c r="G13" s="472"/>
      <c r="H13" s="473"/>
      <c r="I13" s="107"/>
      <c r="J13" s="108"/>
    </row>
    <row r="14" spans="1:10" ht="19.5" customHeight="1">
      <c r="A14" s="51">
        <v>2</v>
      </c>
      <c r="B14" s="469" t="s">
        <v>854</v>
      </c>
      <c r="C14" s="470"/>
      <c r="D14" s="470"/>
      <c r="E14" s="471"/>
      <c r="F14" s="51"/>
      <c r="G14" s="472"/>
      <c r="H14" s="473"/>
      <c r="I14" s="107"/>
      <c r="J14" s="106">
        <f>J15+J16+J17+J18</f>
        <v>171.692409</v>
      </c>
    </row>
    <row r="15" spans="1:10" ht="19.5" customHeight="1">
      <c r="A15" s="51">
        <v>2.1</v>
      </c>
      <c r="B15" s="469" t="s">
        <v>354</v>
      </c>
      <c r="C15" s="470"/>
      <c r="D15" s="470"/>
      <c r="E15" s="471"/>
      <c r="F15" s="51" t="s">
        <v>353</v>
      </c>
      <c r="G15" s="474">
        <f>G9</f>
        <v>255</v>
      </c>
      <c r="H15" s="473"/>
      <c r="I15" s="107">
        <f>0.261*1.1*1.07</f>
        <v>0.307197</v>
      </c>
      <c r="J15" s="106">
        <f>G15*I15</f>
        <v>78.335234999999997</v>
      </c>
    </row>
    <row r="16" spans="1:10" ht="19.5" customHeight="1">
      <c r="A16" s="51">
        <v>2.2000000000000002</v>
      </c>
      <c r="B16" s="469" t="s">
        <v>507</v>
      </c>
      <c r="C16" s="470"/>
      <c r="D16" s="470"/>
      <c r="E16" s="471"/>
      <c r="F16" s="51" t="s">
        <v>357</v>
      </c>
      <c r="G16" s="474">
        <f>G10</f>
        <v>70</v>
      </c>
      <c r="H16" s="473"/>
      <c r="I16" s="107">
        <f>0.51*1.1*0.86</f>
        <v>0.48246</v>
      </c>
      <c r="J16" s="106">
        <f>G16*I16</f>
        <v>33.772199999999998</v>
      </c>
    </row>
    <row r="17" spans="1:10" ht="19.5" customHeight="1">
      <c r="A17" s="51">
        <v>2.2999999999999998</v>
      </c>
      <c r="B17" s="469" t="s">
        <v>509</v>
      </c>
      <c r="C17" s="470"/>
      <c r="D17" s="470"/>
      <c r="E17" s="471"/>
      <c r="F17" s="51" t="s">
        <v>357</v>
      </c>
      <c r="G17" s="474">
        <f>G11</f>
        <v>70</v>
      </c>
      <c r="H17" s="473"/>
      <c r="I17" s="107">
        <f>0.81*1.06*0.98</f>
        <v>0.84142799999999995</v>
      </c>
      <c r="J17" s="106">
        <f>G17*I17</f>
        <v>58.89996</v>
      </c>
    </row>
    <row r="18" spans="1:10" ht="19.5" customHeight="1">
      <c r="A18" s="51">
        <v>2.4</v>
      </c>
      <c r="B18" s="469" t="s">
        <v>806</v>
      </c>
      <c r="C18" s="470"/>
      <c r="D18" s="470"/>
      <c r="E18" s="471"/>
      <c r="F18" s="51" t="s">
        <v>357</v>
      </c>
      <c r="G18" s="475">
        <f>G12</f>
        <v>3.88</v>
      </c>
      <c r="H18" s="473"/>
      <c r="I18" s="107">
        <f>0.15*1.1*1.07</f>
        <v>0.17655000000000001</v>
      </c>
      <c r="J18" s="106">
        <f>G18*I18</f>
        <v>0.68501400000000001</v>
      </c>
    </row>
    <row r="19" spans="1:10" ht="19.5" customHeight="1">
      <c r="A19" s="51"/>
      <c r="B19" s="469"/>
      <c r="C19" s="470"/>
      <c r="D19" s="470"/>
      <c r="E19" s="471"/>
      <c r="F19" s="51"/>
      <c r="G19" s="472"/>
      <c r="H19" s="473"/>
      <c r="I19" s="107"/>
      <c r="J19" s="108"/>
    </row>
    <row r="20" spans="1:10" ht="19.5" customHeight="1">
      <c r="A20" s="51">
        <v>3</v>
      </c>
      <c r="B20" s="469" t="s">
        <v>855</v>
      </c>
      <c r="C20" s="470"/>
      <c r="D20" s="470"/>
      <c r="E20" s="471"/>
      <c r="F20" s="51"/>
      <c r="G20" s="472"/>
      <c r="H20" s="473"/>
      <c r="I20" s="107"/>
      <c r="J20" s="106">
        <f>J21+J22+J23+J24</f>
        <v>161.2882702</v>
      </c>
    </row>
    <row r="21" spans="1:10" ht="19.5" customHeight="1">
      <c r="A21" s="51">
        <v>3.1</v>
      </c>
      <c r="B21" s="469" t="s">
        <v>354</v>
      </c>
      <c r="C21" s="470"/>
      <c r="D21" s="470"/>
      <c r="E21" s="471"/>
      <c r="F21" s="51" t="s">
        <v>353</v>
      </c>
      <c r="G21" s="474">
        <f>G15</f>
        <v>255</v>
      </c>
      <c r="H21" s="473"/>
      <c r="I21" s="107">
        <f>0.242*1.1*1.07*0.86</f>
        <v>0.24495723999999999</v>
      </c>
      <c r="J21" s="106">
        <f>G21*I21</f>
        <v>62.4640962</v>
      </c>
    </row>
    <row r="22" spans="1:10" ht="19.5" customHeight="1">
      <c r="A22" s="51">
        <v>3.2</v>
      </c>
      <c r="B22" s="469" t="s">
        <v>507</v>
      </c>
      <c r="C22" s="470"/>
      <c r="D22" s="470"/>
      <c r="E22" s="471"/>
      <c r="F22" s="51" t="s">
        <v>357</v>
      </c>
      <c r="G22" s="474">
        <f>G16</f>
        <v>70</v>
      </c>
      <c r="H22" s="473"/>
      <c r="I22" s="107">
        <f>0.52*1.1*0.98</f>
        <v>0.56055999999999995</v>
      </c>
      <c r="J22" s="106">
        <f>G22*I22</f>
        <v>39.239199999999997</v>
      </c>
    </row>
    <row r="23" spans="1:10" ht="19.5" customHeight="1">
      <c r="A23" s="51">
        <v>3.3</v>
      </c>
      <c r="B23" s="469" t="s">
        <v>509</v>
      </c>
      <c r="C23" s="470"/>
      <c r="D23" s="470"/>
      <c r="E23" s="471"/>
      <c r="F23" s="51" t="s">
        <v>357</v>
      </c>
      <c r="G23" s="474">
        <f>G17</f>
        <v>70</v>
      </c>
      <c r="H23" s="473"/>
      <c r="I23" s="107">
        <f>0.81*1.06*0.98</f>
        <v>0.84142799999999995</v>
      </c>
      <c r="J23" s="106">
        <f>G23*I23</f>
        <v>58.89996</v>
      </c>
    </row>
    <row r="24" spans="1:10" ht="19.5" customHeight="1">
      <c r="A24" s="51">
        <v>3.4</v>
      </c>
      <c r="B24" s="469" t="s">
        <v>806</v>
      </c>
      <c r="C24" s="470"/>
      <c r="D24" s="470"/>
      <c r="E24" s="471"/>
      <c r="F24" s="51" t="s">
        <v>357</v>
      </c>
      <c r="G24" s="475">
        <f>G18</f>
        <v>3.88</v>
      </c>
      <c r="H24" s="473"/>
      <c r="I24" s="107">
        <f>0.15*1.1*1.07</f>
        <v>0.17655000000000001</v>
      </c>
      <c r="J24" s="106">
        <f>G24*I24</f>
        <v>0.68501400000000001</v>
      </c>
    </row>
    <row r="25" spans="1:10" ht="19.5" customHeight="1">
      <c r="A25" s="51"/>
      <c r="B25" s="88"/>
      <c r="C25" s="89"/>
      <c r="D25" s="89"/>
      <c r="E25" s="90"/>
      <c r="F25" s="51"/>
      <c r="G25" s="93"/>
      <c r="H25" s="92"/>
      <c r="I25" s="107"/>
      <c r="J25" s="106"/>
    </row>
    <row r="26" spans="1:10" ht="19.5" customHeight="1">
      <c r="A26" s="51">
        <v>4</v>
      </c>
      <c r="B26" s="469" t="s">
        <v>856</v>
      </c>
      <c r="C26" s="470"/>
      <c r="D26" s="470"/>
      <c r="E26" s="471"/>
      <c r="F26" s="51"/>
      <c r="G26" s="472"/>
      <c r="H26" s="473"/>
      <c r="I26" s="107"/>
      <c r="J26" s="106">
        <f>J27+J28+J29+J30</f>
        <v>153.3218028</v>
      </c>
    </row>
    <row r="27" spans="1:10" ht="19.5" customHeight="1">
      <c r="A27" s="51">
        <v>4.0999999999999996</v>
      </c>
      <c r="B27" s="469" t="s">
        <v>354</v>
      </c>
      <c r="C27" s="470"/>
      <c r="D27" s="470"/>
      <c r="E27" s="471"/>
      <c r="F27" s="51" t="s">
        <v>353</v>
      </c>
      <c r="G27" s="474">
        <f>G21</f>
        <v>255</v>
      </c>
      <c r="H27" s="473"/>
      <c r="I27" s="107">
        <f>0.208*1.1*1.07*0.86</f>
        <v>0.21054175999999999</v>
      </c>
      <c r="J27" s="106">
        <f>G27*I27</f>
        <v>53.6881488</v>
      </c>
    </row>
    <row r="28" spans="1:10" ht="19.5" customHeight="1">
      <c r="A28" s="51">
        <v>4.2</v>
      </c>
      <c r="B28" s="469" t="s">
        <v>507</v>
      </c>
      <c r="C28" s="470"/>
      <c r="D28" s="470"/>
      <c r="E28" s="471"/>
      <c r="F28" s="51" t="s">
        <v>357</v>
      </c>
      <c r="G28" s="474">
        <f>G22</f>
        <v>70</v>
      </c>
      <c r="H28" s="473"/>
      <c r="I28" s="107">
        <f>0.55*1.1*0.98</f>
        <v>0.59289999999999998</v>
      </c>
      <c r="J28" s="106">
        <f>G28*I28</f>
        <v>41.503</v>
      </c>
    </row>
    <row r="29" spans="1:10" ht="19.5" customHeight="1">
      <c r="A29" s="51">
        <v>4.3</v>
      </c>
      <c r="B29" s="469" t="s">
        <v>509</v>
      </c>
      <c r="C29" s="470"/>
      <c r="D29" s="470"/>
      <c r="E29" s="471"/>
      <c r="F29" s="51" t="s">
        <v>357</v>
      </c>
      <c r="G29" s="474">
        <f>G23</f>
        <v>70</v>
      </c>
      <c r="H29" s="473"/>
      <c r="I29" s="107">
        <f>0.79*1.06*0.98</f>
        <v>0.82065200000000005</v>
      </c>
      <c r="J29" s="106">
        <f>G29*I29</f>
        <v>57.445640000000004</v>
      </c>
    </row>
    <row r="30" spans="1:10" ht="19.5" customHeight="1">
      <c r="A30" s="51">
        <v>4.4000000000000004</v>
      </c>
      <c r="B30" s="469" t="s">
        <v>806</v>
      </c>
      <c r="C30" s="470"/>
      <c r="D30" s="470"/>
      <c r="E30" s="471"/>
      <c r="F30" s="51" t="s">
        <v>357</v>
      </c>
      <c r="G30" s="475">
        <f>G24</f>
        <v>3.88</v>
      </c>
      <c r="H30" s="473"/>
      <c r="I30" s="107">
        <f>0.15*1.1*1.07</f>
        <v>0.17655000000000001</v>
      </c>
      <c r="J30" s="106">
        <f>G30*I30</f>
        <v>0.68501400000000001</v>
      </c>
    </row>
    <row r="31" spans="1:10" ht="19.5" customHeight="1">
      <c r="A31" s="51"/>
      <c r="B31" s="469"/>
      <c r="C31" s="470"/>
      <c r="D31" s="470"/>
      <c r="E31" s="471"/>
      <c r="F31" s="51"/>
      <c r="G31" s="472"/>
      <c r="H31" s="473"/>
      <c r="I31" s="107"/>
      <c r="J31" s="108"/>
    </row>
    <row r="32" spans="1:10" ht="19.5" customHeight="1">
      <c r="A32" s="51">
        <v>5</v>
      </c>
      <c r="B32" s="469" t="s">
        <v>857</v>
      </c>
      <c r="C32" s="470"/>
      <c r="D32" s="470"/>
      <c r="E32" s="471"/>
      <c r="F32" s="51"/>
      <c r="G32" s="472"/>
      <c r="H32" s="473"/>
      <c r="I32" s="107"/>
      <c r="J32" s="106">
        <f>J33+J34+J35</f>
        <v>144.59654</v>
      </c>
    </row>
    <row r="33" spans="1:10" ht="19.5" customHeight="1">
      <c r="A33" s="51">
        <v>5.0999999999999996</v>
      </c>
      <c r="B33" s="469" t="s">
        <v>354</v>
      </c>
      <c r="C33" s="470"/>
      <c r="D33" s="470"/>
      <c r="E33" s="471"/>
      <c r="F33" s="51" t="s">
        <v>353</v>
      </c>
      <c r="G33" s="474">
        <f>G21</f>
        <v>255</v>
      </c>
      <c r="H33" s="473"/>
      <c r="I33" s="107">
        <f>0.305*0.86</f>
        <v>0.26229999999999998</v>
      </c>
      <c r="J33" s="106">
        <f>G33*I33</f>
        <v>66.886499999999998</v>
      </c>
    </row>
    <row r="34" spans="1:10" ht="19.5" customHeight="1">
      <c r="A34" s="51">
        <v>5.2</v>
      </c>
      <c r="B34" s="469" t="s">
        <v>507</v>
      </c>
      <c r="C34" s="470"/>
      <c r="D34" s="470"/>
      <c r="E34" s="471"/>
      <c r="F34" s="51" t="s">
        <v>357</v>
      </c>
      <c r="G34" s="474">
        <f>G22</f>
        <v>70</v>
      </c>
      <c r="H34" s="473"/>
      <c r="I34" s="107">
        <v>1.1000000000000001</v>
      </c>
      <c r="J34" s="106">
        <f>G34*I34</f>
        <v>77</v>
      </c>
    </row>
    <row r="35" spans="1:10" ht="19.5" customHeight="1">
      <c r="A35" s="51">
        <v>5.3</v>
      </c>
      <c r="B35" s="469" t="s">
        <v>806</v>
      </c>
      <c r="C35" s="470"/>
      <c r="D35" s="470"/>
      <c r="E35" s="471"/>
      <c r="F35" s="51" t="s">
        <v>357</v>
      </c>
      <c r="G35" s="475">
        <f>G24</f>
        <v>3.88</v>
      </c>
      <c r="H35" s="473"/>
      <c r="I35" s="107">
        <v>0.183</v>
      </c>
      <c r="J35" s="106">
        <f>G35*I35</f>
        <v>0.71004</v>
      </c>
    </row>
    <row r="36" spans="1:10" ht="19.5" customHeight="1">
      <c r="A36" s="51"/>
      <c r="B36" s="469"/>
      <c r="C36" s="470"/>
      <c r="D36" s="470"/>
      <c r="E36" s="471"/>
      <c r="F36" s="51"/>
      <c r="G36" s="472"/>
      <c r="H36" s="473"/>
      <c r="I36" s="107"/>
      <c r="J36" s="108"/>
    </row>
    <row r="37" spans="1:10" ht="19.5" customHeight="1">
      <c r="A37" s="51">
        <v>6</v>
      </c>
      <c r="B37" s="469" t="s">
        <v>858</v>
      </c>
      <c r="C37" s="470"/>
      <c r="D37" s="470"/>
      <c r="E37" s="471"/>
      <c r="F37" s="51"/>
      <c r="G37" s="472"/>
      <c r="H37" s="473"/>
      <c r="I37" s="107"/>
      <c r="J37" s="106">
        <f>J38+J39+J40</f>
        <v>135.54646</v>
      </c>
    </row>
    <row r="38" spans="1:10" ht="19.5" customHeight="1">
      <c r="A38" s="51">
        <v>6.1</v>
      </c>
      <c r="B38" s="469" t="s">
        <v>354</v>
      </c>
      <c r="C38" s="470"/>
      <c r="D38" s="470"/>
      <c r="E38" s="471"/>
      <c r="F38" s="51" t="s">
        <v>353</v>
      </c>
      <c r="G38" s="474">
        <f>G33</f>
        <v>255</v>
      </c>
      <c r="H38" s="473"/>
      <c r="I38" s="107">
        <f>0.261*0.86</f>
        <v>0.22445999999999999</v>
      </c>
      <c r="J38" s="106">
        <f>G38*I38</f>
        <v>57.237299999999998</v>
      </c>
    </row>
    <row r="39" spans="1:10" ht="19.5" customHeight="1">
      <c r="A39" s="51">
        <v>6.2</v>
      </c>
      <c r="B39" s="469" t="s">
        <v>507</v>
      </c>
      <c r="C39" s="470"/>
      <c r="D39" s="470"/>
      <c r="E39" s="471"/>
      <c r="F39" s="51" t="s">
        <v>357</v>
      </c>
      <c r="G39" s="474">
        <f>G34</f>
        <v>70</v>
      </c>
      <c r="H39" s="473"/>
      <c r="I39" s="107">
        <v>1.1100000000000001</v>
      </c>
      <c r="J39" s="106">
        <f>G39*I39</f>
        <v>77.7</v>
      </c>
    </row>
    <row r="40" spans="1:10" ht="19.5" customHeight="1">
      <c r="A40" s="51">
        <v>6.3</v>
      </c>
      <c r="B40" s="469" t="s">
        <v>806</v>
      </c>
      <c r="C40" s="470"/>
      <c r="D40" s="470"/>
      <c r="E40" s="471"/>
      <c r="F40" s="51" t="s">
        <v>357</v>
      </c>
      <c r="G40" s="475">
        <f>G35</f>
        <v>3.88</v>
      </c>
      <c r="H40" s="473"/>
      <c r="I40" s="107">
        <v>0.157</v>
      </c>
      <c r="J40" s="106">
        <f>G40*I40</f>
        <v>0.60916000000000003</v>
      </c>
    </row>
    <row r="41" spans="1:10" ht="19.5" customHeight="1">
      <c r="A41" s="91"/>
      <c r="B41" s="476"/>
      <c r="C41" s="476"/>
      <c r="D41" s="476"/>
      <c r="E41" s="476"/>
      <c r="F41" s="91"/>
      <c r="G41" s="476"/>
      <c r="H41" s="476"/>
      <c r="I41" s="91"/>
      <c r="J41" s="91"/>
    </row>
    <row r="42" spans="1:10" ht="22.5" customHeight="1">
      <c r="A42" s="379" t="s">
        <v>859</v>
      </c>
      <c r="B42" s="379"/>
      <c r="C42" s="379"/>
      <c r="D42" s="379"/>
      <c r="E42" s="379"/>
      <c r="F42" s="379"/>
      <c r="G42" s="379"/>
      <c r="H42" s="379"/>
      <c r="I42" s="379"/>
      <c r="J42" s="379"/>
    </row>
    <row r="43" spans="1:10" ht="6" customHeight="1">
      <c r="A43" s="94"/>
      <c r="B43" s="80"/>
      <c r="C43" s="80"/>
      <c r="D43" s="80"/>
      <c r="E43" s="80"/>
      <c r="F43" s="80"/>
      <c r="G43" s="80"/>
      <c r="H43" s="80"/>
      <c r="I43" s="80"/>
      <c r="J43" s="104"/>
    </row>
    <row r="44" spans="1:10" ht="16.5" customHeight="1">
      <c r="A44" s="95" t="s">
        <v>850</v>
      </c>
      <c r="B44" s="96">
        <v>4228</v>
      </c>
      <c r="C44" s="82"/>
      <c r="D44" s="463" t="s">
        <v>193</v>
      </c>
      <c r="E44" s="463"/>
      <c r="F44" s="463"/>
      <c r="H44" s="83" t="s">
        <v>852</v>
      </c>
      <c r="I44" s="103" t="s">
        <v>169</v>
      </c>
      <c r="J44" s="109" t="s">
        <v>860</v>
      </c>
    </row>
    <row r="45" spans="1:10" ht="6" customHeight="1">
      <c r="A45" s="86"/>
      <c r="J45" s="105"/>
    </row>
    <row r="46" spans="1:10" ht="16.5" customHeight="1">
      <c r="A46" s="84" t="s">
        <v>817</v>
      </c>
      <c r="B46" s="85"/>
      <c r="C46" s="85"/>
      <c r="D46" s="85"/>
      <c r="E46" s="85"/>
      <c r="F46" s="85"/>
      <c r="G46" s="85"/>
      <c r="H46" s="85"/>
      <c r="I46" s="85"/>
      <c r="J46" s="104"/>
    </row>
    <row r="47" spans="1:10" ht="16.5" customHeight="1">
      <c r="A47" s="86"/>
      <c r="B47" s="81"/>
      <c r="C47" s="81"/>
      <c r="D47" s="81"/>
      <c r="E47" s="81"/>
      <c r="F47" s="81"/>
      <c r="G47" s="81"/>
      <c r="H47" s="81"/>
      <c r="I47" s="81"/>
      <c r="J47" s="105"/>
    </row>
    <row r="48" spans="1:10" ht="30" customHeight="1">
      <c r="A48" s="87" t="s">
        <v>1</v>
      </c>
      <c r="B48" s="464" t="s">
        <v>344</v>
      </c>
      <c r="C48" s="465"/>
      <c r="D48" s="465"/>
      <c r="E48" s="466"/>
      <c r="F48" s="87" t="s">
        <v>818</v>
      </c>
      <c r="G48" s="467" t="s">
        <v>819</v>
      </c>
      <c r="H48" s="468"/>
      <c r="I48" s="87" t="s">
        <v>820</v>
      </c>
      <c r="J48" s="102" t="s">
        <v>821</v>
      </c>
    </row>
    <row r="49" spans="1:10" ht="16.5" customHeight="1">
      <c r="A49" s="51">
        <v>1</v>
      </c>
      <c r="B49" s="469" t="s">
        <v>861</v>
      </c>
      <c r="C49" s="470"/>
      <c r="D49" s="470"/>
      <c r="E49" s="471"/>
      <c r="F49" s="51" t="s">
        <v>825</v>
      </c>
      <c r="G49" s="474">
        <v>5.77</v>
      </c>
      <c r="H49" s="473"/>
      <c r="I49" s="51">
        <v>74.400000000000006</v>
      </c>
      <c r="J49" s="108">
        <f>G49*I49</f>
        <v>429.28800000000001</v>
      </c>
    </row>
    <row r="50" spans="1:10" ht="16.5" customHeight="1">
      <c r="A50" s="51">
        <v>2</v>
      </c>
      <c r="B50" s="469" t="s">
        <v>862</v>
      </c>
      <c r="C50" s="470"/>
      <c r="D50" s="470"/>
      <c r="E50" s="471"/>
      <c r="F50" s="51" t="s">
        <v>863</v>
      </c>
      <c r="G50" s="474">
        <f>施工机械台时汇总!$C$19</f>
        <v>0.80266353309831595</v>
      </c>
      <c r="H50" s="473"/>
      <c r="I50" s="51">
        <v>56</v>
      </c>
      <c r="J50" s="108">
        <f>G50*I50</f>
        <v>44.949157853505696</v>
      </c>
    </row>
    <row r="51" spans="1:10" ht="16.5" customHeight="1">
      <c r="A51" s="51">
        <v>3</v>
      </c>
      <c r="B51" s="469" t="s">
        <v>864</v>
      </c>
      <c r="C51" s="470"/>
      <c r="D51" s="470"/>
      <c r="E51" s="471"/>
      <c r="F51" s="97" t="s">
        <v>834</v>
      </c>
      <c r="G51" s="475">
        <f>J49+J50</f>
        <v>474.23715785350572</v>
      </c>
      <c r="H51" s="473"/>
      <c r="I51" s="51">
        <v>6</v>
      </c>
      <c r="J51" s="108">
        <f>G51*I51/100</f>
        <v>28.454229471210343</v>
      </c>
    </row>
    <row r="52" spans="1:10" ht="16.5" customHeight="1">
      <c r="A52" s="51">
        <v>4</v>
      </c>
      <c r="B52" s="469" t="s">
        <v>865</v>
      </c>
      <c r="C52" s="470"/>
      <c r="D52" s="470"/>
      <c r="E52" s="471"/>
      <c r="F52" s="51"/>
      <c r="G52" s="472"/>
      <c r="H52" s="473"/>
      <c r="I52" s="51"/>
      <c r="J52" s="108">
        <f>J51+J50+J49</f>
        <v>502.69138732471606</v>
      </c>
    </row>
    <row r="53" spans="1:10" ht="6" customHeight="1">
      <c r="A53" s="84"/>
      <c r="B53" s="85"/>
      <c r="C53" s="85"/>
      <c r="D53" s="85"/>
      <c r="E53" s="85"/>
      <c r="F53" s="85"/>
      <c r="G53" s="85"/>
      <c r="H53" s="85"/>
      <c r="I53" s="85"/>
      <c r="J53" s="104"/>
    </row>
    <row r="54" spans="1:10" ht="16.5" customHeight="1">
      <c r="A54" s="95" t="s">
        <v>850</v>
      </c>
      <c r="B54" s="96">
        <v>4256</v>
      </c>
      <c r="C54" s="98"/>
      <c r="D54" s="463" t="s">
        <v>866</v>
      </c>
      <c r="E54" s="463"/>
      <c r="F54" s="463"/>
      <c r="G54" s="99"/>
      <c r="H54" s="100" t="s">
        <v>852</v>
      </c>
      <c r="I54" s="110" t="s">
        <v>169</v>
      </c>
      <c r="J54" s="105" t="s">
        <v>860</v>
      </c>
    </row>
    <row r="55" spans="1:10" ht="6" customHeight="1">
      <c r="A55" s="86"/>
      <c r="B55" s="81"/>
      <c r="C55" s="81"/>
      <c r="D55" s="81"/>
      <c r="E55" s="81"/>
      <c r="F55" s="81"/>
      <c r="G55" s="81"/>
      <c r="H55" s="81"/>
      <c r="I55" s="81"/>
      <c r="J55" s="105"/>
    </row>
    <row r="56" spans="1:10" ht="16.5" customHeight="1">
      <c r="A56" s="84" t="s">
        <v>817</v>
      </c>
      <c r="B56" s="85"/>
      <c r="C56" s="85"/>
      <c r="D56" s="85"/>
      <c r="E56" s="85"/>
      <c r="F56" s="85"/>
      <c r="G56" s="85"/>
      <c r="H56" s="85"/>
      <c r="I56" s="85"/>
      <c r="J56" s="104"/>
    </row>
    <row r="57" spans="1:10" ht="16.5" customHeight="1">
      <c r="A57" s="86"/>
      <c r="B57" s="81"/>
      <c r="C57" s="81"/>
      <c r="D57" s="81"/>
      <c r="E57" s="81"/>
      <c r="F57" s="81"/>
      <c r="G57" s="81"/>
      <c r="H57" s="81"/>
      <c r="I57" s="81"/>
      <c r="J57" s="105"/>
    </row>
    <row r="58" spans="1:10" ht="30" customHeight="1">
      <c r="A58" s="101" t="s">
        <v>1</v>
      </c>
      <c r="B58" s="477" t="s">
        <v>344</v>
      </c>
      <c r="C58" s="477"/>
      <c r="D58" s="477"/>
      <c r="E58" s="477"/>
      <c r="F58" s="101" t="s">
        <v>818</v>
      </c>
      <c r="G58" s="478" t="s">
        <v>819</v>
      </c>
      <c r="H58" s="478"/>
      <c r="I58" s="101" t="s">
        <v>820</v>
      </c>
      <c r="J58" s="102" t="s">
        <v>821</v>
      </c>
    </row>
    <row r="59" spans="1:10" ht="16.5" customHeight="1">
      <c r="A59" s="51">
        <v>1</v>
      </c>
      <c r="B59" s="469" t="s">
        <v>176</v>
      </c>
      <c r="C59" s="470"/>
      <c r="D59" s="470"/>
      <c r="E59" s="471"/>
      <c r="F59" s="51"/>
      <c r="G59" s="472"/>
      <c r="H59" s="473"/>
      <c r="I59" s="51"/>
      <c r="J59" s="108">
        <f>J60+J61</f>
        <v>325.37700000000001</v>
      </c>
    </row>
    <row r="60" spans="1:10" ht="16.5" customHeight="1">
      <c r="A60" s="51">
        <v>1.1000000000000001</v>
      </c>
      <c r="B60" s="469" t="s">
        <v>824</v>
      </c>
      <c r="C60" s="470"/>
      <c r="D60" s="470"/>
      <c r="E60" s="471"/>
      <c r="F60" s="51" t="s">
        <v>825</v>
      </c>
      <c r="G60" s="474">
        <v>8.1</v>
      </c>
      <c r="H60" s="473"/>
      <c r="I60" s="51">
        <v>34.4</v>
      </c>
      <c r="J60" s="108">
        <f>G60*I60</f>
        <v>278.64</v>
      </c>
    </row>
    <row r="61" spans="1:10" ht="16.5" customHeight="1">
      <c r="A61" s="51">
        <v>1.2</v>
      </c>
      <c r="B61" s="469" t="s">
        <v>826</v>
      </c>
      <c r="C61" s="470"/>
      <c r="D61" s="470"/>
      <c r="E61" s="471"/>
      <c r="F61" s="51" t="s">
        <v>825</v>
      </c>
      <c r="G61" s="474">
        <v>5.77</v>
      </c>
      <c r="H61" s="473"/>
      <c r="I61" s="51">
        <v>8.1</v>
      </c>
      <c r="J61" s="108">
        <f>G61*I61</f>
        <v>46.737000000000002</v>
      </c>
    </row>
    <row r="62" spans="1:10" ht="16.5" customHeight="1">
      <c r="A62" s="51">
        <v>2</v>
      </c>
      <c r="B62" s="469" t="s">
        <v>836</v>
      </c>
      <c r="C62" s="470"/>
      <c r="D62" s="470"/>
      <c r="E62" s="471"/>
      <c r="F62" s="51"/>
      <c r="G62" s="472"/>
      <c r="H62" s="473"/>
      <c r="I62" s="51"/>
      <c r="J62" s="108">
        <f>J63</f>
        <v>230.98736316098692</v>
      </c>
    </row>
    <row r="63" spans="1:10" ht="16.5" customHeight="1">
      <c r="A63" s="51"/>
      <c r="B63" s="469" t="s">
        <v>867</v>
      </c>
      <c r="C63" s="470"/>
      <c r="D63" s="470"/>
      <c r="E63" s="471"/>
      <c r="F63" s="51" t="s">
        <v>863</v>
      </c>
      <c r="G63" s="474">
        <f>施工机械台时汇总!$C$45</f>
        <v>51.907272620446498</v>
      </c>
      <c r="H63" s="473"/>
      <c r="I63" s="51">
        <v>4.45</v>
      </c>
      <c r="J63" s="108">
        <f>G63*I63</f>
        <v>230.98736316098692</v>
      </c>
    </row>
    <row r="64" spans="1:10" ht="16.5" customHeight="1">
      <c r="A64" s="51">
        <v>3</v>
      </c>
      <c r="B64" s="469" t="s">
        <v>864</v>
      </c>
      <c r="C64" s="470"/>
      <c r="D64" s="470"/>
      <c r="E64" s="471"/>
      <c r="F64" s="97" t="s">
        <v>834</v>
      </c>
      <c r="G64" s="475">
        <f>J59+J62</f>
        <v>556.36436316098695</v>
      </c>
      <c r="H64" s="473"/>
      <c r="I64" s="51">
        <v>6</v>
      </c>
      <c r="J64" s="108">
        <f>G64*I64/100</f>
        <v>33.381861789659212</v>
      </c>
    </row>
    <row r="65" spans="1:10" ht="16.5" customHeight="1">
      <c r="A65" s="51">
        <v>4</v>
      </c>
      <c r="B65" s="469" t="s">
        <v>809</v>
      </c>
      <c r="C65" s="470"/>
      <c r="D65" s="470"/>
      <c r="E65" s="471"/>
      <c r="F65" s="51"/>
      <c r="G65" s="472"/>
      <c r="H65" s="473"/>
      <c r="I65" s="51"/>
      <c r="J65" s="108">
        <f>J59+J62+J64</f>
        <v>589.74622495064614</v>
      </c>
    </row>
    <row r="66" spans="1:10" ht="16.5" customHeight="1"/>
    <row r="67" spans="1:10" ht="16.5" customHeight="1"/>
    <row r="68" spans="1:10" ht="16.5" customHeight="1"/>
    <row r="69" spans="1:10" ht="16.5" customHeight="1"/>
    <row r="70" spans="1:10" ht="16.5" customHeight="1"/>
    <row r="71" spans="1:10" ht="16.5" customHeight="1"/>
    <row r="72" spans="1:10" ht="16.5" customHeight="1"/>
    <row r="73" spans="1:10" ht="16.5" customHeight="1"/>
    <row r="74" spans="1:10" ht="16.5" customHeight="1"/>
    <row r="75" spans="1:10" ht="16.5" customHeight="1"/>
    <row r="76" spans="1:10" ht="16.5" customHeight="1"/>
    <row r="77" spans="1:10" ht="16.5" customHeight="1"/>
    <row r="78" spans="1:10" ht="16.5" customHeight="1"/>
    <row r="79" spans="1:10" ht="16.5" customHeight="1"/>
    <row r="80" spans="1:1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sheetData>
  <mergeCells count="99">
    <mergeCell ref="B63:E63"/>
    <mergeCell ref="G63:H63"/>
    <mergeCell ref="B64:E64"/>
    <mergeCell ref="G64:H64"/>
    <mergeCell ref="B65:E65"/>
    <mergeCell ref="G65:H65"/>
    <mergeCell ref="B60:E60"/>
    <mergeCell ref="G60:H60"/>
    <mergeCell ref="B61:E61"/>
    <mergeCell ref="G61:H61"/>
    <mergeCell ref="B62:E62"/>
    <mergeCell ref="G62:H62"/>
    <mergeCell ref="D54:F54"/>
    <mergeCell ref="B58:E58"/>
    <mergeCell ref="G58:H58"/>
    <mergeCell ref="B59:E59"/>
    <mergeCell ref="G59:H59"/>
    <mergeCell ref="B50:E50"/>
    <mergeCell ref="G50:H50"/>
    <mergeCell ref="B51:E51"/>
    <mergeCell ref="G51:H51"/>
    <mergeCell ref="B52:E52"/>
    <mergeCell ref="G52:H52"/>
    <mergeCell ref="D44:F44"/>
    <mergeCell ref="B48:E48"/>
    <mergeCell ref="G48:H48"/>
    <mergeCell ref="B49:E49"/>
    <mergeCell ref="G49:H49"/>
    <mergeCell ref="B40:E40"/>
    <mergeCell ref="G40:H40"/>
    <mergeCell ref="B41:E41"/>
    <mergeCell ref="G41:H41"/>
    <mergeCell ref="A42:J42"/>
    <mergeCell ref="B37:E37"/>
    <mergeCell ref="G37:H37"/>
    <mergeCell ref="B38:E38"/>
    <mergeCell ref="G38:H38"/>
    <mergeCell ref="B39:E39"/>
    <mergeCell ref="G39:H39"/>
    <mergeCell ref="B34:E34"/>
    <mergeCell ref="G34:H34"/>
    <mergeCell ref="B35:E35"/>
    <mergeCell ref="G35:H35"/>
    <mergeCell ref="B36:E36"/>
    <mergeCell ref="G36:H36"/>
    <mergeCell ref="B31:E31"/>
    <mergeCell ref="G31:H31"/>
    <mergeCell ref="B32:E32"/>
    <mergeCell ref="G32:H32"/>
    <mergeCell ref="B33:E33"/>
    <mergeCell ref="G33:H33"/>
    <mergeCell ref="B28:E28"/>
    <mergeCell ref="G28:H28"/>
    <mergeCell ref="B29:E29"/>
    <mergeCell ref="G29:H29"/>
    <mergeCell ref="B30:E30"/>
    <mergeCell ref="G30:H30"/>
    <mergeCell ref="B24:E24"/>
    <mergeCell ref="G24:H24"/>
    <mergeCell ref="B26:E26"/>
    <mergeCell ref="G26:H26"/>
    <mergeCell ref="B27:E27"/>
    <mergeCell ref="G27:H27"/>
    <mergeCell ref="B21:E21"/>
    <mergeCell ref="G21:H21"/>
    <mergeCell ref="B22:E22"/>
    <mergeCell ref="G22:H22"/>
    <mergeCell ref="B23:E23"/>
    <mergeCell ref="G23:H23"/>
    <mergeCell ref="B18:E18"/>
    <mergeCell ref="G18:H18"/>
    <mergeCell ref="B19:E19"/>
    <mergeCell ref="G19:H19"/>
    <mergeCell ref="B20:E20"/>
    <mergeCell ref="G20:H20"/>
    <mergeCell ref="B15:E15"/>
    <mergeCell ref="G15:H15"/>
    <mergeCell ref="B16:E16"/>
    <mergeCell ref="G16:H16"/>
    <mergeCell ref="B17:E17"/>
    <mergeCell ref="G17:H17"/>
    <mergeCell ref="B12:E12"/>
    <mergeCell ref="G12:H12"/>
    <mergeCell ref="B13:E13"/>
    <mergeCell ref="G13:H13"/>
    <mergeCell ref="B14:E14"/>
    <mergeCell ref="G14:H14"/>
    <mergeCell ref="B9:E9"/>
    <mergeCell ref="G9:H9"/>
    <mergeCell ref="B10:E10"/>
    <mergeCell ref="G10:H10"/>
    <mergeCell ref="B11:E11"/>
    <mergeCell ref="G11:H11"/>
    <mergeCell ref="A1:J1"/>
    <mergeCell ref="D3:F3"/>
    <mergeCell ref="B7:E7"/>
    <mergeCell ref="G7:H7"/>
    <mergeCell ref="B8:E8"/>
    <mergeCell ref="G8:H8"/>
  </mergeCells>
  <phoneticPr fontId="79" type="noConversion"/>
  <printOptions horizontalCentered="1"/>
  <pageMargins left="0.94444444444444398" right="0.74791666666666701" top="1.18055555555556" bottom="0.98402777777777795" header="0.51180555555555596" footer="0.51180555555555596"/>
  <pageSetup paperSize="9" orientation="portrait" horizontalDpi="1200" verticalDpi="1200"/>
  <headerFooter alignWithMargins="0"/>
</worksheet>
</file>

<file path=xl/worksheets/sheet14.xml><?xml version="1.0" encoding="utf-8"?>
<worksheet xmlns="http://schemas.openxmlformats.org/spreadsheetml/2006/main" xmlns:r="http://schemas.openxmlformats.org/officeDocument/2006/relationships">
  <dimension ref="A1:AG3278"/>
  <sheetViews>
    <sheetView topLeftCell="M1" workbookViewId="0">
      <pane ySplit="2" topLeftCell="A1981" activePane="bottomLeft" state="frozen"/>
      <selection pane="bottomLeft" activeCell="Y1986" sqref="Y1986"/>
    </sheetView>
  </sheetViews>
  <sheetFormatPr defaultColWidth="9" defaultRowHeight="14.25"/>
  <cols>
    <col min="1" max="1" width="9.125" customWidth="1"/>
    <col min="2" max="2" width="25" customWidth="1"/>
    <col min="3" max="6" width="9.625" customWidth="1"/>
    <col min="7" max="7" width="10.25" customWidth="1"/>
    <col min="9" max="9" width="12.75" customWidth="1"/>
    <col min="16" max="16" width="13" customWidth="1"/>
  </cols>
  <sheetData>
    <row r="1" spans="1:9">
      <c r="A1" s="46" t="s">
        <v>354</v>
      </c>
      <c r="B1" s="46" t="s">
        <v>33</v>
      </c>
      <c r="C1" s="46" t="s">
        <v>506</v>
      </c>
      <c r="D1" s="46" t="s">
        <v>507</v>
      </c>
      <c r="E1" s="46" t="s">
        <v>509</v>
      </c>
      <c r="F1" s="46" t="s">
        <v>511</v>
      </c>
      <c r="G1" s="46" t="s">
        <v>515</v>
      </c>
      <c r="H1" s="46" t="s">
        <v>516</v>
      </c>
      <c r="I1" s="46"/>
    </row>
    <row r="2" spans="1:9">
      <c r="A2" s="46">
        <f>材料预算价格表!M6</f>
        <v>116.41515</v>
      </c>
      <c r="B2" s="46">
        <f>材料预算价格表!M7</f>
        <v>1494.7134599999999</v>
      </c>
      <c r="C2" s="46">
        <f>材料预算价格表!M8</f>
        <v>0</v>
      </c>
      <c r="D2" s="72">
        <f>材料预算价格表!M9</f>
        <v>4.6598683999999899</v>
      </c>
      <c r="E2" s="72">
        <f>材料预算价格表!M10</f>
        <v>6.2457299999999902</v>
      </c>
      <c r="F2" s="72">
        <f>材料预算价格表!M11</f>
        <v>38.516649999999998</v>
      </c>
      <c r="G2" s="46">
        <f>材料预算价格表!M13/1000</f>
        <v>4.7450000000000001</v>
      </c>
      <c r="H2" s="46">
        <f>材料预算价格表!M14/1000</f>
        <v>3.51</v>
      </c>
      <c r="I2" s="72"/>
    </row>
    <row r="3" spans="1:9" ht="22.5" customHeight="1">
      <c r="A3" s="479" t="s">
        <v>813</v>
      </c>
      <c r="B3" s="479"/>
      <c r="C3" s="479"/>
      <c r="D3" s="479"/>
      <c r="E3" s="479"/>
      <c r="F3" s="479"/>
    </row>
    <row r="4" spans="1:9" ht="18" customHeight="1">
      <c r="A4" s="462" t="s">
        <v>868</v>
      </c>
      <c r="B4" s="462"/>
      <c r="C4" s="462"/>
      <c r="D4" s="462"/>
      <c r="E4" s="462"/>
      <c r="F4" s="462"/>
    </row>
    <row r="5" spans="1:9" ht="18" customHeight="1">
      <c r="A5" s="47" t="s">
        <v>815</v>
      </c>
      <c r="B5" s="49">
        <v>4007</v>
      </c>
      <c r="C5" s="71"/>
      <c r="D5" s="46"/>
      <c r="E5" s="47" t="s">
        <v>169</v>
      </c>
      <c r="F5" s="49" t="s">
        <v>869</v>
      </c>
    </row>
    <row r="6" spans="1:9" ht="18" customHeight="1">
      <c r="A6" s="50" t="s">
        <v>817</v>
      </c>
      <c r="B6" s="458"/>
      <c r="C6" s="459"/>
      <c r="D6" s="459"/>
      <c r="E6" s="459"/>
      <c r="F6" s="460"/>
    </row>
    <row r="7" spans="1:9" ht="18" customHeight="1">
      <c r="A7" s="7" t="s">
        <v>1</v>
      </c>
      <c r="B7" s="52" t="s">
        <v>344</v>
      </c>
      <c r="C7" s="7" t="s">
        <v>818</v>
      </c>
      <c r="D7" s="7" t="s">
        <v>819</v>
      </c>
      <c r="E7" s="7" t="s">
        <v>820</v>
      </c>
      <c r="F7" s="7" t="s">
        <v>821</v>
      </c>
    </row>
    <row r="8" spans="1:9" ht="18" customHeight="1">
      <c r="A8" s="7">
        <v>1</v>
      </c>
      <c r="B8" s="52" t="s">
        <v>822</v>
      </c>
      <c r="C8" s="52"/>
      <c r="D8" s="7"/>
      <c r="E8" s="66"/>
      <c r="F8" s="53">
        <f>F9+F37+F38</f>
        <v>32983.306150317716</v>
      </c>
    </row>
    <row r="9" spans="1:9" ht="18" customHeight="1">
      <c r="A9" s="7">
        <v>1.1000000000000001</v>
      </c>
      <c r="B9" s="52" t="s">
        <v>823</v>
      </c>
      <c r="C9" s="52"/>
      <c r="D9" s="7"/>
      <c r="E9" s="66"/>
      <c r="F9" s="53">
        <f>F10+F13+F25+F34+F35+F36</f>
        <v>31472.620372440571</v>
      </c>
    </row>
    <row r="10" spans="1:9" ht="18" customHeight="1">
      <c r="A10" s="7" t="s">
        <v>47</v>
      </c>
      <c r="B10" s="52" t="s">
        <v>176</v>
      </c>
      <c r="C10" s="52"/>
      <c r="D10" s="7"/>
      <c r="E10" s="66"/>
      <c r="F10" s="53">
        <f>F11+F12</f>
        <v>5431.1279999999997</v>
      </c>
    </row>
    <row r="11" spans="1:9" ht="18" customHeight="1">
      <c r="A11" s="7"/>
      <c r="B11" s="52" t="s">
        <v>824</v>
      </c>
      <c r="C11" s="7" t="s">
        <v>825</v>
      </c>
      <c r="D11" s="7">
        <v>8.1</v>
      </c>
      <c r="E11" s="66">
        <v>438</v>
      </c>
      <c r="F11" s="53">
        <f>D11*E11</f>
        <v>3547.8</v>
      </c>
    </row>
    <row r="12" spans="1:9" ht="18" customHeight="1">
      <c r="A12" s="7"/>
      <c r="B12" s="52" t="s">
        <v>826</v>
      </c>
      <c r="C12" s="7" t="s">
        <v>825</v>
      </c>
      <c r="D12" s="7">
        <v>5.77</v>
      </c>
      <c r="E12" s="66">
        <v>326.39999999999998</v>
      </c>
      <c r="F12" s="53">
        <f>D12*E12</f>
        <v>1883.328</v>
      </c>
    </row>
    <row r="13" spans="1:9" ht="18" customHeight="1">
      <c r="A13" s="7" t="s">
        <v>57</v>
      </c>
      <c r="B13" s="52" t="s">
        <v>177</v>
      </c>
      <c r="C13" s="7"/>
      <c r="D13" s="7"/>
      <c r="E13" s="66"/>
      <c r="F13" s="53">
        <f>SUM(F14:F24)</f>
        <v>23518.14667437</v>
      </c>
    </row>
    <row r="14" spans="1:9" ht="18" customHeight="1">
      <c r="A14" s="7"/>
      <c r="B14" s="52" t="s">
        <v>870</v>
      </c>
      <c r="C14" s="7" t="s">
        <v>871</v>
      </c>
      <c r="D14" s="7">
        <f>材料预算价格表!L8</f>
        <v>1874.0778</v>
      </c>
      <c r="E14" s="66">
        <v>0.15</v>
      </c>
      <c r="F14" s="53">
        <f t="shared" ref="F14:F23" si="0">D14*E14</f>
        <v>281.11167</v>
      </c>
    </row>
    <row r="15" spans="1:9" ht="18" customHeight="1">
      <c r="A15" s="7"/>
      <c r="B15" s="52" t="s">
        <v>872</v>
      </c>
      <c r="C15" s="7" t="s">
        <v>844</v>
      </c>
      <c r="D15" s="7">
        <v>10</v>
      </c>
      <c r="E15" s="66">
        <v>302</v>
      </c>
      <c r="F15" s="53">
        <f t="shared" si="0"/>
        <v>3020</v>
      </c>
    </row>
    <row r="16" spans="1:9" ht="18" customHeight="1">
      <c r="A16" s="7"/>
      <c r="B16" s="52" t="s">
        <v>375</v>
      </c>
      <c r="C16" s="7" t="s">
        <v>844</v>
      </c>
      <c r="D16" s="7">
        <f>次要材料汇总!$F$9</f>
        <v>6</v>
      </c>
      <c r="E16" s="66">
        <v>7.13</v>
      </c>
      <c r="F16" s="53">
        <f t="shared" si="0"/>
        <v>42.78</v>
      </c>
    </row>
    <row r="17" spans="1:6" ht="18" customHeight="1">
      <c r="A17" s="7"/>
      <c r="B17" s="52" t="s">
        <v>873</v>
      </c>
      <c r="C17" s="7" t="s">
        <v>844</v>
      </c>
      <c r="D17" s="7">
        <f>次要材料汇总!$F$10</f>
        <v>5.5</v>
      </c>
      <c r="E17" s="66">
        <v>17.03</v>
      </c>
      <c r="F17" s="53">
        <f t="shared" si="0"/>
        <v>93.665000000000006</v>
      </c>
    </row>
    <row r="18" spans="1:6" ht="18" customHeight="1">
      <c r="A18" s="7"/>
      <c r="B18" s="52" t="s">
        <v>874</v>
      </c>
      <c r="C18" s="7" t="s">
        <v>844</v>
      </c>
      <c r="D18" s="7">
        <f>次要材料汇总!$F$11</f>
        <v>6.5</v>
      </c>
      <c r="E18" s="66">
        <v>22.86</v>
      </c>
      <c r="F18" s="53">
        <f t="shared" si="0"/>
        <v>148.59</v>
      </c>
    </row>
    <row r="19" spans="1:6" ht="18" customHeight="1">
      <c r="A19" s="7"/>
      <c r="B19" s="52" t="s">
        <v>875</v>
      </c>
      <c r="C19" s="7" t="s">
        <v>844</v>
      </c>
      <c r="D19" s="7">
        <f>次要材料汇总!$F$5</f>
        <v>8</v>
      </c>
      <c r="E19" s="66">
        <v>10.62</v>
      </c>
      <c r="F19" s="53">
        <f t="shared" si="0"/>
        <v>84.96</v>
      </c>
    </row>
    <row r="20" spans="1:6" ht="18" customHeight="1">
      <c r="A20" s="7"/>
      <c r="B20" s="52" t="s">
        <v>372</v>
      </c>
      <c r="C20" s="7" t="s">
        <v>844</v>
      </c>
      <c r="D20" s="7">
        <f>次要材料汇总!$F$6</f>
        <v>7.4</v>
      </c>
      <c r="E20" s="66">
        <v>35.75</v>
      </c>
      <c r="F20" s="53">
        <f t="shared" si="0"/>
        <v>264.55</v>
      </c>
    </row>
    <row r="21" spans="1:6" ht="18" customHeight="1">
      <c r="A21" s="7"/>
      <c r="B21" s="52" t="s">
        <v>876</v>
      </c>
      <c r="C21" s="7" t="s">
        <v>844</v>
      </c>
      <c r="D21" s="7">
        <f>次要材料汇总!$F$12</f>
        <v>7.5</v>
      </c>
      <c r="E21" s="66">
        <v>0.56000000000000005</v>
      </c>
      <c r="F21" s="53">
        <f t="shared" si="0"/>
        <v>4.2</v>
      </c>
    </row>
    <row r="22" spans="1:6" ht="18" customHeight="1">
      <c r="A22" s="7"/>
      <c r="B22" s="52" t="s">
        <v>877</v>
      </c>
      <c r="C22" s="7" t="s">
        <v>871</v>
      </c>
      <c r="D22" s="66">
        <f>砼配合!J8</f>
        <v>183.29938899999999</v>
      </c>
      <c r="E22" s="66">
        <v>103</v>
      </c>
      <c r="F22" s="53">
        <f t="shared" si="0"/>
        <v>18879.837067</v>
      </c>
    </row>
    <row r="23" spans="1:6" ht="18" customHeight="1">
      <c r="A23" s="7"/>
      <c r="B23" s="52" t="s">
        <v>806</v>
      </c>
      <c r="C23" s="7" t="s">
        <v>871</v>
      </c>
      <c r="D23" s="66">
        <f>材料预算价格表!K15</f>
        <v>3.88</v>
      </c>
      <c r="E23" s="66">
        <v>120</v>
      </c>
      <c r="F23" s="53">
        <f t="shared" si="0"/>
        <v>465.59999999999997</v>
      </c>
    </row>
    <row r="24" spans="1:6" ht="18" customHeight="1">
      <c r="A24" s="7"/>
      <c r="B24" s="52" t="s">
        <v>833</v>
      </c>
      <c r="C24" s="7" t="s">
        <v>834</v>
      </c>
      <c r="D24" s="66">
        <f>SUM(F14:F23)</f>
        <v>23285.293737</v>
      </c>
      <c r="E24" s="66">
        <v>1</v>
      </c>
      <c r="F24" s="53">
        <f>D24*E24/100</f>
        <v>232.85293737000001</v>
      </c>
    </row>
    <row r="25" spans="1:6" ht="18" customHeight="1">
      <c r="A25" s="7" t="s">
        <v>835</v>
      </c>
      <c r="B25" s="52" t="s">
        <v>836</v>
      </c>
      <c r="C25" s="52"/>
      <c r="D25" s="7"/>
      <c r="E25" s="66"/>
      <c r="F25" s="53">
        <f>SUM(F26:F33)</f>
        <v>1398.1349574269486</v>
      </c>
    </row>
    <row r="26" spans="1:6" ht="18" customHeight="1">
      <c r="A26" s="7"/>
      <c r="B26" s="52" t="s">
        <v>878</v>
      </c>
      <c r="C26" s="7" t="s">
        <v>863</v>
      </c>
      <c r="D26" s="66">
        <f>施工机械台时汇总!$C$42</f>
        <v>49.210305522914197</v>
      </c>
      <c r="E26" s="66">
        <v>1.08</v>
      </c>
      <c r="F26" s="53">
        <f t="shared" ref="F26:F32" si="1">D26*E26</f>
        <v>53.147129964747336</v>
      </c>
    </row>
    <row r="27" spans="1:6" ht="18" customHeight="1">
      <c r="A27" s="7"/>
      <c r="B27" s="52" t="s">
        <v>879</v>
      </c>
      <c r="C27" s="7" t="s">
        <v>863</v>
      </c>
      <c r="D27" s="66">
        <f>施工机械台时汇总!$C$57</f>
        <v>62.128971797884901</v>
      </c>
      <c r="E27" s="66">
        <v>0.06</v>
      </c>
      <c r="F27" s="53">
        <f t="shared" si="1"/>
        <v>3.7277383078730941</v>
      </c>
    </row>
    <row r="28" spans="1:6" ht="18" customHeight="1">
      <c r="A28" s="7"/>
      <c r="B28" s="52" t="s">
        <v>436</v>
      </c>
      <c r="C28" s="7" t="s">
        <v>880</v>
      </c>
      <c r="D28" s="66">
        <f>施工机械台时汇总!$C$48</f>
        <v>184.44</v>
      </c>
      <c r="E28" s="66">
        <v>3.03</v>
      </c>
      <c r="F28" s="53">
        <f t="shared" si="1"/>
        <v>558.8531999999999</v>
      </c>
    </row>
    <row r="29" spans="1:6" ht="18" customHeight="1">
      <c r="A29" s="7"/>
      <c r="B29" s="52" t="s">
        <v>881</v>
      </c>
      <c r="C29" s="7" t="s">
        <v>863</v>
      </c>
      <c r="D29" s="66">
        <f>施工机械台时汇总!$C$40</f>
        <v>15.582226792009401</v>
      </c>
      <c r="E29" s="66">
        <v>0.99</v>
      </c>
      <c r="F29" s="53">
        <f t="shared" si="1"/>
        <v>15.426404524089307</v>
      </c>
    </row>
    <row r="30" spans="1:6" ht="18" customHeight="1">
      <c r="A30" s="7"/>
      <c r="B30" s="52" t="s">
        <v>882</v>
      </c>
      <c r="C30" s="7" t="s">
        <v>863</v>
      </c>
      <c r="D30" s="66">
        <f>施工机械台时汇总!$C$21</f>
        <v>28.129680376028197</v>
      </c>
      <c r="E30" s="66">
        <v>18.54</v>
      </c>
      <c r="F30" s="53">
        <f t="shared" si="1"/>
        <v>521.52427417156275</v>
      </c>
    </row>
    <row r="31" spans="1:6" ht="18" customHeight="1">
      <c r="A31" s="7"/>
      <c r="B31" s="52" t="s">
        <v>883</v>
      </c>
      <c r="C31" s="7" t="s">
        <v>863</v>
      </c>
      <c r="D31" s="66">
        <f>施工机械台时汇总!$C$24</f>
        <v>2.2013599686643204</v>
      </c>
      <c r="E31" s="66">
        <v>23.5</v>
      </c>
      <c r="F31" s="53">
        <f t="shared" si="1"/>
        <v>51.731959263611529</v>
      </c>
    </row>
    <row r="32" spans="1:6" ht="18" customHeight="1">
      <c r="A32" s="7"/>
      <c r="B32" s="52" t="s">
        <v>407</v>
      </c>
      <c r="C32" s="7" t="s">
        <v>863</v>
      </c>
      <c r="D32" s="66">
        <f>施工机械台时汇总!$C$19</f>
        <v>0.80266353309831595</v>
      </c>
      <c r="E32" s="66">
        <v>83</v>
      </c>
      <c r="F32" s="53">
        <f t="shared" si="1"/>
        <v>66.621073247160226</v>
      </c>
    </row>
    <row r="33" spans="1:6" ht="18" customHeight="1">
      <c r="A33" s="7"/>
      <c r="B33" s="52" t="s">
        <v>840</v>
      </c>
      <c r="C33" s="7" t="s">
        <v>834</v>
      </c>
      <c r="D33" s="66">
        <f>SUM(F26:F32)</f>
        <v>1271.0317794790442</v>
      </c>
      <c r="E33" s="66">
        <v>10</v>
      </c>
      <c r="F33" s="53">
        <f>D33*E33/100</f>
        <v>127.10317794790443</v>
      </c>
    </row>
    <row r="34" spans="1:6" ht="18" customHeight="1">
      <c r="A34" s="7" t="s">
        <v>884</v>
      </c>
      <c r="B34" s="52" t="s">
        <v>885</v>
      </c>
      <c r="C34" s="7" t="s">
        <v>871</v>
      </c>
      <c r="D34" s="66">
        <f>砼配合!J52/100</f>
        <v>5.0269138732471603</v>
      </c>
      <c r="E34" s="66">
        <v>103</v>
      </c>
      <c r="F34" s="53">
        <f>D34*E34</f>
        <v>517.77212894445756</v>
      </c>
    </row>
    <row r="35" spans="1:6" ht="18" customHeight="1">
      <c r="A35" s="7" t="s">
        <v>886</v>
      </c>
      <c r="B35" s="52" t="s">
        <v>887</v>
      </c>
      <c r="C35" s="7" t="s">
        <v>871</v>
      </c>
      <c r="D35" s="66">
        <f>砼配合!J65/100</f>
        <v>5.8974622495064617</v>
      </c>
      <c r="E35" s="66">
        <v>103</v>
      </c>
      <c r="F35" s="53">
        <f>D35*E35</f>
        <v>607.43861169916556</v>
      </c>
    </row>
    <row r="36" spans="1:6" ht="18" customHeight="1">
      <c r="A36" s="7"/>
      <c r="B36" s="52"/>
      <c r="C36" s="52"/>
      <c r="D36" s="7"/>
      <c r="E36" s="66"/>
      <c r="F36" s="53"/>
    </row>
    <row r="37" spans="1:6" ht="18" customHeight="1">
      <c r="A37" s="7">
        <v>1.2</v>
      </c>
      <c r="B37" s="52" t="s">
        <v>841</v>
      </c>
      <c r="C37" s="52"/>
      <c r="D37" s="53">
        <f>F9</f>
        <v>31472.620372440571</v>
      </c>
      <c r="E37" s="56">
        <f>取费!C9</f>
        <v>4.8000000000000001E-2</v>
      </c>
      <c r="F37" s="53">
        <f>D37*E37</f>
        <v>1510.6857778771475</v>
      </c>
    </row>
    <row r="38" spans="1:6" ht="18" customHeight="1">
      <c r="A38" s="7">
        <v>1.3</v>
      </c>
      <c r="B38" s="52" t="s">
        <v>842</v>
      </c>
      <c r="C38" s="52"/>
      <c r="D38" s="53">
        <f>F9</f>
        <v>31472.620372440571</v>
      </c>
      <c r="E38" s="56">
        <f>取费!D9</f>
        <v>0</v>
      </c>
      <c r="F38" s="53">
        <f>D38*E38</f>
        <v>0</v>
      </c>
    </row>
    <row r="39" spans="1:6" ht="18" customHeight="1">
      <c r="A39" s="7">
        <v>2</v>
      </c>
      <c r="B39" s="52" t="s">
        <v>182</v>
      </c>
      <c r="C39" s="52"/>
      <c r="D39" s="53">
        <f>F8</f>
        <v>32983.306150317716</v>
      </c>
      <c r="E39" s="56">
        <f>取费!E9</f>
        <v>7.0000000000000007E-2</v>
      </c>
      <c r="F39" s="53">
        <f>D39*E39</f>
        <v>2308.8314305222402</v>
      </c>
    </row>
    <row r="40" spans="1:6" ht="18" customHeight="1">
      <c r="A40" s="7">
        <v>3</v>
      </c>
      <c r="B40" s="52" t="s">
        <v>843</v>
      </c>
      <c r="C40" s="52"/>
      <c r="D40" s="53">
        <f>F39+F8</f>
        <v>35292.137580839953</v>
      </c>
      <c r="E40" s="56">
        <f>取费!F9</f>
        <v>7.0000000000000007E-2</v>
      </c>
      <c r="F40" s="53">
        <f>D40*E40</f>
        <v>2470.4496306587971</v>
      </c>
    </row>
    <row r="41" spans="1:6" ht="18" customHeight="1">
      <c r="A41" s="7">
        <v>4</v>
      </c>
      <c r="B41" s="52" t="s">
        <v>184</v>
      </c>
      <c r="C41" s="52"/>
      <c r="D41" s="66"/>
      <c r="E41" s="66"/>
      <c r="F41" s="53">
        <f>SUM(F42:F47)</f>
        <v>5058.470175083713</v>
      </c>
    </row>
    <row r="42" spans="1:6" ht="18" customHeight="1">
      <c r="A42" s="7"/>
      <c r="B42" s="52" t="s">
        <v>354</v>
      </c>
      <c r="C42" s="7" t="s">
        <v>88</v>
      </c>
      <c r="D42" s="66">
        <f>A2</f>
        <v>116.41515</v>
      </c>
      <c r="E42" s="66">
        <f>E22*砼配合!I9</f>
        <v>35.035758999999999</v>
      </c>
      <c r="F42" s="53">
        <f t="shared" ref="F42:F48" si="2">D42*E42</f>
        <v>4078.6931393488499</v>
      </c>
    </row>
    <row r="43" spans="1:6" ht="18" customHeight="1">
      <c r="A43" s="7"/>
      <c r="B43" s="52" t="s">
        <v>507</v>
      </c>
      <c r="C43" s="7" t="s">
        <v>871</v>
      </c>
      <c r="D43" s="66">
        <f>D2</f>
        <v>4.6598683999999899</v>
      </c>
      <c r="E43" s="66">
        <f>E22*砼配合!I10</f>
        <v>54.406660000000002</v>
      </c>
      <c r="F43" s="53">
        <f t="shared" si="2"/>
        <v>253.52787568354347</v>
      </c>
    </row>
    <row r="44" spans="1:6" ht="18" customHeight="1">
      <c r="A44" s="7"/>
      <c r="B44" s="52" t="s">
        <v>509</v>
      </c>
      <c r="C44" s="7" t="s">
        <v>871</v>
      </c>
      <c r="D44" s="66">
        <f>E2</f>
        <v>6.2457299999999902</v>
      </c>
      <c r="E44" s="66">
        <f>E22*砼配合!I11</f>
        <v>86.667083999999988</v>
      </c>
      <c r="F44" s="53">
        <f t="shared" si="2"/>
        <v>541.29920655131912</v>
      </c>
    </row>
    <row r="45" spans="1:6" ht="18" customHeight="1">
      <c r="A45" s="7"/>
      <c r="B45" s="52" t="s">
        <v>506</v>
      </c>
      <c r="C45" s="7" t="s">
        <v>871</v>
      </c>
      <c r="D45" s="66">
        <f>C2</f>
        <v>0</v>
      </c>
      <c r="E45" s="66">
        <f>E14</f>
        <v>0.15</v>
      </c>
      <c r="F45" s="53">
        <f t="shared" si="2"/>
        <v>0</v>
      </c>
    </row>
    <row r="46" spans="1:6" ht="18" customHeight="1">
      <c r="A46" s="7"/>
      <c r="B46" s="52" t="s">
        <v>515</v>
      </c>
      <c r="C46" s="7" t="s">
        <v>844</v>
      </c>
      <c r="D46" s="66">
        <f>G2</f>
        <v>4.7450000000000001</v>
      </c>
      <c r="E46" s="66">
        <f>E26*台时!AK19+砼单价!E27*台时!AZ19</f>
        <v>8.1240000000000006</v>
      </c>
      <c r="F46" s="53">
        <f t="shared" si="2"/>
        <v>38.548380000000002</v>
      </c>
    </row>
    <row r="47" spans="1:6" ht="18" customHeight="1">
      <c r="A47" s="7"/>
      <c r="B47" s="52" t="s">
        <v>516</v>
      </c>
      <c r="C47" s="7" t="s">
        <v>844</v>
      </c>
      <c r="D47" s="66">
        <f>H2</f>
        <v>3.51</v>
      </c>
      <c r="E47" s="66">
        <f>砼配合!I63*台时!AN22*砼单价!E35/100</f>
        <v>41.709849999999996</v>
      </c>
      <c r="F47" s="53">
        <f t="shared" si="2"/>
        <v>146.40157349999998</v>
      </c>
    </row>
    <row r="48" spans="1:6" ht="18" customHeight="1">
      <c r="A48" s="7">
        <v>5</v>
      </c>
      <c r="B48" s="52" t="s">
        <v>845</v>
      </c>
      <c r="C48" s="52"/>
      <c r="D48" s="53">
        <f>F8+F39+F40+F41</f>
        <v>42821.057386582463</v>
      </c>
      <c r="E48" s="56">
        <f>取费!G9</f>
        <v>0.09</v>
      </c>
      <c r="F48" s="53">
        <f t="shared" si="2"/>
        <v>3853.8951647924214</v>
      </c>
    </row>
    <row r="49" spans="1:6" ht="18" customHeight="1">
      <c r="A49" s="7">
        <v>6</v>
      </c>
      <c r="B49" s="52" t="s">
        <v>7</v>
      </c>
      <c r="C49" s="52"/>
      <c r="D49" s="7"/>
      <c r="E49" s="66"/>
      <c r="F49" s="53">
        <f>D48+F48</f>
        <v>46674.952551374881</v>
      </c>
    </row>
    <row r="50" spans="1:6" ht="18" customHeight="1">
      <c r="A50" s="7"/>
      <c r="B50" s="52" t="s">
        <v>846</v>
      </c>
      <c r="C50" s="52"/>
      <c r="D50" s="53">
        <f>F49</f>
        <v>46674.952551374881</v>
      </c>
      <c r="E50" s="56">
        <f>取费!H6</f>
        <v>0.03</v>
      </c>
      <c r="F50" s="53">
        <f>E50*D50</f>
        <v>1400.2485765412464</v>
      </c>
    </row>
    <row r="51" spans="1:6" ht="18" customHeight="1">
      <c r="A51" s="7"/>
      <c r="B51" s="52" t="s">
        <v>44</v>
      </c>
      <c r="C51" s="52"/>
      <c r="D51" s="7"/>
      <c r="E51" s="66"/>
      <c r="F51" s="53">
        <f>SUM(F49:F50)</f>
        <v>48075.201127916131</v>
      </c>
    </row>
    <row r="52" spans="1:6" ht="22.5" customHeight="1">
      <c r="A52" s="461" t="s">
        <v>813</v>
      </c>
      <c r="B52" s="461"/>
      <c r="C52" s="461"/>
      <c r="D52" s="461"/>
      <c r="E52" s="461"/>
      <c r="F52" s="461"/>
    </row>
    <row r="53" spans="1:6" ht="18" customHeight="1">
      <c r="A53" s="462" t="s">
        <v>888</v>
      </c>
      <c r="B53" s="462"/>
      <c r="C53" s="462"/>
      <c r="D53" s="462"/>
      <c r="E53" s="462"/>
      <c r="F53" s="462"/>
    </row>
    <row r="54" spans="1:6" ht="18" customHeight="1">
      <c r="A54" s="47" t="s">
        <v>815</v>
      </c>
      <c r="B54" s="49">
        <v>4044</v>
      </c>
      <c r="D54" s="46"/>
      <c r="E54" s="47" t="s">
        <v>169</v>
      </c>
      <c r="F54" s="49" t="s">
        <v>869</v>
      </c>
    </row>
    <row r="55" spans="1:6" ht="18" customHeight="1">
      <c r="A55" s="50" t="s">
        <v>817</v>
      </c>
      <c r="B55" s="458"/>
      <c r="C55" s="459"/>
      <c r="D55" s="459"/>
      <c r="E55" s="459"/>
      <c r="F55" s="460"/>
    </row>
    <row r="56" spans="1:6" ht="18" customHeight="1">
      <c r="A56" s="7" t="s">
        <v>1</v>
      </c>
      <c r="B56" s="52" t="s">
        <v>344</v>
      </c>
      <c r="C56" s="7" t="s">
        <v>818</v>
      </c>
      <c r="D56" s="7" t="s">
        <v>819</v>
      </c>
      <c r="E56" s="7" t="s">
        <v>820</v>
      </c>
      <c r="F56" s="7" t="s">
        <v>821</v>
      </c>
    </row>
    <row r="57" spans="1:6" ht="18" customHeight="1">
      <c r="A57" s="7">
        <v>1</v>
      </c>
      <c r="B57" s="52" t="s">
        <v>822</v>
      </c>
      <c r="C57" s="52"/>
      <c r="D57" s="7"/>
      <c r="E57" s="7"/>
      <c r="F57" s="53">
        <f>F58+F85+F86</f>
        <v>46972.71207074308</v>
      </c>
    </row>
    <row r="58" spans="1:6" ht="18" customHeight="1">
      <c r="A58" s="7">
        <v>1.1000000000000001</v>
      </c>
      <c r="B58" s="52" t="s">
        <v>823</v>
      </c>
      <c r="C58" s="52"/>
      <c r="D58" s="7"/>
      <c r="E58" s="7"/>
      <c r="F58" s="53">
        <f>F59+F62+F73+F82+F83+F84</f>
        <v>44821.290143838814</v>
      </c>
    </row>
    <row r="59" spans="1:6" ht="18" customHeight="1">
      <c r="A59" s="7" t="s">
        <v>47</v>
      </c>
      <c r="B59" s="52" t="s">
        <v>176</v>
      </c>
      <c r="C59" s="52"/>
      <c r="D59" s="7"/>
      <c r="E59" s="7"/>
      <c r="F59" s="53">
        <f>F60+F61</f>
        <v>11353.74</v>
      </c>
    </row>
    <row r="60" spans="1:6" ht="18" customHeight="1">
      <c r="A60" s="7"/>
      <c r="B60" s="52" t="s">
        <v>824</v>
      </c>
      <c r="C60" s="7" t="s">
        <v>825</v>
      </c>
      <c r="D60" s="7">
        <v>8.1</v>
      </c>
      <c r="E60" s="7">
        <v>1038.4000000000001</v>
      </c>
      <c r="F60" s="53">
        <f>D60*E60</f>
        <v>8411.0400000000009</v>
      </c>
    </row>
    <row r="61" spans="1:6" ht="18" customHeight="1">
      <c r="A61" s="7"/>
      <c r="B61" s="52" t="s">
        <v>826</v>
      </c>
      <c r="C61" s="7" t="s">
        <v>825</v>
      </c>
      <c r="D61" s="7">
        <v>5.77</v>
      </c>
      <c r="E61" s="7">
        <v>510</v>
      </c>
      <c r="F61" s="53">
        <f>D61*E61</f>
        <v>2942.7</v>
      </c>
    </row>
    <row r="62" spans="1:6" ht="18" customHeight="1">
      <c r="A62" s="7" t="s">
        <v>57</v>
      </c>
      <c r="B62" s="52" t="s">
        <v>177</v>
      </c>
      <c r="C62" s="7"/>
      <c r="D62" s="7"/>
      <c r="E62" s="7"/>
      <c r="F62" s="53">
        <f>SUM(F63:F72)</f>
        <v>30969.268928609999</v>
      </c>
    </row>
    <row r="63" spans="1:6" ht="18" customHeight="1">
      <c r="A63" s="7"/>
      <c r="B63" s="52" t="s">
        <v>870</v>
      </c>
      <c r="C63" s="7" t="s">
        <v>871</v>
      </c>
      <c r="D63" s="7">
        <f>材料预算价格表!L8</f>
        <v>1874.0778</v>
      </c>
      <c r="E63" s="7">
        <v>4.4000000000000004</v>
      </c>
      <c r="F63" s="53">
        <f t="shared" ref="F63:F71" si="3">D63*E63</f>
        <v>8245.9423200000001</v>
      </c>
    </row>
    <row r="64" spans="1:6" ht="18" customHeight="1">
      <c r="A64" s="7"/>
      <c r="B64" s="52" t="s">
        <v>375</v>
      </c>
      <c r="C64" s="7" t="s">
        <v>844</v>
      </c>
      <c r="D64" s="7">
        <f>次要材料汇总!$F$9</f>
        <v>6</v>
      </c>
      <c r="E64" s="7">
        <v>33.729999999999997</v>
      </c>
      <c r="F64" s="53">
        <f t="shared" si="3"/>
        <v>202.38</v>
      </c>
    </row>
    <row r="65" spans="1:6" ht="18" customHeight="1">
      <c r="A65" s="7"/>
      <c r="B65" s="52" t="s">
        <v>873</v>
      </c>
      <c r="C65" s="7" t="s">
        <v>844</v>
      </c>
      <c r="D65" s="7">
        <f>次要材料汇总!$F$10</f>
        <v>5.5</v>
      </c>
      <c r="E65" s="7">
        <v>80.61</v>
      </c>
      <c r="F65" s="53">
        <f t="shared" si="3"/>
        <v>443.35500000000002</v>
      </c>
    </row>
    <row r="66" spans="1:6" ht="18" customHeight="1">
      <c r="A66" s="7"/>
      <c r="B66" s="52" t="s">
        <v>874</v>
      </c>
      <c r="C66" s="7" t="s">
        <v>844</v>
      </c>
      <c r="D66" s="7">
        <f>次要材料汇总!$F$11</f>
        <v>6.5</v>
      </c>
      <c r="E66" s="7">
        <v>108.28</v>
      </c>
      <c r="F66" s="53">
        <f t="shared" si="3"/>
        <v>703.82</v>
      </c>
    </row>
    <row r="67" spans="1:6" ht="18" customHeight="1">
      <c r="A67" s="7"/>
      <c r="B67" s="52" t="s">
        <v>875</v>
      </c>
      <c r="C67" s="7" t="s">
        <v>844</v>
      </c>
      <c r="D67" s="7">
        <f>次要材料汇总!$F$5</f>
        <v>8</v>
      </c>
      <c r="E67" s="7">
        <v>2.54</v>
      </c>
      <c r="F67" s="53">
        <f t="shared" si="3"/>
        <v>20.32</v>
      </c>
    </row>
    <row r="68" spans="1:6" ht="18" customHeight="1">
      <c r="A68" s="7"/>
      <c r="B68" s="52" t="s">
        <v>372</v>
      </c>
      <c r="C68" s="7" t="s">
        <v>844</v>
      </c>
      <c r="D68" s="7">
        <f>次要材料汇总!$F$6</f>
        <v>7.4</v>
      </c>
      <c r="E68" s="7">
        <v>125.78</v>
      </c>
      <c r="F68" s="53">
        <f t="shared" si="3"/>
        <v>930.77200000000005</v>
      </c>
    </row>
    <row r="69" spans="1:6" ht="18" customHeight="1">
      <c r="A69" s="7"/>
      <c r="B69" s="52" t="s">
        <v>876</v>
      </c>
      <c r="C69" s="7" t="s">
        <v>844</v>
      </c>
      <c r="D69" s="7">
        <f>次要材料汇总!$F$12</f>
        <v>7.5</v>
      </c>
      <c r="E69" s="7">
        <v>2.67</v>
      </c>
      <c r="F69" s="53">
        <f t="shared" si="3"/>
        <v>20.024999999999999</v>
      </c>
    </row>
    <row r="70" spans="1:6" ht="18" customHeight="1">
      <c r="A70" s="7"/>
      <c r="B70" s="52" t="s">
        <v>877</v>
      </c>
      <c r="C70" s="7" t="s">
        <v>871</v>
      </c>
      <c r="D70" s="66">
        <f>砼配合!J8</f>
        <v>183.29938899999999</v>
      </c>
      <c r="E70" s="7">
        <v>103</v>
      </c>
      <c r="F70" s="53">
        <f t="shared" si="3"/>
        <v>18879.837067</v>
      </c>
    </row>
    <row r="71" spans="1:6" ht="18" customHeight="1">
      <c r="A71" s="7"/>
      <c r="B71" s="52" t="s">
        <v>806</v>
      </c>
      <c r="C71" s="7" t="s">
        <v>871</v>
      </c>
      <c r="D71" s="66">
        <f>材料预算价格表!K15</f>
        <v>3.88</v>
      </c>
      <c r="E71" s="7">
        <v>160</v>
      </c>
      <c r="F71" s="53">
        <f t="shared" si="3"/>
        <v>620.79999999999995</v>
      </c>
    </row>
    <row r="72" spans="1:6" ht="18" customHeight="1">
      <c r="A72" s="7"/>
      <c r="B72" s="52" t="s">
        <v>833</v>
      </c>
      <c r="C72" s="7" t="s">
        <v>834</v>
      </c>
      <c r="D72" s="66">
        <f>SUM(F63:F71)</f>
        <v>30067.251387</v>
      </c>
      <c r="E72" s="7">
        <v>3</v>
      </c>
      <c r="F72" s="53">
        <f>D72*E72/100</f>
        <v>902.01754161000008</v>
      </c>
    </row>
    <row r="73" spans="1:6" ht="18" customHeight="1">
      <c r="A73" s="7" t="s">
        <v>835</v>
      </c>
      <c r="B73" s="52" t="s">
        <v>836</v>
      </c>
      <c r="C73" s="7"/>
      <c r="D73" s="7"/>
      <c r="E73" s="7"/>
      <c r="F73" s="53">
        <f>SUM(F74:F81)</f>
        <v>1373.070474585194</v>
      </c>
    </row>
    <row r="74" spans="1:6" ht="18" customHeight="1">
      <c r="A74" s="7"/>
      <c r="B74" s="52" t="s">
        <v>878</v>
      </c>
      <c r="C74" s="7" t="s">
        <v>863</v>
      </c>
      <c r="D74" s="7">
        <f>施工机械台时汇总!$C$42</f>
        <v>49.210305522914197</v>
      </c>
      <c r="E74" s="7">
        <v>2.21</v>
      </c>
      <c r="F74" s="53">
        <f t="shared" ref="F74:F80" si="4">D74*E74</f>
        <v>108.75477520564037</v>
      </c>
    </row>
    <row r="75" spans="1:6" ht="18" customHeight="1">
      <c r="A75" s="7"/>
      <c r="B75" s="52" t="s">
        <v>879</v>
      </c>
      <c r="C75" s="7" t="s">
        <v>863</v>
      </c>
      <c r="D75" s="7">
        <f>施工机械台时汇总!$C$57</f>
        <v>62.128971797884901</v>
      </c>
      <c r="E75" s="7">
        <v>0.18</v>
      </c>
      <c r="F75" s="53">
        <f t="shared" si="4"/>
        <v>11.183214923619282</v>
      </c>
    </row>
    <row r="76" spans="1:6" ht="18" customHeight="1">
      <c r="A76" s="7"/>
      <c r="B76" s="52" t="s">
        <v>889</v>
      </c>
      <c r="C76" s="7" t="s">
        <v>863</v>
      </c>
      <c r="D76" s="7">
        <f>施工机械台时汇总!$C$55</f>
        <v>113.9611292596945</v>
      </c>
      <c r="E76" s="7">
        <v>2.34</v>
      </c>
      <c r="F76" s="53">
        <f t="shared" si="4"/>
        <v>266.66904246768513</v>
      </c>
    </row>
    <row r="77" spans="1:6" ht="18" customHeight="1">
      <c r="A77" s="7"/>
      <c r="B77" s="52" t="s">
        <v>881</v>
      </c>
      <c r="C77" s="7" t="s">
        <v>863</v>
      </c>
      <c r="D77" s="7">
        <f>施工机械台时汇总!$C$40</f>
        <v>15.582226792009401</v>
      </c>
      <c r="E77" s="7">
        <v>4.66</v>
      </c>
      <c r="F77" s="53">
        <f t="shared" si="4"/>
        <v>72.613176850763807</v>
      </c>
    </row>
    <row r="78" spans="1:6" ht="18" customHeight="1">
      <c r="A78" s="7"/>
      <c r="B78" s="52" t="s">
        <v>882</v>
      </c>
      <c r="C78" s="7" t="s">
        <v>863</v>
      </c>
      <c r="D78" s="7">
        <f>施工机械台时汇总!$C$21</f>
        <v>28.129680376028197</v>
      </c>
      <c r="E78" s="7">
        <v>18.54</v>
      </c>
      <c r="F78" s="53">
        <f t="shared" si="4"/>
        <v>521.52427417156275</v>
      </c>
    </row>
    <row r="79" spans="1:6" ht="18" customHeight="1">
      <c r="A79" s="7"/>
      <c r="B79" s="52" t="s">
        <v>883</v>
      </c>
      <c r="C79" s="7" t="s">
        <v>863</v>
      </c>
      <c r="D79" s="7">
        <f>施工机械台时汇总!$C$24</f>
        <v>2.2013599686643204</v>
      </c>
      <c r="E79" s="7">
        <v>44</v>
      </c>
      <c r="F79" s="53">
        <f t="shared" si="4"/>
        <v>96.859838621230097</v>
      </c>
    </row>
    <row r="80" spans="1:6" ht="18" customHeight="1">
      <c r="A80" s="7"/>
      <c r="B80" s="52" t="s">
        <v>407</v>
      </c>
      <c r="C80" s="7" t="s">
        <v>863</v>
      </c>
      <c r="D80" s="7">
        <f>施工机械台时汇总!$C$19</f>
        <v>0.80266353309831595</v>
      </c>
      <c r="E80" s="7">
        <v>83</v>
      </c>
      <c r="F80" s="53">
        <f t="shared" si="4"/>
        <v>66.621073247160226</v>
      </c>
    </row>
    <row r="81" spans="1:6" ht="18" customHeight="1">
      <c r="A81" s="7"/>
      <c r="B81" s="52" t="s">
        <v>840</v>
      </c>
      <c r="C81" s="7" t="s">
        <v>834</v>
      </c>
      <c r="D81" s="66">
        <f>SUM(F74:F80)</f>
        <v>1144.2253954876617</v>
      </c>
      <c r="E81" s="7">
        <v>20</v>
      </c>
      <c r="F81" s="53">
        <f>D81*E81/100</f>
        <v>228.84507909753233</v>
      </c>
    </row>
    <row r="82" spans="1:6" ht="18" customHeight="1">
      <c r="A82" s="7" t="s">
        <v>884</v>
      </c>
      <c r="B82" s="52" t="s">
        <v>885</v>
      </c>
      <c r="C82" s="7" t="s">
        <v>871</v>
      </c>
      <c r="D82" s="66">
        <f>砼配合!J52/100</f>
        <v>5.0269138732471603</v>
      </c>
      <c r="E82" s="7">
        <v>103</v>
      </c>
      <c r="F82" s="53">
        <f>D82*E82</f>
        <v>517.77212894445756</v>
      </c>
    </row>
    <row r="83" spans="1:6" ht="18" customHeight="1">
      <c r="A83" s="7" t="s">
        <v>886</v>
      </c>
      <c r="B83" s="52" t="s">
        <v>887</v>
      </c>
      <c r="C83" s="7" t="s">
        <v>871</v>
      </c>
      <c r="D83" s="66">
        <f>砼配合!J65/100</f>
        <v>5.8974622495064617</v>
      </c>
      <c r="E83" s="7">
        <v>103</v>
      </c>
      <c r="F83" s="53">
        <f>D83*E83</f>
        <v>607.43861169916556</v>
      </c>
    </row>
    <row r="84" spans="1:6" ht="18" customHeight="1">
      <c r="A84" s="7"/>
      <c r="B84" s="52"/>
      <c r="C84" s="7"/>
      <c r="D84" s="7"/>
      <c r="E84" s="7"/>
      <c r="F84" s="53"/>
    </row>
    <row r="85" spans="1:6" ht="18" customHeight="1">
      <c r="A85" s="7">
        <v>1.2</v>
      </c>
      <c r="B85" s="52" t="s">
        <v>841</v>
      </c>
      <c r="C85" s="7"/>
      <c r="D85" s="53">
        <f>F58</f>
        <v>44821.290143838814</v>
      </c>
      <c r="E85" s="56">
        <f>E37</f>
        <v>4.8000000000000001E-2</v>
      </c>
      <c r="F85" s="53">
        <f>D85*E85</f>
        <v>2151.4219269042633</v>
      </c>
    </row>
    <row r="86" spans="1:6" ht="18" customHeight="1">
      <c r="A86" s="7">
        <v>1.3</v>
      </c>
      <c r="B86" s="52" t="s">
        <v>842</v>
      </c>
      <c r="C86" s="7"/>
      <c r="D86" s="53">
        <f>F58</f>
        <v>44821.290143838814</v>
      </c>
      <c r="E86" s="56">
        <f>E38</f>
        <v>0</v>
      </c>
      <c r="F86" s="53">
        <f>D86*E86</f>
        <v>0</v>
      </c>
    </row>
    <row r="87" spans="1:6" ht="18" customHeight="1">
      <c r="A87" s="7">
        <v>2</v>
      </c>
      <c r="B87" s="52" t="s">
        <v>182</v>
      </c>
      <c r="C87" s="7"/>
      <c r="D87" s="53">
        <f>F57</f>
        <v>46972.71207074308</v>
      </c>
      <c r="E87" s="56">
        <f>E39</f>
        <v>7.0000000000000007E-2</v>
      </c>
      <c r="F87" s="53">
        <f>D87*E87</f>
        <v>3288.0898449520159</v>
      </c>
    </row>
    <row r="88" spans="1:6" ht="18" customHeight="1">
      <c r="A88" s="7">
        <v>3</v>
      </c>
      <c r="B88" s="52" t="s">
        <v>843</v>
      </c>
      <c r="C88" s="7"/>
      <c r="D88" s="53">
        <f>F87+F57</f>
        <v>50260.801915695098</v>
      </c>
      <c r="E88" s="56">
        <f>E40</f>
        <v>7.0000000000000007E-2</v>
      </c>
      <c r="F88" s="53">
        <f>D88*E88</f>
        <v>3518.2561340986572</v>
      </c>
    </row>
    <row r="89" spans="1:6" ht="18" customHeight="1">
      <c r="A89" s="7">
        <v>4</v>
      </c>
      <c r="B89" s="52" t="s">
        <v>184</v>
      </c>
      <c r="C89" s="7"/>
      <c r="D89" s="7"/>
      <c r="E89" s="7"/>
      <c r="F89" s="53">
        <f>SUM(F90:F95)</f>
        <v>5100.3780150837129</v>
      </c>
    </row>
    <row r="90" spans="1:6" ht="18" customHeight="1">
      <c r="A90" s="7"/>
      <c r="B90" s="52" t="s">
        <v>354</v>
      </c>
      <c r="C90" s="7" t="s">
        <v>88</v>
      </c>
      <c r="D90" s="7">
        <f>A2</f>
        <v>116.41515</v>
      </c>
      <c r="E90" s="66">
        <f>E70*砼配合!I9</f>
        <v>35.035758999999999</v>
      </c>
      <c r="F90" s="53">
        <f t="shared" ref="F90:F96" si="5">D90*E90</f>
        <v>4078.6931393488499</v>
      </c>
    </row>
    <row r="91" spans="1:6" ht="18" customHeight="1">
      <c r="A91" s="7"/>
      <c r="B91" s="52" t="s">
        <v>507</v>
      </c>
      <c r="C91" s="7" t="s">
        <v>871</v>
      </c>
      <c r="D91" s="66">
        <f>D2</f>
        <v>4.6598683999999899</v>
      </c>
      <c r="E91" s="66">
        <f>E70*砼配合!I10</f>
        <v>54.406660000000002</v>
      </c>
      <c r="F91" s="53">
        <f t="shared" si="5"/>
        <v>253.52787568354347</v>
      </c>
    </row>
    <row r="92" spans="1:6" ht="18" customHeight="1">
      <c r="A92" s="7"/>
      <c r="B92" s="52" t="s">
        <v>509</v>
      </c>
      <c r="C92" s="7" t="s">
        <v>871</v>
      </c>
      <c r="D92" s="66">
        <f>E2</f>
        <v>6.2457299999999902</v>
      </c>
      <c r="E92" s="66">
        <f>E70*砼配合!I11</f>
        <v>86.667083999999988</v>
      </c>
      <c r="F92" s="53">
        <f t="shared" si="5"/>
        <v>541.29920655131912</v>
      </c>
    </row>
    <row r="93" spans="1:6" ht="18" customHeight="1">
      <c r="A93" s="7"/>
      <c r="B93" s="52" t="s">
        <v>506</v>
      </c>
      <c r="C93" s="7" t="s">
        <v>871</v>
      </c>
      <c r="D93" s="7">
        <f>C2</f>
        <v>0</v>
      </c>
      <c r="E93" s="7">
        <f>E63</f>
        <v>4.4000000000000004</v>
      </c>
      <c r="F93" s="53">
        <f t="shared" si="5"/>
        <v>0</v>
      </c>
    </row>
    <row r="94" spans="1:6" ht="18" customHeight="1">
      <c r="A94" s="7"/>
      <c r="B94" s="52" t="s">
        <v>515</v>
      </c>
      <c r="C94" s="7" t="s">
        <v>844</v>
      </c>
      <c r="D94" s="7">
        <f>G2</f>
        <v>4.7450000000000001</v>
      </c>
      <c r="E94" s="66">
        <f>台时!AK19*砼单价!E74+E75*台时!AZ19</f>
        <v>16.956</v>
      </c>
      <c r="F94" s="53">
        <f t="shared" si="5"/>
        <v>80.456220000000002</v>
      </c>
    </row>
    <row r="95" spans="1:6" ht="18" customHeight="1">
      <c r="A95" s="7"/>
      <c r="B95" s="52" t="s">
        <v>516</v>
      </c>
      <c r="C95" s="7" t="s">
        <v>844</v>
      </c>
      <c r="D95" s="7">
        <f>H2</f>
        <v>3.51</v>
      </c>
      <c r="E95" s="66">
        <f>砼配合!I63*台时!AN22*砼单价!E83/100</f>
        <v>41.709849999999996</v>
      </c>
      <c r="F95" s="53">
        <f t="shared" si="5"/>
        <v>146.40157349999998</v>
      </c>
    </row>
    <row r="96" spans="1:6" ht="18" customHeight="1">
      <c r="A96" s="7">
        <v>5</v>
      </c>
      <c r="B96" s="52" t="s">
        <v>845</v>
      </c>
      <c r="C96" s="7"/>
      <c r="D96" s="53">
        <f>F57+F87+F88+F89</f>
        <v>58879.436064877467</v>
      </c>
      <c r="E96" s="56">
        <f>E48</f>
        <v>0.09</v>
      </c>
      <c r="F96" s="53">
        <f t="shared" si="5"/>
        <v>5299.1492458389721</v>
      </c>
    </row>
    <row r="97" spans="1:6" ht="18" customHeight="1">
      <c r="A97" s="7">
        <v>6</v>
      </c>
      <c r="B97" s="52" t="s">
        <v>7</v>
      </c>
      <c r="C97" s="7"/>
      <c r="D97" s="7"/>
      <c r="E97" s="7"/>
      <c r="F97" s="53">
        <f>D96+F96</f>
        <v>64178.585310716437</v>
      </c>
    </row>
    <row r="98" spans="1:6" ht="18" customHeight="1">
      <c r="A98" s="7"/>
      <c r="B98" s="52" t="s">
        <v>846</v>
      </c>
      <c r="C98" s="7"/>
      <c r="D98" s="53">
        <f>F97</f>
        <v>64178.585310716437</v>
      </c>
      <c r="E98" s="56">
        <f>E50</f>
        <v>0.03</v>
      </c>
      <c r="F98" s="53">
        <f>E98*D98</f>
        <v>1925.357559321493</v>
      </c>
    </row>
    <row r="99" spans="1:6" ht="18" customHeight="1">
      <c r="A99" s="7"/>
      <c r="B99" s="52" t="s">
        <v>44</v>
      </c>
      <c r="C99" s="52"/>
      <c r="D99" s="7"/>
      <c r="E99" s="7"/>
      <c r="F99" s="53">
        <f>SUM(F97:F98)</f>
        <v>66103.942870037936</v>
      </c>
    </row>
    <row r="100" spans="1:6" ht="22.5" customHeight="1">
      <c r="A100" s="461" t="s">
        <v>890</v>
      </c>
      <c r="B100" s="461"/>
      <c r="C100" s="461"/>
      <c r="D100" s="461"/>
      <c r="E100" s="461"/>
      <c r="F100" s="461"/>
    </row>
    <row r="101" spans="1:6" ht="18" customHeight="1">
      <c r="A101" s="462" t="s">
        <v>891</v>
      </c>
      <c r="B101" s="462"/>
      <c r="C101" s="462"/>
      <c r="D101" s="462"/>
      <c r="E101" s="462"/>
      <c r="F101" s="462"/>
    </row>
    <row r="102" spans="1:6" ht="18" customHeight="1">
      <c r="A102" s="47" t="s">
        <v>815</v>
      </c>
      <c r="B102" s="49">
        <v>4042</v>
      </c>
      <c r="E102" s="47" t="s">
        <v>169</v>
      </c>
      <c r="F102" s="49" t="s">
        <v>869</v>
      </c>
    </row>
    <row r="103" spans="1:6" ht="18" customHeight="1">
      <c r="A103" s="50" t="s">
        <v>817</v>
      </c>
      <c r="B103" s="458"/>
      <c r="C103" s="459"/>
      <c r="D103" s="459"/>
      <c r="E103" s="459"/>
      <c r="F103" s="460"/>
    </row>
    <row r="104" spans="1:6" ht="18" customHeight="1">
      <c r="A104" s="7" t="s">
        <v>1</v>
      </c>
      <c r="B104" s="52" t="s">
        <v>344</v>
      </c>
      <c r="C104" s="7" t="s">
        <v>818</v>
      </c>
      <c r="D104" s="7" t="s">
        <v>819</v>
      </c>
      <c r="E104" s="7" t="s">
        <v>820</v>
      </c>
      <c r="F104" s="7" t="s">
        <v>821</v>
      </c>
    </row>
    <row r="105" spans="1:6" ht="18" customHeight="1">
      <c r="A105" s="7">
        <v>1</v>
      </c>
      <c r="B105" s="52" t="s">
        <v>822</v>
      </c>
      <c r="C105" s="7"/>
      <c r="D105" s="7"/>
      <c r="E105" s="7"/>
      <c r="F105" s="53">
        <f>F106+F133+F134</f>
        <v>36979.085215548446</v>
      </c>
    </row>
    <row r="106" spans="1:6" ht="18" customHeight="1">
      <c r="A106" s="7">
        <v>1.1000000000000001</v>
      </c>
      <c r="B106" s="52" t="s">
        <v>823</v>
      </c>
      <c r="C106" s="7"/>
      <c r="D106" s="7"/>
      <c r="E106" s="7"/>
      <c r="F106" s="53">
        <f>F107+F110+F121+F130+F131+F132</f>
        <v>35285.386656057679</v>
      </c>
    </row>
    <row r="107" spans="1:6" ht="18" customHeight="1">
      <c r="A107" s="7" t="s">
        <v>47</v>
      </c>
      <c r="B107" s="52" t="s">
        <v>176</v>
      </c>
      <c r="C107" s="7"/>
      <c r="D107" s="7"/>
      <c r="E107" s="7"/>
      <c r="F107" s="53">
        <f>F108+F109</f>
        <v>12061.46</v>
      </c>
    </row>
    <row r="108" spans="1:6" ht="18" customHeight="1">
      <c r="A108" s="7"/>
      <c r="B108" s="52" t="s">
        <v>824</v>
      </c>
      <c r="C108" s="7" t="s">
        <v>825</v>
      </c>
      <c r="D108" s="7">
        <v>8.1</v>
      </c>
      <c r="E108" s="7">
        <v>1231.2</v>
      </c>
      <c r="F108" s="53">
        <f>D108*E108</f>
        <v>9972.7199999999993</v>
      </c>
    </row>
    <row r="109" spans="1:6" ht="18" customHeight="1">
      <c r="A109" s="7"/>
      <c r="B109" s="52" t="s">
        <v>826</v>
      </c>
      <c r="C109" s="7" t="s">
        <v>825</v>
      </c>
      <c r="D109" s="7">
        <v>5.77</v>
      </c>
      <c r="E109" s="7">
        <v>362</v>
      </c>
      <c r="F109" s="53">
        <f>D109*E109</f>
        <v>2088.7399999999998</v>
      </c>
    </row>
    <row r="110" spans="1:6" ht="18" customHeight="1">
      <c r="A110" s="7" t="s">
        <v>57</v>
      </c>
      <c r="B110" s="52" t="s">
        <v>177</v>
      </c>
      <c r="C110" s="7"/>
      <c r="D110" s="7"/>
      <c r="E110" s="7"/>
      <c r="F110" s="53">
        <f>SUM(F111:F120)</f>
        <v>20882.542677359997</v>
      </c>
    </row>
    <row r="111" spans="1:6" ht="18" customHeight="1">
      <c r="A111" s="7"/>
      <c r="B111" s="52" t="s">
        <v>870</v>
      </c>
      <c r="C111" s="7" t="s">
        <v>871</v>
      </c>
      <c r="D111" s="7">
        <f>材料预算价格表!L8</f>
        <v>1874.0778</v>
      </c>
      <c r="E111" s="7">
        <v>0.14000000000000001</v>
      </c>
      <c r="F111" s="53">
        <f t="shared" ref="F111:F119" si="6">D111*E111</f>
        <v>262.37089200000003</v>
      </c>
    </row>
    <row r="112" spans="1:6" ht="18" customHeight="1">
      <c r="A112" s="7"/>
      <c r="B112" s="52" t="s">
        <v>375</v>
      </c>
      <c r="C112" s="7" t="s">
        <v>844</v>
      </c>
      <c r="D112" s="7">
        <f>次要材料汇总!$F$9</f>
        <v>6</v>
      </c>
      <c r="E112" s="7">
        <v>13.1</v>
      </c>
      <c r="F112" s="53">
        <f t="shared" si="6"/>
        <v>78.599999999999994</v>
      </c>
    </row>
    <row r="113" spans="1:6" ht="18" customHeight="1">
      <c r="A113" s="7"/>
      <c r="B113" s="52" t="s">
        <v>873</v>
      </c>
      <c r="C113" s="7" t="s">
        <v>844</v>
      </c>
      <c r="D113" s="7">
        <f>次要材料汇总!$F$10</f>
        <v>5.5</v>
      </c>
      <c r="E113" s="7">
        <v>13.2</v>
      </c>
      <c r="F113" s="53">
        <f t="shared" si="6"/>
        <v>72.599999999999994</v>
      </c>
    </row>
    <row r="114" spans="1:6" ht="18" customHeight="1">
      <c r="A114" s="7"/>
      <c r="B114" s="52" t="s">
        <v>874</v>
      </c>
      <c r="C114" s="7" t="s">
        <v>844</v>
      </c>
      <c r="D114" s="7">
        <f>次要材料汇总!$F$11</f>
        <v>6.5</v>
      </c>
      <c r="E114" s="7">
        <v>0</v>
      </c>
      <c r="F114" s="53">
        <f t="shared" si="6"/>
        <v>0</v>
      </c>
    </row>
    <row r="115" spans="1:6" ht="18" customHeight="1">
      <c r="A115" s="7"/>
      <c r="B115" s="52" t="s">
        <v>875</v>
      </c>
      <c r="C115" s="7" t="s">
        <v>844</v>
      </c>
      <c r="D115" s="7">
        <f>次要材料汇总!$F$5</f>
        <v>8</v>
      </c>
      <c r="E115" s="7">
        <v>14.7</v>
      </c>
      <c r="F115" s="53">
        <f t="shared" si="6"/>
        <v>117.6</v>
      </c>
    </row>
    <row r="116" spans="1:6" ht="18" customHeight="1">
      <c r="A116" s="7"/>
      <c r="B116" s="52" t="s">
        <v>372</v>
      </c>
      <c r="C116" s="7" t="s">
        <v>844</v>
      </c>
      <c r="D116" s="7">
        <f>次要材料汇总!$F$6</f>
        <v>7.4</v>
      </c>
      <c r="E116" s="7">
        <v>52.4</v>
      </c>
      <c r="F116" s="53">
        <f t="shared" si="6"/>
        <v>387.76</v>
      </c>
    </row>
    <row r="117" spans="1:6" ht="18" customHeight="1">
      <c r="A117" s="7"/>
      <c r="B117" s="52" t="s">
        <v>876</v>
      </c>
      <c r="C117" s="7" t="s">
        <v>844</v>
      </c>
      <c r="D117" s="7">
        <f>次要材料汇总!$F$12</f>
        <v>7.5</v>
      </c>
      <c r="E117" s="7">
        <v>1.2</v>
      </c>
      <c r="F117" s="53">
        <f t="shared" si="6"/>
        <v>9</v>
      </c>
    </row>
    <row r="118" spans="1:6" ht="18" customHeight="1">
      <c r="A118" s="7"/>
      <c r="B118" s="52" t="s">
        <v>877</v>
      </c>
      <c r="C118" s="7" t="s">
        <v>871</v>
      </c>
      <c r="D118" s="66">
        <f>砼配合!J8</f>
        <v>183.29938899999999</v>
      </c>
      <c r="E118" s="7">
        <v>103</v>
      </c>
      <c r="F118" s="53">
        <f t="shared" si="6"/>
        <v>18879.837067</v>
      </c>
    </row>
    <row r="119" spans="1:6" ht="18" customHeight="1">
      <c r="A119" s="7"/>
      <c r="B119" s="52" t="s">
        <v>806</v>
      </c>
      <c r="C119" s="7" t="s">
        <v>871</v>
      </c>
      <c r="D119" s="7">
        <f>材料预算价格表!K15</f>
        <v>3.88</v>
      </c>
      <c r="E119" s="7">
        <v>70</v>
      </c>
      <c r="F119" s="53">
        <f t="shared" si="6"/>
        <v>271.59999999999997</v>
      </c>
    </row>
    <row r="120" spans="1:6" ht="18" customHeight="1">
      <c r="A120" s="7"/>
      <c r="B120" s="52" t="s">
        <v>833</v>
      </c>
      <c r="C120" s="7" t="s">
        <v>834</v>
      </c>
      <c r="D120" s="66">
        <f>SUM(F111:F119)</f>
        <v>20079.367958999999</v>
      </c>
      <c r="E120" s="7">
        <v>4</v>
      </c>
      <c r="F120" s="53">
        <f>D120*E120/100</f>
        <v>803.17471835999993</v>
      </c>
    </row>
    <row r="121" spans="1:6" ht="18" customHeight="1">
      <c r="A121" s="7" t="s">
        <v>835</v>
      </c>
      <c r="B121" s="52" t="s">
        <v>836</v>
      </c>
      <c r="C121" s="7"/>
      <c r="D121" s="7"/>
      <c r="E121" s="7"/>
      <c r="F121" s="53">
        <f>SUM(F122:F129)</f>
        <v>1216.1732380540541</v>
      </c>
    </row>
    <row r="122" spans="1:6" ht="18" customHeight="1">
      <c r="A122" s="7"/>
      <c r="B122" s="52" t="s">
        <v>878</v>
      </c>
      <c r="C122" s="7" t="s">
        <v>863</v>
      </c>
      <c r="D122" s="66">
        <f>施工机械台时汇总!$C$42</f>
        <v>49.210305522914197</v>
      </c>
      <c r="E122" s="7">
        <v>0.21</v>
      </c>
      <c r="F122" s="53">
        <f t="shared" ref="F122:F128" si="7">D122*E122</f>
        <v>10.334164159811982</v>
      </c>
    </row>
    <row r="123" spans="1:6" ht="18" customHeight="1">
      <c r="A123" s="7"/>
      <c r="B123" s="52" t="s">
        <v>879</v>
      </c>
      <c r="C123" s="7" t="s">
        <v>863</v>
      </c>
      <c r="D123" s="66">
        <f>施工机械台时汇总!$C$57</f>
        <v>62.128971797884901</v>
      </c>
      <c r="E123" s="7">
        <v>0.06</v>
      </c>
      <c r="F123" s="53">
        <f t="shared" si="7"/>
        <v>3.7277383078730941</v>
      </c>
    </row>
    <row r="124" spans="1:6" ht="18" customHeight="1">
      <c r="A124" s="7"/>
      <c r="B124" s="52" t="s">
        <v>419</v>
      </c>
      <c r="C124" s="7" t="s">
        <v>863</v>
      </c>
      <c r="D124" s="7">
        <f>施工机械台时汇总!$C$31</f>
        <v>43.447247943595769</v>
      </c>
      <c r="E124" s="7">
        <v>8</v>
      </c>
      <c r="F124" s="53">
        <f t="shared" si="7"/>
        <v>347.57798354876616</v>
      </c>
    </row>
    <row r="125" spans="1:6" ht="18" customHeight="1">
      <c r="A125" s="7"/>
      <c r="B125" s="52" t="s">
        <v>881</v>
      </c>
      <c r="C125" s="7" t="s">
        <v>863</v>
      </c>
      <c r="D125" s="66">
        <f>施工机械台时汇总!$C$40</f>
        <v>15.582226792009401</v>
      </c>
      <c r="E125" s="7">
        <v>1.24</v>
      </c>
      <c r="F125" s="53">
        <f t="shared" si="7"/>
        <v>19.321961222091655</v>
      </c>
    </row>
    <row r="126" spans="1:6" ht="18" customHeight="1">
      <c r="A126" s="7"/>
      <c r="B126" s="52" t="s">
        <v>882</v>
      </c>
      <c r="C126" s="7" t="s">
        <v>863</v>
      </c>
      <c r="D126" s="66">
        <f>施工机械台时汇总!$C$21</f>
        <v>28.129680376028197</v>
      </c>
      <c r="E126" s="7">
        <v>18.54</v>
      </c>
      <c r="F126" s="53">
        <f t="shared" si="7"/>
        <v>521.52427417156275</v>
      </c>
    </row>
    <row r="127" spans="1:6" ht="18" customHeight="1">
      <c r="A127" s="7"/>
      <c r="B127" s="52" t="s">
        <v>883</v>
      </c>
      <c r="C127" s="7" t="s">
        <v>863</v>
      </c>
      <c r="D127" s="66">
        <f>施工机械台时汇总!$C$24</f>
        <v>2.2013599686643204</v>
      </c>
      <c r="E127" s="7">
        <v>23</v>
      </c>
      <c r="F127" s="53">
        <f t="shared" si="7"/>
        <v>50.631279279279369</v>
      </c>
    </row>
    <row r="128" spans="1:6" ht="18" customHeight="1">
      <c r="A128" s="7"/>
      <c r="B128" s="52" t="s">
        <v>407</v>
      </c>
      <c r="C128" s="7" t="s">
        <v>863</v>
      </c>
      <c r="D128" s="7">
        <f>施工机械台时汇总!$C$19</f>
        <v>0.80266353309831595</v>
      </c>
      <c r="E128" s="7">
        <v>75.2</v>
      </c>
      <c r="F128" s="53">
        <f t="shared" si="7"/>
        <v>60.360297688993363</v>
      </c>
    </row>
    <row r="129" spans="1:6" ht="18" customHeight="1">
      <c r="A129" s="7"/>
      <c r="B129" s="52" t="s">
        <v>840</v>
      </c>
      <c r="C129" s="7" t="s">
        <v>834</v>
      </c>
      <c r="D129" s="66">
        <f>SUM(F122:F128)</f>
        <v>1013.4776983783784</v>
      </c>
      <c r="E129" s="7">
        <v>20</v>
      </c>
      <c r="F129" s="53">
        <f>D129*E129/100</f>
        <v>202.69553967567569</v>
      </c>
    </row>
    <row r="130" spans="1:6" ht="18" customHeight="1">
      <c r="A130" s="7" t="s">
        <v>884</v>
      </c>
      <c r="B130" s="52" t="s">
        <v>885</v>
      </c>
      <c r="C130" s="7" t="s">
        <v>871</v>
      </c>
      <c r="D130" s="66">
        <f>砼配合!J52/100</f>
        <v>5.0269138732471603</v>
      </c>
      <c r="E130" s="7">
        <v>103</v>
      </c>
      <c r="F130" s="53">
        <f>D130*E130</f>
        <v>517.77212894445756</v>
      </c>
    </row>
    <row r="131" spans="1:6" ht="18" customHeight="1">
      <c r="A131" s="7" t="s">
        <v>886</v>
      </c>
      <c r="B131" s="52" t="s">
        <v>887</v>
      </c>
      <c r="C131" s="7" t="s">
        <v>871</v>
      </c>
      <c r="D131" s="66">
        <f>砼配合!J65/100</f>
        <v>5.8974622495064617</v>
      </c>
      <c r="E131" s="7">
        <v>103</v>
      </c>
      <c r="F131" s="53">
        <f>D131*E131</f>
        <v>607.43861169916556</v>
      </c>
    </row>
    <row r="132" spans="1:6" ht="18" customHeight="1">
      <c r="A132" s="7"/>
      <c r="B132" s="52"/>
      <c r="C132" s="7"/>
      <c r="D132" s="7"/>
      <c r="E132" s="7"/>
      <c r="F132" s="53"/>
    </row>
    <row r="133" spans="1:6" ht="18" customHeight="1">
      <c r="A133" s="7">
        <v>1.2</v>
      </c>
      <c r="B133" s="52" t="s">
        <v>841</v>
      </c>
      <c r="C133" s="7"/>
      <c r="D133" s="53">
        <f>F106</f>
        <v>35285.386656057679</v>
      </c>
      <c r="E133" s="56">
        <f>E85</f>
        <v>4.8000000000000001E-2</v>
      </c>
      <c r="F133" s="53">
        <f>D133*E133</f>
        <v>1693.6985594907687</v>
      </c>
    </row>
    <row r="134" spans="1:6" ht="18" customHeight="1">
      <c r="A134" s="7">
        <v>1.3</v>
      </c>
      <c r="B134" s="52" t="s">
        <v>842</v>
      </c>
      <c r="C134" s="7"/>
      <c r="D134" s="53">
        <f>F106</f>
        <v>35285.386656057679</v>
      </c>
      <c r="E134" s="56">
        <f>E86</f>
        <v>0</v>
      </c>
      <c r="F134" s="53">
        <f>D134*E134</f>
        <v>0</v>
      </c>
    </row>
    <row r="135" spans="1:6" ht="18" customHeight="1">
      <c r="A135" s="7">
        <v>2</v>
      </c>
      <c r="B135" s="52" t="s">
        <v>182</v>
      </c>
      <c r="C135" s="7"/>
      <c r="D135" s="53">
        <f>F105</f>
        <v>36979.085215548446</v>
      </c>
      <c r="E135" s="56">
        <f>E87</f>
        <v>7.0000000000000007E-2</v>
      </c>
      <c r="F135" s="53">
        <f>D135*E135</f>
        <v>2588.5359650883915</v>
      </c>
    </row>
    <row r="136" spans="1:6" ht="18" customHeight="1">
      <c r="A136" s="7">
        <v>3</v>
      </c>
      <c r="B136" s="52" t="s">
        <v>843</v>
      </c>
      <c r="C136" s="7"/>
      <c r="D136" s="53">
        <f>F135+F105</f>
        <v>39567.621180636837</v>
      </c>
      <c r="E136" s="56">
        <f>E88</f>
        <v>7.0000000000000007E-2</v>
      </c>
      <c r="F136" s="53">
        <f>D136*E136</f>
        <v>2769.733482644579</v>
      </c>
    </row>
    <row r="137" spans="1:6" ht="18" customHeight="1">
      <c r="A137" s="7">
        <v>4</v>
      </c>
      <c r="B137" s="52" t="s">
        <v>184</v>
      </c>
      <c r="C137" s="7"/>
      <c r="D137" s="7"/>
      <c r="E137" s="7"/>
      <c r="F137" s="53">
        <f>SUM(F138:F143)</f>
        <v>5028.7474950837131</v>
      </c>
    </row>
    <row r="138" spans="1:6" ht="18" customHeight="1">
      <c r="A138" s="7"/>
      <c r="B138" s="52" t="s">
        <v>354</v>
      </c>
      <c r="C138" s="7" t="s">
        <v>88</v>
      </c>
      <c r="D138" s="66">
        <f>A2</f>
        <v>116.41515</v>
      </c>
      <c r="E138" s="66">
        <f>E118*砼配合!I9</f>
        <v>35.035758999999999</v>
      </c>
      <c r="F138" s="53">
        <f t="shared" ref="F138:F144" si="8">D138*E138</f>
        <v>4078.6931393488499</v>
      </c>
    </row>
    <row r="139" spans="1:6" ht="18" customHeight="1">
      <c r="A139" s="7"/>
      <c r="B139" s="52" t="s">
        <v>507</v>
      </c>
      <c r="C139" s="7" t="s">
        <v>871</v>
      </c>
      <c r="D139" s="66">
        <f>D2</f>
        <v>4.6598683999999899</v>
      </c>
      <c r="E139" s="66">
        <f>E118*砼配合!I10</f>
        <v>54.406660000000002</v>
      </c>
      <c r="F139" s="53">
        <f t="shared" si="8"/>
        <v>253.52787568354347</v>
      </c>
    </row>
    <row r="140" spans="1:6" ht="18" customHeight="1">
      <c r="A140" s="7"/>
      <c r="B140" s="52" t="s">
        <v>509</v>
      </c>
      <c r="C140" s="7" t="s">
        <v>871</v>
      </c>
      <c r="D140" s="66">
        <f>E2</f>
        <v>6.2457299999999902</v>
      </c>
      <c r="E140" s="66">
        <f>E118*砼配合!I11</f>
        <v>86.667083999999988</v>
      </c>
      <c r="F140" s="53">
        <f t="shared" si="8"/>
        <v>541.29920655131912</v>
      </c>
    </row>
    <row r="141" spans="1:6" ht="18" customHeight="1">
      <c r="A141" s="7"/>
      <c r="B141" s="52" t="s">
        <v>506</v>
      </c>
      <c r="C141" s="7" t="s">
        <v>871</v>
      </c>
      <c r="D141" s="66">
        <f>C2</f>
        <v>0</v>
      </c>
      <c r="E141" s="66">
        <f>E111</f>
        <v>0.14000000000000001</v>
      </c>
      <c r="F141" s="53">
        <f t="shared" si="8"/>
        <v>0</v>
      </c>
    </row>
    <row r="142" spans="1:6" ht="18" customHeight="1">
      <c r="A142" s="7"/>
      <c r="B142" s="52" t="s">
        <v>515</v>
      </c>
      <c r="C142" s="7" t="s">
        <v>844</v>
      </c>
      <c r="D142" s="66">
        <f>G2</f>
        <v>4.7450000000000001</v>
      </c>
      <c r="E142" s="66">
        <f>E122*台时!AK19+砼单价!E123*台时!AZ19</f>
        <v>1.8599999999999999</v>
      </c>
      <c r="F142" s="53">
        <f t="shared" si="8"/>
        <v>8.8256999999999994</v>
      </c>
    </row>
    <row r="143" spans="1:6" ht="18" customHeight="1">
      <c r="A143" s="7"/>
      <c r="B143" s="52" t="s">
        <v>516</v>
      </c>
      <c r="C143" s="7" t="s">
        <v>844</v>
      </c>
      <c r="D143" s="66">
        <f>H2</f>
        <v>3.51</v>
      </c>
      <c r="E143" s="66">
        <f>砼配合!I63*台时!AN22*砼单价!E131/100</f>
        <v>41.709849999999996</v>
      </c>
      <c r="F143" s="53">
        <f t="shared" si="8"/>
        <v>146.40157349999998</v>
      </c>
    </row>
    <row r="144" spans="1:6" ht="18" customHeight="1">
      <c r="A144" s="7">
        <v>5</v>
      </c>
      <c r="B144" s="52" t="s">
        <v>845</v>
      </c>
      <c r="C144" s="7"/>
      <c r="D144" s="53">
        <f>F105+F135+F136+F137</f>
        <v>47366.102158365131</v>
      </c>
      <c r="E144" s="56">
        <f>E96</f>
        <v>0.09</v>
      </c>
      <c r="F144" s="53">
        <f t="shared" si="8"/>
        <v>4262.9491942528621</v>
      </c>
    </row>
    <row r="145" spans="1:6" ht="18" customHeight="1">
      <c r="A145" s="7">
        <v>6</v>
      </c>
      <c r="B145" s="52" t="s">
        <v>7</v>
      </c>
      <c r="C145" s="7"/>
      <c r="D145" s="7"/>
      <c r="E145" s="7"/>
      <c r="F145" s="53">
        <f>D144+F144</f>
        <v>51629.051352617993</v>
      </c>
    </row>
    <row r="146" spans="1:6" ht="18" customHeight="1">
      <c r="A146" s="7"/>
      <c r="B146" s="52" t="s">
        <v>846</v>
      </c>
      <c r="C146" s="7"/>
      <c r="D146" s="53">
        <f>F145</f>
        <v>51629.051352617993</v>
      </c>
      <c r="E146" s="56">
        <f>E98</f>
        <v>0.03</v>
      </c>
      <c r="F146" s="53">
        <f>E146*D146</f>
        <v>1548.8715405785397</v>
      </c>
    </row>
    <row r="147" spans="1:6" ht="18" customHeight="1">
      <c r="A147" s="7"/>
      <c r="B147" s="52" t="s">
        <v>44</v>
      </c>
      <c r="C147" s="7"/>
      <c r="D147" s="7"/>
      <c r="E147" s="7"/>
      <c r="F147" s="53">
        <f>SUM(F145:F146)</f>
        <v>53177.922893196534</v>
      </c>
    </row>
    <row r="148" spans="1:6" ht="22.5" customHeight="1">
      <c r="A148" s="461" t="s">
        <v>813</v>
      </c>
      <c r="B148" s="461"/>
      <c r="C148" s="461"/>
      <c r="D148" s="461"/>
      <c r="E148" s="461"/>
      <c r="F148" s="461"/>
    </row>
    <row r="149" spans="1:6" ht="18" customHeight="1">
      <c r="A149" s="462" t="s">
        <v>892</v>
      </c>
      <c r="B149" s="462"/>
      <c r="C149" s="462"/>
      <c r="D149" s="462"/>
      <c r="E149" s="462"/>
      <c r="F149" s="462"/>
    </row>
    <row r="150" spans="1:6" ht="18" customHeight="1">
      <c r="A150" s="47" t="s">
        <v>815</v>
      </c>
      <c r="B150" s="49">
        <v>4045</v>
      </c>
      <c r="D150" s="46"/>
      <c r="E150" s="46" t="s">
        <v>169</v>
      </c>
      <c r="F150" s="49" t="s">
        <v>869</v>
      </c>
    </row>
    <row r="151" spans="1:6" ht="18" customHeight="1">
      <c r="A151" s="50" t="s">
        <v>817</v>
      </c>
      <c r="B151" s="458"/>
      <c r="C151" s="459"/>
      <c r="D151" s="459"/>
      <c r="E151" s="459"/>
      <c r="F151" s="460"/>
    </row>
    <row r="152" spans="1:6" ht="18" customHeight="1">
      <c r="A152" s="7" t="s">
        <v>1</v>
      </c>
      <c r="B152" s="52" t="s">
        <v>344</v>
      </c>
      <c r="C152" s="7" t="s">
        <v>818</v>
      </c>
      <c r="D152" s="7" t="s">
        <v>819</v>
      </c>
      <c r="E152" s="7" t="s">
        <v>820</v>
      </c>
      <c r="F152" s="7" t="s">
        <v>821</v>
      </c>
    </row>
    <row r="153" spans="1:6" ht="18" customHeight="1">
      <c r="A153" s="7">
        <v>1</v>
      </c>
      <c r="B153" s="52" t="s">
        <v>822</v>
      </c>
      <c r="C153" s="7"/>
      <c r="D153" s="7"/>
      <c r="E153" s="7"/>
      <c r="F153" s="53">
        <f>F154+F181+F182</f>
        <v>33338.112770271422</v>
      </c>
    </row>
    <row r="154" spans="1:6" ht="18" customHeight="1">
      <c r="A154" s="7">
        <v>1.1000000000000001</v>
      </c>
      <c r="B154" s="52" t="s">
        <v>823</v>
      </c>
      <c r="C154" s="7"/>
      <c r="D154" s="7"/>
      <c r="E154" s="7"/>
      <c r="F154" s="53">
        <f>F155+F158+F169+F178+F179+F180</f>
        <v>31811.176307510897</v>
      </c>
    </row>
    <row r="155" spans="1:6" ht="18" customHeight="1">
      <c r="A155" s="7" t="s">
        <v>47</v>
      </c>
      <c r="B155" s="52" t="s">
        <v>176</v>
      </c>
      <c r="C155" s="7"/>
      <c r="D155" s="7"/>
      <c r="E155" s="7"/>
      <c r="F155" s="53">
        <f>F156+F157</f>
        <v>8583.1059999999998</v>
      </c>
    </row>
    <row r="156" spans="1:6" ht="18" customHeight="1">
      <c r="A156" s="7"/>
      <c r="B156" s="52" t="s">
        <v>824</v>
      </c>
      <c r="C156" s="7" t="s">
        <v>825</v>
      </c>
      <c r="D156" s="7">
        <v>8.1</v>
      </c>
      <c r="E156" s="7">
        <v>818.3</v>
      </c>
      <c r="F156" s="53">
        <f>D156*E156</f>
        <v>6628.23</v>
      </c>
    </row>
    <row r="157" spans="1:6" ht="18" customHeight="1">
      <c r="A157" s="7"/>
      <c r="B157" s="52" t="s">
        <v>826</v>
      </c>
      <c r="C157" s="7" t="s">
        <v>825</v>
      </c>
      <c r="D157" s="7">
        <v>5.77</v>
      </c>
      <c r="E157" s="7">
        <v>338.8</v>
      </c>
      <c r="F157" s="53">
        <f>D157*E157</f>
        <v>1954.876</v>
      </c>
    </row>
    <row r="158" spans="1:6" ht="18" customHeight="1">
      <c r="A158" s="7" t="s">
        <v>57</v>
      </c>
      <c r="B158" s="52" t="s">
        <v>177</v>
      </c>
      <c r="C158" s="7"/>
      <c r="D158" s="7"/>
      <c r="E158" s="7"/>
      <c r="F158" s="53">
        <f>SUM(F159:F168)</f>
        <v>21168.91966055</v>
      </c>
    </row>
    <row r="159" spans="1:6" ht="18" customHeight="1">
      <c r="A159" s="7"/>
      <c r="B159" s="52" t="s">
        <v>870</v>
      </c>
      <c r="C159" s="7" t="s">
        <v>871</v>
      </c>
      <c r="D159" s="7">
        <f>D63</f>
        <v>1874.0778</v>
      </c>
      <c r="E159" s="7">
        <v>0.31</v>
      </c>
      <c r="F159" s="53">
        <f t="shared" ref="F159:F167" si="9">D159*E159</f>
        <v>580.96411799999998</v>
      </c>
    </row>
    <row r="160" spans="1:6" ht="18" customHeight="1">
      <c r="A160" s="7"/>
      <c r="B160" s="52" t="s">
        <v>375</v>
      </c>
      <c r="C160" s="7" t="s">
        <v>844</v>
      </c>
      <c r="D160" s="7">
        <f>次要材料汇总!$F$9</f>
        <v>6</v>
      </c>
      <c r="E160" s="7">
        <v>6.84</v>
      </c>
      <c r="F160" s="53">
        <f t="shared" si="9"/>
        <v>41.04</v>
      </c>
    </row>
    <row r="161" spans="1:6" ht="18" customHeight="1">
      <c r="A161" s="7"/>
      <c r="B161" s="52" t="s">
        <v>873</v>
      </c>
      <c r="C161" s="7" t="s">
        <v>844</v>
      </c>
      <c r="D161" s="7">
        <f>次要材料汇总!$F$10</f>
        <v>5.5</v>
      </c>
      <c r="E161" s="7">
        <v>16.350000000000001</v>
      </c>
      <c r="F161" s="53">
        <f t="shared" si="9"/>
        <v>89.925000000000011</v>
      </c>
    </row>
    <row r="162" spans="1:6" ht="18" customHeight="1">
      <c r="A162" s="7"/>
      <c r="B162" s="52" t="s">
        <v>874</v>
      </c>
      <c r="C162" s="7" t="s">
        <v>844</v>
      </c>
      <c r="D162" s="7">
        <f>次要材料汇总!$F$11</f>
        <v>6.5</v>
      </c>
      <c r="E162" s="7">
        <v>21.97</v>
      </c>
      <c r="F162" s="53">
        <f t="shared" si="9"/>
        <v>142.80500000000001</v>
      </c>
    </row>
    <row r="163" spans="1:6" ht="18" customHeight="1">
      <c r="A163" s="7"/>
      <c r="B163" s="52" t="s">
        <v>875</v>
      </c>
      <c r="C163" s="7" t="s">
        <v>844</v>
      </c>
      <c r="D163" s="7">
        <f>次要材料汇总!$F$5</f>
        <v>8</v>
      </c>
      <c r="E163" s="7">
        <v>0.51</v>
      </c>
      <c r="F163" s="53">
        <f t="shared" si="9"/>
        <v>4.08</v>
      </c>
    </row>
    <row r="164" spans="1:6" ht="18" customHeight="1">
      <c r="A164" s="7"/>
      <c r="B164" s="52" t="s">
        <v>372</v>
      </c>
      <c r="C164" s="7" t="s">
        <v>844</v>
      </c>
      <c r="D164" s="7">
        <f>次要材料汇总!$F$6</f>
        <v>7.4</v>
      </c>
      <c r="E164" s="7">
        <v>25.52</v>
      </c>
      <c r="F164" s="53">
        <f t="shared" si="9"/>
        <v>188.84800000000001</v>
      </c>
    </row>
    <row r="165" spans="1:6" ht="18" customHeight="1">
      <c r="A165" s="7"/>
      <c r="B165" s="52" t="s">
        <v>876</v>
      </c>
      <c r="C165" s="7" t="s">
        <v>844</v>
      </c>
      <c r="D165" s="7">
        <f>次要材料汇总!$F$12</f>
        <v>7.5</v>
      </c>
      <c r="E165" s="7">
        <v>0.54</v>
      </c>
      <c r="F165" s="53">
        <f t="shared" si="9"/>
        <v>4.0500000000000007</v>
      </c>
    </row>
    <row r="166" spans="1:6" ht="18" customHeight="1">
      <c r="A166" s="7"/>
      <c r="B166" s="52" t="s">
        <v>877</v>
      </c>
      <c r="C166" s="7" t="s">
        <v>871</v>
      </c>
      <c r="D166" s="66">
        <f>D70</f>
        <v>183.29938899999999</v>
      </c>
      <c r="E166" s="7">
        <v>103</v>
      </c>
      <c r="F166" s="53">
        <f t="shared" si="9"/>
        <v>18879.837067</v>
      </c>
    </row>
    <row r="167" spans="1:6" ht="18" customHeight="1">
      <c r="A167" s="7"/>
      <c r="B167" s="52" t="s">
        <v>806</v>
      </c>
      <c r="C167" s="7" t="s">
        <v>871</v>
      </c>
      <c r="D167" s="66">
        <f>D71</f>
        <v>3.88</v>
      </c>
      <c r="E167" s="7">
        <v>160</v>
      </c>
      <c r="F167" s="53">
        <f t="shared" si="9"/>
        <v>620.79999999999995</v>
      </c>
    </row>
    <row r="168" spans="1:6" ht="18" customHeight="1">
      <c r="A168" s="7"/>
      <c r="B168" s="52" t="s">
        <v>833</v>
      </c>
      <c r="C168" s="7" t="s">
        <v>834</v>
      </c>
      <c r="D168" s="66">
        <f>SUM(F159:F167)</f>
        <v>20552.349184999999</v>
      </c>
      <c r="E168" s="7">
        <v>3</v>
      </c>
      <c r="F168" s="53">
        <f>D168*E168/100</f>
        <v>616.57047554999997</v>
      </c>
    </row>
    <row r="169" spans="1:6" ht="18" customHeight="1">
      <c r="A169" s="7" t="s">
        <v>835</v>
      </c>
      <c r="B169" s="52" t="s">
        <v>836</v>
      </c>
      <c r="C169" s="7"/>
      <c r="D169" s="66"/>
      <c r="E169" s="7"/>
      <c r="F169" s="53">
        <f>SUM(F170:F177)</f>
        <v>933.93990631727388</v>
      </c>
    </row>
    <row r="170" spans="1:6" ht="18" customHeight="1">
      <c r="A170" s="7"/>
      <c r="B170" s="52" t="s">
        <v>878</v>
      </c>
      <c r="C170" s="7" t="s">
        <v>863</v>
      </c>
      <c r="D170" s="66">
        <f>施工机械台时汇总!$C$42</f>
        <v>49.210305522914197</v>
      </c>
      <c r="E170" s="7">
        <v>0.46</v>
      </c>
      <c r="F170" s="53">
        <f t="shared" ref="F170:F176" si="10">D170*E170</f>
        <v>22.636740540540533</v>
      </c>
    </row>
    <row r="171" spans="1:6" ht="18" customHeight="1">
      <c r="A171" s="7"/>
      <c r="B171" s="52" t="s">
        <v>879</v>
      </c>
      <c r="C171" s="7" t="s">
        <v>863</v>
      </c>
      <c r="D171" s="66">
        <f>施工机械台时汇总!$C$57</f>
        <v>62.128971797884901</v>
      </c>
      <c r="E171" s="7">
        <v>0.06</v>
      </c>
      <c r="F171" s="53">
        <f t="shared" si="10"/>
        <v>3.7277383078730941</v>
      </c>
    </row>
    <row r="172" spans="1:6" ht="18" customHeight="1">
      <c r="A172" s="7"/>
      <c r="B172" s="52" t="s">
        <v>889</v>
      </c>
      <c r="C172" s="7" t="s">
        <v>863</v>
      </c>
      <c r="D172" s="66">
        <f>施工机械台时汇总!$C$55</f>
        <v>113.9611292596945</v>
      </c>
      <c r="E172" s="7">
        <v>0.46</v>
      </c>
      <c r="F172" s="53">
        <f t="shared" si="10"/>
        <v>52.422119459459473</v>
      </c>
    </row>
    <row r="173" spans="1:6" ht="18" customHeight="1">
      <c r="A173" s="7"/>
      <c r="B173" s="52" t="s">
        <v>881</v>
      </c>
      <c r="C173" s="7" t="s">
        <v>863</v>
      </c>
      <c r="D173" s="66">
        <f>施工机械台时汇总!$C$40</f>
        <v>15.582226792009401</v>
      </c>
      <c r="E173" s="7">
        <v>0.93</v>
      </c>
      <c r="F173" s="53">
        <f t="shared" si="10"/>
        <v>14.491470916568744</v>
      </c>
    </row>
    <row r="174" spans="1:6" ht="18" customHeight="1">
      <c r="A174" s="7"/>
      <c r="B174" s="52" t="s">
        <v>882</v>
      </c>
      <c r="C174" s="7" t="s">
        <v>863</v>
      </c>
      <c r="D174" s="66">
        <f>施工机械台时汇总!$C$21</f>
        <v>28.129680376028197</v>
      </c>
      <c r="E174" s="7">
        <v>18.54</v>
      </c>
      <c r="F174" s="53">
        <f t="shared" si="10"/>
        <v>521.52427417156275</v>
      </c>
    </row>
    <row r="175" spans="1:6" ht="18" customHeight="1">
      <c r="A175" s="7"/>
      <c r="B175" s="52" t="s">
        <v>883</v>
      </c>
      <c r="C175" s="7" t="s">
        <v>863</v>
      </c>
      <c r="D175" s="66">
        <f>施工机械台时汇总!$C$24</f>
        <v>2.2013599686643204</v>
      </c>
      <c r="E175" s="7">
        <v>44</v>
      </c>
      <c r="F175" s="53">
        <f t="shared" si="10"/>
        <v>96.859838621230097</v>
      </c>
    </row>
    <row r="176" spans="1:6" ht="18" customHeight="1">
      <c r="A176" s="7"/>
      <c r="B176" s="52" t="s">
        <v>407</v>
      </c>
      <c r="C176" s="7" t="s">
        <v>863</v>
      </c>
      <c r="D176" s="7">
        <f>施工机械台时汇总!$C$19</f>
        <v>0.80266353309831595</v>
      </c>
      <c r="E176" s="7">
        <v>83</v>
      </c>
      <c r="F176" s="53">
        <f t="shared" si="10"/>
        <v>66.621073247160226</v>
      </c>
    </row>
    <row r="177" spans="1:6" ht="18" customHeight="1">
      <c r="A177" s="7"/>
      <c r="B177" s="52" t="s">
        <v>840</v>
      </c>
      <c r="C177" s="7" t="s">
        <v>834</v>
      </c>
      <c r="D177" s="66">
        <f>SUM(F170:F176)</f>
        <v>778.28325526439494</v>
      </c>
      <c r="E177" s="7">
        <v>20</v>
      </c>
      <c r="F177" s="53">
        <f>D177*E177/100</f>
        <v>155.656651052879</v>
      </c>
    </row>
    <row r="178" spans="1:6" ht="18" customHeight="1">
      <c r="A178" s="7" t="s">
        <v>884</v>
      </c>
      <c r="B178" s="52" t="s">
        <v>885</v>
      </c>
      <c r="C178" s="7" t="s">
        <v>871</v>
      </c>
      <c r="D178" s="66">
        <f>D82</f>
        <v>5.0269138732471603</v>
      </c>
      <c r="E178" s="7">
        <v>103</v>
      </c>
      <c r="F178" s="53">
        <f>D178*E178</f>
        <v>517.77212894445756</v>
      </c>
    </row>
    <row r="179" spans="1:6" ht="18" customHeight="1">
      <c r="A179" s="7" t="s">
        <v>886</v>
      </c>
      <c r="B179" s="52" t="s">
        <v>887</v>
      </c>
      <c r="C179" s="7" t="s">
        <v>871</v>
      </c>
      <c r="D179" s="66">
        <f>D83</f>
        <v>5.8974622495064617</v>
      </c>
      <c r="E179" s="7">
        <v>103</v>
      </c>
      <c r="F179" s="53">
        <f>D179*E179</f>
        <v>607.43861169916556</v>
      </c>
    </row>
    <row r="180" spans="1:6" ht="18" customHeight="1">
      <c r="A180" s="7"/>
      <c r="B180" s="52"/>
      <c r="C180" s="7"/>
      <c r="D180" s="7"/>
      <c r="E180" s="7"/>
      <c r="F180" s="53"/>
    </row>
    <row r="181" spans="1:6" ht="18" customHeight="1">
      <c r="A181" s="7">
        <v>1.2</v>
      </c>
      <c r="B181" s="52" t="s">
        <v>841</v>
      </c>
      <c r="C181" s="7"/>
      <c r="D181" s="53">
        <f>F154</f>
        <v>31811.176307510897</v>
      </c>
      <c r="E181" s="56">
        <f>E133</f>
        <v>4.8000000000000001E-2</v>
      </c>
      <c r="F181" s="53">
        <f>D181*E181</f>
        <v>1526.936462760523</v>
      </c>
    </row>
    <row r="182" spans="1:6" ht="18" customHeight="1">
      <c r="A182" s="7">
        <v>1.3</v>
      </c>
      <c r="B182" s="52" t="s">
        <v>842</v>
      </c>
      <c r="C182" s="7"/>
      <c r="D182" s="53">
        <f>F154</f>
        <v>31811.176307510897</v>
      </c>
      <c r="E182" s="56">
        <f>E134</f>
        <v>0</v>
      </c>
      <c r="F182" s="53">
        <f>D182*E182</f>
        <v>0</v>
      </c>
    </row>
    <row r="183" spans="1:6" ht="18" customHeight="1">
      <c r="A183" s="7">
        <v>2</v>
      </c>
      <c r="B183" s="52" t="s">
        <v>182</v>
      </c>
      <c r="C183" s="7"/>
      <c r="D183" s="53">
        <f>F153</f>
        <v>33338.112770271422</v>
      </c>
      <c r="E183" s="56">
        <f>E135</f>
        <v>7.0000000000000007E-2</v>
      </c>
      <c r="F183" s="53">
        <f>D183*E183</f>
        <v>2333.6678939189997</v>
      </c>
    </row>
    <row r="184" spans="1:6" ht="18" customHeight="1">
      <c r="A184" s="7">
        <v>3</v>
      </c>
      <c r="B184" s="52" t="s">
        <v>843</v>
      </c>
      <c r="C184" s="7"/>
      <c r="D184" s="53">
        <f>F183+F153</f>
        <v>35671.780664190424</v>
      </c>
      <c r="E184" s="56">
        <f>E136</f>
        <v>7.0000000000000007E-2</v>
      </c>
      <c r="F184" s="53">
        <f>D184*E184</f>
        <v>2497.0246464933298</v>
      </c>
    </row>
    <row r="185" spans="1:6" ht="18" customHeight="1">
      <c r="A185" s="7">
        <v>4</v>
      </c>
      <c r="B185" s="52" t="s">
        <v>184</v>
      </c>
      <c r="C185" s="7"/>
      <c r="D185" s="7"/>
      <c r="E185" s="7"/>
      <c r="F185" s="53">
        <f>SUM(F186:F191)</f>
        <v>5037.2884950837124</v>
      </c>
    </row>
    <row r="186" spans="1:6" ht="18" customHeight="1">
      <c r="A186" s="7"/>
      <c r="B186" s="52" t="s">
        <v>354</v>
      </c>
      <c r="C186" s="7" t="s">
        <v>88</v>
      </c>
      <c r="D186" s="7">
        <f t="shared" ref="D186:D191" si="11">D90</f>
        <v>116.41515</v>
      </c>
      <c r="E186" s="66">
        <f>E166*砼配合!I9</f>
        <v>35.035758999999999</v>
      </c>
      <c r="F186" s="53">
        <f t="shared" ref="F186:F192" si="12">D186*E186</f>
        <v>4078.6931393488499</v>
      </c>
    </row>
    <row r="187" spans="1:6" ht="18" customHeight="1">
      <c r="A187" s="7"/>
      <c r="B187" s="52" t="s">
        <v>507</v>
      </c>
      <c r="C187" s="7" t="s">
        <v>871</v>
      </c>
      <c r="D187" s="66">
        <f t="shared" si="11"/>
        <v>4.6598683999999899</v>
      </c>
      <c r="E187" s="66">
        <f>E166*砼配合!I10</f>
        <v>54.406660000000002</v>
      </c>
      <c r="F187" s="53">
        <f t="shared" si="12"/>
        <v>253.52787568354347</v>
      </c>
    </row>
    <row r="188" spans="1:6" ht="18" customHeight="1">
      <c r="A188" s="7"/>
      <c r="B188" s="52" t="s">
        <v>509</v>
      </c>
      <c r="C188" s="7" t="s">
        <v>871</v>
      </c>
      <c r="D188" s="66">
        <f t="shared" si="11"/>
        <v>6.2457299999999902</v>
      </c>
      <c r="E188" s="66">
        <f>E166*砼配合!I11</f>
        <v>86.667083999999988</v>
      </c>
      <c r="F188" s="53">
        <f t="shared" si="12"/>
        <v>541.29920655131912</v>
      </c>
    </row>
    <row r="189" spans="1:6" ht="18" customHeight="1">
      <c r="A189" s="7"/>
      <c r="B189" s="52" t="s">
        <v>506</v>
      </c>
      <c r="C189" s="7" t="s">
        <v>871</v>
      </c>
      <c r="D189" s="7">
        <f t="shared" si="11"/>
        <v>0</v>
      </c>
      <c r="E189" s="66">
        <f>E159</f>
        <v>0.31</v>
      </c>
      <c r="F189" s="53">
        <f t="shared" si="12"/>
        <v>0</v>
      </c>
    </row>
    <row r="190" spans="1:6" ht="18" customHeight="1">
      <c r="A190" s="7"/>
      <c r="B190" s="52" t="s">
        <v>515</v>
      </c>
      <c r="C190" s="7" t="s">
        <v>844</v>
      </c>
      <c r="D190" s="7">
        <f t="shared" si="11"/>
        <v>4.7450000000000001</v>
      </c>
      <c r="E190" s="66">
        <f>台时!AK19*砼单价!E170+E171*台时!AZ19</f>
        <v>3.66</v>
      </c>
      <c r="F190" s="53">
        <f t="shared" si="12"/>
        <v>17.366700000000002</v>
      </c>
    </row>
    <row r="191" spans="1:6" ht="18" customHeight="1">
      <c r="A191" s="7"/>
      <c r="B191" s="52" t="s">
        <v>516</v>
      </c>
      <c r="C191" s="7" t="s">
        <v>844</v>
      </c>
      <c r="D191" s="7">
        <f t="shared" si="11"/>
        <v>3.51</v>
      </c>
      <c r="E191" s="66">
        <f>砼配合!I63*台时!AN22*砼单价!E179/100</f>
        <v>41.709849999999996</v>
      </c>
      <c r="F191" s="53">
        <f t="shared" si="12"/>
        <v>146.40157349999998</v>
      </c>
    </row>
    <row r="192" spans="1:6" ht="18" customHeight="1">
      <c r="A192" s="7">
        <v>5</v>
      </c>
      <c r="B192" s="52" t="s">
        <v>845</v>
      </c>
      <c r="C192" s="7"/>
      <c r="D192" s="53">
        <f>F153+F183+F184+F185</f>
        <v>43206.093805767465</v>
      </c>
      <c r="E192" s="56">
        <f>E144</f>
        <v>0.09</v>
      </c>
      <c r="F192" s="53">
        <f t="shared" si="12"/>
        <v>3888.5484425190716</v>
      </c>
    </row>
    <row r="193" spans="1:13" ht="18" customHeight="1">
      <c r="A193" s="7">
        <v>6</v>
      </c>
      <c r="B193" s="52" t="s">
        <v>7</v>
      </c>
      <c r="C193" s="7"/>
      <c r="D193" s="7"/>
      <c r="E193" s="7"/>
      <c r="F193" s="53">
        <f>D192+F192</f>
        <v>47094.642248286538</v>
      </c>
    </row>
    <row r="194" spans="1:13" ht="18" customHeight="1">
      <c r="A194" s="7"/>
      <c r="B194" s="52" t="s">
        <v>846</v>
      </c>
      <c r="C194" s="7"/>
      <c r="D194" s="53">
        <f>F193</f>
        <v>47094.642248286538</v>
      </c>
      <c r="E194" s="56">
        <f>E146</f>
        <v>0.03</v>
      </c>
      <c r="F194" s="53">
        <f>E194*D194</f>
        <v>1412.839267448596</v>
      </c>
    </row>
    <row r="195" spans="1:13" ht="18" customHeight="1">
      <c r="A195" s="7"/>
      <c r="B195" s="52" t="s">
        <v>44</v>
      </c>
      <c r="C195" s="7"/>
      <c r="D195" s="7"/>
      <c r="E195" s="7"/>
      <c r="F195" s="53">
        <f>SUM(F193:F194)</f>
        <v>48507.481515735133</v>
      </c>
    </row>
    <row r="196" spans="1:13" ht="22.5" customHeight="1">
      <c r="A196" s="461" t="s">
        <v>813</v>
      </c>
      <c r="B196" s="461"/>
      <c r="C196" s="461"/>
      <c r="D196" s="461"/>
      <c r="E196" s="461"/>
      <c r="F196" s="461"/>
      <c r="H196" s="461" t="s">
        <v>813</v>
      </c>
      <c r="I196" s="461"/>
      <c r="J196" s="461"/>
      <c r="K196" s="461"/>
      <c r="L196" s="461"/>
      <c r="M196" s="461"/>
    </row>
    <row r="197" spans="1:13" ht="18" customHeight="1">
      <c r="A197" s="462" t="s">
        <v>893</v>
      </c>
      <c r="B197" s="462"/>
      <c r="C197" s="462"/>
      <c r="D197" s="462"/>
      <c r="E197" s="462"/>
      <c r="F197" s="462"/>
      <c r="H197" s="462" t="s">
        <v>893</v>
      </c>
      <c r="I197" s="462"/>
      <c r="J197" s="462"/>
      <c r="K197" s="462"/>
      <c r="L197" s="462"/>
      <c r="M197" s="462"/>
    </row>
    <row r="198" spans="1:13" ht="18" customHeight="1">
      <c r="A198" s="47" t="s">
        <v>894</v>
      </c>
      <c r="B198" s="49">
        <v>4059</v>
      </c>
      <c r="D198" s="46"/>
      <c r="E198" s="47" t="s">
        <v>169</v>
      </c>
      <c r="F198" s="49" t="s">
        <v>869</v>
      </c>
      <c r="H198" s="47" t="s">
        <v>894</v>
      </c>
      <c r="I198" s="49">
        <v>4059</v>
      </c>
      <c r="K198" s="46"/>
      <c r="L198" s="47" t="s">
        <v>169</v>
      </c>
      <c r="M198" s="49" t="s">
        <v>869</v>
      </c>
    </row>
    <row r="199" spans="1:13" ht="18" customHeight="1">
      <c r="A199" s="50" t="s">
        <v>817</v>
      </c>
      <c r="B199" s="458"/>
      <c r="C199" s="459"/>
      <c r="D199" s="459"/>
      <c r="E199" s="459"/>
      <c r="F199" s="460"/>
      <c r="H199" s="50" t="s">
        <v>817</v>
      </c>
      <c r="I199" s="458"/>
      <c r="J199" s="459"/>
      <c r="K199" s="459"/>
      <c r="L199" s="459"/>
      <c r="M199" s="460"/>
    </row>
    <row r="200" spans="1:13" ht="18" customHeight="1">
      <c r="A200" s="7" t="s">
        <v>1</v>
      </c>
      <c r="B200" s="52" t="s">
        <v>344</v>
      </c>
      <c r="C200" s="7" t="s">
        <v>818</v>
      </c>
      <c r="D200" s="7" t="s">
        <v>819</v>
      </c>
      <c r="E200" s="7" t="s">
        <v>820</v>
      </c>
      <c r="F200" s="7" t="s">
        <v>821</v>
      </c>
      <c r="H200" s="7" t="s">
        <v>1</v>
      </c>
      <c r="I200" s="52" t="s">
        <v>344</v>
      </c>
      <c r="J200" s="7" t="s">
        <v>818</v>
      </c>
      <c r="K200" s="7" t="s">
        <v>819</v>
      </c>
      <c r="L200" s="7" t="s">
        <v>820</v>
      </c>
      <c r="M200" s="7" t="s">
        <v>821</v>
      </c>
    </row>
    <row r="201" spans="1:13" ht="18" customHeight="1">
      <c r="A201" s="7">
        <v>1</v>
      </c>
      <c r="B201" s="52" t="s">
        <v>822</v>
      </c>
      <c r="C201" s="7"/>
      <c r="D201" s="7"/>
      <c r="E201" s="7"/>
      <c r="F201" s="53">
        <f>F202+F229+F230</f>
        <v>45265.300178309721</v>
      </c>
      <c r="H201" s="7">
        <v>1</v>
      </c>
      <c r="I201" s="52" t="s">
        <v>822</v>
      </c>
      <c r="J201" s="7"/>
      <c r="K201" s="7"/>
      <c r="L201" s="7"/>
      <c r="M201" s="53">
        <f>M202+M229+M230</f>
        <v>43987.338252207315</v>
      </c>
    </row>
    <row r="202" spans="1:13" ht="18" customHeight="1">
      <c r="A202" s="7">
        <v>1.1000000000000001</v>
      </c>
      <c r="B202" s="52" t="s">
        <v>823</v>
      </c>
      <c r="C202" s="7"/>
      <c r="D202" s="7"/>
      <c r="E202" s="7"/>
      <c r="F202" s="53">
        <f>F203+F206+F217+F226+F227+F228</f>
        <v>43192.080322814618</v>
      </c>
      <c r="H202" s="7">
        <v>1.1000000000000001</v>
      </c>
      <c r="I202" s="52" t="s">
        <v>823</v>
      </c>
      <c r="J202" s="7"/>
      <c r="K202" s="7"/>
      <c r="L202" s="7"/>
      <c r="M202" s="53">
        <f>M203+M206+M217+M226+M227+M228</f>
        <v>41972.651004014617</v>
      </c>
    </row>
    <row r="203" spans="1:13" ht="18" customHeight="1">
      <c r="A203" s="7" t="s">
        <v>47</v>
      </c>
      <c r="B203" s="52" t="s">
        <v>176</v>
      </c>
      <c r="C203" s="7"/>
      <c r="D203" s="7"/>
      <c r="E203" s="7"/>
      <c r="F203" s="53">
        <f>F204+F205</f>
        <v>15609.106</v>
      </c>
      <c r="H203" s="7" t="s">
        <v>47</v>
      </c>
      <c r="I203" s="52" t="s">
        <v>176</v>
      </c>
      <c r="J203" s="7"/>
      <c r="K203" s="7"/>
      <c r="L203" s="7"/>
      <c r="M203" s="53">
        <f>M204+M205</f>
        <v>15609.106</v>
      </c>
    </row>
    <row r="204" spans="1:13" ht="18" customHeight="1">
      <c r="A204" s="7"/>
      <c r="B204" s="52" t="s">
        <v>824</v>
      </c>
      <c r="C204" s="7" t="s">
        <v>825</v>
      </c>
      <c r="D204" s="7">
        <v>8.1</v>
      </c>
      <c r="E204" s="7">
        <v>1604.5</v>
      </c>
      <c r="F204" s="53">
        <f>D204*E204</f>
        <v>12996.45</v>
      </c>
      <c r="H204" s="7"/>
      <c r="I204" s="52" t="s">
        <v>824</v>
      </c>
      <c r="J204" s="7" t="s">
        <v>825</v>
      </c>
      <c r="K204" s="7">
        <v>8.1</v>
      </c>
      <c r="L204" s="7">
        <v>1604.5</v>
      </c>
      <c r="M204" s="53">
        <f>K204*L204</f>
        <v>12996.45</v>
      </c>
    </row>
    <row r="205" spans="1:13" ht="18" customHeight="1">
      <c r="A205" s="7"/>
      <c r="B205" s="52" t="s">
        <v>826</v>
      </c>
      <c r="C205" s="7" t="s">
        <v>825</v>
      </c>
      <c r="D205" s="7">
        <v>5.77</v>
      </c>
      <c r="E205" s="7">
        <v>452.8</v>
      </c>
      <c r="F205" s="53">
        <f>D205*E205</f>
        <v>2612.6559999999999</v>
      </c>
      <c r="H205" s="7"/>
      <c r="I205" s="52" t="s">
        <v>826</v>
      </c>
      <c r="J205" s="7" t="s">
        <v>825</v>
      </c>
      <c r="K205" s="7">
        <v>5.77</v>
      </c>
      <c r="L205" s="7">
        <v>452.8</v>
      </c>
      <c r="M205" s="53">
        <f>K205*L205</f>
        <v>2612.6559999999999</v>
      </c>
    </row>
    <row r="206" spans="1:13" ht="18" customHeight="1">
      <c r="A206" s="7" t="s">
        <v>57</v>
      </c>
      <c r="B206" s="52" t="s">
        <v>177</v>
      </c>
      <c r="C206" s="7"/>
      <c r="D206" s="7"/>
      <c r="E206" s="7"/>
      <c r="F206" s="53">
        <f>SUM(F207:F216)</f>
        <v>25554.894318179999</v>
      </c>
      <c r="H206" s="7" t="s">
        <v>57</v>
      </c>
      <c r="I206" s="52" t="s">
        <v>177</v>
      </c>
      <c r="J206" s="7"/>
      <c r="K206" s="7"/>
      <c r="L206" s="7"/>
      <c r="M206" s="53">
        <f>SUM(M207:M216)</f>
        <v>24335.464999379998</v>
      </c>
    </row>
    <row r="207" spans="1:13" ht="18" customHeight="1">
      <c r="A207" s="7"/>
      <c r="B207" s="52" t="s">
        <v>870</v>
      </c>
      <c r="C207" s="7" t="s">
        <v>871</v>
      </c>
      <c r="D207" s="7">
        <f>D111</f>
        <v>1874.0778</v>
      </c>
      <c r="E207" s="7">
        <v>0.14000000000000001</v>
      </c>
      <c r="F207" s="53">
        <f t="shared" ref="F207:F215" si="13">D207*E207</f>
        <v>262.37089200000003</v>
      </c>
      <c r="H207" s="7"/>
      <c r="I207" s="52" t="s">
        <v>870</v>
      </c>
      <c r="J207" s="7" t="s">
        <v>871</v>
      </c>
      <c r="K207" s="7">
        <f>D207</f>
        <v>1874.0778</v>
      </c>
      <c r="L207" s="7">
        <v>0.14000000000000001</v>
      </c>
      <c r="M207" s="53">
        <f t="shared" ref="M207:M215" si="14">K207*L207</f>
        <v>262.37089200000003</v>
      </c>
    </row>
    <row r="208" spans="1:13" ht="18" customHeight="1">
      <c r="A208" s="7"/>
      <c r="B208" s="52" t="s">
        <v>375</v>
      </c>
      <c r="C208" s="7" t="s">
        <v>844</v>
      </c>
      <c r="D208" s="7">
        <f>次要材料汇总!$F$9</f>
        <v>6</v>
      </c>
      <c r="E208" s="7">
        <v>339.3</v>
      </c>
      <c r="F208" s="53">
        <f t="shared" si="13"/>
        <v>2035.8000000000002</v>
      </c>
      <c r="H208" s="7"/>
      <c r="I208" s="52" t="s">
        <v>375</v>
      </c>
      <c r="J208" s="7" t="s">
        <v>844</v>
      </c>
      <c r="K208" s="7">
        <f>次要材料汇总!$F$9</f>
        <v>6</v>
      </c>
      <c r="L208" s="7">
        <v>339.3</v>
      </c>
      <c r="M208" s="53">
        <f t="shared" si="14"/>
        <v>2035.8000000000002</v>
      </c>
    </row>
    <row r="209" spans="1:13" ht="18" customHeight="1">
      <c r="A209" s="7"/>
      <c r="B209" s="52" t="s">
        <v>873</v>
      </c>
      <c r="C209" s="7" t="s">
        <v>844</v>
      </c>
      <c r="D209" s="7">
        <f>次要材料汇总!$F$10</f>
        <v>5.5</v>
      </c>
      <c r="E209" s="7">
        <v>148.47</v>
      </c>
      <c r="F209" s="53">
        <f t="shared" si="13"/>
        <v>816.58500000000004</v>
      </c>
      <c r="H209" s="7"/>
      <c r="I209" s="52" t="s">
        <v>873</v>
      </c>
      <c r="J209" s="7" t="s">
        <v>844</v>
      </c>
      <c r="K209" s="7">
        <f>次要材料汇总!$F$10</f>
        <v>5.5</v>
      </c>
      <c r="L209" s="7">
        <v>148.47</v>
      </c>
      <c r="M209" s="53">
        <f t="shared" si="14"/>
        <v>816.58500000000004</v>
      </c>
    </row>
    <row r="210" spans="1:13" ht="18" customHeight="1">
      <c r="A210" s="7"/>
      <c r="B210" s="52" t="s">
        <v>874</v>
      </c>
      <c r="C210" s="7" t="s">
        <v>844</v>
      </c>
      <c r="D210" s="7">
        <f>次要材料汇总!$F$11</f>
        <v>6.5</v>
      </c>
      <c r="E210" s="7">
        <v>167.84</v>
      </c>
      <c r="F210" s="53">
        <f t="shared" si="13"/>
        <v>1090.96</v>
      </c>
      <c r="H210" s="7"/>
      <c r="I210" s="52" t="s">
        <v>874</v>
      </c>
      <c r="J210" s="7" t="s">
        <v>844</v>
      </c>
      <c r="K210" s="7">
        <f>次要材料汇总!$F$11</f>
        <v>6.5</v>
      </c>
      <c r="L210" s="7">
        <v>167.84</v>
      </c>
      <c r="M210" s="53">
        <f t="shared" si="14"/>
        <v>1090.96</v>
      </c>
    </row>
    <row r="211" spans="1:13" ht="18" customHeight="1">
      <c r="A211" s="7"/>
      <c r="B211" s="52" t="s">
        <v>875</v>
      </c>
      <c r="C211" s="7" t="s">
        <v>844</v>
      </c>
      <c r="D211" s="7">
        <f>次要材料汇总!$F$5</f>
        <v>8</v>
      </c>
      <c r="E211" s="7">
        <v>0.51</v>
      </c>
      <c r="F211" s="53">
        <f t="shared" si="13"/>
        <v>4.08</v>
      </c>
      <c r="H211" s="7"/>
      <c r="I211" s="52" t="s">
        <v>875</v>
      </c>
      <c r="J211" s="7" t="s">
        <v>844</v>
      </c>
      <c r="K211" s="7">
        <f>次要材料汇总!$F$5</f>
        <v>8</v>
      </c>
      <c r="L211" s="7">
        <v>0.51</v>
      </c>
      <c r="M211" s="53">
        <f t="shared" si="14"/>
        <v>4.08</v>
      </c>
    </row>
    <row r="212" spans="1:13" ht="18" customHeight="1">
      <c r="A212" s="7"/>
      <c r="B212" s="52" t="s">
        <v>372</v>
      </c>
      <c r="C212" s="7" t="s">
        <v>844</v>
      </c>
      <c r="D212" s="7">
        <f>次要材料汇总!$F$6</f>
        <v>7.4</v>
      </c>
      <c r="E212" s="7">
        <v>180.9</v>
      </c>
      <c r="F212" s="53">
        <f t="shared" si="13"/>
        <v>1338.66</v>
      </c>
      <c r="H212" s="7"/>
      <c r="I212" s="52" t="s">
        <v>372</v>
      </c>
      <c r="J212" s="7" t="s">
        <v>844</v>
      </c>
      <c r="K212" s="7">
        <f>次要材料汇总!$F$6</f>
        <v>7.4</v>
      </c>
      <c r="L212" s="7">
        <v>180.9</v>
      </c>
      <c r="M212" s="53">
        <f t="shared" si="14"/>
        <v>1338.66</v>
      </c>
    </row>
    <row r="213" spans="1:13" ht="18" customHeight="1">
      <c r="A213" s="7"/>
      <c r="B213" s="52" t="s">
        <v>876</v>
      </c>
      <c r="C213" s="7" t="s">
        <v>844</v>
      </c>
      <c r="D213" s="7">
        <f>次要材料汇总!$F$12</f>
        <v>7.5</v>
      </c>
      <c r="E213" s="7">
        <v>0.63</v>
      </c>
      <c r="F213" s="53">
        <f t="shared" si="13"/>
        <v>4.7249999999999996</v>
      </c>
      <c r="H213" s="7"/>
      <c r="I213" s="52" t="s">
        <v>876</v>
      </c>
      <c r="J213" s="7" t="s">
        <v>844</v>
      </c>
      <c r="K213" s="7">
        <f>次要材料汇总!$F$12</f>
        <v>7.5</v>
      </c>
      <c r="L213" s="7">
        <v>0.63</v>
      </c>
      <c r="M213" s="53">
        <f t="shared" si="14"/>
        <v>4.7249999999999996</v>
      </c>
    </row>
    <row r="214" spans="1:13" ht="18" customHeight="1">
      <c r="A214" s="7"/>
      <c r="B214" s="52" t="s">
        <v>877</v>
      </c>
      <c r="C214" s="7" t="s">
        <v>871</v>
      </c>
      <c r="D214" s="66">
        <f>D118</f>
        <v>183.29938899999999</v>
      </c>
      <c r="E214" s="7">
        <v>103</v>
      </c>
      <c r="F214" s="53">
        <f t="shared" si="13"/>
        <v>18879.837067</v>
      </c>
      <c r="H214" s="7"/>
      <c r="I214" s="52" t="s">
        <v>877</v>
      </c>
      <c r="J214" s="7" t="s">
        <v>871</v>
      </c>
      <c r="K214" s="66">
        <f>砼配合!J14</f>
        <v>171.692409</v>
      </c>
      <c r="L214" s="7">
        <v>103</v>
      </c>
      <c r="M214" s="53">
        <f t="shared" si="14"/>
        <v>17684.318126999999</v>
      </c>
    </row>
    <row r="215" spans="1:13" ht="18" customHeight="1">
      <c r="A215" s="7"/>
      <c r="B215" s="52" t="s">
        <v>806</v>
      </c>
      <c r="C215" s="7" t="s">
        <v>871</v>
      </c>
      <c r="D215" s="7">
        <f>D119</f>
        <v>3.88</v>
      </c>
      <c r="E215" s="7">
        <v>160</v>
      </c>
      <c r="F215" s="53">
        <f t="shared" si="13"/>
        <v>620.79999999999995</v>
      </c>
      <c r="H215" s="7"/>
      <c r="I215" s="52" t="s">
        <v>806</v>
      </c>
      <c r="J215" s="7" t="s">
        <v>871</v>
      </c>
      <c r="K215" s="7">
        <f>D215</f>
        <v>3.88</v>
      </c>
      <c r="L215" s="7">
        <v>160</v>
      </c>
      <c r="M215" s="53">
        <f t="shared" si="14"/>
        <v>620.79999999999995</v>
      </c>
    </row>
    <row r="216" spans="1:13" ht="18" customHeight="1">
      <c r="A216" s="7"/>
      <c r="B216" s="52" t="s">
        <v>833</v>
      </c>
      <c r="C216" s="7" t="s">
        <v>834</v>
      </c>
      <c r="D216" s="66">
        <f>SUM(F207:F215)</f>
        <v>25053.817959</v>
      </c>
      <c r="E216" s="7">
        <v>2</v>
      </c>
      <c r="F216" s="53">
        <f>D216*E216/100</f>
        <v>501.07635918</v>
      </c>
      <c r="H216" s="7"/>
      <c r="I216" s="52" t="s">
        <v>833</v>
      </c>
      <c r="J216" s="7" t="s">
        <v>834</v>
      </c>
      <c r="K216" s="66">
        <f>SUM(M207:M215)</f>
        <v>23858.299018999998</v>
      </c>
      <c r="L216" s="7">
        <v>2</v>
      </c>
      <c r="M216" s="53">
        <f>K216*L216/100</f>
        <v>477.16598037999995</v>
      </c>
    </row>
    <row r="217" spans="1:13" ht="18" customHeight="1">
      <c r="A217" s="7" t="s">
        <v>835</v>
      </c>
      <c r="B217" s="52" t="s">
        <v>836</v>
      </c>
      <c r="C217" s="7"/>
      <c r="D217" s="66"/>
      <c r="E217" s="7"/>
      <c r="F217" s="53">
        <f>SUM(F218:F225)</f>
        <v>902.86926399099104</v>
      </c>
      <c r="H217" s="7" t="s">
        <v>835</v>
      </c>
      <c r="I217" s="52" t="s">
        <v>836</v>
      </c>
      <c r="J217" s="7"/>
      <c r="K217" s="66"/>
      <c r="L217" s="7"/>
      <c r="M217" s="53">
        <f>SUM(M218:M225)</f>
        <v>902.86926399099104</v>
      </c>
    </row>
    <row r="218" spans="1:13" ht="18" customHeight="1">
      <c r="A218" s="7"/>
      <c r="B218" s="52" t="s">
        <v>878</v>
      </c>
      <c r="C218" s="7" t="s">
        <v>863</v>
      </c>
      <c r="D218" s="66">
        <f>施工机械台时汇总!$C$42</f>
        <v>49.210305522914197</v>
      </c>
      <c r="E218" s="7">
        <v>1.17</v>
      </c>
      <c r="F218" s="53">
        <f t="shared" ref="F218:F224" si="15">D218*E218</f>
        <v>57.576057461809604</v>
      </c>
      <c r="H218" s="7"/>
      <c r="I218" s="52" t="s">
        <v>878</v>
      </c>
      <c r="J218" s="7" t="s">
        <v>863</v>
      </c>
      <c r="K218" s="66">
        <f>施工机械台时汇总!$C$42</f>
        <v>49.210305522914197</v>
      </c>
      <c r="L218" s="7">
        <v>1.17</v>
      </c>
      <c r="M218" s="53">
        <f t="shared" ref="M218:M224" si="16">K218*L218</f>
        <v>57.576057461809604</v>
      </c>
    </row>
    <row r="219" spans="1:13" ht="18" customHeight="1">
      <c r="A219" s="7"/>
      <c r="B219" s="52" t="s">
        <v>879</v>
      </c>
      <c r="C219" s="7" t="s">
        <v>863</v>
      </c>
      <c r="D219" s="66">
        <f>施工机械台时汇总!$C$57</f>
        <v>62.128971797884901</v>
      </c>
      <c r="E219" s="7">
        <v>0.06</v>
      </c>
      <c r="F219" s="53">
        <f t="shared" si="15"/>
        <v>3.7277383078730941</v>
      </c>
      <c r="H219" s="7"/>
      <c r="I219" s="52" t="s">
        <v>879</v>
      </c>
      <c r="J219" s="7" t="s">
        <v>863</v>
      </c>
      <c r="K219" s="66">
        <f>施工机械台时汇总!$C$57</f>
        <v>62.128971797884901</v>
      </c>
      <c r="L219" s="7">
        <v>0.06</v>
      </c>
      <c r="M219" s="53">
        <f t="shared" si="16"/>
        <v>3.7277383078730941</v>
      </c>
    </row>
    <row r="220" spans="1:13" ht="18" customHeight="1">
      <c r="A220" s="7"/>
      <c r="B220" s="52" t="s">
        <v>889</v>
      </c>
      <c r="C220" s="7" t="s">
        <v>863</v>
      </c>
      <c r="D220" s="66">
        <f>施工机械台时汇总!$C$55</f>
        <v>113.9611292596945</v>
      </c>
      <c r="E220" s="7">
        <v>0</v>
      </c>
      <c r="F220" s="53">
        <f t="shared" si="15"/>
        <v>0</v>
      </c>
      <c r="H220" s="7"/>
      <c r="I220" s="52" t="s">
        <v>889</v>
      </c>
      <c r="J220" s="7" t="s">
        <v>863</v>
      </c>
      <c r="K220" s="66">
        <f>施工机械台时汇总!$C$55</f>
        <v>113.9611292596945</v>
      </c>
      <c r="L220" s="7">
        <v>0</v>
      </c>
      <c r="M220" s="53">
        <f t="shared" si="16"/>
        <v>0</v>
      </c>
    </row>
    <row r="221" spans="1:13" ht="18" customHeight="1">
      <c r="A221" s="7"/>
      <c r="B221" s="52" t="s">
        <v>881</v>
      </c>
      <c r="C221" s="7" t="s">
        <v>863</v>
      </c>
      <c r="D221" s="66">
        <f>施工机械台时汇总!$C$40</f>
        <v>15.582226792009401</v>
      </c>
      <c r="E221" s="7">
        <v>0.94</v>
      </c>
      <c r="F221" s="53">
        <f t="shared" si="15"/>
        <v>14.647293184488836</v>
      </c>
      <c r="H221" s="7"/>
      <c r="I221" s="52" t="s">
        <v>881</v>
      </c>
      <c r="J221" s="7" t="s">
        <v>863</v>
      </c>
      <c r="K221" s="66">
        <f>施工机械台时汇总!$C$40</f>
        <v>15.582226792009401</v>
      </c>
      <c r="L221" s="7">
        <v>0.94</v>
      </c>
      <c r="M221" s="53">
        <f t="shared" si="16"/>
        <v>14.647293184488836</v>
      </c>
    </row>
    <row r="222" spans="1:13" ht="18" customHeight="1">
      <c r="A222" s="7"/>
      <c r="B222" s="52" t="s">
        <v>882</v>
      </c>
      <c r="C222" s="7" t="s">
        <v>863</v>
      </c>
      <c r="D222" s="66">
        <f>施工机械台时汇总!$C$21</f>
        <v>28.129680376028197</v>
      </c>
      <c r="E222" s="7">
        <v>18.54</v>
      </c>
      <c r="F222" s="53">
        <f t="shared" si="15"/>
        <v>521.52427417156275</v>
      </c>
      <c r="H222" s="7"/>
      <c r="I222" s="52" t="s">
        <v>882</v>
      </c>
      <c r="J222" s="7" t="s">
        <v>863</v>
      </c>
      <c r="K222" s="66">
        <f>施工机械台时汇总!$C$21</f>
        <v>28.129680376028197</v>
      </c>
      <c r="L222" s="7">
        <v>18.54</v>
      </c>
      <c r="M222" s="53">
        <f t="shared" si="16"/>
        <v>521.52427417156275</v>
      </c>
    </row>
    <row r="223" spans="1:13" ht="18" customHeight="1">
      <c r="A223" s="7"/>
      <c r="B223" s="52" t="s">
        <v>883</v>
      </c>
      <c r="C223" s="7" t="s">
        <v>863</v>
      </c>
      <c r="D223" s="66">
        <f>施工机械台时汇总!$C$24</f>
        <v>2.2013599686643204</v>
      </c>
      <c r="E223" s="7">
        <v>49.5</v>
      </c>
      <c r="F223" s="53">
        <f t="shared" si="15"/>
        <v>108.96731844888386</v>
      </c>
      <c r="H223" s="7"/>
      <c r="I223" s="52" t="s">
        <v>883</v>
      </c>
      <c r="J223" s="7" t="s">
        <v>863</v>
      </c>
      <c r="K223" s="66">
        <f>施工机械台时汇总!$C$24</f>
        <v>2.2013599686643204</v>
      </c>
      <c r="L223" s="7">
        <v>49.5</v>
      </c>
      <c r="M223" s="53">
        <f t="shared" si="16"/>
        <v>108.96731844888386</v>
      </c>
    </row>
    <row r="224" spans="1:13" ht="18" customHeight="1">
      <c r="A224" s="7"/>
      <c r="B224" s="52" t="s">
        <v>407</v>
      </c>
      <c r="C224" s="7" t="s">
        <v>863</v>
      </c>
      <c r="D224" s="7">
        <f>施工机械台时汇总!$C$19</f>
        <v>0.80266353309831595</v>
      </c>
      <c r="E224" s="7">
        <v>98</v>
      </c>
      <c r="F224" s="53">
        <f t="shared" si="15"/>
        <v>78.661026243634964</v>
      </c>
      <c r="H224" s="7"/>
      <c r="I224" s="52" t="s">
        <v>407</v>
      </c>
      <c r="J224" s="7" t="s">
        <v>863</v>
      </c>
      <c r="K224" s="7">
        <f>施工机械台时汇总!$C$19</f>
        <v>0.80266353309831595</v>
      </c>
      <c r="L224" s="7">
        <v>98</v>
      </c>
      <c r="M224" s="53">
        <f t="shared" si="16"/>
        <v>78.661026243634964</v>
      </c>
    </row>
    <row r="225" spans="1:13" ht="18" customHeight="1">
      <c r="A225" s="7"/>
      <c r="B225" s="52" t="s">
        <v>840</v>
      </c>
      <c r="C225" s="7" t="s">
        <v>834</v>
      </c>
      <c r="D225" s="66">
        <f>SUM(F218:F224)</f>
        <v>785.10370781825304</v>
      </c>
      <c r="E225" s="7">
        <v>15</v>
      </c>
      <c r="F225" s="53">
        <f>D225*E225/100</f>
        <v>117.76555617273796</v>
      </c>
      <c r="H225" s="7"/>
      <c r="I225" s="52" t="s">
        <v>840</v>
      </c>
      <c r="J225" s="7" t="s">
        <v>834</v>
      </c>
      <c r="K225" s="66">
        <f>SUM(M218:M224)</f>
        <v>785.10370781825304</v>
      </c>
      <c r="L225" s="7">
        <v>15</v>
      </c>
      <c r="M225" s="53">
        <f>K225*L225/100</f>
        <v>117.76555617273796</v>
      </c>
    </row>
    <row r="226" spans="1:13" ht="18" customHeight="1">
      <c r="A226" s="7" t="s">
        <v>884</v>
      </c>
      <c r="B226" s="52" t="s">
        <v>885</v>
      </c>
      <c r="C226" s="7" t="s">
        <v>871</v>
      </c>
      <c r="D226" s="66">
        <f>D130</f>
        <v>5.0269138732471603</v>
      </c>
      <c r="E226" s="7">
        <v>103</v>
      </c>
      <c r="F226" s="53">
        <f>D226*E226</f>
        <v>517.77212894445756</v>
      </c>
      <c r="H226" s="7" t="s">
        <v>884</v>
      </c>
      <c r="I226" s="52" t="s">
        <v>885</v>
      </c>
      <c r="J226" s="7" t="s">
        <v>871</v>
      </c>
      <c r="K226" s="66">
        <f>D226</f>
        <v>5.0269138732471603</v>
      </c>
      <c r="L226" s="7">
        <v>103</v>
      </c>
      <c r="M226" s="53">
        <f>K226*L226</f>
        <v>517.77212894445756</v>
      </c>
    </row>
    <row r="227" spans="1:13" ht="18" customHeight="1">
      <c r="A227" s="7" t="s">
        <v>886</v>
      </c>
      <c r="B227" s="52" t="s">
        <v>887</v>
      </c>
      <c r="C227" s="7" t="s">
        <v>871</v>
      </c>
      <c r="D227" s="66">
        <f>D131</f>
        <v>5.8974622495064617</v>
      </c>
      <c r="E227" s="7">
        <v>103</v>
      </c>
      <c r="F227" s="53">
        <f>D227*E227</f>
        <v>607.43861169916556</v>
      </c>
      <c r="H227" s="7" t="s">
        <v>886</v>
      </c>
      <c r="I227" s="52" t="s">
        <v>887</v>
      </c>
      <c r="J227" s="7" t="s">
        <v>871</v>
      </c>
      <c r="K227" s="66">
        <f>D227</f>
        <v>5.8974622495064617</v>
      </c>
      <c r="L227" s="7">
        <v>103</v>
      </c>
      <c r="M227" s="53">
        <f>K227*L227</f>
        <v>607.43861169916556</v>
      </c>
    </row>
    <row r="228" spans="1:13" ht="18" customHeight="1">
      <c r="A228" s="7"/>
      <c r="B228" s="52"/>
      <c r="C228" s="7"/>
      <c r="D228" s="7"/>
      <c r="E228" s="7"/>
      <c r="F228" s="53"/>
      <c r="H228" s="7"/>
      <c r="I228" s="52"/>
      <c r="J228" s="7"/>
      <c r="K228" s="7"/>
      <c r="L228" s="7"/>
      <c r="M228" s="53"/>
    </row>
    <row r="229" spans="1:13" ht="18" customHeight="1">
      <c r="A229" s="7">
        <v>1.2</v>
      </c>
      <c r="B229" s="52" t="s">
        <v>841</v>
      </c>
      <c r="C229" s="7"/>
      <c r="D229" s="53">
        <f>F202</f>
        <v>43192.080322814618</v>
      </c>
      <c r="E229" s="56">
        <f>E181</f>
        <v>4.8000000000000001E-2</v>
      </c>
      <c r="F229" s="53">
        <f>D229*E229</f>
        <v>2073.2198554951019</v>
      </c>
      <c r="H229" s="7">
        <v>1.2</v>
      </c>
      <c r="I229" s="52" t="s">
        <v>841</v>
      </c>
      <c r="J229" s="7"/>
      <c r="K229" s="53">
        <f>M202</f>
        <v>41972.651004014617</v>
      </c>
      <c r="L229" s="56">
        <f>E229</f>
        <v>4.8000000000000001E-2</v>
      </c>
      <c r="M229" s="53">
        <f>K229*L229</f>
        <v>2014.6872481927016</v>
      </c>
    </row>
    <row r="230" spans="1:13" ht="18" customHeight="1">
      <c r="A230" s="7">
        <v>1.3</v>
      </c>
      <c r="B230" s="52" t="s">
        <v>842</v>
      </c>
      <c r="C230" s="7"/>
      <c r="D230" s="53">
        <f>F202</f>
        <v>43192.080322814618</v>
      </c>
      <c r="E230" s="56">
        <f>E182</f>
        <v>0</v>
      </c>
      <c r="F230" s="53">
        <f>D230*E230</f>
        <v>0</v>
      </c>
      <c r="H230" s="7">
        <v>1.3</v>
      </c>
      <c r="I230" s="52" t="s">
        <v>842</v>
      </c>
      <c r="J230" s="7"/>
      <c r="K230" s="53">
        <f>M202</f>
        <v>41972.651004014617</v>
      </c>
      <c r="L230" s="56">
        <f t="shared" ref="L230:L232" si="17">E230</f>
        <v>0</v>
      </c>
      <c r="M230" s="53">
        <f>K230*L230</f>
        <v>0</v>
      </c>
    </row>
    <row r="231" spans="1:13" ht="18" customHeight="1">
      <c r="A231" s="7">
        <v>2</v>
      </c>
      <c r="B231" s="52" t="s">
        <v>182</v>
      </c>
      <c r="C231" s="7"/>
      <c r="D231" s="53">
        <f>F201</f>
        <v>45265.300178309721</v>
      </c>
      <c r="E231" s="56">
        <f>E183</f>
        <v>7.0000000000000007E-2</v>
      </c>
      <c r="F231" s="53">
        <f>D231*E231</f>
        <v>3168.5710124816806</v>
      </c>
      <c r="H231" s="7">
        <v>2</v>
      </c>
      <c r="I231" s="52" t="s">
        <v>182</v>
      </c>
      <c r="J231" s="7"/>
      <c r="K231" s="53">
        <f>M201</f>
        <v>43987.338252207315</v>
      </c>
      <c r="L231" s="56">
        <f t="shared" si="17"/>
        <v>7.0000000000000007E-2</v>
      </c>
      <c r="M231" s="53">
        <f>K231*L231</f>
        <v>3079.1136776545122</v>
      </c>
    </row>
    <row r="232" spans="1:13" ht="18" customHeight="1">
      <c r="A232" s="7">
        <v>3</v>
      </c>
      <c r="B232" s="52" t="s">
        <v>843</v>
      </c>
      <c r="C232" s="7"/>
      <c r="D232" s="53">
        <f>F231+F201</f>
        <v>48433.871190791404</v>
      </c>
      <c r="E232" s="56">
        <f>E184</f>
        <v>7.0000000000000007E-2</v>
      </c>
      <c r="F232" s="53">
        <f>D232*E232</f>
        <v>3390.3709833553985</v>
      </c>
      <c r="H232" s="7">
        <v>3</v>
      </c>
      <c r="I232" s="52" t="s">
        <v>843</v>
      </c>
      <c r="J232" s="7"/>
      <c r="K232" s="53">
        <f>M231+M201</f>
        <v>47066.451929861825</v>
      </c>
      <c r="L232" s="56">
        <f t="shared" si="17"/>
        <v>7.0000000000000007E-2</v>
      </c>
      <c r="M232" s="53">
        <f>K232*L232</f>
        <v>3294.651635090328</v>
      </c>
    </row>
    <row r="233" spans="1:13" ht="18" customHeight="1">
      <c r="A233" s="7">
        <v>4</v>
      </c>
      <c r="B233" s="52" t="s">
        <v>184</v>
      </c>
      <c r="C233" s="7"/>
      <c r="D233" s="7"/>
      <c r="E233" s="7"/>
      <c r="F233" s="53">
        <f>SUM(F234:F239)</f>
        <v>5061.5449350837125</v>
      </c>
      <c r="H233" s="7">
        <v>4</v>
      </c>
      <c r="I233" s="52" t="s">
        <v>184</v>
      </c>
      <c r="J233" s="7"/>
      <c r="K233" s="7"/>
      <c r="L233" s="7"/>
      <c r="M233" s="53">
        <f>SUM(M234:M239)</f>
        <v>4644.4141691611603</v>
      </c>
    </row>
    <row r="234" spans="1:13" ht="18" customHeight="1">
      <c r="A234" s="7"/>
      <c r="B234" s="52" t="s">
        <v>354</v>
      </c>
      <c r="C234" s="7" t="s">
        <v>88</v>
      </c>
      <c r="D234" s="66">
        <f t="shared" ref="D234:D239" si="18">D138</f>
        <v>116.41515</v>
      </c>
      <c r="E234" s="66">
        <f>E214*砼配合!I9</f>
        <v>35.035758999999999</v>
      </c>
      <c r="F234" s="53">
        <f t="shared" ref="F234:F240" si="19">D234*E234</f>
        <v>4078.6931393488499</v>
      </c>
      <c r="H234" s="7"/>
      <c r="I234" s="52" t="s">
        <v>354</v>
      </c>
      <c r="J234" s="7" t="s">
        <v>88</v>
      </c>
      <c r="K234" s="66">
        <f>D234</f>
        <v>116.41515</v>
      </c>
      <c r="L234" s="66">
        <f>L214*砼配合!I15</f>
        <v>31.641290999999999</v>
      </c>
      <c r="M234" s="53">
        <f t="shared" ref="M234:M240" si="20">K234*L234</f>
        <v>3683.5256379586499</v>
      </c>
    </row>
    <row r="235" spans="1:13" ht="18" customHeight="1">
      <c r="A235" s="7"/>
      <c r="B235" s="52" t="s">
        <v>507</v>
      </c>
      <c r="C235" s="7" t="s">
        <v>871</v>
      </c>
      <c r="D235" s="66">
        <f t="shared" si="18"/>
        <v>4.6598683999999899</v>
      </c>
      <c r="E235" s="66">
        <f>E214*砼配合!I10</f>
        <v>54.406660000000002</v>
      </c>
      <c r="F235" s="53">
        <f t="shared" si="19"/>
        <v>253.52787568354347</v>
      </c>
      <c r="H235" s="7"/>
      <c r="I235" s="52" t="s">
        <v>507</v>
      </c>
      <c r="J235" s="7" t="s">
        <v>871</v>
      </c>
      <c r="K235" s="66">
        <f t="shared" ref="K235:K239" si="21">D235</f>
        <v>4.6598683999999899</v>
      </c>
      <c r="L235" s="66">
        <f>L214*砼配合!I16</f>
        <v>49.693379999999998</v>
      </c>
      <c r="M235" s="53">
        <f t="shared" si="20"/>
        <v>231.56461115119149</v>
      </c>
    </row>
    <row r="236" spans="1:13" ht="18" customHeight="1">
      <c r="A236" s="7"/>
      <c r="B236" s="52" t="s">
        <v>509</v>
      </c>
      <c r="C236" s="7" t="s">
        <v>871</v>
      </c>
      <c r="D236" s="66">
        <f t="shared" si="18"/>
        <v>6.2457299999999902</v>
      </c>
      <c r="E236" s="66">
        <f>E214*砼配合!I11</f>
        <v>86.667083999999988</v>
      </c>
      <c r="F236" s="53">
        <f t="shared" si="19"/>
        <v>541.29920655131912</v>
      </c>
      <c r="H236" s="7"/>
      <c r="I236" s="52" t="s">
        <v>509</v>
      </c>
      <c r="J236" s="7" t="s">
        <v>871</v>
      </c>
      <c r="K236" s="66">
        <f t="shared" si="21"/>
        <v>6.2457299999999902</v>
      </c>
      <c r="L236" s="66">
        <f>L214*砼配合!I17</f>
        <v>86.667083999999988</v>
      </c>
      <c r="M236" s="53">
        <f t="shared" si="20"/>
        <v>541.29920655131912</v>
      </c>
    </row>
    <row r="237" spans="1:13" ht="18" customHeight="1">
      <c r="A237" s="7"/>
      <c r="B237" s="52" t="s">
        <v>506</v>
      </c>
      <c r="C237" s="7" t="s">
        <v>871</v>
      </c>
      <c r="D237" s="66">
        <f t="shared" si="18"/>
        <v>0</v>
      </c>
      <c r="E237" s="66">
        <f>E207</f>
        <v>0.14000000000000001</v>
      </c>
      <c r="F237" s="53">
        <f t="shared" si="19"/>
        <v>0</v>
      </c>
      <c r="H237" s="7"/>
      <c r="I237" s="52" t="s">
        <v>506</v>
      </c>
      <c r="J237" s="7" t="s">
        <v>871</v>
      </c>
      <c r="K237" s="66">
        <f t="shared" si="21"/>
        <v>0</v>
      </c>
      <c r="L237" s="66">
        <f>L207</f>
        <v>0.14000000000000001</v>
      </c>
      <c r="M237" s="53">
        <f t="shared" si="20"/>
        <v>0</v>
      </c>
    </row>
    <row r="238" spans="1:13" ht="18" customHeight="1">
      <c r="A238" s="7"/>
      <c r="B238" s="52" t="s">
        <v>515</v>
      </c>
      <c r="C238" s="7" t="s">
        <v>844</v>
      </c>
      <c r="D238" s="66">
        <f t="shared" si="18"/>
        <v>4.7450000000000001</v>
      </c>
      <c r="E238" s="66">
        <f>台时!AK19*砼单价!E218+E219*台时!AZ19</f>
        <v>8.7720000000000002</v>
      </c>
      <c r="F238" s="53">
        <f t="shared" si="19"/>
        <v>41.623139999999999</v>
      </c>
      <c r="H238" s="7"/>
      <c r="I238" s="52" t="s">
        <v>515</v>
      </c>
      <c r="J238" s="7" t="s">
        <v>844</v>
      </c>
      <c r="K238" s="66">
        <f t="shared" si="21"/>
        <v>4.7450000000000001</v>
      </c>
      <c r="L238" s="66">
        <f>E238</f>
        <v>8.7720000000000002</v>
      </c>
      <c r="M238" s="53">
        <f t="shared" si="20"/>
        <v>41.623139999999999</v>
      </c>
    </row>
    <row r="239" spans="1:13" ht="18" customHeight="1">
      <c r="A239" s="7"/>
      <c r="B239" s="52" t="s">
        <v>516</v>
      </c>
      <c r="C239" s="7" t="s">
        <v>844</v>
      </c>
      <c r="D239" s="66">
        <f t="shared" si="18"/>
        <v>3.51</v>
      </c>
      <c r="E239" s="66">
        <f>砼配合!I63*台时!AN22*砼单价!E227/100</f>
        <v>41.709849999999996</v>
      </c>
      <c r="F239" s="53">
        <f t="shared" si="19"/>
        <v>146.40157349999998</v>
      </c>
      <c r="H239" s="7"/>
      <c r="I239" s="52" t="s">
        <v>516</v>
      </c>
      <c r="J239" s="7" t="s">
        <v>844</v>
      </c>
      <c r="K239" s="66">
        <f t="shared" si="21"/>
        <v>3.51</v>
      </c>
      <c r="L239" s="66">
        <f t="shared" ref="L239:L240" si="22">E239</f>
        <v>41.709849999999996</v>
      </c>
      <c r="M239" s="53">
        <f t="shared" si="20"/>
        <v>146.40157349999998</v>
      </c>
    </row>
    <row r="240" spans="1:13" ht="18" customHeight="1">
      <c r="A240" s="7">
        <v>5</v>
      </c>
      <c r="B240" s="52" t="s">
        <v>845</v>
      </c>
      <c r="C240" s="7"/>
      <c r="D240" s="53">
        <f>F201+F231+F232+F233</f>
        <v>56885.787109230514</v>
      </c>
      <c r="E240" s="56">
        <f>E192</f>
        <v>0.09</v>
      </c>
      <c r="F240" s="53">
        <f t="shared" si="19"/>
        <v>5119.7208398307457</v>
      </c>
      <c r="H240" s="7">
        <v>5</v>
      </c>
      <c r="I240" s="52" t="s">
        <v>845</v>
      </c>
      <c r="J240" s="7"/>
      <c r="K240" s="53">
        <f>M201+M231+M232+M233</f>
        <v>55005.517734113309</v>
      </c>
      <c r="L240" s="56">
        <f t="shared" si="22"/>
        <v>0.09</v>
      </c>
      <c r="M240" s="53">
        <f t="shared" si="20"/>
        <v>4950.4965960701975</v>
      </c>
    </row>
    <row r="241" spans="1:13" ht="18" customHeight="1">
      <c r="A241" s="7">
        <v>6</v>
      </c>
      <c r="B241" s="52" t="s">
        <v>7</v>
      </c>
      <c r="C241" s="7"/>
      <c r="D241" s="7"/>
      <c r="E241" s="7"/>
      <c r="F241" s="53">
        <f>D240+F240</f>
        <v>62005.507949061262</v>
      </c>
      <c r="H241" s="7">
        <v>6</v>
      </c>
      <c r="I241" s="52" t="s">
        <v>7</v>
      </c>
      <c r="J241" s="7"/>
      <c r="K241" s="7"/>
      <c r="L241" s="7"/>
      <c r="M241" s="53">
        <f>K240+M240</f>
        <v>59956.014330183505</v>
      </c>
    </row>
    <row r="242" spans="1:13" ht="18" customHeight="1">
      <c r="A242" s="7"/>
      <c r="B242" s="52" t="s">
        <v>846</v>
      </c>
      <c r="C242" s="7"/>
      <c r="D242" s="53">
        <f>F241</f>
        <v>62005.507949061262</v>
      </c>
      <c r="E242" s="56">
        <f>E194</f>
        <v>0.03</v>
      </c>
      <c r="F242" s="53">
        <f>D242*E242</f>
        <v>1860.1652384718377</v>
      </c>
      <c r="H242" s="7"/>
      <c r="I242" s="52" t="s">
        <v>846</v>
      </c>
      <c r="J242" s="7"/>
      <c r="K242" s="53">
        <f>M241</f>
        <v>59956.014330183505</v>
      </c>
      <c r="L242" s="56">
        <f>E242</f>
        <v>0.03</v>
      </c>
      <c r="M242" s="53">
        <f>K242*L242</f>
        <v>1798.680429905505</v>
      </c>
    </row>
    <row r="243" spans="1:13" ht="18" customHeight="1">
      <c r="A243" s="7"/>
      <c r="B243" s="52" t="s">
        <v>44</v>
      </c>
      <c r="C243" s="7"/>
      <c r="D243" s="7"/>
      <c r="E243" s="7"/>
      <c r="F243" s="53">
        <f>SUM(F241:F242)</f>
        <v>63865.673187533102</v>
      </c>
      <c r="H243" s="7"/>
      <c r="I243" s="52" t="s">
        <v>44</v>
      </c>
      <c r="J243" s="7"/>
      <c r="K243" s="7"/>
      <c r="L243" s="7"/>
      <c r="M243" s="53">
        <f>SUM(M241:M242)</f>
        <v>61754.694760089013</v>
      </c>
    </row>
    <row r="244" spans="1:13" ht="22.5" customHeight="1">
      <c r="A244" s="461" t="s">
        <v>813</v>
      </c>
      <c r="B244" s="461"/>
      <c r="C244" s="461"/>
      <c r="D244" s="461"/>
      <c r="E244" s="461"/>
      <c r="F244" s="461"/>
    </row>
    <row r="245" spans="1:13" ht="18" customHeight="1">
      <c r="A245" s="462" t="s">
        <v>895</v>
      </c>
      <c r="B245" s="462"/>
      <c r="C245" s="462"/>
      <c r="D245" s="462"/>
      <c r="E245" s="462"/>
      <c r="F245" s="462"/>
    </row>
    <row r="246" spans="1:13" ht="18" customHeight="1">
      <c r="A246" s="47" t="s">
        <v>894</v>
      </c>
      <c r="B246" s="49">
        <v>4056</v>
      </c>
      <c r="D246" s="46"/>
      <c r="E246" s="47" t="s">
        <v>169</v>
      </c>
      <c r="F246" s="49" t="s">
        <v>869</v>
      </c>
    </row>
    <row r="247" spans="1:13" ht="18" customHeight="1">
      <c r="A247" s="50" t="s">
        <v>817</v>
      </c>
      <c r="B247" s="458"/>
      <c r="C247" s="459"/>
      <c r="D247" s="459"/>
      <c r="E247" s="459"/>
      <c r="F247" s="460"/>
    </row>
    <row r="248" spans="1:13" ht="18" customHeight="1">
      <c r="A248" s="7" t="s">
        <v>1</v>
      </c>
      <c r="B248" s="52" t="s">
        <v>344</v>
      </c>
      <c r="C248" s="7" t="s">
        <v>818</v>
      </c>
      <c r="D248" s="7" t="s">
        <v>819</v>
      </c>
      <c r="E248" s="7" t="s">
        <v>820</v>
      </c>
      <c r="F248" s="7" t="s">
        <v>821</v>
      </c>
    </row>
    <row r="249" spans="1:13" ht="18" customHeight="1">
      <c r="A249" s="7">
        <v>1</v>
      </c>
      <c r="B249" s="52" t="s">
        <v>822</v>
      </c>
      <c r="C249" s="7"/>
      <c r="D249" s="7"/>
      <c r="E249" s="7"/>
      <c r="F249" s="53">
        <f>F250+F277+F278</f>
        <v>32722.333328702425</v>
      </c>
    </row>
    <row r="250" spans="1:13" ht="18" customHeight="1">
      <c r="A250" s="7">
        <v>1.1000000000000001</v>
      </c>
      <c r="B250" s="52" t="s">
        <v>823</v>
      </c>
      <c r="C250" s="7"/>
      <c r="D250" s="7"/>
      <c r="E250" s="7"/>
      <c r="F250" s="53">
        <f>F251+F254+F265+F274+F275+F276</f>
        <v>31223.600504487047</v>
      </c>
    </row>
    <row r="251" spans="1:13" ht="18" customHeight="1">
      <c r="A251" s="7" t="s">
        <v>47</v>
      </c>
      <c r="B251" s="52" t="s">
        <v>176</v>
      </c>
      <c r="C251" s="7"/>
      <c r="D251" s="7"/>
      <c r="E251" s="7"/>
      <c r="F251" s="53">
        <f>F252+F253</f>
        <v>8482.7659999999996</v>
      </c>
    </row>
    <row r="252" spans="1:13" ht="18" customHeight="1">
      <c r="A252" s="7"/>
      <c r="B252" s="52" t="s">
        <v>824</v>
      </c>
      <c r="C252" s="7" t="s">
        <v>825</v>
      </c>
      <c r="D252" s="7">
        <v>8.1</v>
      </c>
      <c r="E252" s="7">
        <v>747.5</v>
      </c>
      <c r="F252" s="53">
        <f>D252*E252</f>
        <v>6054.75</v>
      </c>
    </row>
    <row r="253" spans="1:13" ht="18" customHeight="1">
      <c r="A253" s="7"/>
      <c r="B253" s="52" t="s">
        <v>826</v>
      </c>
      <c r="C253" s="7" t="s">
        <v>825</v>
      </c>
      <c r="D253" s="7">
        <v>5.77</v>
      </c>
      <c r="E253" s="7">
        <v>420.8</v>
      </c>
      <c r="F253" s="53">
        <f>D253*E253</f>
        <v>2428.0160000000001</v>
      </c>
    </row>
    <row r="254" spans="1:13" ht="18" customHeight="1">
      <c r="A254" s="7" t="s">
        <v>57</v>
      </c>
      <c r="B254" s="52" t="s">
        <v>177</v>
      </c>
      <c r="C254" s="7"/>
      <c r="D254" s="7"/>
      <c r="E254" s="7"/>
      <c r="F254" s="53">
        <f>SUM(F255:F264)</f>
        <v>20725.486152420002</v>
      </c>
    </row>
    <row r="255" spans="1:13" ht="18" customHeight="1">
      <c r="A255" s="7"/>
      <c r="B255" s="52" t="s">
        <v>870</v>
      </c>
      <c r="C255" s="7" t="s">
        <v>871</v>
      </c>
      <c r="D255" s="7">
        <f>D159</f>
        <v>1874.0778</v>
      </c>
      <c r="E255" s="7">
        <v>0.18</v>
      </c>
      <c r="F255" s="53">
        <f t="shared" ref="F255:F263" si="23">D255*E255</f>
        <v>337.33400399999999</v>
      </c>
    </row>
    <row r="256" spans="1:13" ht="18" customHeight="1">
      <c r="A256" s="7"/>
      <c r="B256" s="52" t="s">
        <v>375</v>
      </c>
      <c r="C256" s="7" t="s">
        <v>844</v>
      </c>
      <c r="D256" s="7">
        <f>次要材料汇总!$F$9</f>
        <v>6</v>
      </c>
      <c r="E256" s="7">
        <v>5.87</v>
      </c>
      <c r="F256" s="53">
        <f t="shared" si="23"/>
        <v>35.22</v>
      </c>
    </row>
    <row r="257" spans="1:6" ht="18" customHeight="1">
      <c r="A257" s="7"/>
      <c r="B257" s="52" t="s">
        <v>873</v>
      </c>
      <c r="C257" s="7" t="s">
        <v>844</v>
      </c>
      <c r="D257" s="7">
        <f>次要材料汇总!$F$10</f>
        <v>5.5</v>
      </c>
      <c r="E257" s="7">
        <v>14.02</v>
      </c>
      <c r="F257" s="53">
        <f t="shared" si="23"/>
        <v>77.11</v>
      </c>
    </row>
    <row r="258" spans="1:6" ht="18" customHeight="1">
      <c r="A258" s="7"/>
      <c r="B258" s="52" t="s">
        <v>874</v>
      </c>
      <c r="C258" s="7" t="s">
        <v>844</v>
      </c>
      <c r="D258" s="7">
        <f>次要材料汇总!$F$11</f>
        <v>6.5</v>
      </c>
      <c r="E258" s="7">
        <v>18.829999999999998</v>
      </c>
      <c r="F258" s="53">
        <f t="shared" si="23"/>
        <v>122.39499999999998</v>
      </c>
    </row>
    <row r="259" spans="1:6" ht="18" customHeight="1">
      <c r="A259" s="7"/>
      <c r="B259" s="52" t="s">
        <v>875</v>
      </c>
      <c r="C259" s="7" t="s">
        <v>844</v>
      </c>
      <c r="D259" s="7">
        <f>次要材料汇总!$F$5</f>
        <v>8</v>
      </c>
      <c r="E259" s="7">
        <v>0.44</v>
      </c>
      <c r="F259" s="53">
        <f t="shared" si="23"/>
        <v>3.52</v>
      </c>
    </row>
    <row r="260" spans="1:6" ht="18" customHeight="1">
      <c r="A260" s="7"/>
      <c r="B260" s="52" t="s">
        <v>372</v>
      </c>
      <c r="C260" s="7" t="s">
        <v>844</v>
      </c>
      <c r="D260" s="7">
        <f>次要材料汇总!$F$6</f>
        <v>7.4</v>
      </c>
      <c r="E260" s="7">
        <v>21.87</v>
      </c>
      <c r="F260" s="53">
        <f t="shared" si="23"/>
        <v>161.83800000000002</v>
      </c>
    </row>
    <row r="261" spans="1:6" ht="18" customHeight="1">
      <c r="A261" s="7"/>
      <c r="B261" s="52" t="s">
        <v>876</v>
      </c>
      <c r="C261" s="7" t="s">
        <v>844</v>
      </c>
      <c r="D261" s="7">
        <f>次要材料汇总!$F$12</f>
        <v>7.5</v>
      </c>
      <c r="E261" s="7">
        <v>0.46</v>
      </c>
      <c r="F261" s="53">
        <f t="shared" si="23"/>
        <v>3.45</v>
      </c>
    </row>
    <row r="262" spans="1:6" ht="18" customHeight="1">
      <c r="A262" s="7"/>
      <c r="B262" s="52" t="s">
        <v>877</v>
      </c>
      <c r="C262" s="7" t="s">
        <v>871</v>
      </c>
      <c r="D262" s="66">
        <f>D166</f>
        <v>183.29938899999999</v>
      </c>
      <c r="E262" s="7">
        <v>103</v>
      </c>
      <c r="F262" s="53">
        <f t="shared" si="23"/>
        <v>18879.837067</v>
      </c>
    </row>
    <row r="263" spans="1:6" ht="18" customHeight="1">
      <c r="A263" s="7"/>
      <c r="B263" s="52" t="s">
        <v>806</v>
      </c>
      <c r="C263" s="7" t="s">
        <v>871</v>
      </c>
      <c r="D263" s="7">
        <f>D167</f>
        <v>3.88</v>
      </c>
      <c r="E263" s="7">
        <v>180</v>
      </c>
      <c r="F263" s="53">
        <f t="shared" si="23"/>
        <v>698.4</v>
      </c>
    </row>
    <row r="264" spans="1:6" ht="18" customHeight="1">
      <c r="A264" s="7"/>
      <c r="B264" s="52" t="s">
        <v>833</v>
      </c>
      <c r="C264" s="7" t="s">
        <v>834</v>
      </c>
      <c r="D264" s="66">
        <f>SUM(F255:F263)</f>
        <v>20319.104071000002</v>
      </c>
      <c r="E264" s="7">
        <v>2</v>
      </c>
      <c r="F264" s="53">
        <f>D264*E264/100</f>
        <v>406.38208142000002</v>
      </c>
    </row>
    <row r="265" spans="1:6" ht="18" customHeight="1">
      <c r="A265" s="7" t="s">
        <v>835</v>
      </c>
      <c r="B265" s="52" t="s">
        <v>836</v>
      </c>
      <c r="C265" s="7"/>
      <c r="D265" s="66"/>
      <c r="E265" s="7"/>
      <c r="F265" s="53">
        <f>SUM(F266:F273)</f>
        <v>890.13761142342344</v>
      </c>
    </row>
    <row r="266" spans="1:6" ht="18" customHeight="1">
      <c r="A266" s="7"/>
      <c r="B266" s="52" t="s">
        <v>878</v>
      </c>
      <c r="C266" s="7" t="s">
        <v>863</v>
      </c>
      <c r="D266" s="66">
        <f>施工机械台时汇总!$C$42</f>
        <v>49.210305522914197</v>
      </c>
      <c r="E266" s="7">
        <v>0.42</v>
      </c>
      <c r="F266" s="53">
        <f t="shared" ref="F266:F272" si="24">D266*E266</f>
        <v>20.668328319623964</v>
      </c>
    </row>
    <row r="267" spans="1:6" ht="18" customHeight="1">
      <c r="A267" s="7"/>
      <c r="B267" s="52" t="s">
        <v>879</v>
      </c>
      <c r="C267" s="7" t="s">
        <v>863</v>
      </c>
      <c r="D267" s="66">
        <f>施工机械台时汇总!$C$57</f>
        <v>62.128971797884901</v>
      </c>
      <c r="E267" s="7">
        <v>0.78</v>
      </c>
      <c r="F267" s="53">
        <f t="shared" si="24"/>
        <v>48.460598002350224</v>
      </c>
    </row>
    <row r="268" spans="1:6" ht="18" customHeight="1">
      <c r="A268" s="7"/>
      <c r="B268" s="52" t="s">
        <v>889</v>
      </c>
      <c r="C268" s="7" t="s">
        <v>863</v>
      </c>
      <c r="D268" s="66">
        <f>施工机械台时汇总!$C$55</f>
        <v>113.9611292596945</v>
      </c>
      <c r="E268" s="7">
        <v>0</v>
      </c>
      <c r="F268" s="53">
        <f t="shared" si="24"/>
        <v>0</v>
      </c>
    </row>
    <row r="269" spans="1:6" ht="18" customHeight="1">
      <c r="A269" s="7"/>
      <c r="B269" s="52" t="s">
        <v>881</v>
      </c>
      <c r="C269" s="7" t="s">
        <v>863</v>
      </c>
      <c r="D269" s="66">
        <f>施工机械台时汇总!$C$40</f>
        <v>15.582226792009401</v>
      </c>
      <c r="E269" s="7">
        <v>0.5</v>
      </c>
      <c r="F269" s="53">
        <f t="shared" si="24"/>
        <v>7.7911133960047003</v>
      </c>
    </row>
    <row r="270" spans="1:6" ht="18" customHeight="1">
      <c r="A270" s="7"/>
      <c r="B270" s="52" t="s">
        <v>882</v>
      </c>
      <c r="C270" s="7" t="s">
        <v>863</v>
      </c>
      <c r="D270" s="66">
        <f>施工机械台时汇总!$C$21</f>
        <v>28.129680376028197</v>
      </c>
      <c r="E270" s="7">
        <v>18.54</v>
      </c>
      <c r="F270" s="53">
        <f t="shared" si="24"/>
        <v>521.52427417156275</v>
      </c>
    </row>
    <row r="271" spans="1:6" ht="18" customHeight="1">
      <c r="A271" s="7"/>
      <c r="B271" s="52" t="s">
        <v>883</v>
      </c>
      <c r="C271" s="7" t="s">
        <v>863</v>
      </c>
      <c r="D271" s="66">
        <f>施工机械台时汇总!$C$24</f>
        <v>2.2013599686643204</v>
      </c>
      <c r="E271" s="7">
        <v>49.5</v>
      </c>
      <c r="F271" s="53">
        <f t="shared" si="24"/>
        <v>108.96731844888386</v>
      </c>
    </row>
    <row r="272" spans="1:6" ht="18" customHeight="1">
      <c r="A272" s="7"/>
      <c r="B272" s="52" t="s">
        <v>407</v>
      </c>
      <c r="C272" s="7" t="s">
        <v>863</v>
      </c>
      <c r="D272" s="7">
        <f>施工机械台时汇总!$C$19</f>
        <v>0.80266353309831595</v>
      </c>
      <c r="E272" s="7">
        <v>83</v>
      </c>
      <c r="F272" s="53">
        <f t="shared" si="24"/>
        <v>66.621073247160226</v>
      </c>
    </row>
    <row r="273" spans="1:6" ht="18" customHeight="1">
      <c r="A273" s="7"/>
      <c r="B273" s="52" t="s">
        <v>840</v>
      </c>
      <c r="C273" s="7" t="s">
        <v>834</v>
      </c>
      <c r="D273" s="66">
        <f>SUM(F266:F272)</f>
        <v>774.03270558558563</v>
      </c>
      <c r="E273" s="7">
        <v>15</v>
      </c>
      <c r="F273" s="53">
        <f>D273*E273/100</f>
        <v>116.10490583783785</v>
      </c>
    </row>
    <row r="274" spans="1:6" ht="18" customHeight="1">
      <c r="A274" s="7" t="s">
        <v>884</v>
      </c>
      <c r="B274" s="52" t="s">
        <v>885</v>
      </c>
      <c r="C274" s="7" t="s">
        <v>871</v>
      </c>
      <c r="D274" s="66">
        <f>D178</f>
        <v>5.0269138732471603</v>
      </c>
      <c r="E274" s="7">
        <v>103</v>
      </c>
      <c r="F274" s="53">
        <f>D274*E274</f>
        <v>517.77212894445756</v>
      </c>
    </row>
    <row r="275" spans="1:6" ht="18" customHeight="1">
      <c r="A275" s="7" t="s">
        <v>886</v>
      </c>
      <c r="B275" s="52" t="s">
        <v>887</v>
      </c>
      <c r="C275" s="7" t="s">
        <v>871</v>
      </c>
      <c r="D275" s="66">
        <f>D179</f>
        <v>5.8974622495064617</v>
      </c>
      <c r="E275" s="7">
        <v>103</v>
      </c>
      <c r="F275" s="53">
        <f>D275*E275</f>
        <v>607.43861169916556</v>
      </c>
    </row>
    <row r="276" spans="1:6" ht="18" customHeight="1">
      <c r="A276" s="7"/>
      <c r="B276" s="52"/>
      <c r="C276" s="7"/>
      <c r="D276" s="7"/>
      <c r="E276" s="7"/>
      <c r="F276" s="53"/>
    </row>
    <row r="277" spans="1:6" ht="18" customHeight="1">
      <c r="A277" s="7">
        <v>1.2</v>
      </c>
      <c r="B277" s="52" t="s">
        <v>841</v>
      </c>
      <c r="C277" s="7"/>
      <c r="D277" s="53">
        <f>F250</f>
        <v>31223.600504487047</v>
      </c>
      <c r="E277" s="56">
        <f>E229</f>
        <v>4.8000000000000001E-2</v>
      </c>
      <c r="F277" s="53">
        <f>D277*E277</f>
        <v>1498.7328242153783</v>
      </c>
    </row>
    <row r="278" spans="1:6" ht="18" customHeight="1">
      <c r="A278" s="7">
        <v>1.3</v>
      </c>
      <c r="B278" s="52" t="s">
        <v>842</v>
      </c>
      <c r="C278" s="7"/>
      <c r="D278" s="53">
        <f>F250</f>
        <v>31223.600504487047</v>
      </c>
      <c r="E278" s="56">
        <f>E230</f>
        <v>0</v>
      </c>
      <c r="F278" s="53">
        <f>D278*E278</f>
        <v>0</v>
      </c>
    </row>
    <row r="279" spans="1:6" ht="18" customHeight="1">
      <c r="A279" s="7">
        <v>2</v>
      </c>
      <c r="B279" s="52" t="s">
        <v>182</v>
      </c>
      <c r="C279" s="7"/>
      <c r="D279" s="53">
        <f>F249</f>
        <v>32722.333328702425</v>
      </c>
      <c r="E279" s="56">
        <f>E231</f>
        <v>7.0000000000000007E-2</v>
      </c>
      <c r="F279" s="53">
        <f>D279*E279</f>
        <v>2290.56333300917</v>
      </c>
    </row>
    <row r="280" spans="1:6" ht="18" customHeight="1">
      <c r="A280" s="7">
        <v>3</v>
      </c>
      <c r="B280" s="52" t="s">
        <v>843</v>
      </c>
      <c r="C280" s="7"/>
      <c r="D280" s="53">
        <f>F279+F249</f>
        <v>35012.896661711595</v>
      </c>
      <c r="E280" s="56">
        <f>E232</f>
        <v>7.0000000000000007E-2</v>
      </c>
      <c r="F280" s="53">
        <f>D280*E280</f>
        <v>2450.9027663198117</v>
      </c>
    </row>
    <row r="281" spans="1:6" ht="18" customHeight="1">
      <c r="A281" s="7">
        <v>4</v>
      </c>
      <c r="B281" s="52" t="s">
        <v>184</v>
      </c>
      <c r="C281" s="7"/>
      <c r="D281" s="7"/>
      <c r="E281" s="7"/>
      <c r="F281" s="53">
        <f>SUM(F282:F287)</f>
        <v>5055.7370550837131</v>
      </c>
    </row>
    <row r="282" spans="1:6" ht="18" customHeight="1">
      <c r="A282" s="7"/>
      <c r="B282" s="52" t="s">
        <v>354</v>
      </c>
      <c r="C282" s="7" t="s">
        <v>88</v>
      </c>
      <c r="D282" s="66">
        <f t="shared" ref="D282:D287" si="25">D186</f>
        <v>116.41515</v>
      </c>
      <c r="E282" s="66">
        <f>E262*砼配合!I9</f>
        <v>35.035758999999999</v>
      </c>
      <c r="F282" s="53">
        <f t="shared" ref="F282:F288" si="26">D282*E282</f>
        <v>4078.6931393488499</v>
      </c>
    </row>
    <row r="283" spans="1:6" ht="18" customHeight="1">
      <c r="A283" s="7"/>
      <c r="B283" s="52" t="s">
        <v>507</v>
      </c>
      <c r="C283" s="7" t="s">
        <v>871</v>
      </c>
      <c r="D283" s="66">
        <f t="shared" si="25"/>
        <v>4.6598683999999899</v>
      </c>
      <c r="E283" s="66">
        <f>E262*砼配合!I10</f>
        <v>54.406660000000002</v>
      </c>
      <c r="F283" s="53">
        <f t="shared" si="26"/>
        <v>253.52787568354347</v>
      </c>
    </row>
    <row r="284" spans="1:6" ht="18" customHeight="1">
      <c r="A284" s="7"/>
      <c r="B284" s="52" t="s">
        <v>509</v>
      </c>
      <c r="C284" s="7" t="s">
        <v>871</v>
      </c>
      <c r="D284" s="66">
        <f t="shared" si="25"/>
        <v>6.2457299999999902</v>
      </c>
      <c r="E284" s="66">
        <f>E262*砼配合!I11</f>
        <v>86.667083999999988</v>
      </c>
      <c r="F284" s="53">
        <f t="shared" si="26"/>
        <v>541.29920655131912</v>
      </c>
    </row>
    <row r="285" spans="1:6" ht="18" customHeight="1">
      <c r="A285" s="7"/>
      <c r="B285" s="52" t="s">
        <v>506</v>
      </c>
      <c r="C285" s="7" t="s">
        <v>871</v>
      </c>
      <c r="D285" s="66">
        <f t="shared" si="25"/>
        <v>0</v>
      </c>
      <c r="E285" s="66">
        <f>E255</f>
        <v>0.18</v>
      </c>
      <c r="F285" s="53">
        <f t="shared" si="26"/>
        <v>0</v>
      </c>
    </row>
    <row r="286" spans="1:6" ht="18" customHeight="1">
      <c r="A286" s="7"/>
      <c r="B286" s="52" t="s">
        <v>515</v>
      </c>
      <c r="C286" s="7" t="s">
        <v>844</v>
      </c>
      <c r="D286" s="66">
        <f t="shared" si="25"/>
        <v>4.7450000000000001</v>
      </c>
      <c r="E286" s="66">
        <f>台时!AK19*砼单价!E266+E267*台时!AZ19</f>
        <v>7.548</v>
      </c>
      <c r="F286" s="53">
        <f t="shared" si="26"/>
        <v>35.815260000000002</v>
      </c>
    </row>
    <row r="287" spans="1:6" ht="18" customHeight="1">
      <c r="A287" s="7"/>
      <c r="B287" s="52" t="s">
        <v>516</v>
      </c>
      <c r="C287" s="7" t="s">
        <v>844</v>
      </c>
      <c r="D287" s="66">
        <f t="shared" si="25"/>
        <v>3.51</v>
      </c>
      <c r="E287" s="66">
        <f>砼配合!I63*台时!AN22*砼单价!E275/100</f>
        <v>41.709849999999996</v>
      </c>
      <c r="F287" s="53">
        <f t="shared" si="26"/>
        <v>146.40157349999998</v>
      </c>
    </row>
    <row r="288" spans="1:6" ht="18" customHeight="1">
      <c r="A288" s="7">
        <v>5</v>
      </c>
      <c r="B288" s="52" t="s">
        <v>845</v>
      </c>
      <c r="C288" s="7"/>
      <c r="D288" s="53">
        <f>F249+F279+F280+F281</f>
        <v>42519.536483115124</v>
      </c>
      <c r="E288" s="56">
        <f>E240</f>
        <v>0.09</v>
      </c>
      <c r="F288" s="53">
        <f t="shared" si="26"/>
        <v>3826.7582834803611</v>
      </c>
    </row>
    <row r="289" spans="1:6" ht="18" customHeight="1">
      <c r="A289" s="7">
        <v>6</v>
      </c>
      <c r="B289" s="52" t="s">
        <v>7</v>
      </c>
      <c r="C289" s="7"/>
      <c r="D289" s="7"/>
      <c r="E289" s="7"/>
      <c r="F289" s="53">
        <f>D288+F288</f>
        <v>46346.294766595485</v>
      </c>
    </row>
    <row r="290" spans="1:6" ht="18" customHeight="1">
      <c r="A290" s="7"/>
      <c r="B290" s="52" t="s">
        <v>846</v>
      </c>
      <c r="C290" s="7"/>
      <c r="D290" s="53">
        <f>F289</f>
        <v>46346.294766595485</v>
      </c>
      <c r="E290" s="56">
        <f>E242</f>
        <v>0.03</v>
      </c>
      <c r="F290" s="53">
        <f>D290*E290</f>
        <v>1390.3888429978645</v>
      </c>
    </row>
    <row r="291" spans="1:6" ht="18" customHeight="1">
      <c r="A291" s="7"/>
      <c r="B291" s="52" t="s">
        <v>44</v>
      </c>
      <c r="C291" s="7"/>
      <c r="D291" s="7"/>
      <c r="E291" s="7"/>
      <c r="F291" s="53">
        <f>SUM(F289:F290)</f>
        <v>47736.683609593347</v>
      </c>
    </row>
    <row r="292" spans="1:6" ht="22.5" customHeight="1">
      <c r="A292" s="461" t="s">
        <v>813</v>
      </c>
      <c r="B292" s="461"/>
      <c r="C292" s="461"/>
      <c r="D292" s="461"/>
      <c r="E292" s="461"/>
      <c r="F292" s="461"/>
    </row>
    <row r="293" spans="1:6" ht="18" customHeight="1">
      <c r="A293" s="462" t="s">
        <v>896</v>
      </c>
      <c r="B293" s="462"/>
      <c r="C293" s="462"/>
      <c r="D293" s="462"/>
      <c r="E293" s="462"/>
      <c r="F293" s="462"/>
    </row>
    <row r="294" spans="1:6" ht="18" customHeight="1">
      <c r="A294" s="47" t="s">
        <v>894</v>
      </c>
      <c r="B294" s="49">
        <v>4057</v>
      </c>
      <c r="D294" s="46"/>
      <c r="E294" s="47" t="s">
        <v>169</v>
      </c>
      <c r="F294" s="49" t="s">
        <v>869</v>
      </c>
    </row>
    <row r="295" spans="1:6" ht="18" customHeight="1">
      <c r="A295" s="50" t="s">
        <v>817</v>
      </c>
      <c r="B295" s="458"/>
      <c r="C295" s="459"/>
      <c r="D295" s="459"/>
      <c r="E295" s="459"/>
      <c r="F295" s="460"/>
    </row>
    <row r="296" spans="1:6" ht="18" customHeight="1">
      <c r="A296" s="7" t="s">
        <v>1</v>
      </c>
      <c r="B296" s="52" t="s">
        <v>344</v>
      </c>
      <c r="C296" s="7" t="s">
        <v>818</v>
      </c>
      <c r="D296" s="7" t="s">
        <v>819</v>
      </c>
      <c r="E296" s="7" t="s">
        <v>820</v>
      </c>
      <c r="F296" s="7" t="s">
        <v>821</v>
      </c>
    </row>
    <row r="297" spans="1:6" ht="18" customHeight="1">
      <c r="A297" s="7">
        <v>1</v>
      </c>
      <c r="B297" s="52" t="s">
        <v>822</v>
      </c>
      <c r="C297" s="7"/>
      <c r="D297" s="7"/>
      <c r="E297" s="7"/>
      <c r="F297" s="53">
        <f>F298+F325+F326</f>
        <v>41639.243942763103</v>
      </c>
    </row>
    <row r="298" spans="1:6" ht="18" customHeight="1">
      <c r="A298" s="7">
        <v>1.1000000000000001</v>
      </c>
      <c r="B298" s="52" t="s">
        <v>823</v>
      </c>
      <c r="C298" s="7"/>
      <c r="D298" s="7"/>
      <c r="E298" s="7"/>
      <c r="F298" s="53">
        <f>F299+F302+F313+F322+F323+F324</f>
        <v>39732.102998819755</v>
      </c>
    </row>
    <row r="299" spans="1:6" ht="18" customHeight="1">
      <c r="A299" s="7" t="s">
        <v>47</v>
      </c>
      <c r="B299" s="52" t="s">
        <v>176</v>
      </c>
      <c r="C299" s="7"/>
      <c r="D299" s="7"/>
      <c r="E299" s="7"/>
      <c r="F299" s="53">
        <f>F300+F301</f>
        <v>11248.269</v>
      </c>
    </row>
    <row r="300" spans="1:6" ht="18" customHeight="1">
      <c r="A300" s="7"/>
      <c r="B300" s="52" t="s">
        <v>824</v>
      </c>
      <c r="C300" s="7" t="s">
        <v>825</v>
      </c>
      <c r="D300" s="7">
        <v>8.1</v>
      </c>
      <c r="E300" s="7">
        <v>991.4</v>
      </c>
      <c r="F300" s="53">
        <f>D300*E300</f>
        <v>8030.34</v>
      </c>
    </row>
    <row r="301" spans="1:6" ht="18" customHeight="1">
      <c r="A301" s="7"/>
      <c r="B301" s="52" t="s">
        <v>826</v>
      </c>
      <c r="C301" s="7" t="s">
        <v>825</v>
      </c>
      <c r="D301" s="7">
        <v>5.77</v>
      </c>
      <c r="E301" s="7">
        <v>557.70000000000005</v>
      </c>
      <c r="F301" s="53">
        <f>D301*E301</f>
        <v>3217.9290000000001</v>
      </c>
    </row>
    <row r="302" spans="1:6" ht="18" customHeight="1">
      <c r="A302" s="7" t="s">
        <v>57</v>
      </c>
      <c r="B302" s="52" t="s">
        <v>177</v>
      </c>
      <c r="C302" s="7"/>
      <c r="D302" s="7"/>
      <c r="E302" s="7"/>
      <c r="F302" s="53">
        <f>SUM(F303:F312)</f>
        <v>25963.612354050005</v>
      </c>
    </row>
    <row r="303" spans="1:6" ht="18" customHeight="1">
      <c r="A303" s="7"/>
      <c r="B303" s="52" t="s">
        <v>870</v>
      </c>
      <c r="C303" s="7" t="s">
        <v>871</v>
      </c>
      <c r="D303" s="7">
        <f>D207</f>
        <v>1874.0778</v>
      </c>
      <c r="E303" s="7">
        <v>0.56000000000000005</v>
      </c>
      <c r="F303" s="53">
        <f t="shared" ref="F303:F311" si="27">D303*E303</f>
        <v>1049.4835680000001</v>
      </c>
    </row>
    <row r="304" spans="1:6" ht="18" customHeight="1">
      <c r="A304" s="7"/>
      <c r="B304" s="52" t="s">
        <v>375</v>
      </c>
      <c r="C304" s="7" t="s">
        <v>844</v>
      </c>
      <c r="D304" s="7">
        <f>次要材料汇总!$F$9</f>
        <v>6</v>
      </c>
      <c r="E304" s="7">
        <v>66.58</v>
      </c>
      <c r="F304" s="53">
        <f t="shared" si="27"/>
        <v>399.48</v>
      </c>
    </row>
    <row r="305" spans="1:6" ht="18" customHeight="1">
      <c r="A305" s="7"/>
      <c r="B305" s="52" t="s">
        <v>873</v>
      </c>
      <c r="C305" s="7" t="s">
        <v>844</v>
      </c>
      <c r="D305" s="7">
        <f>次要材料汇总!$F$10</f>
        <v>5.5</v>
      </c>
      <c r="E305" s="7">
        <v>159.08000000000001</v>
      </c>
      <c r="F305" s="53">
        <f t="shared" si="27"/>
        <v>874.94</v>
      </c>
    </row>
    <row r="306" spans="1:6" ht="18" customHeight="1">
      <c r="A306" s="7"/>
      <c r="B306" s="52" t="s">
        <v>874</v>
      </c>
      <c r="C306" s="7" t="s">
        <v>844</v>
      </c>
      <c r="D306" s="7">
        <f>次要材料汇总!$F$11</f>
        <v>6.5</v>
      </c>
      <c r="E306" s="7">
        <v>213.6</v>
      </c>
      <c r="F306" s="53">
        <f t="shared" si="27"/>
        <v>1388.3999999999999</v>
      </c>
    </row>
    <row r="307" spans="1:6" ht="18" customHeight="1">
      <c r="A307" s="7"/>
      <c r="B307" s="52" t="s">
        <v>875</v>
      </c>
      <c r="C307" s="7" t="s">
        <v>844</v>
      </c>
      <c r="D307" s="7">
        <f>次要材料汇总!$F$5</f>
        <v>8</v>
      </c>
      <c r="E307" s="7">
        <v>4.96</v>
      </c>
      <c r="F307" s="53">
        <f t="shared" si="27"/>
        <v>39.68</v>
      </c>
    </row>
    <row r="308" spans="1:6" ht="18" customHeight="1">
      <c r="A308" s="7"/>
      <c r="B308" s="52" t="s">
        <v>372</v>
      </c>
      <c r="C308" s="7" t="s">
        <v>844</v>
      </c>
      <c r="D308" s="7">
        <f>次要材料汇总!$F$6</f>
        <v>7.4</v>
      </c>
      <c r="E308" s="7">
        <v>248.3</v>
      </c>
      <c r="F308" s="53">
        <f t="shared" si="27"/>
        <v>1837.42</v>
      </c>
    </row>
    <row r="309" spans="1:6" ht="18" customHeight="1">
      <c r="A309" s="7"/>
      <c r="B309" s="52" t="s">
        <v>876</v>
      </c>
      <c r="C309" s="7" t="s">
        <v>844</v>
      </c>
      <c r="D309" s="7">
        <f>次要材料汇总!$F$12</f>
        <v>7.5</v>
      </c>
      <c r="E309" s="7">
        <v>5.3</v>
      </c>
      <c r="F309" s="53">
        <f t="shared" si="27"/>
        <v>39.75</v>
      </c>
    </row>
    <row r="310" spans="1:6" ht="18" customHeight="1">
      <c r="A310" s="7"/>
      <c r="B310" s="52" t="s">
        <v>877</v>
      </c>
      <c r="C310" s="7" t="s">
        <v>871</v>
      </c>
      <c r="D310" s="66">
        <f>D214</f>
        <v>183.29938899999999</v>
      </c>
      <c r="E310" s="7">
        <v>103</v>
      </c>
      <c r="F310" s="53">
        <f t="shared" si="27"/>
        <v>18879.837067</v>
      </c>
    </row>
    <row r="311" spans="1:6" ht="18" customHeight="1">
      <c r="A311" s="7"/>
      <c r="B311" s="52" t="s">
        <v>806</v>
      </c>
      <c r="C311" s="7" t="s">
        <v>871</v>
      </c>
      <c r="D311" s="7">
        <f>D215</f>
        <v>3.88</v>
      </c>
      <c r="E311" s="7">
        <v>180</v>
      </c>
      <c r="F311" s="53">
        <f t="shared" si="27"/>
        <v>698.4</v>
      </c>
    </row>
    <row r="312" spans="1:6" ht="18" customHeight="1">
      <c r="A312" s="7"/>
      <c r="B312" s="52" t="s">
        <v>833</v>
      </c>
      <c r="C312" s="7" t="s">
        <v>834</v>
      </c>
      <c r="D312" s="66">
        <f>SUM(F303:F311)</f>
        <v>25207.390635000003</v>
      </c>
      <c r="E312" s="7">
        <v>3</v>
      </c>
      <c r="F312" s="53">
        <f>D312*E312/100</f>
        <v>756.22171905000005</v>
      </c>
    </row>
    <row r="313" spans="1:6" ht="18" customHeight="1">
      <c r="A313" s="7" t="s">
        <v>835</v>
      </c>
      <c r="B313" s="52" t="s">
        <v>836</v>
      </c>
      <c r="C313" s="7"/>
      <c r="D313" s="66"/>
      <c r="E313" s="7"/>
      <c r="F313" s="53">
        <f>SUM(F314:F321)</f>
        <v>1395.0109041261267</v>
      </c>
    </row>
    <row r="314" spans="1:6" ht="18" customHeight="1">
      <c r="A314" s="7"/>
      <c r="B314" s="52" t="s">
        <v>878</v>
      </c>
      <c r="C314" s="7" t="s">
        <v>863</v>
      </c>
      <c r="D314" s="66">
        <f>施工机械台时汇总!$C$42</f>
        <v>49.210305522914197</v>
      </c>
      <c r="E314" s="7">
        <v>2.25</v>
      </c>
      <c r="F314" s="53">
        <f t="shared" ref="F314:F320" si="28">D314*E314</f>
        <v>110.72318742655695</v>
      </c>
    </row>
    <row r="315" spans="1:6" ht="18" customHeight="1">
      <c r="A315" s="7"/>
      <c r="B315" s="52" t="s">
        <v>879</v>
      </c>
      <c r="C315" s="7" t="s">
        <v>863</v>
      </c>
      <c r="D315" s="66">
        <f>施工机械台时汇总!$C$57</f>
        <v>62.128971797884901</v>
      </c>
      <c r="E315" s="7">
        <v>4.28</v>
      </c>
      <c r="F315" s="53">
        <f t="shared" si="28"/>
        <v>265.91199929494741</v>
      </c>
    </row>
    <row r="316" spans="1:6" ht="18" customHeight="1">
      <c r="A316" s="7"/>
      <c r="B316" s="52" t="s">
        <v>889</v>
      </c>
      <c r="C316" s="7" t="s">
        <v>863</v>
      </c>
      <c r="D316" s="66">
        <f>施工机械台时汇总!$C$55</f>
        <v>113.9611292596945</v>
      </c>
      <c r="E316" s="7">
        <v>0</v>
      </c>
      <c r="F316" s="53">
        <f t="shared" si="28"/>
        <v>0</v>
      </c>
    </row>
    <row r="317" spans="1:6" ht="18" customHeight="1">
      <c r="A317" s="7"/>
      <c r="B317" s="52" t="s">
        <v>881</v>
      </c>
      <c r="C317" s="7" t="s">
        <v>863</v>
      </c>
      <c r="D317" s="66">
        <f>施工机械台时汇总!$C$40</f>
        <v>15.582226792009401</v>
      </c>
      <c r="E317" s="7">
        <v>8.94</v>
      </c>
      <c r="F317" s="53">
        <f t="shared" si="28"/>
        <v>139.30510752056404</v>
      </c>
    </row>
    <row r="318" spans="1:6" ht="18" customHeight="1">
      <c r="A318" s="7"/>
      <c r="B318" s="52" t="s">
        <v>882</v>
      </c>
      <c r="C318" s="7" t="s">
        <v>863</v>
      </c>
      <c r="D318" s="66">
        <f>施工机械台时汇总!$C$21</f>
        <v>28.129680376028197</v>
      </c>
      <c r="E318" s="7">
        <v>18.54</v>
      </c>
      <c r="F318" s="53">
        <f t="shared" si="28"/>
        <v>521.52427417156275</v>
      </c>
    </row>
    <row r="319" spans="1:6" ht="18" customHeight="1">
      <c r="A319" s="7"/>
      <c r="B319" s="52" t="s">
        <v>883</v>
      </c>
      <c r="C319" s="7" t="s">
        <v>863</v>
      </c>
      <c r="D319" s="66">
        <f>施工机械台时汇总!$C$24</f>
        <v>2.2013599686643204</v>
      </c>
      <c r="E319" s="7">
        <v>49.5</v>
      </c>
      <c r="F319" s="53">
        <f t="shared" si="28"/>
        <v>108.96731844888386</v>
      </c>
    </row>
    <row r="320" spans="1:6" ht="18" customHeight="1">
      <c r="A320" s="7"/>
      <c r="B320" s="52" t="s">
        <v>407</v>
      </c>
      <c r="C320" s="7" t="s">
        <v>863</v>
      </c>
      <c r="D320" s="7">
        <f>施工机械台时汇总!$C$19</f>
        <v>0.80266353309831595</v>
      </c>
      <c r="E320" s="7">
        <v>83</v>
      </c>
      <c r="F320" s="53">
        <f t="shared" si="28"/>
        <v>66.621073247160226</v>
      </c>
    </row>
    <row r="321" spans="1:6" ht="18" customHeight="1">
      <c r="A321" s="7"/>
      <c r="B321" s="52" t="s">
        <v>840</v>
      </c>
      <c r="C321" s="7" t="s">
        <v>834</v>
      </c>
      <c r="D321" s="66">
        <f>SUM(F314:F320)</f>
        <v>1213.0529601096753</v>
      </c>
      <c r="E321" s="7">
        <v>15</v>
      </c>
      <c r="F321" s="53">
        <f>D321*E321/100</f>
        <v>181.95794401645128</v>
      </c>
    </row>
    <row r="322" spans="1:6" ht="18" customHeight="1">
      <c r="A322" s="7" t="s">
        <v>884</v>
      </c>
      <c r="B322" s="52" t="s">
        <v>885</v>
      </c>
      <c r="C322" s="7" t="s">
        <v>871</v>
      </c>
      <c r="D322" s="66">
        <f>D226</f>
        <v>5.0269138732471603</v>
      </c>
      <c r="E322" s="7">
        <v>103</v>
      </c>
      <c r="F322" s="53">
        <f>D322*E322</f>
        <v>517.77212894445756</v>
      </c>
    </row>
    <row r="323" spans="1:6" ht="18" customHeight="1">
      <c r="A323" s="7" t="s">
        <v>886</v>
      </c>
      <c r="B323" s="52" t="s">
        <v>887</v>
      </c>
      <c r="C323" s="7" t="s">
        <v>871</v>
      </c>
      <c r="D323" s="66">
        <f>D227</f>
        <v>5.8974622495064617</v>
      </c>
      <c r="E323" s="7">
        <v>103</v>
      </c>
      <c r="F323" s="53">
        <f>D323*E323</f>
        <v>607.43861169916556</v>
      </c>
    </row>
    <row r="324" spans="1:6" ht="18" customHeight="1">
      <c r="A324" s="7"/>
      <c r="B324" s="52"/>
      <c r="C324" s="7"/>
      <c r="D324" s="7"/>
      <c r="E324" s="7"/>
      <c r="F324" s="53"/>
    </row>
    <row r="325" spans="1:6" ht="18" customHeight="1">
      <c r="A325" s="7">
        <v>1.2</v>
      </c>
      <c r="B325" s="52" t="s">
        <v>841</v>
      </c>
      <c r="C325" s="7"/>
      <c r="D325" s="53">
        <f>F298</f>
        <v>39732.102998819755</v>
      </c>
      <c r="E325" s="56">
        <f>E277</f>
        <v>4.8000000000000001E-2</v>
      </c>
      <c r="F325" s="53">
        <f>D325*E325</f>
        <v>1907.1409439433482</v>
      </c>
    </row>
    <row r="326" spans="1:6" ht="18" customHeight="1">
      <c r="A326" s="7">
        <v>1.3</v>
      </c>
      <c r="B326" s="52" t="s">
        <v>842</v>
      </c>
      <c r="C326" s="7"/>
      <c r="D326" s="53">
        <f>F298</f>
        <v>39732.102998819755</v>
      </c>
      <c r="E326" s="56">
        <f>E278</f>
        <v>0</v>
      </c>
      <c r="F326" s="53">
        <f>D326*E326</f>
        <v>0</v>
      </c>
    </row>
    <row r="327" spans="1:6" ht="18" customHeight="1">
      <c r="A327" s="7">
        <v>2</v>
      </c>
      <c r="B327" s="52" t="s">
        <v>182</v>
      </c>
      <c r="C327" s="7"/>
      <c r="D327" s="53">
        <f>F297</f>
        <v>41639.243942763103</v>
      </c>
      <c r="E327" s="56">
        <f>E279</f>
        <v>7.0000000000000007E-2</v>
      </c>
      <c r="F327" s="53">
        <f>D327*E327</f>
        <v>2914.7470759934176</v>
      </c>
    </row>
    <row r="328" spans="1:6" ht="18" customHeight="1">
      <c r="A328" s="7">
        <v>3</v>
      </c>
      <c r="B328" s="52" t="s">
        <v>843</v>
      </c>
      <c r="C328" s="7"/>
      <c r="D328" s="53">
        <f>F327+F297</f>
        <v>44553.991018756518</v>
      </c>
      <c r="E328" s="56">
        <f>E280</f>
        <v>7.0000000000000007E-2</v>
      </c>
      <c r="F328" s="53">
        <f>D328*E328</f>
        <v>3118.7793713129568</v>
      </c>
    </row>
    <row r="329" spans="1:6" ht="18" customHeight="1">
      <c r="A329" s="7">
        <v>4</v>
      </c>
      <c r="B329" s="52" t="s">
        <v>184</v>
      </c>
      <c r="C329" s="7"/>
      <c r="D329" s="7"/>
      <c r="E329" s="7"/>
      <c r="F329" s="53">
        <f>SUM(F330:F335)</f>
        <v>5214.5806750837128</v>
      </c>
    </row>
    <row r="330" spans="1:6" ht="18" customHeight="1">
      <c r="A330" s="7"/>
      <c r="B330" s="52" t="s">
        <v>354</v>
      </c>
      <c r="C330" s="7" t="s">
        <v>88</v>
      </c>
      <c r="D330" s="66">
        <f t="shared" ref="D330:D335" si="29">D234</f>
        <v>116.41515</v>
      </c>
      <c r="E330" s="66">
        <f>E310*砼配合!I9</f>
        <v>35.035758999999999</v>
      </c>
      <c r="F330" s="53">
        <f t="shared" ref="F330:F336" si="30">D330*E330</f>
        <v>4078.6931393488499</v>
      </c>
    </row>
    <row r="331" spans="1:6" ht="18" customHeight="1">
      <c r="A331" s="7"/>
      <c r="B331" s="52" t="s">
        <v>507</v>
      </c>
      <c r="C331" s="7" t="s">
        <v>871</v>
      </c>
      <c r="D331" s="66">
        <f t="shared" si="29"/>
        <v>4.6598683999999899</v>
      </c>
      <c r="E331" s="66">
        <f>E310*砼配合!I10</f>
        <v>54.406660000000002</v>
      </c>
      <c r="F331" s="53">
        <f t="shared" si="30"/>
        <v>253.52787568354347</v>
      </c>
    </row>
    <row r="332" spans="1:6" ht="18" customHeight="1">
      <c r="A332" s="7"/>
      <c r="B332" s="52" t="s">
        <v>509</v>
      </c>
      <c r="C332" s="7" t="s">
        <v>871</v>
      </c>
      <c r="D332" s="66">
        <f t="shared" si="29"/>
        <v>6.2457299999999902</v>
      </c>
      <c r="E332" s="66">
        <f>E310*砼配合!I11</f>
        <v>86.667083999999988</v>
      </c>
      <c r="F332" s="53">
        <f t="shared" si="30"/>
        <v>541.29920655131912</v>
      </c>
    </row>
    <row r="333" spans="1:6" ht="18" customHeight="1">
      <c r="A333" s="7"/>
      <c r="B333" s="52" t="s">
        <v>506</v>
      </c>
      <c r="C333" s="7" t="s">
        <v>871</v>
      </c>
      <c r="D333" s="66">
        <f t="shared" si="29"/>
        <v>0</v>
      </c>
      <c r="E333" s="66">
        <f>E303</f>
        <v>0.56000000000000005</v>
      </c>
      <c r="F333" s="53">
        <f t="shared" si="30"/>
        <v>0</v>
      </c>
    </row>
    <row r="334" spans="1:6" ht="18" customHeight="1">
      <c r="A334" s="7"/>
      <c r="B334" s="52" t="s">
        <v>515</v>
      </c>
      <c r="C334" s="7" t="s">
        <v>844</v>
      </c>
      <c r="D334" s="66">
        <f t="shared" si="29"/>
        <v>4.7450000000000001</v>
      </c>
      <c r="E334" s="66">
        <f>台时!AK19*砼单价!E314+E315*台时!AZ19</f>
        <v>41.024000000000001</v>
      </c>
      <c r="F334" s="53">
        <f t="shared" si="30"/>
        <v>194.65888000000001</v>
      </c>
    </row>
    <row r="335" spans="1:6" ht="18" customHeight="1">
      <c r="A335" s="7"/>
      <c r="B335" s="52" t="s">
        <v>516</v>
      </c>
      <c r="C335" s="7" t="s">
        <v>844</v>
      </c>
      <c r="D335" s="66">
        <f t="shared" si="29"/>
        <v>3.51</v>
      </c>
      <c r="E335" s="66">
        <f>砼配合!I63*台时!AN22*砼单价!E323/100</f>
        <v>41.709849999999996</v>
      </c>
      <c r="F335" s="53">
        <f t="shared" si="30"/>
        <v>146.40157349999998</v>
      </c>
    </row>
    <row r="336" spans="1:6" ht="18" customHeight="1">
      <c r="A336" s="7">
        <v>5</v>
      </c>
      <c r="B336" s="52" t="s">
        <v>845</v>
      </c>
      <c r="C336" s="7"/>
      <c r="D336" s="53">
        <f>F297+F327+F328+F329</f>
        <v>52887.351065153191</v>
      </c>
      <c r="E336" s="56">
        <f>E288</f>
        <v>0.09</v>
      </c>
      <c r="F336" s="53">
        <f t="shared" si="30"/>
        <v>4759.8615958637865</v>
      </c>
    </row>
    <row r="337" spans="1:6" ht="18" customHeight="1">
      <c r="A337" s="7">
        <v>6</v>
      </c>
      <c r="B337" s="52" t="s">
        <v>7</v>
      </c>
      <c r="C337" s="7"/>
      <c r="D337" s="7"/>
      <c r="E337" s="7"/>
      <c r="F337" s="53">
        <f>D336+F336</f>
        <v>57647.21266101698</v>
      </c>
    </row>
    <row r="338" spans="1:6" ht="18" customHeight="1">
      <c r="A338" s="7"/>
      <c r="B338" s="52" t="s">
        <v>846</v>
      </c>
      <c r="C338" s="7"/>
      <c r="D338" s="53">
        <f>F337</f>
        <v>57647.21266101698</v>
      </c>
      <c r="E338" s="56">
        <f>E290</f>
        <v>0.03</v>
      </c>
      <c r="F338" s="53">
        <f>D338*E338</f>
        <v>1729.4163798305094</v>
      </c>
    </row>
    <row r="339" spans="1:6" ht="18" customHeight="1">
      <c r="A339" s="7"/>
      <c r="B339" s="52" t="s">
        <v>44</v>
      </c>
      <c r="C339" s="7"/>
      <c r="D339" s="7"/>
      <c r="E339" s="7"/>
      <c r="F339" s="53">
        <f>SUM(F337:F338)</f>
        <v>59376.629040847489</v>
      </c>
    </row>
    <row r="340" spans="1:6" ht="22.5" customHeight="1">
      <c r="A340" s="461" t="s">
        <v>813</v>
      </c>
      <c r="B340" s="461"/>
      <c r="C340" s="461"/>
      <c r="D340" s="461"/>
      <c r="E340" s="461"/>
      <c r="F340" s="461"/>
    </row>
    <row r="341" spans="1:6" ht="18" customHeight="1">
      <c r="A341" s="462" t="s">
        <v>897</v>
      </c>
      <c r="B341" s="462"/>
      <c r="C341" s="462"/>
      <c r="D341" s="462"/>
      <c r="E341" s="462"/>
      <c r="F341" s="462"/>
    </row>
    <row r="342" spans="1:6" ht="18" customHeight="1">
      <c r="A342" s="46" t="s">
        <v>815</v>
      </c>
      <c r="B342" s="49">
        <v>4046</v>
      </c>
      <c r="D342" s="46"/>
      <c r="E342" s="47" t="s">
        <v>169</v>
      </c>
      <c r="F342" s="49" t="s">
        <v>869</v>
      </c>
    </row>
    <row r="343" spans="1:6" ht="18" customHeight="1">
      <c r="A343" s="7" t="s">
        <v>817</v>
      </c>
      <c r="B343" s="458"/>
      <c r="C343" s="459"/>
      <c r="D343" s="459"/>
      <c r="E343" s="459"/>
      <c r="F343" s="460"/>
    </row>
    <row r="344" spans="1:6" ht="18" customHeight="1">
      <c r="A344" s="7" t="s">
        <v>1</v>
      </c>
      <c r="B344" s="52" t="s">
        <v>344</v>
      </c>
      <c r="C344" s="7" t="s">
        <v>818</v>
      </c>
      <c r="D344" s="7" t="s">
        <v>819</v>
      </c>
      <c r="E344" s="7" t="s">
        <v>820</v>
      </c>
      <c r="F344" s="7" t="s">
        <v>821</v>
      </c>
    </row>
    <row r="345" spans="1:6" ht="18" customHeight="1">
      <c r="A345" s="7">
        <v>1</v>
      </c>
      <c r="B345" s="52" t="s">
        <v>822</v>
      </c>
      <c r="C345" s="7"/>
      <c r="D345" s="7"/>
      <c r="E345" s="7"/>
      <c r="F345" s="53">
        <f>F346+F373+F374</f>
        <v>32234.875045474353</v>
      </c>
    </row>
    <row r="346" spans="1:6" ht="18" customHeight="1">
      <c r="A346" s="7">
        <v>1.1000000000000001</v>
      </c>
      <c r="B346" s="52" t="s">
        <v>823</v>
      </c>
      <c r="C346" s="7"/>
      <c r="D346" s="7"/>
      <c r="E346" s="7"/>
      <c r="F346" s="53">
        <f>F347+F350+F361+F370+F371+F372</f>
        <v>30758.46855484194</v>
      </c>
    </row>
    <row r="347" spans="1:6" ht="18" customHeight="1">
      <c r="A347" s="7" t="s">
        <v>47</v>
      </c>
      <c r="B347" s="52" t="s">
        <v>176</v>
      </c>
      <c r="C347" s="7"/>
      <c r="D347" s="7"/>
      <c r="E347" s="7"/>
      <c r="F347" s="53">
        <f>F348+F349</f>
        <v>7163.9759999999997</v>
      </c>
    </row>
    <row r="348" spans="1:6" ht="18" customHeight="1">
      <c r="A348" s="7"/>
      <c r="B348" s="52" t="s">
        <v>824</v>
      </c>
      <c r="C348" s="7" t="s">
        <v>825</v>
      </c>
      <c r="D348" s="7">
        <v>8.1</v>
      </c>
      <c r="E348" s="7">
        <v>637.4</v>
      </c>
      <c r="F348" s="53">
        <f>D348*E348</f>
        <v>5162.9399999999996</v>
      </c>
    </row>
    <row r="349" spans="1:6" ht="18" customHeight="1">
      <c r="A349" s="7"/>
      <c r="B349" s="52" t="s">
        <v>826</v>
      </c>
      <c r="C349" s="7" t="s">
        <v>825</v>
      </c>
      <c r="D349" s="7">
        <v>5.77</v>
      </c>
      <c r="E349" s="7">
        <v>346.8</v>
      </c>
      <c r="F349" s="53">
        <f>D349*E349</f>
        <v>2001.0360000000001</v>
      </c>
    </row>
    <row r="350" spans="1:6" ht="18" customHeight="1">
      <c r="A350" s="7" t="s">
        <v>57</v>
      </c>
      <c r="B350" s="52" t="s">
        <v>177</v>
      </c>
      <c r="C350" s="7"/>
      <c r="D350" s="7"/>
      <c r="E350" s="7"/>
      <c r="F350" s="53">
        <f>SUM(F351:F360)</f>
        <v>21496.72151127</v>
      </c>
    </row>
    <row r="351" spans="1:6" ht="18" customHeight="1">
      <c r="A351" s="7"/>
      <c r="B351" s="52" t="s">
        <v>870</v>
      </c>
      <c r="C351" s="7" t="s">
        <v>871</v>
      </c>
      <c r="D351" s="7">
        <f>D159</f>
        <v>1874.0778</v>
      </c>
      <c r="E351" s="7">
        <v>0.39</v>
      </c>
      <c r="F351" s="53">
        <f t="shared" ref="F351:F359" si="31">D351*E351</f>
        <v>730.89034200000003</v>
      </c>
    </row>
    <row r="352" spans="1:6" ht="18" customHeight="1">
      <c r="A352" s="7"/>
      <c r="B352" s="52" t="s">
        <v>375</v>
      </c>
      <c r="C352" s="7" t="s">
        <v>844</v>
      </c>
      <c r="D352" s="7">
        <f>次要材料汇总!$F$9</f>
        <v>6</v>
      </c>
      <c r="E352" s="7">
        <v>9.2899999999999991</v>
      </c>
      <c r="F352" s="53">
        <f t="shared" si="31"/>
        <v>55.739999999999995</v>
      </c>
    </row>
    <row r="353" spans="1:6" ht="18" customHeight="1">
      <c r="A353" s="7"/>
      <c r="B353" s="52" t="s">
        <v>873</v>
      </c>
      <c r="C353" s="7" t="s">
        <v>844</v>
      </c>
      <c r="D353" s="7">
        <f>次要材料汇总!$F$10</f>
        <v>5.5</v>
      </c>
      <c r="E353" s="7">
        <v>22.2</v>
      </c>
      <c r="F353" s="53">
        <f t="shared" si="31"/>
        <v>122.1</v>
      </c>
    </row>
    <row r="354" spans="1:6" ht="18" customHeight="1">
      <c r="A354" s="7"/>
      <c r="B354" s="52" t="s">
        <v>874</v>
      </c>
      <c r="C354" s="7" t="s">
        <v>844</v>
      </c>
      <c r="D354" s="7">
        <f>次要材料汇总!$F$11</f>
        <v>6.5</v>
      </c>
      <c r="E354" s="7">
        <v>29.82</v>
      </c>
      <c r="F354" s="53">
        <f t="shared" si="31"/>
        <v>193.83</v>
      </c>
    </row>
    <row r="355" spans="1:6" ht="18" customHeight="1">
      <c r="A355" s="7"/>
      <c r="B355" s="52" t="s">
        <v>875</v>
      </c>
      <c r="C355" s="7" t="s">
        <v>844</v>
      </c>
      <c r="D355" s="7">
        <f>次要材料汇总!$F$5</f>
        <v>8</v>
      </c>
      <c r="E355" s="7">
        <v>0.69</v>
      </c>
      <c r="F355" s="53">
        <f t="shared" si="31"/>
        <v>5.52</v>
      </c>
    </row>
    <row r="356" spans="1:6" ht="18" customHeight="1">
      <c r="A356" s="7"/>
      <c r="B356" s="52" t="s">
        <v>372</v>
      </c>
      <c r="C356" s="7" t="s">
        <v>844</v>
      </c>
      <c r="D356" s="7">
        <f>次要材料汇总!$F$6</f>
        <v>7.4</v>
      </c>
      <c r="E356" s="7">
        <v>34.64</v>
      </c>
      <c r="F356" s="53">
        <f t="shared" si="31"/>
        <v>256.33600000000001</v>
      </c>
    </row>
    <row r="357" spans="1:6" ht="18" customHeight="1">
      <c r="A357" s="7"/>
      <c r="B357" s="52" t="s">
        <v>876</v>
      </c>
      <c r="C357" s="7" t="s">
        <v>844</v>
      </c>
      <c r="D357" s="7">
        <f>次要材料汇总!$F$12</f>
        <v>7.5</v>
      </c>
      <c r="E357" s="7">
        <v>0.74</v>
      </c>
      <c r="F357" s="53">
        <f t="shared" si="31"/>
        <v>5.55</v>
      </c>
    </row>
    <row r="358" spans="1:6" ht="18" customHeight="1">
      <c r="A358" s="7"/>
      <c r="B358" s="52" t="s">
        <v>877</v>
      </c>
      <c r="C358" s="7" t="s">
        <v>871</v>
      </c>
      <c r="D358" s="66">
        <f>D166</f>
        <v>183.29938899999999</v>
      </c>
      <c r="E358" s="7">
        <v>103</v>
      </c>
      <c r="F358" s="53">
        <f t="shared" si="31"/>
        <v>18879.837067</v>
      </c>
    </row>
    <row r="359" spans="1:6" ht="18" customHeight="1">
      <c r="A359" s="7"/>
      <c r="B359" s="52" t="s">
        <v>806</v>
      </c>
      <c r="C359" s="7" t="s">
        <v>871</v>
      </c>
      <c r="D359" s="7">
        <f>D167</f>
        <v>3.88</v>
      </c>
      <c r="E359" s="7">
        <v>160</v>
      </c>
      <c r="F359" s="53">
        <f t="shared" si="31"/>
        <v>620.79999999999995</v>
      </c>
    </row>
    <row r="360" spans="1:6" ht="18" customHeight="1">
      <c r="A360" s="7"/>
      <c r="B360" s="52" t="s">
        <v>833</v>
      </c>
      <c r="C360" s="7" t="s">
        <v>834</v>
      </c>
      <c r="D360" s="66">
        <f>SUM(F351:F359)</f>
        <v>20870.603408999999</v>
      </c>
      <c r="E360" s="7">
        <v>3</v>
      </c>
      <c r="F360" s="53">
        <f>D360*E360/100</f>
        <v>626.11810226999989</v>
      </c>
    </row>
    <row r="361" spans="1:6" ht="18" customHeight="1">
      <c r="A361" s="7" t="s">
        <v>835</v>
      </c>
      <c r="B361" s="52" t="s">
        <v>836</v>
      </c>
      <c r="C361" s="7"/>
      <c r="D361" s="7"/>
      <c r="E361" s="7"/>
      <c r="F361" s="53">
        <f>SUM(F362:F369)</f>
        <v>972.56030292831974</v>
      </c>
    </row>
    <row r="362" spans="1:6" ht="18" customHeight="1">
      <c r="A362" s="7"/>
      <c r="B362" s="52" t="s">
        <v>878</v>
      </c>
      <c r="C362" s="7" t="s">
        <v>863</v>
      </c>
      <c r="D362" s="66">
        <f>施工机械台时汇总!$C$42</f>
        <v>49.210305522914197</v>
      </c>
      <c r="E362" s="7">
        <v>0.57999999999999996</v>
      </c>
      <c r="F362" s="53">
        <f t="shared" ref="F362:F368" si="32">D362*E362</f>
        <v>28.541977203290234</v>
      </c>
    </row>
    <row r="363" spans="1:6" ht="18" customHeight="1">
      <c r="A363" s="7"/>
      <c r="B363" s="52" t="s">
        <v>879</v>
      </c>
      <c r="C363" s="7" t="s">
        <v>863</v>
      </c>
      <c r="D363" s="66">
        <f>施工机械台时汇总!$C$57</f>
        <v>62.128971797884901</v>
      </c>
      <c r="E363" s="7">
        <v>0.06</v>
      </c>
      <c r="F363" s="53">
        <f t="shared" si="32"/>
        <v>3.7277383078730941</v>
      </c>
    </row>
    <row r="364" spans="1:6" ht="18" customHeight="1">
      <c r="A364" s="7"/>
      <c r="B364" s="52" t="s">
        <v>889</v>
      </c>
      <c r="C364" s="7" t="s">
        <v>863</v>
      </c>
      <c r="D364" s="66">
        <f>施工机械台时汇总!$C$55</f>
        <v>113.9611292596945</v>
      </c>
      <c r="E364" s="7">
        <v>0.64</v>
      </c>
      <c r="F364" s="53">
        <f t="shared" si="32"/>
        <v>72.935122726204483</v>
      </c>
    </row>
    <row r="365" spans="1:6" ht="18" customHeight="1">
      <c r="A365" s="7"/>
      <c r="B365" s="52" t="s">
        <v>881</v>
      </c>
      <c r="C365" s="7" t="s">
        <v>863</v>
      </c>
      <c r="D365" s="66">
        <f>施工机械台时汇总!$C$40</f>
        <v>15.582226792009401</v>
      </c>
      <c r="E365" s="7">
        <v>1.3</v>
      </c>
      <c r="F365" s="53">
        <f t="shared" si="32"/>
        <v>20.256894829612222</v>
      </c>
    </row>
    <row r="366" spans="1:6" ht="18" customHeight="1">
      <c r="A366" s="7"/>
      <c r="B366" s="52" t="s">
        <v>882</v>
      </c>
      <c r="C366" s="7" t="s">
        <v>863</v>
      </c>
      <c r="D366" s="66">
        <f>施工机械台时汇总!$C$21</f>
        <v>28.129680376028197</v>
      </c>
      <c r="E366" s="7">
        <v>18.54</v>
      </c>
      <c r="F366" s="53">
        <f t="shared" si="32"/>
        <v>521.52427417156275</v>
      </c>
    </row>
    <row r="367" spans="1:6" ht="18" customHeight="1">
      <c r="A367" s="7"/>
      <c r="B367" s="52" t="s">
        <v>883</v>
      </c>
      <c r="C367" s="7" t="s">
        <v>863</v>
      </c>
      <c r="D367" s="66">
        <f>施工机械台时汇总!$C$24</f>
        <v>2.2013599686643204</v>
      </c>
      <c r="E367" s="7">
        <v>44</v>
      </c>
      <c r="F367" s="53">
        <f t="shared" si="32"/>
        <v>96.859838621230097</v>
      </c>
    </row>
    <row r="368" spans="1:6" ht="18" customHeight="1">
      <c r="A368" s="7"/>
      <c r="B368" s="52" t="s">
        <v>407</v>
      </c>
      <c r="C368" s="7" t="s">
        <v>863</v>
      </c>
      <c r="D368" s="66">
        <f>施工机械台时汇总!$C$19</f>
        <v>0.80266353309831595</v>
      </c>
      <c r="E368" s="7">
        <v>83</v>
      </c>
      <c r="F368" s="53">
        <f t="shared" si="32"/>
        <v>66.621073247160226</v>
      </c>
    </row>
    <row r="369" spans="1:6" ht="18" customHeight="1">
      <c r="A369" s="7"/>
      <c r="B369" s="52" t="s">
        <v>840</v>
      </c>
      <c r="C369" s="7" t="s">
        <v>834</v>
      </c>
      <c r="D369" s="66">
        <f>SUM(F362:F368)</f>
        <v>810.46691910693312</v>
      </c>
      <c r="E369" s="7">
        <v>20</v>
      </c>
      <c r="F369" s="53">
        <f>D369*E369/100</f>
        <v>162.09338382138662</v>
      </c>
    </row>
    <row r="370" spans="1:6" ht="18" customHeight="1">
      <c r="A370" s="7" t="s">
        <v>884</v>
      </c>
      <c r="B370" s="52" t="s">
        <v>885</v>
      </c>
      <c r="C370" s="7" t="s">
        <v>871</v>
      </c>
      <c r="D370" s="66">
        <f>D178</f>
        <v>5.0269138732471603</v>
      </c>
      <c r="E370" s="7">
        <v>103</v>
      </c>
      <c r="F370" s="53">
        <f>D370*E370</f>
        <v>517.77212894445756</v>
      </c>
    </row>
    <row r="371" spans="1:6" ht="18" customHeight="1">
      <c r="A371" s="7" t="s">
        <v>886</v>
      </c>
      <c r="B371" s="52" t="s">
        <v>887</v>
      </c>
      <c r="C371" s="7" t="s">
        <v>871</v>
      </c>
      <c r="D371" s="66">
        <f>D179</f>
        <v>5.8974622495064617</v>
      </c>
      <c r="E371" s="7">
        <v>103</v>
      </c>
      <c r="F371" s="53">
        <f>D371*E371</f>
        <v>607.43861169916556</v>
      </c>
    </row>
    <row r="372" spans="1:6" ht="18" customHeight="1">
      <c r="A372" s="7"/>
      <c r="B372" s="52"/>
      <c r="C372" s="7"/>
      <c r="D372" s="7"/>
      <c r="E372" s="7"/>
      <c r="F372" s="53"/>
    </row>
    <row r="373" spans="1:6" ht="18" customHeight="1">
      <c r="A373" s="7">
        <v>1.2</v>
      </c>
      <c r="B373" s="52" t="s">
        <v>841</v>
      </c>
      <c r="C373" s="7"/>
      <c r="D373" s="53">
        <f>F346</f>
        <v>30758.46855484194</v>
      </c>
      <c r="E373" s="56">
        <f>E229</f>
        <v>4.8000000000000001E-2</v>
      </c>
      <c r="F373" s="53">
        <f>D373*E373</f>
        <v>1476.4064906324131</v>
      </c>
    </row>
    <row r="374" spans="1:6" ht="18" customHeight="1">
      <c r="A374" s="7">
        <v>1.3</v>
      </c>
      <c r="B374" s="52" t="s">
        <v>842</v>
      </c>
      <c r="C374" s="7"/>
      <c r="D374" s="53">
        <f>F346</f>
        <v>30758.46855484194</v>
      </c>
      <c r="E374" s="56">
        <f>E230</f>
        <v>0</v>
      </c>
      <c r="F374" s="53">
        <f>D374*E374</f>
        <v>0</v>
      </c>
    </row>
    <row r="375" spans="1:6" ht="18" customHeight="1">
      <c r="A375" s="7">
        <v>2</v>
      </c>
      <c r="B375" s="52" t="s">
        <v>182</v>
      </c>
      <c r="C375" s="7"/>
      <c r="D375" s="53">
        <f>F345</f>
        <v>32234.875045474353</v>
      </c>
      <c r="E375" s="56">
        <f>E231</f>
        <v>7.0000000000000007E-2</v>
      </c>
      <c r="F375" s="53">
        <f>D375*E375</f>
        <v>2256.4412531832049</v>
      </c>
    </row>
    <row r="376" spans="1:6" ht="18" customHeight="1">
      <c r="A376" s="7">
        <v>3</v>
      </c>
      <c r="B376" s="52" t="s">
        <v>843</v>
      </c>
      <c r="C376" s="7"/>
      <c r="D376" s="53">
        <f>F375+F345</f>
        <v>34491.316298657555</v>
      </c>
      <c r="E376" s="56">
        <f>E232</f>
        <v>7.0000000000000007E-2</v>
      </c>
      <c r="F376" s="53">
        <f>D376*E376</f>
        <v>2414.392140906029</v>
      </c>
    </row>
    <row r="377" spans="1:6" ht="18" customHeight="1">
      <c r="A377" s="7">
        <v>4</v>
      </c>
      <c r="B377" s="52" t="s">
        <v>184</v>
      </c>
      <c r="C377" s="7"/>
      <c r="D377" s="7"/>
      <c r="E377" s="7"/>
      <c r="F377" s="53">
        <f>SUM(F378:F383)</f>
        <v>5041.3881750837127</v>
      </c>
    </row>
    <row r="378" spans="1:6" ht="18" customHeight="1">
      <c r="A378" s="7"/>
      <c r="B378" s="52" t="s">
        <v>354</v>
      </c>
      <c r="C378" s="7" t="s">
        <v>88</v>
      </c>
      <c r="D378" s="66">
        <f t="shared" ref="D378:D383" si="33">D186</f>
        <v>116.41515</v>
      </c>
      <c r="E378" s="66">
        <f>E358*砼配合!I9</f>
        <v>35.035758999999999</v>
      </c>
      <c r="F378" s="53">
        <f t="shared" ref="F378:F384" si="34">D378*E378</f>
        <v>4078.6931393488499</v>
      </c>
    </row>
    <row r="379" spans="1:6" ht="18" customHeight="1">
      <c r="A379" s="7"/>
      <c r="B379" s="52" t="s">
        <v>507</v>
      </c>
      <c r="C379" s="7" t="s">
        <v>871</v>
      </c>
      <c r="D379" s="66">
        <f t="shared" si="33"/>
        <v>4.6598683999999899</v>
      </c>
      <c r="E379" s="66">
        <f>E358*砼配合!I10</f>
        <v>54.406660000000002</v>
      </c>
      <c r="F379" s="53">
        <f t="shared" si="34"/>
        <v>253.52787568354347</v>
      </c>
    </row>
    <row r="380" spans="1:6" ht="18" customHeight="1">
      <c r="A380" s="7"/>
      <c r="B380" s="52" t="s">
        <v>509</v>
      </c>
      <c r="C380" s="7" t="s">
        <v>871</v>
      </c>
      <c r="D380" s="66">
        <f t="shared" si="33"/>
        <v>6.2457299999999902</v>
      </c>
      <c r="E380" s="66">
        <f>E358*砼配合!I11</f>
        <v>86.667083999999988</v>
      </c>
      <c r="F380" s="53">
        <f t="shared" si="34"/>
        <v>541.29920655131912</v>
      </c>
    </row>
    <row r="381" spans="1:6" ht="18" customHeight="1">
      <c r="A381" s="7"/>
      <c r="B381" s="52" t="s">
        <v>506</v>
      </c>
      <c r="C381" s="7" t="s">
        <v>871</v>
      </c>
      <c r="D381" s="66">
        <f t="shared" si="33"/>
        <v>0</v>
      </c>
      <c r="E381" s="66">
        <f>E351</f>
        <v>0.39</v>
      </c>
      <c r="F381" s="53">
        <f t="shared" si="34"/>
        <v>0</v>
      </c>
    </row>
    <row r="382" spans="1:6" ht="18" customHeight="1">
      <c r="A382" s="7"/>
      <c r="B382" s="52" t="s">
        <v>515</v>
      </c>
      <c r="C382" s="7" t="s">
        <v>844</v>
      </c>
      <c r="D382" s="66">
        <f t="shared" si="33"/>
        <v>4.7450000000000001</v>
      </c>
      <c r="E382" s="66">
        <f>台时!AK19*砼单价!E362+E363*台时!AZ19</f>
        <v>4.524</v>
      </c>
      <c r="F382" s="53">
        <f t="shared" si="34"/>
        <v>21.466380000000001</v>
      </c>
    </row>
    <row r="383" spans="1:6" ht="18" customHeight="1">
      <c r="A383" s="7"/>
      <c r="B383" s="52" t="s">
        <v>516</v>
      </c>
      <c r="C383" s="7" t="s">
        <v>844</v>
      </c>
      <c r="D383" s="66">
        <f t="shared" si="33"/>
        <v>3.51</v>
      </c>
      <c r="E383" s="66">
        <f>砼配合!I63*台时!AN22*砼单价!E371/100</f>
        <v>41.709849999999996</v>
      </c>
      <c r="F383" s="53">
        <f t="shared" si="34"/>
        <v>146.40157349999998</v>
      </c>
    </row>
    <row r="384" spans="1:6" ht="18" customHeight="1">
      <c r="A384" s="7">
        <v>5</v>
      </c>
      <c r="B384" s="52" t="s">
        <v>845</v>
      </c>
      <c r="C384" s="7"/>
      <c r="D384" s="53">
        <f>F345+F375+F376+F377</f>
        <v>41947.096614647293</v>
      </c>
      <c r="E384" s="56">
        <f>E240</f>
        <v>0.09</v>
      </c>
      <c r="F384" s="53">
        <f t="shared" si="34"/>
        <v>3775.2386953182563</v>
      </c>
    </row>
    <row r="385" spans="1:6" ht="18" customHeight="1">
      <c r="A385" s="7">
        <v>6</v>
      </c>
      <c r="B385" s="52" t="s">
        <v>7</v>
      </c>
      <c r="C385" s="7"/>
      <c r="D385" s="7"/>
      <c r="E385" s="7"/>
      <c r="F385" s="53">
        <f>D384+F384</f>
        <v>45722.335309965551</v>
      </c>
    </row>
    <row r="386" spans="1:6" ht="18" customHeight="1">
      <c r="A386" s="7"/>
      <c r="B386" s="52" t="s">
        <v>846</v>
      </c>
      <c r="C386" s="7"/>
      <c r="D386" s="53">
        <f>F385</f>
        <v>45722.335309965551</v>
      </c>
      <c r="E386" s="56">
        <f>E242</f>
        <v>0.03</v>
      </c>
      <c r="F386" s="53">
        <f>E386*D386</f>
        <v>1371.6700592989664</v>
      </c>
    </row>
    <row r="387" spans="1:6" ht="18" customHeight="1">
      <c r="A387" s="7"/>
      <c r="B387" s="52" t="s">
        <v>44</v>
      </c>
      <c r="C387" s="7"/>
      <c r="D387" s="7"/>
      <c r="E387" s="7"/>
      <c r="F387" s="53">
        <f>SUM(F385:F386)</f>
        <v>47094.005369264516</v>
      </c>
    </row>
    <row r="388" spans="1:6" ht="22.5" customHeight="1">
      <c r="A388" s="461" t="s">
        <v>813</v>
      </c>
      <c r="B388" s="461"/>
      <c r="C388" s="461"/>
      <c r="D388" s="461"/>
      <c r="E388" s="461"/>
      <c r="F388" s="461"/>
    </row>
    <row r="389" spans="1:6" ht="18" customHeight="1">
      <c r="A389" s="462" t="s">
        <v>898</v>
      </c>
      <c r="B389" s="462"/>
      <c r="C389" s="462"/>
      <c r="D389" s="462"/>
      <c r="E389" s="462"/>
      <c r="F389" s="462"/>
    </row>
    <row r="390" spans="1:6" ht="18" customHeight="1">
      <c r="A390" s="47" t="s">
        <v>894</v>
      </c>
      <c r="B390" s="49">
        <v>4047</v>
      </c>
      <c r="D390" s="46"/>
      <c r="E390" s="47" t="s">
        <v>169</v>
      </c>
      <c r="F390" s="49" t="s">
        <v>869</v>
      </c>
    </row>
    <row r="391" spans="1:6" ht="18" customHeight="1">
      <c r="A391" s="50" t="s">
        <v>817</v>
      </c>
      <c r="B391" s="458"/>
      <c r="C391" s="459"/>
      <c r="D391" s="459"/>
      <c r="E391" s="459"/>
      <c r="F391" s="460"/>
    </row>
    <row r="392" spans="1:6" ht="18" customHeight="1">
      <c r="A392" s="7" t="s">
        <v>1</v>
      </c>
      <c r="B392" s="52" t="s">
        <v>344</v>
      </c>
      <c r="C392" s="7" t="s">
        <v>818</v>
      </c>
      <c r="D392" s="7" t="s">
        <v>819</v>
      </c>
      <c r="E392" s="7" t="s">
        <v>820</v>
      </c>
      <c r="F392" s="7" t="s">
        <v>821</v>
      </c>
    </row>
    <row r="393" spans="1:6" ht="18" customHeight="1">
      <c r="A393" s="7">
        <v>1</v>
      </c>
      <c r="B393" s="52" t="s">
        <v>822</v>
      </c>
      <c r="C393" s="7"/>
      <c r="D393" s="7"/>
      <c r="E393" s="7"/>
      <c r="F393" s="53">
        <f>F394+F421+F422</f>
        <v>37642.523837355366</v>
      </c>
    </row>
    <row r="394" spans="1:6" ht="18" customHeight="1">
      <c r="A394" s="7">
        <v>1.1000000000000001</v>
      </c>
      <c r="B394" s="52" t="s">
        <v>823</v>
      </c>
      <c r="C394" s="7"/>
      <c r="D394" s="7"/>
      <c r="E394" s="7"/>
      <c r="F394" s="53">
        <f>F395+F398+F409+F418+F419+F420</f>
        <v>35918.438776102448</v>
      </c>
    </row>
    <row r="395" spans="1:6" ht="18" customHeight="1">
      <c r="A395" s="7" t="s">
        <v>47</v>
      </c>
      <c r="B395" s="52" t="s">
        <v>176</v>
      </c>
      <c r="C395" s="7"/>
      <c r="D395" s="7"/>
      <c r="E395" s="7"/>
      <c r="F395" s="53">
        <f>F396+F397</f>
        <v>8086.0959999999995</v>
      </c>
    </row>
    <row r="396" spans="1:6" ht="18" customHeight="1">
      <c r="A396" s="7"/>
      <c r="B396" s="52" t="s">
        <v>824</v>
      </c>
      <c r="C396" s="7" t="s">
        <v>825</v>
      </c>
      <c r="D396" s="7">
        <v>8.1</v>
      </c>
      <c r="E396" s="7">
        <v>714.2</v>
      </c>
      <c r="F396" s="53">
        <f>D396*E396</f>
        <v>5785.02</v>
      </c>
    </row>
    <row r="397" spans="1:6" ht="18" customHeight="1">
      <c r="A397" s="7"/>
      <c r="B397" s="52" t="s">
        <v>826</v>
      </c>
      <c r="C397" s="7" t="s">
        <v>825</v>
      </c>
      <c r="D397" s="7">
        <v>5.77</v>
      </c>
      <c r="E397" s="7">
        <v>398.8</v>
      </c>
      <c r="F397" s="53">
        <f>D397*E397</f>
        <v>2301.076</v>
      </c>
    </row>
    <row r="398" spans="1:6" ht="18" customHeight="1">
      <c r="A398" s="7" t="s">
        <v>57</v>
      </c>
      <c r="B398" s="52" t="s">
        <v>177</v>
      </c>
      <c r="C398" s="7"/>
      <c r="D398" s="7"/>
      <c r="E398" s="7"/>
      <c r="F398" s="53">
        <f>SUM(F399:F408)</f>
        <v>25221.632792459997</v>
      </c>
    </row>
    <row r="399" spans="1:6" ht="18" customHeight="1">
      <c r="A399" s="7"/>
      <c r="B399" s="52" t="s">
        <v>870</v>
      </c>
      <c r="C399" s="7" t="s">
        <v>871</v>
      </c>
      <c r="D399" s="7">
        <f>D351</f>
        <v>1874.0778</v>
      </c>
      <c r="E399" s="7">
        <v>0.77</v>
      </c>
      <c r="F399" s="53">
        <f t="shared" ref="F399:F407" si="35">D399*E399</f>
        <v>1443.039906</v>
      </c>
    </row>
    <row r="400" spans="1:6" ht="18" customHeight="1">
      <c r="A400" s="7"/>
      <c r="B400" s="52" t="s">
        <v>375</v>
      </c>
      <c r="C400" s="7" t="s">
        <v>844</v>
      </c>
      <c r="D400" s="7">
        <f>次要材料汇总!$F$9</f>
        <v>6</v>
      </c>
      <c r="E400" s="7">
        <v>49.98</v>
      </c>
      <c r="F400" s="53">
        <f t="shared" si="35"/>
        <v>299.88</v>
      </c>
    </row>
    <row r="401" spans="1:6" ht="18" customHeight="1">
      <c r="A401" s="7"/>
      <c r="B401" s="52" t="s">
        <v>873</v>
      </c>
      <c r="C401" s="7" t="s">
        <v>844</v>
      </c>
      <c r="D401" s="7">
        <f>次要材料汇总!$F$10</f>
        <v>5.5</v>
      </c>
      <c r="E401" s="7">
        <v>157.88</v>
      </c>
      <c r="F401" s="53">
        <f t="shared" si="35"/>
        <v>868.33999999999992</v>
      </c>
    </row>
    <row r="402" spans="1:6" ht="18" customHeight="1">
      <c r="A402" s="7"/>
      <c r="B402" s="52" t="s">
        <v>874</v>
      </c>
      <c r="C402" s="7" t="s">
        <v>844</v>
      </c>
      <c r="D402" s="7">
        <f>次要材料汇总!$F$11</f>
        <v>6.5</v>
      </c>
      <c r="E402" s="7">
        <v>160.33000000000001</v>
      </c>
      <c r="F402" s="53">
        <f t="shared" si="35"/>
        <v>1042.145</v>
      </c>
    </row>
    <row r="403" spans="1:6" ht="18" customHeight="1">
      <c r="A403" s="7"/>
      <c r="B403" s="52" t="s">
        <v>875</v>
      </c>
      <c r="C403" s="7" t="s">
        <v>844</v>
      </c>
      <c r="D403" s="7">
        <f>次要材料汇总!$F$5</f>
        <v>8</v>
      </c>
      <c r="E403" s="7">
        <v>41.07</v>
      </c>
      <c r="F403" s="53">
        <f t="shared" si="35"/>
        <v>328.56</v>
      </c>
    </row>
    <row r="404" spans="1:6" ht="18" customHeight="1">
      <c r="A404" s="7"/>
      <c r="B404" s="52" t="s">
        <v>372</v>
      </c>
      <c r="C404" s="7" t="s">
        <v>844</v>
      </c>
      <c r="D404" s="7">
        <f>次要材料汇总!$F$6</f>
        <v>7.4</v>
      </c>
      <c r="E404" s="7">
        <v>211.36</v>
      </c>
      <c r="F404" s="53">
        <f t="shared" si="35"/>
        <v>1564.0640000000001</v>
      </c>
    </row>
    <row r="405" spans="1:6" ht="18" customHeight="1">
      <c r="A405" s="7"/>
      <c r="B405" s="52" t="s">
        <v>876</v>
      </c>
      <c r="C405" s="7" t="s">
        <v>844</v>
      </c>
      <c r="D405" s="7">
        <f>次要材料汇总!$F$12</f>
        <v>7.5</v>
      </c>
      <c r="E405" s="7">
        <v>3.95</v>
      </c>
      <c r="F405" s="53">
        <f t="shared" si="35"/>
        <v>29.625</v>
      </c>
    </row>
    <row r="406" spans="1:6" ht="18" customHeight="1">
      <c r="A406" s="7"/>
      <c r="B406" s="52" t="s">
        <v>877</v>
      </c>
      <c r="C406" s="7" t="s">
        <v>871</v>
      </c>
      <c r="D406" s="66">
        <f>D358</f>
        <v>183.29938899999999</v>
      </c>
      <c r="E406" s="7">
        <v>103</v>
      </c>
      <c r="F406" s="53">
        <f t="shared" si="35"/>
        <v>18879.837067</v>
      </c>
    </row>
    <row r="407" spans="1:6" ht="18" customHeight="1">
      <c r="A407" s="7"/>
      <c r="B407" s="52" t="s">
        <v>806</v>
      </c>
      <c r="C407" s="7" t="s">
        <v>871</v>
      </c>
      <c r="D407" s="66">
        <f>D359</f>
        <v>3.88</v>
      </c>
      <c r="E407" s="7">
        <v>70</v>
      </c>
      <c r="F407" s="53">
        <f t="shared" si="35"/>
        <v>271.59999999999997</v>
      </c>
    </row>
    <row r="408" spans="1:6" ht="18" customHeight="1">
      <c r="A408" s="7"/>
      <c r="B408" s="52" t="s">
        <v>833</v>
      </c>
      <c r="C408" s="7" t="s">
        <v>834</v>
      </c>
      <c r="D408" s="66">
        <f>SUM(F399:F407)</f>
        <v>24727.090972999998</v>
      </c>
      <c r="E408" s="7">
        <v>2</v>
      </c>
      <c r="F408" s="53">
        <f>D408*E408/100</f>
        <v>494.54181945999994</v>
      </c>
    </row>
    <row r="409" spans="1:6" ht="18" customHeight="1">
      <c r="A409" s="7" t="s">
        <v>835</v>
      </c>
      <c r="B409" s="52" t="s">
        <v>836</v>
      </c>
      <c r="C409" s="7"/>
      <c r="D409" s="66"/>
      <c r="E409" s="7"/>
      <c r="F409" s="53">
        <f>SUM(F410:F417)</f>
        <v>1485.4992429988249</v>
      </c>
    </row>
    <row r="410" spans="1:6" ht="18" customHeight="1">
      <c r="A410" s="7"/>
      <c r="B410" s="52" t="s">
        <v>878</v>
      </c>
      <c r="C410" s="7" t="s">
        <v>863</v>
      </c>
      <c r="D410" s="66">
        <f>施工机械台时汇总!$C$42</f>
        <v>49.210305522914197</v>
      </c>
      <c r="E410" s="7">
        <v>1.92</v>
      </c>
      <c r="F410" s="53">
        <f t="shared" ref="F410:F416" si="36">D410*E410</f>
        <v>94.483786603995256</v>
      </c>
    </row>
    <row r="411" spans="1:6" ht="18" customHeight="1">
      <c r="A411" s="7"/>
      <c r="B411" s="52" t="s">
        <v>879</v>
      </c>
      <c r="C411" s="7" t="s">
        <v>863</v>
      </c>
      <c r="D411" s="66">
        <f>施工机械台时汇总!$C$57</f>
        <v>62.128971797884901</v>
      </c>
      <c r="E411" s="7">
        <v>0.24</v>
      </c>
      <c r="F411" s="53">
        <f t="shared" si="36"/>
        <v>14.910953231492377</v>
      </c>
    </row>
    <row r="412" spans="1:6" ht="18" customHeight="1">
      <c r="A412" s="7"/>
      <c r="B412" s="52" t="s">
        <v>889</v>
      </c>
      <c r="C412" s="7" t="s">
        <v>863</v>
      </c>
      <c r="D412" s="66">
        <f>施工机械台时汇总!$C$55</f>
        <v>113.9611292596945</v>
      </c>
      <c r="E412" s="7">
        <v>2.94</v>
      </c>
      <c r="F412" s="53">
        <f t="shared" si="36"/>
        <v>335.04572002350181</v>
      </c>
    </row>
    <row r="413" spans="1:6" ht="18" customHeight="1">
      <c r="A413" s="7"/>
      <c r="B413" s="52" t="s">
        <v>881</v>
      </c>
      <c r="C413" s="7" t="s">
        <v>863</v>
      </c>
      <c r="D413" s="66">
        <f>施工机械台时汇总!$C$40</f>
        <v>15.582226792009401</v>
      </c>
      <c r="E413" s="7">
        <v>7.02</v>
      </c>
      <c r="F413" s="53">
        <f t="shared" si="36"/>
        <v>109.38723207990598</v>
      </c>
    </row>
    <row r="414" spans="1:6" ht="18" customHeight="1">
      <c r="A414" s="7"/>
      <c r="B414" s="52" t="s">
        <v>882</v>
      </c>
      <c r="C414" s="7" t="s">
        <v>863</v>
      </c>
      <c r="D414" s="66">
        <f>施工机械台时汇总!$C$21</f>
        <v>28.129680376028197</v>
      </c>
      <c r="E414" s="7">
        <v>18.54</v>
      </c>
      <c r="F414" s="53">
        <f t="shared" si="36"/>
        <v>521.52427417156275</v>
      </c>
    </row>
    <row r="415" spans="1:6" ht="18" customHeight="1">
      <c r="A415" s="7"/>
      <c r="B415" s="52" t="s">
        <v>899</v>
      </c>
      <c r="C415" s="7" t="s">
        <v>863</v>
      </c>
      <c r="D415" s="66">
        <f>施工机械台时汇总!$C$23</f>
        <v>3.1980998824911806</v>
      </c>
      <c r="E415" s="7">
        <v>30</v>
      </c>
      <c r="F415" s="53">
        <f t="shared" si="36"/>
        <v>95.942996474735423</v>
      </c>
    </row>
    <row r="416" spans="1:6" ht="18" customHeight="1">
      <c r="A416" s="7"/>
      <c r="B416" s="52" t="s">
        <v>407</v>
      </c>
      <c r="C416" s="7" t="s">
        <v>863</v>
      </c>
      <c r="D416" s="66">
        <f>施工机械台时汇总!$C$19</f>
        <v>0.80266353309831595</v>
      </c>
      <c r="E416" s="7">
        <v>83</v>
      </c>
      <c r="F416" s="53">
        <f t="shared" si="36"/>
        <v>66.621073247160226</v>
      </c>
    </row>
    <row r="417" spans="1:6" ht="18" customHeight="1">
      <c r="A417" s="7"/>
      <c r="B417" s="52" t="s">
        <v>840</v>
      </c>
      <c r="C417" s="7" t="s">
        <v>834</v>
      </c>
      <c r="D417" s="66">
        <f>SUM(F410:F416)</f>
        <v>1237.9160358323541</v>
      </c>
      <c r="E417" s="7">
        <v>20</v>
      </c>
      <c r="F417" s="53">
        <f>D417*E417/100</f>
        <v>247.58320716647083</v>
      </c>
    </row>
    <row r="418" spans="1:6" ht="18" customHeight="1">
      <c r="A418" s="7" t="s">
        <v>884</v>
      </c>
      <c r="B418" s="52" t="s">
        <v>885</v>
      </c>
      <c r="C418" s="7" t="s">
        <v>871</v>
      </c>
      <c r="D418" s="66">
        <f>D370</f>
        <v>5.0269138732471603</v>
      </c>
      <c r="E418" s="7">
        <v>103</v>
      </c>
      <c r="F418" s="53">
        <f>D418*E418</f>
        <v>517.77212894445756</v>
      </c>
    </row>
    <row r="419" spans="1:6" ht="18" customHeight="1">
      <c r="A419" s="7" t="s">
        <v>886</v>
      </c>
      <c r="B419" s="52" t="s">
        <v>887</v>
      </c>
      <c r="C419" s="7" t="s">
        <v>871</v>
      </c>
      <c r="D419" s="66">
        <f>D371</f>
        <v>5.8974622495064617</v>
      </c>
      <c r="E419" s="7">
        <v>103</v>
      </c>
      <c r="F419" s="53">
        <f>D419*E419</f>
        <v>607.43861169916556</v>
      </c>
    </row>
    <row r="420" spans="1:6" ht="18" customHeight="1">
      <c r="A420" s="7"/>
      <c r="B420" s="52"/>
      <c r="C420" s="7"/>
      <c r="D420" s="7"/>
      <c r="E420" s="7"/>
      <c r="F420" s="53"/>
    </row>
    <row r="421" spans="1:6" ht="18" customHeight="1">
      <c r="A421" s="7">
        <v>1.2</v>
      </c>
      <c r="B421" s="52" t="s">
        <v>841</v>
      </c>
      <c r="C421" s="7"/>
      <c r="D421" s="53">
        <f>F394</f>
        <v>35918.438776102448</v>
      </c>
      <c r="E421" s="56">
        <f>E373</f>
        <v>4.8000000000000001E-2</v>
      </c>
      <c r="F421" s="53">
        <f>D421*E421</f>
        <v>1724.0850612529175</v>
      </c>
    </row>
    <row r="422" spans="1:6" ht="18" customHeight="1">
      <c r="A422" s="7">
        <v>1.3</v>
      </c>
      <c r="B422" s="52" t="s">
        <v>842</v>
      </c>
      <c r="C422" s="7"/>
      <c r="D422" s="53">
        <f>F394</f>
        <v>35918.438776102448</v>
      </c>
      <c r="E422" s="56">
        <f>E374</f>
        <v>0</v>
      </c>
      <c r="F422" s="53">
        <f>D422*E422</f>
        <v>0</v>
      </c>
    </row>
    <row r="423" spans="1:6" ht="18" customHeight="1">
      <c r="A423" s="7">
        <v>2</v>
      </c>
      <c r="B423" s="52" t="s">
        <v>182</v>
      </c>
      <c r="C423" s="7"/>
      <c r="D423" s="53">
        <f>F393</f>
        <v>37642.523837355366</v>
      </c>
      <c r="E423" s="56">
        <f>E375</f>
        <v>7.0000000000000007E-2</v>
      </c>
      <c r="F423" s="53">
        <f>D423*E423</f>
        <v>2634.976668614876</v>
      </c>
    </row>
    <row r="424" spans="1:6" ht="18" customHeight="1">
      <c r="A424" s="7">
        <v>3</v>
      </c>
      <c r="B424" s="52" t="s">
        <v>843</v>
      </c>
      <c r="C424" s="7"/>
      <c r="D424" s="53">
        <f>F423+F393</f>
        <v>40277.500505970238</v>
      </c>
      <c r="E424" s="56">
        <f>E376</f>
        <v>7.0000000000000007E-2</v>
      </c>
      <c r="F424" s="53">
        <f>D424*E424</f>
        <v>2819.4250354179171</v>
      </c>
    </row>
    <row r="425" spans="1:6" ht="18" customHeight="1">
      <c r="A425" s="7">
        <v>4</v>
      </c>
      <c r="B425" s="52" t="s">
        <v>184</v>
      </c>
      <c r="C425" s="7"/>
      <c r="D425" s="7"/>
      <c r="E425" s="7"/>
      <c r="F425" s="53">
        <f>SUM(F426:F431)</f>
        <v>5092.1217150837128</v>
      </c>
    </row>
    <row r="426" spans="1:6" ht="18" customHeight="1">
      <c r="A426" s="7"/>
      <c r="B426" s="52" t="s">
        <v>354</v>
      </c>
      <c r="C426" s="7" t="s">
        <v>88</v>
      </c>
      <c r="D426" s="66">
        <f t="shared" ref="D426:D431" si="37">D378</f>
        <v>116.41515</v>
      </c>
      <c r="E426" s="66">
        <f>E406*砼配合!I9</f>
        <v>35.035758999999999</v>
      </c>
      <c r="F426" s="53">
        <f t="shared" ref="F426:F432" si="38">D426*E426</f>
        <v>4078.6931393488499</v>
      </c>
    </row>
    <row r="427" spans="1:6" ht="18" customHeight="1">
      <c r="A427" s="7"/>
      <c r="B427" s="52" t="s">
        <v>507</v>
      </c>
      <c r="C427" s="7" t="s">
        <v>871</v>
      </c>
      <c r="D427" s="66">
        <f t="shared" si="37"/>
        <v>4.6598683999999899</v>
      </c>
      <c r="E427" s="66">
        <f>E406*砼配合!I10</f>
        <v>54.406660000000002</v>
      </c>
      <c r="F427" s="53">
        <f t="shared" si="38"/>
        <v>253.52787568354347</v>
      </c>
    </row>
    <row r="428" spans="1:6" ht="18" customHeight="1">
      <c r="A428" s="7"/>
      <c r="B428" s="52" t="s">
        <v>509</v>
      </c>
      <c r="C428" s="7" t="s">
        <v>871</v>
      </c>
      <c r="D428" s="66">
        <f t="shared" si="37"/>
        <v>6.2457299999999902</v>
      </c>
      <c r="E428" s="66">
        <f>E406*砼配合!I11</f>
        <v>86.667083999999988</v>
      </c>
      <c r="F428" s="53">
        <f t="shared" si="38"/>
        <v>541.29920655131912</v>
      </c>
    </row>
    <row r="429" spans="1:6" ht="18" customHeight="1">
      <c r="A429" s="7"/>
      <c r="B429" s="52" t="s">
        <v>506</v>
      </c>
      <c r="C429" s="7" t="s">
        <v>871</v>
      </c>
      <c r="D429" s="66">
        <f t="shared" si="37"/>
        <v>0</v>
      </c>
      <c r="E429" s="66">
        <f>E399</f>
        <v>0.77</v>
      </c>
      <c r="F429" s="53">
        <f t="shared" si="38"/>
        <v>0</v>
      </c>
    </row>
    <row r="430" spans="1:6" ht="18" customHeight="1">
      <c r="A430" s="7"/>
      <c r="B430" s="52" t="s">
        <v>515</v>
      </c>
      <c r="C430" s="7" t="s">
        <v>844</v>
      </c>
      <c r="D430" s="66">
        <f t="shared" si="37"/>
        <v>4.7450000000000001</v>
      </c>
      <c r="E430" s="66">
        <f>台时!AK19*砼单价!E410+E411*台时!AZ19</f>
        <v>15.215999999999999</v>
      </c>
      <c r="F430" s="53">
        <f t="shared" si="38"/>
        <v>72.199919999999992</v>
      </c>
    </row>
    <row r="431" spans="1:6" ht="18" customHeight="1">
      <c r="A431" s="7"/>
      <c r="B431" s="52" t="s">
        <v>516</v>
      </c>
      <c r="C431" s="7" t="s">
        <v>844</v>
      </c>
      <c r="D431" s="66">
        <f t="shared" si="37"/>
        <v>3.51</v>
      </c>
      <c r="E431" s="66">
        <f>砼配合!I63*台时!AN22*砼单价!E419/100</f>
        <v>41.709849999999996</v>
      </c>
      <c r="F431" s="53">
        <f t="shared" si="38"/>
        <v>146.40157349999998</v>
      </c>
    </row>
    <row r="432" spans="1:6" ht="18" customHeight="1">
      <c r="A432" s="7">
        <v>5</v>
      </c>
      <c r="B432" s="52" t="s">
        <v>845</v>
      </c>
      <c r="C432" s="7"/>
      <c r="D432" s="53">
        <f>F393+F423+F424+F425</f>
        <v>48189.047256471866</v>
      </c>
      <c r="E432" s="56">
        <f>E384</f>
        <v>0.09</v>
      </c>
      <c r="F432" s="53">
        <f t="shared" si="38"/>
        <v>4337.0142530824678</v>
      </c>
    </row>
    <row r="433" spans="1:6" ht="18" customHeight="1">
      <c r="A433" s="7">
        <v>6</v>
      </c>
      <c r="B433" s="52" t="s">
        <v>7</v>
      </c>
      <c r="C433" s="7"/>
      <c r="D433" s="7"/>
      <c r="E433" s="7"/>
      <c r="F433" s="53">
        <f>D432+F432</f>
        <v>52526.061509554333</v>
      </c>
    </row>
    <row r="434" spans="1:6" ht="18" customHeight="1">
      <c r="A434" s="7"/>
      <c r="B434" s="52" t="s">
        <v>846</v>
      </c>
      <c r="C434" s="7"/>
      <c r="D434" s="53">
        <f>F433</f>
        <v>52526.061509554333</v>
      </c>
      <c r="E434" s="56">
        <f>E386</f>
        <v>0.03</v>
      </c>
      <c r="F434" s="53">
        <f>E434*D434</f>
        <v>1575.78184528663</v>
      </c>
    </row>
    <row r="435" spans="1:6" ht="18" customHeight="1">
      <c r="A435" s="7"/>
      <c r="B435" s="52" t="s">
        <v>44</v>
      </c>
      <c r="C435" s="7"/>
      <c r="D435" s="7"/>
      <c r="E435" s="7"/>
      <c r="F435" s="53">
        <f>SUM(F433:F434)</f>
        <v>54101.843354840959</v>
      </c>
    </row>
    <row r="436" spans="1:6" ht="22.5" customHeight="1">
      <c r="A436" s="461" t="s">
        <v>813</v>
      </c>
      <c r="B436" s="461"/>
      <c r="C436" s="461"/>
      <c r="D436" s="461"/>
      <c r="E436" s="461"/>
      <c r="F436" s="461"/>
    </row>
    <row r="437" spans="1:6" ht="18" customHeight="1">
      <c r="A437" s="462" t="s">
        <v>900</v>
      </c>
      <c r="B437" s="462"/>
      <c r="C437" s="462"/>
      <c r="D437" s="462"/>
      <c r="E437" s="462"/>
      <c r="F437" s="462"/>
    </row>
    <row r="438" spans="1:6" ht="18" customHeight="1">
      <c r="A438" s="47" t="s">
        <v>894</v>
      </c>
      <c r="B438" s="49">
        <v>4062</v>
      </c>
      <c r="D438" s="46"/>
      <c r="E438" s="47" t="s">
        <v>169</v>
      </c>
      <c r="F438" s="49" t="s">
        <v>869</v>
      </c>
    </row>
    <row r="439" spans="1:6" ht="18" customHeight="1">
      <c r="A439" s="50" t="s">
        <v>817</v>
      </c>
      <c r="B439" s="458"/>
      <c r="C439" s="459"/>
      <c r="D439" s="459"/>
      <c r="E439" s="459"/>
      <c r="F439" s="460"/>
    </row>
    <row r="440" spans="1:6" ht="18" customHeight="1">
      <c r="A440" s="7" t="s">
        <v>1</v>
      </c>
      <c r="B440" s="52" t="s">
        <v>344</v>
      </c>
      <c r="C440" s="7" t="s">
        <v>818</v>
      </c>
      <c r="D440" s="7" t="s">
        <v>819</v>
      </c>
      <c r="E440" s="7" t="s">
        <v>820</v>
      </c>
      <c r="F440" s="7" t="s">
        <v>821</v>
      </c>
    </row>
    <row r="441" spans="1:6" ht="18" customHeight="1">
      <c r="A441" s="7">
        <v>1</v>
      </c>
      <c r="B441" s="52" t="s">
        <v>822</v>
      </c>
      <c r="C441" s="7"/>
      <c r="D441" s="7"/>
      <c r="E441" s="7"/>
      <c r="F441" s="53">
        <f>F442+F469+F470</f>
        <v>40289.334464662912</v>
      </c>
    </row>
    <row r="442" spans="1:6" ht="18" customHeight="1">
      <c r="A442" s="7">
        <v>1.1000000000000001</v>
      </c>
      <c r="B442" s="52" t="s">
        <v>823</v>
      </c>
      <c r="C442" s="7"/>
      <c r="D442" s="7"/>
      <c r="E442" s="7"/>
      <c r="F442" s="53">
        <f>F443+F446+F457+F466+F467+F468</f>
        <v>38444.021435747054</v>
      </c>
    </row>
    <row r="443" spans="1:6" ht="18" customHeight="1">
      <c r="A443" s="7" t="s">
        <v>47</v>
      </c>
      <c r="B443" s="52" t="s">
        <v>176</v>
      </c>
      <c r="C443" s="7"/>
      <c r="D443" s="7"/>
      <c r="E443" s="7"/>
      <c r="F443" s="53">
        <f>F444+F445</f>
        <v>8962.6110000000008</v>
      </c>
    </row>
    <row r="444" spans="1:6" ht="18" customHeight="1">
      <c r="A444" s="7"/>
      <c r="B444" s="52" t="s">
        <v>824</v>
      </c>
      <c r="C444" s="7" t="s">
        <v>825</v>
      </c>
      <c r="D444" s="7">
        <v>8.1</v>
      </c>
      <c r="E444" s="7">
        <v>847.7</v>
      </c>
      <c r="F444" s="53">
        <f>D444*E444</f>
        <v>6866.37</v>
      </c>
    </row>
    <row r="445" spans="1:6" ht="18" customHeight="1">
      <c r="A445" s="7"/>
      <c r="B445" s="52" t="s">
        <v>826</v>
      </c>
      <c r="C445" s="7" t="s">
        <v>825</v>
      </c>
      <c r="D445" s="7">
        <v>5.77</v>
      </c>
      <c r="E445" s="7">
        <v>363.3</v>
      </c>
      <c r="F445" s="53">
        <f>D445*E445</f>
        <v>2096.241</v>
      </c>
    </row>
    <row r="446" spans="1:6" ht="18" customHeight="1">
      <c r="A446" s="7" t="s">
        <v>57</v>
      </c>
      <c r="B446" s="52" t="s">
        <v>177</v>
      </c>
      <c r="C446" s="7"/>
      <c r="D446" s="7"/>
      <c r="E446" s="7"/>
      <c r="F446" s="53">
        <f>SUM(F447:F456)</f>
        <v>27107.985333180004</v>
      </c>
    </row>
    <row r="447" spans="1:6" ht="18" customHeight="1">
      <c r="A447" s="7"/>
      <c r="B447" s="52" t="s">
        <v>870</v>
      </c>
      <c r="C447" s="7" t="s">
        <v>871</v>
      </c>
      <c r="D447" s="7">
        <f>D399</f>
        <v>1874.0778</v>
      </c>
      <c r="E447" s="7">
        <v>1.39</v>
      </c>
      <c r="F447" s="53">
        <f t="shared" ref="F447:F455" si="39">D447*E447</f>
        <v>2604.9681419999997</v>
      </c>
    </row>
    <row r="448" spans="1:6" ht="18" customHeight="1">
      <c r="A448" s="7"/>
      <c r="B448" s="52" t="s">
        <v>375</v>
      </c>
      <c r="C448" s="7" t="s">
        <v>844</v>
      </c>
      <c r="D448" s="7">
        <f>次要材料汇总!$F$9</f>
        <v>6</v>
      </c>
      <c r="E448" s="7">
        <v>59.94</v>
      </c>
      <c r="F448" s="53">
        <f t="shared" si="39"/>
        <v>359.64</v>
      </c>
    </row>
    <row r="449" spans="1:6" ht="18" customHeight="1">
      <c r="A449" s="7"/>
      <c r="B449" s="52" t="s">
        <v>873</v>
      </c>
      <c r="C449" s="7" t="s">
        <v>844</v>
      </c>
      <c r="D449" s="7">
        <f>次要材料汇总!$F$10</f>
        <v>5.5</v>
      </c>
      <c r="E449" s="7">
        <v>143.21</v>
      </c>
      <c r="F449" s="53">
        <f t="shared" si="39"/>
        <v>787.65500000000009</v>
      </c>
    </row>
    <row r="450" spans="1:6" ht="18" customHeight="1">
      <c r="A450" s="7"/>
      <c r="B450" s="52" t="s">
        <v>874</v>
      </c>
      <c r="C450" s="7" t="s">
        <v>844</v>
      </c>
      <c r="D450" s="7">
        <f>次要材料汇总!$F$11</f>
        <v>6.5</v>
      </c>
      <c r="E450" s="7">
        <v>192.28</v>
      </c>
      <c r="F450" s="53">
        <f t="shared" si="39"/>
        <v>1249.82</v>
      </c>
    </row>
    <row r="451" spans="1:6" ht="18" customHeight="1">
      <c r="A451" s="7"/>
      <c r="B451" s="52" t="s">
        <v>875</v>
      </c>
      <c r="C451" s="7" t="s">
        <v>844</v>
      </c>
      <c r="D451" s="7">
        <f>次要材料汇总!$F$5</f>
        <v>8</v>
      </c>
      <c r="E451" s="7">
        <v>30.76</v>
      </c>
      <c r="F451" s="53">
        <f t="shared" si="39"/>
        <v>246.08</v>
      </c>
    </row>
    <row r="452" spans="1:6" ht="18" customHeight="1">
      <c r="A452" s="7"/>
      <c r="B452" s="52" t="s">
        <v>372</v>
      </c>
      <c r="C452" s="7" t="s">
        <v>844</v>
      </c>
      <c r="D452" s="7">
        <f>次要材料汇总!$F$6</f>
        <v>7.4</v>
      </c>
      <c r="E452" s="7">
        <v>231.69</v>
      </c>
      <c r="F452" s="53">
        <f t="shared" si="39"/>
        <v>1714.5060000000001</v>
      </c>
    </row>
    <row r="453" spans="1:6" ht="18" customHeight="1">
      <c r="A453" s="7"/>
      <c r="B453" s="52" t="s">
        <v>876</v>
      </c>
      <c r="C453" s="7" t="s">
        <v>844</v>
      </c>
      <c r="D453" s="7">
        <f>次要材料汇总!$F$12</f>
        <v>7.5</v>
      </c>
      <c r="E453" s="7">
        <v>4.74</v>
      </c>
      <c r="F453" s="53">
        <f t="shared" si="39"/>
        <v>35.550000000000004</v>
      </c>
    </row>
    <row r="454" spans="1:6" ht="18" customHeight="1">
      <c r="A454" s="7"/>
      <c r="B454" s="52" t="s">
        <v>877</v>
      </c>
      <c r="C454" s="7" t="s">
        <v>871</v>
      </c>
      <c r="D454" s="66">
        <f>D406</f>
        <v>183.29938899999999</v>
      </c>
      <c r="E454" s="7">
        <v>103</v>
      </c>
      <c r="F454" s="53">
        <f t="shared" si="39"/>
        <v>18879.837067</v>
      </c>
    </row>
    <row r="455" spans="1:6" ht="18" customHeight="1">
      <c r="A455" s="7"/>
      <c r="B455" s="52" t="s">
        <v>806</v>
      </c>
      <c r="C455" s="7" t="s">
        <v>871</v>
      </c>
      <c r="D455" s="66">
        <f>D407</f>
        <v>3.88</v>
      </c>
      <c r="E455" s="7">
        <v>180</v>
      </c>
      <c r="F455" s="53">
        <f t="shared" si="39"/>
        <v>698.4</v>
      </c>
    </row>
    <row r="456" spans="1:6" ht="18" customHeight="1">
      <c r="A456" s="7"/>
      <c r="B456" s="52" t="s">
        <v>833</v>
      </c>
      <c r="C456" s="7" t="s">
        <v>834</v>
      </c>
      <c r="D456" s="66">
        <f>SUM(F447:F455)</f>
        <v>26576.456209000004</v>
      </c>
      <c r="E456" s="7">
        <v>2</v>
      </c>
      <c r="F456" s="53">
        <f>D456*E456/100</f>
        <v>531.52912418000005</v>
      </c>
    </row>
    <row r="457" spans="1:6" ht="18" customHeight="1">
      <c r="A457" s="7" t="s">
        <v>835</v>
      </c>
      <c r="B457" s="52" t="s">
        <v>836</v>
      </c>
      <c r="C457" s="7"/>
      <c r="D457" s="66"/>
      <c r="E457" s="7"/>
      <c r="F457" s="53">
        <f>SUM(F458:F465)</f>
        <v>1248.214361923423</v>
      </c>
    </row>
    <row r="458" spans="1:6" ht="18" customHeight="1">
      <c r="A458" s="7"/>
      <c r="B458" s="52" t="s">
        <v>878</v>
      </c>
      <c r="C458" s="7" t="s">
        <v>863</v>
      </c>
      <c r="D458" s="66">
        <f>施工机械台时汇总!$C$42</f>
        <v>49.210305522914197</v>
      </c>
      <c r="E458" s="7">
        <v>2.38</v>
      </c>
      <c r="F458" s="53">
        <f t="shared" ref="F458:F464" si="40">D458*E458</f>
        <v>117.12052714453579</v>
      </c>
    </row>
    <row r="459" spans="1:6" ht="18" customHeight="1">
      <c r="A459" s="7"/>
      <c r="B459" s="52" t="s">
        <v>879</v>
      </c>
      <c r="C459" s="7" t="s">
        <v>863</v>
      </c>
      <c r="D459" s="66">
        <f>施工机械台时汇总!$C$57</f>
        <v>62.128971797884901</v>
      </c>
      <c r="E459" s="7">
        <v>0.3</v>
      </c>
      <c r="F459" s="53">
        <f t="shared" si="40"/>
        <v>18.638691539365471</v>
      </c>
    </row>
    <row r="460" spans="1:6" ht="18" customHeight="1">
      <c r="A460" s="7"/>
      <c r="B460" s="52" t="s">
        <v>889</v>
      </c>
      <c r="C460" s="7" t="s">
        <v>863</v>
      </c>
      <c r="D460" s="66">
        <f>施工机械台时汇总!$C$55</f>
        <v>113.9611292596945</v>
      </c>
      <c r="E460" s="7">
        <v>0.67</v>
      </c>
      <c r="F460" s="53">
        <f t="shared" si="40"/>
        <v>76.353956603995314</v>
      </c>
    </row>
    <row r="461" spans="1:6" ht="18" customHeight="1">
      <c r="A461" s="7"/>
      <c r="B461" s="52" t="s">
        <v>881</v>
      </c>
      <c r="C461" s="7" t="s">
        <v>863</v>
      </c>
      <c r="D461" s="66">
        <f>施工机械台时汇总!$C$40</f>
        <v>15.582226792009401</v>
      </c>
      <c r="E461" s="7">
        <v>8.14</v>
      </c>
      <c r="F461" s="53">
        <f t="shared" si="40"/>
        <v>126.83932608695653</v>
      </c>
    </row>
    <row r="462" spans="1:6" ht="18" customHeight="1">
      <c r="A462" s="7"/>
      <c r="B462" s="52" t="s">
        <v>882</v>
      </c>
      <c r="C462" s="7" t="s">
        <v>863</v>
      </c>
      <c r="D462" s="66">
        <f>施工机械台时汇总!$C$21</f>
        <v>28.129680376028197</v>
      </c>
      <c r="E462" s="7">
        <v>18.54</v>
      </c>
      <c r="F462" s="53">
        <f t="shared" si="40"/>
        <v>521.52427417156275</v>
      </c>
    </row>
    <row r="463" spans="1:6" ht="18" customHeight="1">
      <c r="A463" s="7"/>
      <c r="B463" s="52" t="s">
        <v>899</v>
      </c>
      <c r="C463" s="7" t="s">
        <v>863</v>
      </c>
      <c r="D463" s="66">
        <f>施工机械台时汇总!$C$23</f>
        <v>3.1980998824911806</v>
      </c>
      <c r="E463" s="7">
        <v>49.5</v>
      </c>
      <c r="F463" s="53">
        <f t="shared" si="40"/>
        <v>158.30594418331344</v>
      </c>
    </row>
    <row r="464" spans="1:6" ht="18" customHeight="1">
      <c r="A464" s="7"/>
      <c r="B464" s="52" t="s">
        <v>407</v>
      </c>
      <c r="C464" s="7" t="s">
        <v>863</v>
      </c>
      <c r="D464" s="66">
        <f>施工机械台时汇总!$C$19</f>
        <v>0.80266353309831595</v>
      </c>
      <c r="E464" s="7">
        <v>83</v>
      </c>
      <c r="F464" s="53">
        <f t="shared" si="40"/>
        <v>66.621073247160226</v>
      </c>
    </row>
    <row r="465" spans="1:6" ht="18" customHeight="1">
      <c r="A465" s="7"/>
      <c r="B465" s="52" t="s">
        <v>840</v>
      </c>
      <c r="C465" s="7" t="s">
        <v>834</v>
      </c>
      <c r="D465" s="66">
        <f>SUM(F458:F464)</f>
        <v>1085.4037929768895</v>
      </c>
      <c r="E465" s="7">
        <v>15</v>
      </c>
      <c r="F465" s="53">
        <f>D465*E465/100</f>
        <v>162.81056894653341</v>
      </c>
    </row>
    <row r="466" spans="1:6" ht="18" customHeight="1">
      <c r="A466" s="7" t="s">
        <v>884</v>
      </c>
      <c r="B466" s="52" t="s">
        <v>885</v>
      </c>
      <c r="C466" s="7" t="s">
        <v>871</v>
      </c>
      <c r="D466" s="66">
        <f>D418</f>
        <v>5.0269138732471603</v>
      </c>
      <c r="E466" s="7">
        <v>103</v>
      </c>
      <c r="F466" s="53">
        <f>D466*E466</f>
        <v>517.77212894445756</v>
      </c>
    </row>
    <row r="467" spans="1:6" ht="18" customHeight="1">
      <c r="A467" s="7" t="s">
        <v>886</v>
      </c>
      <c r="B467" s="52" t="s">
        <v>887</v>
      </c>
      <c r="C467" s="7" t="s">
        <v>871</v>
      </c>
      <c r="D467" s="66">
        <f>D419</f>
        <v>5.8974622495064617</v>
      </c>
      <c r="E467" s="7">
        <v>103</v>
      </c>
      <c r="F467" s="53">
        <f>D467*E467</f>
        <v>607.43861169916556</v>
      </c>
    </row>
    <row r="468" spans="1:6" ht="18" customHeight="1">
      <c r="A468" s="7"/>
      <c r="B468" s="52"/>
      <c r="C468" s="7"/>
      <c r="D468" s="7"/>
      <c r="E468" s="7"/>
      <c r="F468" s="53"/>
    </row>
    <row r="469" spans="1:6" ht="18" customHeight="1">
      <c r="A469" s="7">
        <v>1.2</v>
      </c>
      <c r="B469" s="52" t="s">
        <v>841</v>
      </c>
      <c r="C469" s="7"/>
      <c r="D469" s="53">
        <f>F442</f>
        <v>38444.021435747054</v>
      </c>
      <c r="E469" s="56">
        <f>E421</f>
        <v>4.8000000000000001E-2</v>
      </c>
      <c r="F469" s="53">
        <f>D469*E469</f>
        <v>1845.3130289158587</v>
      </c>
    </row>
    <row r="470" spans="1:6" ht="18" customHeight="1">
      <c r="A470" s="7">
        <v>1.3</v>
      </c>
      <c r="B470" s="52" t="s">
        <v>842</v>
      </c>
      <c r="C470" s="7"/>
      <c r="D470" s="53">
        <f>F442</f>
        <v>38444.021435747054</v>
      </c>
      <c r="E470" s="56">
        <f>E422</f>
        <v>0</v>
      </c>
      <c r="F470" s="53">
        <f>D470*E470</f>
        <v>0</v>
      </c>
    </row>
    <row r="471" spans="1:6" ht="18" customHeight="1">
      <c r="A471" s="7">
        <v>2</v>
      </c>
      <c r="B471" s="52" t="s">
        <v>182</v>
      </c>
      <c r="C471" s="7"/>
      <c r="D471" s="53">
        <f>F441</f>
        <v>40289.334464662912</v>
      </c>
      <c r="E471" s="56">
        <f>E423</f>
        <v>7.0000000000000007E-2</v>
      </c>
      <c r="F471" s="53">
        <f>D471*E471</f>
        <v>2820.2534125264042</v>
      </c>
    </row>
    <row r="472" spans="1:6" ht="18" customHeight="1">
      <c r="A472" s="7">
        <v>3</v>
      </c>
      <c r="B472" s="52" t="s">
        <v>843</v>
      </c>
      <c r="C472" s="7"/>
      <c r="D472" s="53">
        <f>F471+F441</f>
        <v>43109.587877189319</v>
      </c>
      <c r="E472" s="56">
        <f>E424</f>
        <v>7.0000000000000007E-2</v>
      </c>
      <c r="F472" s="53">
        <f>D472*E472</f>
        <v>3017.6711514032527</v>
      </c>
    </row>
    <row r="473" spans="1:6" ht="18" customHeight="1">
      <c r="A473" s="7">
        <v>4</v>
      </c>
      <c r="B473" s="52" t="s">
        <v>184</v>
      </c>
      <c r="C473" s="7"/>
      <c r="D473" s="7"/>
      <c r="E473" s="7"/>
      <c r="F473" s="53">
        <f>SUM(F474:F479)</f>
        <v>5109.4884150837124</v>
      </c>
    </row>
    <row r="474" spans="1:6" ht="18" customHeight="1">
      <c r="A474" s="7"/>
      <c r="B474" s="52" t="s">
        <v>354</v>
      </c>
      <c r="C474" s="7" t="s">
        <v>88</v>
      </c>
      <c r="D474" s="66">
        <f t="shared" ref="D474:D479" si="41">D426</f>
        <v>116.41515</v>
      </c>
      <c r="E474" s="66">
        <f>E454*砼配合!I9</f>
        <v>35.035758999999999</v>
      </c>
      <c r="F474" s="53">
        <f t="shared" ref="F474:F480" si="42">D474*E474</f>
        <v>4078.6931393488499</v>
      </c>
    </row>
    <row r="475" spans="1:6" ht="18" customHeight="1">
      <c r="A475" s="7"/>
      <c r="B475" s="52" t="s">
        <v>507</v>
      </c>
      <c r="C475" s="7" t="s">
        <v>871</v>
      </c>
      <c r="D475" s="66">
        <f t="shared" si="41"/>
        <v>4.6598683999999899</v>
      </c>
      <c r="E475" s="66">
        <f>E454*砼配合!I10</f>
        <v>54.406660000000002</v>
      </c>
      <c r="F475" s="53">
        <f t="shared" si="42"/>
        <v>253.52787568354347</v>
      </c>
    </row>
    <row r="476" spans="1:6" ht="18" customHeight="1">
      <c r="A476" s="7"/>
      <c r="B476" s="52" t="s">
        <v>509</v>
      </c>
      <c r="C476" s="7" t="s">
        <v>871</v>
      </c>
      <c r="D476" s="66">
        <f t="shared" si="41"/>
        <v>6.2457299999999902</v>
      </c>
      <c r="E476" s="66">
        <f>E454*砼配合!I11</f>
        <v>86.667083999999988</v>
      </c>
      <c r="F476" s="53">
        <f t="shared" si="42"/>
        <v>541.29920655131912</v>
      </c>
    </row>
    <row r="477" spans="1:6" ht="18" customHeight="1">
      <c r="A477" s="7"/>
      <c r="B477" s="52" t="s">
        <v>506</v>
      </c>
      <c r="C477" s="7" t="s">
        <v>871</v>
      </c>
      <c r="D477" s="66">
        <f t="shared" si="41"/>
        <v>0</v>
      </c>
      <c r="E477" s="66">
        <f>E447</f>
        <v>1.39</v>
      </c>
      <c r="F477" s="53">
        <f t="shared" si="42"/>
        <v>0</v>
      </c>
    </row>
    <row r="478" spans="1:6" ht="18" customHeight="1">
      <c r="A478" s="7"/>
      <c r="B478" s="52" t="s">
        <v>515</v>
      </c>
      <c r="C478" s="7" t="s">
        <v>844</v>
      </c>
      <c r="D478" s="66">
        <f t="shared" si="41"/>
        <v>4.7450000000000001</v>
      </c>
      <c r="E478" s="66">
        <f>台时!AK19*砼单价!E458+E459*台时!AZ19</f>
        <v>18.875999999999998</v>
      </c>
      <c r="F478" s="53">
        <f t="shared" si="42"/>
        <v>89.566619999999986</v>
      </c>
    </row>
    <row r="479" spans="1:6" ht="18" customHeight="1">
      <c r="A479" s="7"/>
      <c r="B479" s="52" t="s">
        <v>516</v>
      </c>
      <c r="C479" s="7" t="s">
        <v>844</v>
      </c>
      <c r="D479" s="66">
        <f t="shared" si="41"/>
        <v>3.51</v>
      </c>
      <c r="E479" s="66">
        <f>砼配合!I63*台时!AN22*砼单价!E467/100</f>
        <v>41.709849999999996</v>
      </c>
      <c r="F479" s="53">
        <f t="shared" si="42"/>
        <v>146.40157349999998</v>
      </c>
    </row>
    <row r="480" spans="1:6" ht="18" customHeight="1">
      <c r="A480" s="7">
        <v>5</v>
      </c>
      <c r="B480" s="52" t="s">
        <v>845</v>
      </c>
      <c r="C480" s="7"/>
      <c r="D480" s="53">
        <f>F441+F471+F472+F473</f>
        <v>51236.747443676279</v>
      </c>
      <c r="E480" s="56">
        <f>E432</f>
        <v>0.09</v>
      </c>
      <c r="F480" s="53">
        <f t="shared" si="42"/>
        <v>4611.307269930865</v>
      </c>
    </row>
    <row r="481" spans="1:6" ht="18" customHeight="1">
      <c r="A481" s="7">
        <v>6</v>
      </c>
      <c r="B481" s="52" t="s">
        <v>7</v>
      </c>
      <c r="C481" s="7"/>
      <c r="D481" s="7"/>
      <c r="E481" s="7"/>
      <c r="F481" s="53">
        <f>D480+F480</f>
        <v>55848.05471360714</v>
      </c>
    </row>
    <row r="482" spans="1:6" ht="18" customHeight="1">
      <c r="A482" s="7"/>
      <c r="B482" s="52" t="s">
        <v>846</v>
      </c>
      <c r="C482" s="7"/>
      <c r="D482" s="53">
        <f>F481</f>
        <v>55848.05471360714</v>
      </c>
      <c r="E482" s="56">
        <f>E434</f>
        <v>0.03</v>
      </c>
      <c r="F482" s="53">
        <f>E482*D482</f>
        <v>1675.4416414082141</v>
      </c>
    </row>
    <row r="483" spans="1:6" ht="18" customHeight="1">
      <c r="A483" s="7"/>
      <c r="B483" s="52" t="s">
        <v>44</v>
      </c>
      <c r="C483" s="7"/>
      <c r="D483" s="7"/>
      <c r="E483" s="7"/>
      <c r="F483" s="53">
        <f>SUM(F481:F482)</f>
        <v>57523.496355015355</v>
      </c>
    </row>
    <row r="484" spans="1:6" ht="22.5" customHeight="1">
      <c r="A484" s="461" t="s">
        <v>813</v>
      </c>
      <c r="B484" s="461"/>
      <c r="C484" s="461"/>
      <c r="D484" s="461"/>
      <c r="E484" s="461"/>
      <c r="F484" s="461"/>
    </row>
    <row r="485" spans="1:6" ht="18" customHeight="1">
      <c r="A485" s="462" t="s">
        <v>901</v>
      </c>
      <c r="B485" s="462"/>
      <c r="C485" s="462"/>
      <c r="D485" s="462"/>
      <c r="E485" s="462"/>
      <c r="F485" s="462"/>
    </row>
    <row r="486" spans="1:6" ht="18" customHeight="1">
      <c r="A486" s="49" t="s">
        <v>902</v>
      </c>
      <c r="B486" s="49">
        <v>4053</v>
      </c>
      <c r="D486" s="46"/>
      <c r="E486" s="47" t="s">
        <v>169</v>
      </c>
      <c r="F486" s="49" t="s">
        <v>869</v>
      </c>
    </row>
    <row r="487" spans="1:6" ht="18" customHeight="1">
      <c r="A487" s="7" t="s">
        <v>817</v>
      </c>
      <c r="B487" s="458"/>
      <c r="C487" s="459"/>
      <c r="D487" s="459"/>
      <c r="E487" s="459"/>
      <c r="F487" s="460"/>
    </row>
    <row r="488" spans="1:6" ht="18" customHeight="1">
      <c r="A488" s="7" t="s">
        <v>1</v>
      </c>
      <c r="B488" s="52" t="s">
        <v>344</v>
      </c>
      <c r="C488" s="7" t="s">
        <v>818</v>
      </c>
      <c r="D488" s="7" t="s">
        <v>819</v>
      </c>
      <c r="E488" s="7" t="s">
        <v>820</v>
      </c>
      <c r="F488" s="7" t="s">
        <v>821</v>
      </c>
    </row>
    <row r="489" spans="1:6" ht="18" customHeight="1">
      <c r="A489" s="7">
        <v>1</v>
      </c>
      <c r="B489" s="52" t="s">
        <v>822</v>
      </c>
      <c r="C489" s="7"/>
      <c r="D489" s="7"/>
      <c r="E489" s="7"/>
      <c r="F489" s="53">
        <f>F490+F516+F517</f>
        <v>33600.367008008398</v>
      </c>
    </row>
    <row r="490" spans="1:6" ht="18" customHeight="1">
      <c r="A490" s="7">
        <v>1.1000000000000001</v>
      </c>
      <c r="B490" s="52" t="s">
        <v>823</v>
      </c>
      <c r="C490" s="7"/>
      <c r="D490" s="7"/>
      <c r="E490" s="7"/>
      <c r="F490" s="53">
        <f>F491+F494+F505+F513+F514+F515</f>
        <v>32061.418900771372</v>
      </c>
    </row>
    <row r="491" spans="1:6" ht="18" customHeight="1">
      <c r="A491" s="7" t="s">
        <v>47</v>
      </c>
      <c r="B491" s="52" t="s">
        <v>176</v>
      </c>
      <c r="C491" s="7"/>
      <c r="D491" s="7"/>
      <c r="E491" s="7"/>
      <c r="F491" s="53">
        <f>F492+F493</f>
        <v>8850.0759999999991</v>
      </c>
    </row>
    <row r="492" spans="1:6" ht="18" customHeight="1">
      <c r="A492" s="7"/>
      <c r="B492" s="52" t="s">
        <v>824</v>
      </c>
      <c r="C492" s="7" t="s">
        <v>825</v>
      </c>
      <c r="D492" s="7">
        <v>8.1</v>
      </c>
      <c r="E492" s="7">
        <v>778.6</v>
      </c>
      <c r="F492" s="53">
        <f>D492*E492</f>
        <v>6306.66</v>
      </c>
    </row>
    <row r="493" spans="1:6" ht="18" customHeight="1">
      <c r="A493" s="7"/>
      <c r="B493" s="52" t="s">
        <v>826</v>
      </c>
      <c r="C493" s="7" t="s">
        <v>825</v>
      </c>
      <c r="D493" s="7">
        <v>5.77</v>
      </c>
      <c r="E493" s="7">
        <v>440.8</v>
      </c>
      <c r="F493" s="53">
        <f>D493*E493</f>
        <v>2543.4160000000002</v>
      </c>
    </row>
    <row r="494" spans="1:6" ht="18" customHeight="1">
      <c r="A494" s="7" t="s">
        <v>57</v>
      </c>
      <c r="B494" s="52" t="s">
        <v>177</v>
      </c>
      <c r="C494" s="7"/>
      <c r="D494" s="7"/>
      <c r="E494" s="7"/>
      <c r="F494" s="53">
        <f>SUM(F495:F504)</f>
        <v>21168.571549380002</v>
      </c>
    </row>
    <row r="495" spans="1:6" ht="18" customHeight="1">
      <c r="A495" s="7"/>
      <c r="B495" s="52" t="s">
        <v>870</v>
      </c>
      <c r="C495" s="7" t="s">
        <v>871</v>
      </c>
      <c r="D495" s="7">
        <f>D399</f>
        <v>1874.0778</v>
      </c>
      <c r="E495" s="7">
        <v>0.34</v>
      </c>
      <c r="F495" s="53">
        <f t="shared" ref="F495:F503" si="43">D495*E495</f>
        <v>637.18645200000003</v>
      </c>
    </row>
    <row r="496" spans="1:6" ht="18" customHeight="1">
      <c r="A496" s="7"/>
      <c r="B496" s="52" t="s">
        <v>375</v>
      </c>
      <c r="C496" s="7" t="s">
        <v>844</v>
      </c>
      <c r="D496" s="7">
        <f>次要材料汇总!$F$9</f>
        <v>6</v>
      </c>
      <c r="E496" s="7">
        <v>7.82</v>
      </c>
      <c r="F496" s="53">
        <f t="shared" si="43"/>
        <v>46.92</v>
      </c>
    </row>
    <row r="497" spans="1:6" ht="18" customHeight="1">
      <c r="A497" s="7"/>
      <c r="B497" s="52" t="s">
        <v>873</v>
      </c>
      <c r="C497" s="7" t="s">
        <v>844</v>
      </c>
      <c r="D497" s="7">
        <f>次要材料汇总!$F$10</f>
        <v>5.5</v>
      </c>
      <c r="E497" s="7">
        <v>18.690000000000001</v>
      </c>
      <c r="F497" s="53">
        <f t="shared" si="43"/>
        <v>102.795</v>
      </c>
    </row>
    <row r="498" spans="1:6" ht="18" customHeight="1">
      <c r="A498" s="7"/>
      <c r="B498" s="52" t="s">
        <v>874</v>
      </c>
      <c r="C498" s="7" t="s">
        <v>844</v>
      </c>
      <c r="D498" s="7">
        <f>次要材料汇总!$F$11</f>
        <v>6.5</v>
      </c>
      <c r="E498" s="7">
        <v>25.11</v>
      </c>
      <c r="F498" s="53">
        <f t="shared" si="43"/>
        <v>163.215</v>
      </c>
    </row>
    <row r="499" spans="1:6" ht="18" customHeight="1">
      <c r="A499" s="7"/>
      <c r="B499" s="52" t="s">
        <v>875</v>
      </c>
      <c r="C499" s="7" t="s">
        <v>844</v>
      </c>
      <c r="D499" s="7">
        <f>次要材料汇总!$F$5</f>
        <v>8</v>
      </c>
      <c r="E499" s="7">
        <v>0.57999999999999996</v>
      </c>
      <c r="F499" s="53">
        <f t="shared" si="43"/>
        <v>4.6399999999999997</v>
      </c>
    </row>
    <row r="500" spans="1:6" ht="18" customHeight="1">
      <c r="A500" s="7"/>
      <c r="B500" s="52" t="s">
        <v>372</v>
      </c>
      <c r="C500" s="7" t="s">
        <v>844</v>
      </c>
      <c r="D500" s="7">
        <f>次要材料汇总!$F$6</f>
        <v>7.4</v>
      </c>
      <c r="E500" s="7">
        <v>29.17</v>
      </c>
      <c r="F500" s="53">
        <f t="shared" si="43"/>
        <v>215.85800000000003</v>
      </c>
    </row>
    <row r="501" spans="1:6" ht="18" customHeight="1">
      <c r="A501" s="7"/>
      <c r="B501" s="52" t="s">
        <v>876</v>
      </c>
      <c r="C501" s="7" t="s">
        <v>844</v>
      </c>
      <c r="D501" s="7">
        <f>次要材料汇总!$F$12</f>
        <v>7.5</v>
      </c>
      <c r="E501" s="7">
        <v>0.62</v>
      </c>
      <c r="F501" s="53">
        <f t="shared" si="43"/>
        <v>4.6500000000000004</v>
      </c>
    </row>
    <row r="502" spans="1:6" ht="18" customHeight="1">
      <c r="A502" s="7"/>
      <c r="B502" s="52" t="s">
        <v>877</v>
      </c>
      <c r="C502" s="7" t="s">
        <v>871</v>
      </c>
      <c r="D502" s="66">
        <f>D406</f>
        <v>183.29938899999999</v>
      </c>
      <c r="E502" s="7">
        <v>103</v>
      </c>
      <c r="F502" s="53">
        <f t="shared" si="43"/>
        <v>18879.837067</v>
      </c>
    </row>
    <row r="503" spans="1:6" ht="18" customHeight="1">
      <c r="A503" s="7"/>
      <c r="B503" s="52" t="s">
        <v>806</v>
      </c>
      <c r="C503" s="7" t="s">
        <v>871</v>
      </c>
      <c r="D503" s="66">
        <f>D407</f>
        <v>3.88</v>
      </c>
      <c r="E503" s="7">
        <v>180</v>
      </c>
      <c r="F503" s="53">
        <f t="shared" si="43"/>
        <v>698.4</v>
      </c>
    </row>
    <row r="504" spans="1:6" ht="18" customHeight="1">
      <c r="A504" s="7"/>
      <c r="B504" s="52" t="s">
        <v>833</v>
      </c>
      <c r="C504" s="7" t="s">
        <v>834</v>
      </c>
      <c r="D504" s="66">
        <f>SUM(F495:F503)</f>
        <v>20753.501519000001</v>
      </c>
      <c r="E504" s="7">
        <v>2</v>
      </c>
      <c r="F504" s="53">
        <f>D504*E504/100</f>
        <v>415.07003038000005</v>
      </c>
    </row>
    <row r="505" spans="1:6" ht="18" customHeight="1">
      <c r="A505" s="7" t="s">
        <v>835</v>
      </c>
      <c r="B505" s="52" t="s">
        <v>836</v>
      </c>
      <c r="C505" s="7"/>
      <c r="D505" s="7"/>
      <c r="E505" s="7"/>
      <c r="F505" s="53">
        <f>SUM(F506:F512)</f>
        <v>917.56061074774789</v>
      </c>
    </row>
    <row r="506" spans="1:6" ht="18" customHeight="1">
      <c r="A506" s="7"/>
      <c r="B506" s="52" t="s">
        <v>878</v>
      </c>
      <c r="C506" s="7" t="s">
        <v>863</v>
      </c>
      <c r="D506" s="66">
        <f>施工机械台时汇总!$C$42</f>
        <v>49.210305522914197</v>
      </c>
      <c r="E506" s="7">
        <v>0.5</v>
      </c>
      <c r="F506" s="53">
        <f t="shared" ref="F506:F511" si="44">D506*E506</f>
        <v>24.605152761457099</v>
      </c>
    </row>
    <row r="507" spans="1:6" ht="18" customHeight="1">
      <c r="A507" s="7"/>
      <c r="B507" s="52" t="s">
        <v>879</v>
      </c>
      <c r="C507" s="7" t="s">
        <v>863</v>
      </c>
      <c r="D507" s="66">
        <f>施工机械台时汇总!$C$57</f>
        <v>62.128971797884901</v>
      </c>
      <c r="E507" s="7">
        <v>0.96</v>
      </c>
      <c r="F507" s="53">
        <f t="shared" si="44"/>
        <v>59.643812925969506</v>
      </c>
    </row>
    <row r="508" spans="1:6" ht="18" customHeight="1">
      <c r="A508" s="7"/>
      <c r="B508" s="52" t="s">
        <v>881</v>
      </c>
      <c r="C508" s="7" t="s">
        <v>863</v>
      </c>
      <c r="D508" s="66">
        <f>施工机械台时汇总!$C$40</f>
        <v>15.582226792009401</v>
      </c>
      <c r="E508" s="7">
        <v>1.06</v>
      </c>
      <c r="F508" s="53">
        <f t="shared" si="44"/>
        <v>16.517160399529967</v>
      </c>
    </row>
    <row r="509" spans="1:6" ht="18" customHeight="1">
      <c r="A509" s="7"/>
      <c r="B509" s="52" t="s">
        <v>882</v>
      </c>
      <c r="C509" s="7" t="s">
        <v>863</v>
      </c>
      <c r="D509" s="66">
        <f>施工机械台时汇总!$C$21</f>
        <v>28.129680376028197</v>
      </c>
      <c r="E509" s="7">
        <v>18.54</v>
      </c>
      <c r="F509" s="53">
        <f t="shared" si="44"/>
        <v>521.52427417156275</v>
      </c>
    </row>
    <row r="510" spans="1:6" ht="18" customHeight="1">
      <c r="A510" s="7"/>
      <c r="B510" s="52" t="s">
        <v>883</v>
      </c>
      <c r="C510" s="7" t="s">
        <v>863</v>
      </c>
      <c r="D510" s="66">
        <f>施工机械台时汇总!$C$24</f>
        <v>2.2013599686643204</v>
      </c>
      <c r="E510" s="7">
        <v>49.5</v>
      </c>
      <c r="F510" s="53">
        <f t="shared" si="44"/>
        <v>108.96731844888386</v>
      </c>
    </row>
    <row r="511" spans="1:6" ht="18" customHeight="1">
      <c r="A511" s="7"/>
      <c r="B511" s="52" t="s">
        <v>407</v>
      </c>
      <c r="C511" s="7" t="s">
        <v>863</v>
      </c>
      <c r="D511" s="66">
        <f>施工机械台时汇总!$C$19</f>
        <v>0.80266353309831595</v>
      </c>
      <c r="E511" s="7">
        <v>83</v>
      </c>
      <c r="F511" s="53">
        <f t="shared" si="44"/>
        <v>66.621073247160226</v>
      </c>
    </row>
    <row r="512" spans="1:6" ht="18" customHeight="1">
      <c r="A512" s="7"/>
      <c r="B512" s="52" t="s">
        <v>840</v>
      </c>
      <c r="C512" s="7" t="s">
        <v>834</v>
      </c>
      <c r="D512" s="66">
        <f>SUM(F506:F511)</f>
        <v>797.87879195456333</v>
      </c>
      <c r="E512" s="7">
        <v>15</v>
      </c>
      <c r="F512" s="53">
        <f>D512*E512/100</f>
        <v>119.6818187931845</v>
      </c>
    </row>
    <row r="513" spans="1:6" ht="18" customHeight="1">
      <c r="A513" s="7" t="s">
        <v>884</v>
      </c>
      <c r="B513" s="52" t="s">
        <v>885</v>
      </c>
      <c r="C513" s="7" t="s">
        <v>871</v>
      </c>
      <c r="D513" s="66">
        <f>D418</f>
        <v>5.0269138732471603</v>
      </c>
      <c r="E513" s="7">
        <v>103</v>
      </c>
      <c r="F513" s="53">
        <f>D513*E513</f>
        <v>517.77212894445756</v>
      </c>
    </row>
    <row r="514" spans="1:6" ht="18" customHeight="1">
      <c r="A514" s="7" t="s">
        <v>886</v>
      </c>
      <c r="B514" s="52" t="s">
        <v>887</v>
      </c>
      <c r="C514" s="7" t="s">
        <v>871</v>
      </c>
      <c r="D514" s="66">
        <f>D419</f>
        <v>5.8974622495064617</v>
      </c>
      <c r="E514" s="7">
        <v>103</v>
      </c>
      <c r="F514" s="53">
        <f>D514*E514</f>
        <v>607.43861169916556</v>
      </c>
    </row>
    <row r="515" spans="1:6" ht="18" customHeight="1">
      <c r="A515" s="7"/>
      <c r="B515" s="52"/>
      <c r="C515" s="7"/>
      <c r="D515" s="7"/>
      <c r="E515" s="7"/>
      <c r="F515" s="53"/>
    </row>
    <row r="516" spans="1:6" ht="18" customHeight="1">
      <c r="A516" s="7">
        <v>1.2</v>
      </c>
      <c r="B516" s="52" t="s">
        <v>841</v>
      </c>
      <c r="C516" s="7"/>
      <c r="D516" s="53">
        <f>F490</f>
        <v>32061.418900771372</v>
      </c>
      <c r="E516" s="56">
        <f>E421</f>
        <v>4.8000000000000001E-2</v>
      </c>
      <c r="F516" s="53">
        <f>D516*E516</f>
        <v>1538.9481072370259</v>
      </c>
    </row>
    <row r="517" spans="1:6" ht="18" customHeight="1">
      <c r="A517" s="7">
        <v>1.3</v>
      </c>
      <c r="B517" s="52" t="s">
        <v>842</v>
      </c>
      <c r="C517" s="7"/>
      <c r="D517" s="53">
        <f>F490</f>
        <v>32061.418900771372</v>
      </c>
      <c r="E517" s="56">
        <f>E422</f>
        <v>0</v>
      </c>
      <c r="F517" s="53">
        <f>D517*E517</f>
        <v>0</v>
      </c>
    </row>
    <row r="518" spans="1:6" ht="18" customHeight="1">
      <c r="A518" s="7">
        <v>2</v>
      </c>
      <c r="B518" s="52" t="s">
        <v>182</v>
      </c>
      <c r="C518" s="7"/>
      <c r="D518" s="53">
        <f>F489</f>
        <v>33600.367008008398</v>
      </c>
      <c r="E518" s="56">
        <f>E423</f>
        <v>7.0000000000000007E-2</v>
      </c>
      <c r="F518" s="53">
        <f>D518*E518</f>
        <v>2352.0256905605879</v>
      </c>
    </row>
    <row r="519" spans="1:6" ht="18" customHeight="1">
      <c r="A519" s="7">
        <v>3</v>
      </c>
      <c r="B519" s="52" t="s">
        <v>843</v>
      </c>
      <c r="C519" s="7"/>
      <c r="D519" s="53">
        <f>F518+F489</f>
        <v>35952.392698568983</v>
      </c>
      <c r="E519" s="56">
        <f>E424</f>
        <v>7.0000000000000007E-2</v>
      </c>
      <c r="F519" s="53">
        <f>D519*E519</f>
        <v>2516.6674888998291</v>
      </c>
    </row>
    <row r="520" spans="1:6" ht="18" customHeight="1">
      <c r="A520" s="7">
        <v>4</v>
      </c>
      <c r="B520" s="52" t="s">
        <v>184</v>
      </c>
      <c r="C520" s="7"/>
      <c r="D520" s="7"/>
      <c r="E520" s="7"/>
      <c r="F520" s="53">
        <f>SUM(F521:F526)</f>
        <v>5063.4239550837128</v>
      </c>
    </row>
    <row r="521" spans="1:6" ht="18" customHeight="1">
      <c r="A521" s="7"/>
      <c r="B521" s="52" t="s">
        <v>354</v>
      </c>
      <c r="C521" s="7" t="s">
        <v>88</v>
      </c>
      <c r="D521" s="66">
        <f>A2</f>
        <v>116.41515</v>
      </c>
      <c r="E521" s="66">
        <f>E502*砼配合!I9</f>
        <v>35.035758999999999</v>
      </c>
      <c r="F521" s="53">
        <f t="shared" ref="F521:F527" si="45">D521*E521</f>
        <v>4078.6931393488499</v>
      </c>
    </row>
    <row r="522" spans="1:6" ht="18" customHeight="1">
      <c r="A522" s="7"/>
      <c r="B522" s="52" t="s">
        <v>507</v>
      </c>
      <c r="C522" s="7" t="s">
        <v>871</v>
      </c>
      <c r="D522" s="66">
        <f>D427</f>
        <v>4.6598683999999899</v>
      </c>
      <c r="E522" s="66">
        <f>E502*砼配合!I10</f>
        <v>54.406660000000002</v>
      </c>
      <c r="F522" s="53">
        <f t="shared" si="45"/>
        <v>253.52787568354347</v>
      </c>
    </row>
    <row r="523" spans="1:6" ht="18" customHeight="1">
      <c r="A523" s="7"/>
      <c r="B523" s="52" t="s">
        <v>509</v>
      </c>
      <c r="C523" s="7" t="s">
        <v>871</v>
      </c>
      <c r="D523" s="66">
        <f>D428</f>
        <v>6.2457299999999902</v>
      </c>
      <c r="E523" s="66">
        <f>E502*砼配合!I11</f>
        <v>86.667083999999988</v>
      </c>
      <c r="F523" s="53">
        <f t="shared" si="45"/>
        <v>541.29920655131912</v>
      </c>
    </row>
    <row r="524" spans="1:6" ht="18" customHeight="1">
      <c r="A524" s="7"/>
      <c r="B524" s="52" t="s">
        <v>506</v>
      </c>
      <c r="C524" s="7" t="s">
        <v>871</v>
      </c>
      <c r="D524" s="66">
        <f>D429</f>
        <v>0</v>
      </c>
      <c r="E524" s="66">
        <f>E495</f>
        <v>0.34</v>
      </c>
      <c r="F524" s="53">
        <f t="shared" si="45"/>
        <v>0</v>
      </c>
    </row>
    <row r="525" spans="1:6" ht="18" customHeight="1">
      <c r="A525" s="7"/>
      <c r="B525" s="52" t="s">
        <v>515</v>
      </c>
      <c r="C525" s="7" t="s">
        <v>844</v>
      </c>
      <c r="D525" s="66">
        <f>D430</f>
        <v>4.7450000000000001</v>
      </c>
      <c r="E525" s="66">
        <f>台时!AK19*砼单价!E506+E507*台时!AZ19</f>
        <v>9.1679999999999993</v>
      </c>
      <c r="F525" s="53">
        <f t="shared" si="45"/>
        <v>43.502159999999996</v>
      </c>
    </row>
    <row r="526" spans="1:6" ht="18" customHeight="1">
      <c r="A526" s="7"/>
      <c r="B526" s="52" t="s">
        <v>516</v>
      </c>
      <c r="C526" s="7" t="s">
        <v>844</v>
      </c>
      <c r="D526" s="66">
        <f>D431</f>
        <v>3.51</v>
      </c>
      <c r="E526" s="66">
        <f>砼配合!I63*台时!AN22*砼单价!E514/100</f>
        <v>41.709849999999996</v>
      </c>
      <c r="F526" s="53">
        <f t="shared" si="45"/>
        <v>146.40157349999998</v>
      </c>
    </row>
    <row r="527" spans="1:6" ht="18" customHeight="1">
      <c r="A527" s="7">
        <v>5</v>
      </c>
      <c r="B527" s="52" t="s">
        <v>845</v>
      </c>
      <c r="C527" s="7"/>
      <c r="D527" s="53">
        <f>F489+F518+F519+F520</f>
        <v>43532.48414255253</v>
      </c>
      <c r="E527" s="56">
        <f>E432</f>
        <v>0.09</v>
      </c>
      <c r="F527" s="53">
        <f t="shared" si="45"/>
        <v>3917.9235728297276</v>
      </c>
    </row>
    <row r="528" spans="1:6" ht="18" customHeight="1">
      <c r="A528" s="7">
        <v>6</v>
      </c>
      <c r="B528" s="52" t="s">
        <v>7</v>
      </c>
      <c r="C528" s="7"/>
      <c r="D528" s="7"/>
      <c r="E528" s="7"/>
      <c r="F528" s="53">
        <f>D527+F527</f>
        <v>47450.407715382258</v>
      </c>
    </row>
    <row r="529" spans="1:6" ht="18" customHeight="1">
      <c r="A529" s="7"/>
      <c r="B529" s="52" t="s">
        <v>846</v>
      </c>
      <c r="C529" s="7"/>
      <c r="D529" s="53">
        <f>F528</f>
        <v>47450.407715382258</v>
      </c>
      <c r="E529" s="56">
        <f>E434</f>
        <v>0.03</v>
      </c>
      <c r="F529" s="53">
        <f>E529*D529</f>
        <v>1423.5122314614678</v>
      </c>
    </row>
    <row r="530" spans="1:6" ht="18" customHeight="1">
      <c r="A530" s="7"/>
      <c r="B530" s="52" t="s">
        <v>44</v>
      </c>
      <c r="C530" s="7"/>
      <c r="D530" s="7"/>
      <c r="E530" s="7"/>
      <c r="F530" s="53">
        <f>SUM(F528:F529)</f>
        <v>48873.919946843729</v>
      </c>
    </row>
    <row r="531" spans="1:6" ht="22.5" customHeight="1">
      <c r="A531" s="461" t="s">
        <v>813</v>
      </c>
      <c r="B531" s="461"/>
      <c r="C531" s="461"/>
      <c r="D531" s="461"/>
      <c r="E531" s="461"/>
      <c r="F531" s="461"/>
    </row>
    <row r="532" spans="1:6" ht="18" customHeight="1">
      <c r="A532" s="462" t="s">
        <v>903</v>
      </c>
      <c r="B532" s="462"/>
      <c r="C532" s="462"/>
      <c r="D532" s="462"/>
      <c r="E532" s="462"/>
      <c r="F532" s="462"/>
    </row>
    <row r="533" spans="1:6" ht="18" customHeight="1">
      <c r="A533" s="47" t="s">
        <v>894</v>
      </c>
      <c r="B533" s="49">
        <v>4051</v>
      </c>
      <c r="D533" s="46"/>
      <c r="E533" s="47" t="s">
        <v>169</v>
      </c>
      <c r="F533" s="49" t="s">
        <v>869</v>
      </c>
    </row>
    <row r="534" spans="1:6" ht="18" customHeight="1">
      <c r="A534" s="50" t="s">
        <v>817</v>
      </c>
      <c r="B534" s="458"/>
      <c r="C534" s="459"/>
      <c r="D534" s="459"/>
      <c r="E534" s="459"/>
      <c r="F534" s="460"/>
    </row>
    <row r="535" spans="1:6" ht="18" customHeight="1">
      <c r="A535" s="7" t="s">
        <v>1</v>
      </c>
      <c r="B535" s="52" t="s">
        <v>344</v>
      </c>
      <c r="C535" s="7" t="s">
        <v>818</v>
      </c>
      <c r="D535" s="7" t="s">
        <v>819</v>
      </c>
      <c r="E535" s="7" t="s">
        <v>820</v>
      </c>
      <c r="F535" s="7" t="s">
        <v>821</v>
      </c>
    </row>
    <row r="536" spans="1:6" ht="18" customHeight="1">
      <c r="A536" s="7">
        <v>1</v>
      </c>
      <c r="B536" s="52" t="s">
        <v>822</v>
      </c>
      <c r="C536" s="7"/>
      <c r="D536" s="7"/>
      <c r="E536" s="7"/>
      <c r="F536" s="53">
        <f>F537+F563+F564</f>
        <v>29943.971719869391</v>
      </c>
    </row>
    <row r="537" spans="1:6" ht="18" customHeight="1">
      <c r="A537" s="7">
        <v>1.1000000000000001</v>
      </c>
      <c r="B537" s="52" t="s">
        <v>823</v>
      </c>
      <c r="C537" s="7"/>
      <c r="D537" s="7"/>
      <c r="E537" s="7"/>
      <c r="F537" s="53">
        <f>F538+F541+F552+F560+F561+F562</f>
        <v>28572.492099112013</v>
      </c>
    </row>
    <row r="538" spans="1:6" ht="18" customHeight="1">
      <c r="A538" s="7" t="s">
        <v>47</v>
      </c>
      <c r="B538" s="52" t="s">
        <v>176</v>
      </c>
      <c r="C538" s="7"/>
      <c r="D538" s="7"/>
      <c r="E538" s="7"/>
      <c r="F538" s="53">
        <f>F539+F540</f>
        <v>10315.646000000001</v>
      </c>
    </row>
    <row r="539" spans="1:6" ht="18" customHeight="1">
      <c r="A539" s="7"/>
      <c r="B539" s="52" t="s">
        <v>824</v>
      </c>
      <c r="C539" s="7" t="s">
        <v>825</v>
      </c>
      <c r="D539" s="7">
        <v>8.1</v>
      </c>
      <c r="E539" s="7">
        <v>1003.7</v>
      </c>
      <c r="F539" s="53">
        <f>D539*E539</f>
        <v>8129.97</v>
      </c>
    </row>
    <row r="540" spans="1:6" ht="18" customHeight="1">
      <c r="A540" s="7"/>
      <c r="B540" s="52" t="s">
        <v>826</v>
      </c>
      <c r="C540" s="7" t="s">
        <v>825</v>
      </c>
      <c r="D540" s="7">
        <v>5.77</v>
      </c>
      <c r="E540" s="7">
        <v>378.8</v>
      </c>
      <c r="F540" s="53">
        <f>D540*E540</f>
        <v>2185.6759999999999</v>
      </c>
    </row>
    <row r="541" spans="1:6" ht="18" customHeight="1">
      <c r="A541" s="7" t="s">
        <v>57</v>
      </c>
      <c r="B541" s="52" t="s">
        <v>177</v>
      </c>
      <c r="C541" s="7"/>
      <c r="D541" s="7"/>
      <c r="E541" s="7"/>
      <c r="F541" s="53">
        <f>SUM(F542:F551)</f>
        <v>16168.8652026</v>
      </c>
    </row>
    <row r="542" spans="1:6" ht="18" customHeight="1">
      <c r="A542" s="7"/>
      <c r="B542" s="52" t="s">
        <v>870</v>
      </c>
      <c r="C542" s="7" t="s">
        <v>871</v>
      </c>
      <c r="D542" s="7">
        <f>D448</f>
        <v>6</v>
      </c>
      <c r="E542" s="7">
        <v>0.71</v>
      </c>
      <c r="F542" s="53">
        <f t="shared" ref="F542:F550" si="46">D542*E542</f>
        <v>4.26</v>
      </c>
    </row>
    <row r="543" spans="1:6" ht="18" customHeight="1">
      <c r="A543" s="7"/>
      <c r="B543" s="52" t="s">
        <v>375</v>
      </c>
      <c r="C543" s="7" t="s">
        <v>844</v>
      </c>
      <c r="D543" s="7">
        <f>次要材料汇总!$F$9</f>
        <v>6</v>
      </c>
      <c r="E543" s="7">
        <v>68.86</v>
      </c>
      <c r="F543" s="53">
        <f t="shared" si="46"/>
        <v>413.15999999999997</v>
      </c>
    </row>
    <row r="544" spans="1:6" ht="18" customHeight="1">
      <c r="A544" s="7"/>
      <c r="B544" s="52" t="s">
        <v>873</v>
      </c>
      <c r="C544" s="7" t="s">
        <v>844</v>
      </c>
      <c r="D544" s="7">
        <f>次要材料汇总!$F$10</f>
        <v>5.5</v>
      </c>
      <c r="E544" s="7">
        <v>36.770000000000003</v>
      </c>
      <c r="F544" s="53">
        <f t="shared" si="46"/>
        <v>202.23500000000001</v>
      </c>
    </row>
    <row r="545" spans="1:6" ht="18" customHeight="1">
      <c r="A545" s="7"/>
      <c r="B545" s="52" t="s">
        <v>874</v>
      </c>
      <c r="C545" s="7" t="s">
        <v>844</v>
      </c>
      <c r="D545" s="7">
        <f>次要材料汇总!$F$11</f>
        <v>6.5</v>
      </c>
      <c r="E545" s="7">
        <v>30.87</v>
      </c>
      <c r="F545" s="53">
        <f t="shared" si="46"/>
        <v>200.655</v>
      </c>
    </row>
    <row r="546" spans="1:6" ht="18" customHeight="1">
      <c r="A546" s="7"/>
      <c r="B546" s="52" t="s">
        <v>875</v>
      </c>
      <c r="C546" s="7" t="s">
        <v>844</v>
      </c>
      <c r="D546" s="7">
        <f>次要材料汇总!$F$5</f>
        <v>8</v>
      </c>
      <c r="E546" s="7">
        <v>273.77999999999997</v>
      </c>
      <c r="F546" s="53">
        <f t="shared" si="46"/>
        <v>2190.2399999999998</v>
      </c>
    </row>
    <row r="547" spans="1:6" ht="18" customHeight="1">
      <c r="A547" s="7"/>
      <c r="B547" s="52" t="s">
        <v>372</v>
      </c>
      <c r="C547" s="7" t="s">
        <v>844</v>
      </c>
      <c r="D547" s="7">
        <f>次要材料汇总!$F$6</f>
        <v>7.4</v>
      </c>
      <c r="E547" s="7">
        <v>5.75</v>
      </c>
      <c r="F547" s="53">
        <f t="shared" si="46"/>
        <v>42.550000000000004</v>
      </c>
    </row>
    <row r="548" spans="1:6" ht="18" customHeight="1">
      <c r="A548" s="7"/>
      <c r="B548" s="52" t="s">
        <v>876</v>
      </c>
      <c r="C548" s="7" t="s">
        <v>844</v>
      </c>
      <c r="D548" s="7">
        <f>次要材料汇总!$F$12</f>
        <v>7.5</v>
      </c>
      <c r="E548" s="7">
        <v>103</v>
      </c>
      <c r="F548" s="53">
        <f t="shared" si="46"/>
        <v>772.5</v>
      </c>
    </row>
    <row r="549" spans="1:6" ht="18" customHeight="1">
      <c r="A549" s="7"/>
      <c r="B549" s="52" t="s">
        <v>877</v>
      </c>
      <c r="C549" s="7" t="s">
        <v>871</v>
      </c>
      <c r="D549" s="66">
        <f>砼配合!J14</f>
        <v>171.692409</v>
      </c>
      <c r="E549" s="7">
        <v>70</v>
      </c>
      <c r="F549" s="53">
        <f t="shared" si="46"/>
        <v>12018.468629999999</v>
      </c>
    </row>
    <row r="550" spans="1:6" ht="18" customHeight="1">
      <c r="A550" s="7"/>
      <c r="B550" s="52" t="s">
        <v>806</v>
      </c>
      <c r="C550" s="7" t="s">
        <v>871</v>
      </c>
      <c r="D550" s="66">
        <f>D503</f>
        <v>3.88</v>
      </c>
      <c r="E550" s="7">
        <v>2</v>
      </c>
      <c r="F550" s="53">
        <f t="shared" si="46"/>
        <v>7.76</v>
      </c>
    </row>
    <row r="551" spans="1:6" ht="18" customHeight="1">
      <c r="A551" s="7"/>
      <c r="B551" s="52" t="s">
        <v>833</v>
      </c>
      <c r="C551" s="7" t="s">
        <v>834</v>
      </c>
      <c r="D551" s="66">
        <f>SUM(F542:F550)</f>
        <v>15851.82863</v>
      </c>
      <c r="E551" s="7">
        <v>2</v>
      </c>
      <c r="F551" s="53">
        <f>D551*E551/100</f>
        <v>317.0365726</v>
      </c>
    </row>
    <row r="552" spans="1:6" ht="18" customHeight="1">
      <c r="A552" s="7" t="s">
        <v>835</v>
      </c>
      <c r="B552" s="52" t="s">
        <v>836</v>
      </c>
      <c r="C552" s="7"/>
      <c r="D552" s="7"/>
      <c r="E552" s="7"/>
      <c r="F552" s="53">
        <f>SUM(F553:F559)</f>
        <v>962.77015586839013</v>
      </c>
    </row>
    <row r="553" spans="1:6" ht="18" customHeight="1">
      <c r="A553" s="7"/>
      <c r="B553" s="52" t="s">
        <v>878</v>
      </c>
      <c r="C553" s="7" t="s">
        <v>863</v>
      </c>
      <c r="D553" s="66">
        <f>施工机械台时汇总!$C$42</f>
        <v>49.210305522914197</v>
      </c>
      <c r="E553" s="7">
        <v>0.28999999999999998</v>
      </c>
      <c r="F553" s="53">
        <f t="shared" ref="F553:F558" si="47">D553*E553</f>
        <v>14.270988601645117</v>
      </c>
    </row>
    <row r="554" spans="1:6" ht="18" customHeight="1">
      <c r="A554" s="7"/>
      <c r="B554" s="52" t="s">
        <v>879</v>
      </c>
      <c r="C554" s="7" t="s">
        <v>863</v>
      </c>
      <c r="D554" s="66">
        <f>施工机械台时汇总!$C$57</f>
        <v>62.128971797884901</v>
      </c>
      <c r="E554" s="7">
        <v>0</v>
      </c>
      <c r="F554" s="53">
        <f t="shared" si="47"/>
        <v>0</v>
      </c>
    </row>
    <row r="555" spans="1:6" ht="18" customHeight="1">
      <c r="A555" s="7"/>
      <c r="B555" s="52" t="s">
        <v>881</v>
      </c>
      <c r="C555" s="7" t="s">
        <v>863</v>
      </c>
      <c r="D555" s="66">
        <f>施工机械台时汇总!$C$40</f>
        <v>15.582226792009401</v>
      </c>
      <c r="E555" s="7">
        <v>8.59</v>
      </c>
      <c r="F555" s="53">
        <f t="shared" si="47"/>
        <v>133.85132814336075</v>
      </c>
    </row>
    <row r="556" spans="1:6" ht="18" customHeight="1">
      <c r="A556" s="7"/>
      <c r="B556" s="52" t="s">
        <v>882</v>
      </c>
      <c r="C556" s="7" t="s">
        <v>863</v>
      </c>
      <c r="D556" s="66">
        <f>施工机械台时汇总!$C$21</f>
        <v>28.129680376028197</v>
      </c>
      <c r="E556" s="7">
        <v>18.54</v>
      </c>
      <c r="F556" s="53">
        <f t="shared" si="47"/>
        <v>521.52427417156275</v>
      </c>
    </row>
    <row r="557" spans="1:6" ht="18" customHeight="1">
      <c r="A557" s="7"/>
      <c r="B557" s="52" t="s">
        <v>883</v>
      </c>
      <c r="C557" s="7" t="s">
        <v>863</v>
      </c>
      <c r="D557" s="66">
        <f>施工机械台时汇总!$C$24</f>
        <v>2.2013599686643204</v>
      </c>
      <c r="E557" s="7">
        <v>30</v>
      </c>
      <c r="F557" s="53">
        <f t="shared" si="47"/>
        <v>66.040799059929611</v>
      </c>
    </row>
    <row r="558" spans="1:6" ht="18" customHeight="1">
      <c r="A558" s="7"/>
      <c r="B558" s="52" t="s">
        <v>407</v>
      </c>
      <c r="C558" s="7" t="s">
        <v>863</v>
      </c>
      <c r="D558" s="7">
        <f>施工机械台时汇总!$C$19</f>
        <v>0.80266353309831595</v>
      </c>
      <c r="E558" s="7">
        <v>83</v>
      </c>
      <c r="F558" s="53">
        <f t="shared" si="47"/>
        <v>66.621073247160226</v>
      </c>
    </row>
    <row r="559" spans="1:6" ht="18" customHeight="1">
      <c r="A559" s="7"/>
      <c r="B559" s="52" t="s">
        <v>840</v>
      </c>
      <c r="C559" s="7" t="s">
        <v>834</v>
      </c>
      <c r="D559" s="66">
        <f>SUM(F553:F558)</f>
        <v>802.30846322365846</v>
      </c>
      <c r="E559" s="7">
        <v>20</v>
      </c>
      <c r="F559" s="53">
        <f>D559*E559/100</f>
        <v>160.4616926447317</v>
      </c>
    </row>
    <row r="560" spans="1:6" ht="18" customHeight="1">
      <c r="A560" s="7" t="s">
        <v>884</v>
      </c>
      <c r="B560" s="52" t="s">
        <v>885</v>
      </c>
      <c r="C560" s="7" t="s">
        <v>871</v>
      </c>
      <c r="D560" s="66">
        <f>D466</f>
        <v>5.0269138732471603</v>
      </c>
      <c r="E560" s="7">
        <v>103</v>
      </c>
      <c r="F560" s="53">
        <f>D560*E560</f>
        <v>517.77212894445756</v>
      </c>
    </row>
    <row r="561" spans="1:6" ht="18" customHeight="1">
      <c r="A561" s="7" t="s">
        <v>886</v>
      </c>
      <c r="B561" s="52" t="s">
        <v>887</v>
      </c>
      <c r="C561" s="7" t="s">
        <v>871</v>
      </c>
      <c r="D561" s="66">
        <f>D467</f>
        <v>5.8974622495064617</v>
      </c>
      <c r="E561" s="7">
        <v>103</v>
      </c>
      <c r="F561" s="53">
        <f>D561*E561</f>
        <v>607.43861169916556</v>
      </c>
    </row>
    <row r="562" spans="1:6" ht="18" customHeight="1">
      <c r="A562" s="7"/>
      <c r="B562" s="52"/>
      <c r="C562" s="7"/>
      <c r="D562" s="7"/>
      <c r="E562" s="7"/>
      <c r="F562" s="53"/>
    </row>
    <row r="563" spans="1:6" ht="18" customHeight="1">
      <c r="A563" s="7">
        <v>1.2</v>
      </c>
      <c r="B563" s="52" t="s">
        <v>841</v>
      </c>
      <c r="C563" s="7"/>
      <c r="D563" s="53">
        <f>F537</f>
        <v>28572.492099112013</v>
      </c>
      <c r="E563" s="56">
        <f>E469</f>
        <v>4.8000000000000001E-2</v>
      </c>
      <c r="F563" s="53">
        <f>D563*E563</f>
        <v>1371.4796207573766</v>
      </c>
    </row>
    <row r="564" spans="1:6" ht="18" customHeight="1">
      <c r="A564" s="7">
        <v>1.3</v>
      </c>
      <c r="B564" s="52" t="s">
        <v>842</v>
      </c>
      <c r="C564" s="7"/>
      <c r="D564" s="53">
        <f>F537</f>
        <v>28572.492099112013</v>
      </c>
      <c r="E564" s="56">
        <f>E470</f>
        <v>0</v>
      </c>
      <c r="F564" s="53">
        <f>D564*E564</f>
        <v>0</v>
      </c>
    </row>
    <row r="565" spans="1:6" ht="18" customHeight="1">
      <c r="A565" s="7">
        <v>2</v>
      </c>
      <c r="B565" s="52" t="s">
        <v>182</v>
      </c>
      <c r="C565" s="7"/>
      <c r="D565" s="53">
        <f>F536</f>
        <v>29943.971719869391</v>
      </c>
      <c r="E565" s="56">
        <f>E471</f>
        <v>7.0000000000000007E-2</v>
      </c>
      <c r="F565" s="53">
        <f>D565*E565</f>
        <v>2096.0780203908575</v>
      </c>
    </row>
    <row r="566" spans="1:6" ht="18" customHeight="1">
      <c r="A566" s="7">
        <v>3</v>
      </c>
      <c r="B566" s="52" t="s">
        <v>843</v>
      </c>
      <c r="C566" s="7"/>
      <c r="D566" s="53">
        <f>F565+F536</f>
        <v>32040.049740260249</v>
      </c>
      <c r="E566" s="56">
        <f>E472</f>
        <v>7.0000000000000007E-2</v>
      </c>
      <c r="F566" s="53">
        <f>D566*E566</f>
        <v>2242.8034818182177</v>
      </c>
    </row>
    <row r="567" spans="1:6" ht="18" customHeight="1">
      <c r="A567" s="7">
        <v>4</v>
      </c>
      <c r="B567" s="52" t="s">
        <v>184</v>
      </c>
      <c r="C567" s="7"/>
      <c r="D567" s="7"/>
      <c r="E567" s="7"/>
      <c r="F567" s="53">
        <f>SUM(F568:F573)</f>
        <v>3054.3943156735786</v>
      </c>
    </row>
    <row r="568" spans="1:6" ht="18" customHeight="1">
      <c r="A568" s="7"/>
      <c r="B568" s="52" t="s">
        <v>354</v>
      </c>
      <c r="C568" s="7" t="s">
        <v>88</v>
      </c>
      <c r="D568" s="7">
        <f t="shared" ref="D568:D573" si="48">D474</f>
        <v>116.41515</v>
      </c>
      <c r="E568" s="66">
        <f>E549*砼配合!I15</f>
        <v>21.503789999999999</v>
      </c>
      <c r="F568" s="53">
        <f t="shared" ref="F568:F574" si="49">D568*E568</f>
        <v>2503.3669384184996</v>
      </c>
    </row>
    <row r="569" spans="1:6" ht="18" customHeight="1">
      <c r="A569" s="7"/>
      <c r="B569" s="52" t="s">
        <v>507</v>
      </c>
      <c r="C569" s="7" t="s">
        <v>871</v>
      </c>
      <c r="D569" s="66">
        <f t="shared" si="48"/>
        <v>4.6598683999999899</v>
      </c>
      <c r="E569" s="66">
        <f>E549*砼配合!I16</f>
        <v>33.772199999999998</v>
      </c>
      <c r="F569" s="53">
        <f t="shared" si="49"/>
        <v>157.37400757847965</v>
      </c>
    </row>
    <row r="570" spans="1:6" ht="18" customHeight="1">
      <c r="A570" s="7"/>
      <c r="B570" s="52" t="s">
        <v>509</v>
      </c>
      <c r="C570" s="7" t="s">
        <v>871</v>
      </c>
      <c r="D570" s="66">
        <f t="shared" si="48"/>
        <v>6.2457299999999902</v>
      </c>
      <c r="E570" s="66">
        <f>E549*砼配合!I17</f>
        <v>58.89996</v>
      </c>
      <c r="F570" s="53">
        <f t="shared" si="49"/>
        <v>367.8732471707994</v>
      </c>
    </row>
    <row r="571" spans="1:6" ht="18" customHeight="1">
      <c r="A571" s="7"/>
      <c r="B571" s="52" t="s">
        <v>506</v>
      </c>
      <c r="C571" s="7" t="s">
        <v>871</v>
      </c>
      <c r="D571" s="7">
        <f t="shared" si="48"/>
        <v>0</v>
      </c>
      <c r="E571" s="66">
        <f>E542</f>
        <v>0.71</v>
      </c>
      <c r="F571" s="53">
        <f t="shared" si="49"/>
        <v>0</v>
      </c>
    </row>
    <row r="572" spans="1:6" ht="18" customHeight="1">
      <c r="A572" s="7"/>
      <c r="B572" s="52" t="s">
        <v>515</v>
      </c>
      <c r="C572" s="7" t="s">
        <v>844</v>
      </c>
      <c r="D572" s="7">
        <f t="shared" si="48"/>
        <v>4.7450000000000001</v>
      </c>
      <c r="E572" s="66">
        <f>台时!AK19*砼单价!E553</f>
        <v>2.0880000000000001</v>
      </c>
      <c r="F572" s="53">
        <f t="shared" si="49"/>
        <v>9.9075600000000001</v>
      </c>
    </row>
    <row r="573" spans="1:6" ht="18" customHeight="1">
      <c r="A573" s="7"/>
      <c r="B573" s="52" t="s">
        <v>516</v>
      </c>
      <c r="C573" s="7" t="s">
        <v>844</v>
      </c>
      <c r="D573" s="7">
        <f t="shared" si="48"/>
        <v>3.51</v>
      </c>
      <c r="E573" s="66">
        <f>砼配合!I16*台时!AN22*砼单价!E561/100</f>
        <v>4.5220975799999996</v>
      </c>
      <c r="F573" s="53">
        <f t="shared" si="49"/>
        <v>15.872562505799998</v>
      </c>
    </row>
    <row r="574" spans="1:6" ht="18" customHeight="1">
      <c r="A574" s="7">
        <v>5</v>
      </c>
      <c r="B574" s="52" t="s">
        <v>845</v>
      </c>
      <c r="C574" s="7"/>
      <c r="D574" s="53">
        <f>F536+F565+F566+F567</f>
        <v>37337.247537752046</v>
      </c>
      <c r="E574" s="56">
        <f>E480</f>
        <v>0.09</v>
      </c>
      <c r="F574" s="53">
        <f t="shared" si="49"/>
        <v>3360.3522783976841</v>
      </c>
    </row>
    <row r="575" spans="1:6" ht="18" customHeight="1">
      <c r="A575" s="7">
        <v>6</v>
      </c>
      <c r="B575" s="52" t="s">
        <v>7</v>
      </c>
      <c r="C575" s="7"/>
      <c r="D575" s="7"/>
      <c r="E575" s="7"/>
      <c r="F575" s="53">
        <f>D574+F574</f>
        <v>40697.599816149726</v>
      </c>
    </row>
    <row r="576" spans="1:6" ht="18" customHeight="1">
      <c r="A576" s="7"/>
      <c r="B576" s="52" t="s">
        <v>846</v>
      </c>
      <c r="C576" s="7"/>
      <c r="D576" s="53">
        <f>F575</f>
        <v>40697.599816149726</v>
      </c>
      <c r="E576" s="56">
        <f>E482</f>
        <v>0.03</v>
      </c>
      <c r="F576" s="53">
        <f>E576*D576</f>
        <v>1220.9279944844918</v>
      </c>
    </row>
    <row r="577" spans="1:6" ht="18" customHeight="1">
      <c r="A577" s="7"/>
      <c r="B577" s="52" t="s">
        <v>44</v>
      </c>
      <c r="C577" s="7"/>
      <c r="D577" s="7"/>
      <c r="E577" s="7"/>
      <c r="F577" s="53">
        <f>SUM(F575:F576)</f>
        <v>41918.527810634216</v>
      </c>
    </row>
    <row r="578" spans="1:6" ht="22.5" customHeight="1">
      <c r="A578" s="461" t="s">
        <v>813</v>
      </c>
      <c r="B578" s="461"/>
      <c r="C578" s="461"/>
      <c r="D578" s="461"/>
      <c r="E578" s="461"/>
      <c r="F578" s="461"/>
    </row>
    <row r="579" spans="1:6" ht="18" customHeight="1">
      <c r="A579" s="462" t="s">
        <v>904</v>
      </c>
      <c r="B579" s="462"/>
      <c r="C579" s="462"/>
      <c r="D579" s="462"/>
      <c r="E579" s="462"/>
      <c r="F579" s="462"/>
    </row>
    <row r="580" spans="1:6" ht="18" customHeight="1">
      <c r="A580" s="47" t="s">
        <v>894</v>
      </c>
      <c r="B580" s="49">
        <v>4052</v>
      </c>
      <c r="D580" s="46"/>
      <c r="E580" s="47" t="s">
        <v>169</v>
      </c>
      <c r="F580" s="49" t="s">
        <v>869</v>
      </c>
    </row>
    <row r="581" spans="1:6" ht="18" customHeight="1">
      <c r="A581" s="50" t="s">
        <v>817</v>
      </c>
      <c r="B581" s="458"/>
      <c r="C581" s="459"/>
      <c r="D581" s="459"/>
      <c r="E581" s="459"/>
      <c r="F581" s="460"/>
    </row>
    <row r="582" spans="1:6" ht="18" customHeight="1">
      <c r="A582" s="7" t="s">
        <v>1</v>
      </c>
      <c r="B582" s="52" t="s">
        <v>344</v>
      </c>
      <c r="C582" s="7" t="s">
        <v>818</v>
      </c>
      <c r="D582" s="7" t="s">
        <v>819</v>
      </c>
      <c r="E582" s="7" t="s">
        <v>820</v>
      </c>
      <c r="F582" s="7" t="s">
        <v>821</v>
      </c>
    </row>
    <row r="583" spans="1:6" ht="18" customHeight="1">
      <c r="A583" s="7">
        <v>1</v>
      </c>
      <c r="B583" s="52" t="s">
        <v>822</v>
      </c>
      <c r="C583" s="7"/>
      <c r="D583" s="7"/>
      <c r="E583" s="7"/>
      <c r="F583" s="53">
        <f>F584+F610+F611</f>
        <v>41167.322899762687</v>
      </c>
    </row>
    <row r="584" spans="1:6" ht="18" customHeight="1">
      <c r="A584" s="7">
        <v>1.1000000000000001</v>
      </c>
      <c r="B584" s="52" t="s">
        <v>823</v>
      </c>
      <c r="C584" s="7"/>
      <c r="D584" s="7"/>
      <c r="E584" s="7"/>
      <c r="F584" s="53">
        <f>F585+F588+F599+F607+F608+F609</f>
        <v>39281.7966600789</v>
      </c>
    </row>
    <row r="585" spans="1:6" ht="18" customHeight="1">
      <c r="A585" s="7" t="s">
        <v>47</v>
      </c>
      <c r="B585" s="52" t="s">
        <v>176</v>
      </c>
      <c r="C585" s="7"/>
      <c r="D585" s="7"/>
      <c r="E585" s="7"/>
      <c r="F585" s="53">
        <f>F586+F587</f>
        <v>13059.396000000001</v>
      </c>
    </row>
    <row r="586" spans="1:6" ht="18" customHeight="1">
      <c r="A586" s="7"/>
      <c r="B586" s="52" t="s">
        <v>824</v>
      </c>
      <c r="C586" s="7" t="s">
        <v>825</v>
      </c>
      <c r="D586" s="7">
        <v>8.1</v>
      </c>
      <c r="E586" s="7">
        <v>1271.2</v>
      </c>
      <c r="F586" s="53">
        <f>D586*E586</f>
        <v>10296.719999999999</v>
      </c>
    </row>
    <row r="587" spans="1:6" ht="18" customHeight="1">
      <c r="A587" s="7"/>
      <c r="B587" s="52" t="s">
        <v>826</v>
      </c>
      <c r="C587" s="7" t="s">
        <v>825</v>
      </c>
      <c r="D587" s="7">
        <v>5.77</v>
      </c>
      <c r="E587" s="7">
        <v>478.8</v>
      </c>
      <c r="F587" s="53">
        <f>D587*E587</f>
        <v>2762.6759999999999</v>
      </c>
    </row>
    <row r="588" spans="1:6" ht="18" customHeight="1">
      <c r="A588" s="7" t="s">
        <v>57</v>
      </c>
      <c r="B588" s="52" t="s">
        <v>177</v>
      </c>
      <c r="C588" s="7"/>
      <c r="D588" s="7"/>
      <c r="E588" s="7"/>
      <c r="F588" s="53">
        <f>SUM(F589:F598)</f>
        <v>24092.032158419999</v>
      </c>
    </row>
    <row r="589" spans="1:6" ht="18" customHeight="1">
      <c r="A589" s="7"/>
      <c r="B589" s="52" t="s">
        <v>870</v>
      </c>
      <c r="C589" s="7" t="s">
        <v>871</v>
      </c>
      <c r="D589" s="7">
        <f>D495</f>
        <v>1874.0778</v>
      </c>
      <c r="E589" s="7">
        <v>0.98</v>
      </c>
      <c r="F589" s="53">
        <f t="shared" ref="F589:F597" si="50">D589*E589</f>
        <v>1836.5962440000001</v>
      </c>
    </row>
    <row r="590" spans="1:6" ht="18" customHeight="1">
      <c r="A590" s="7"/>
      <c r="B590" s="52" t="s">
        <v>375</v>
      </c>
      <c r="C590" s="7" t="s">
        <v>844</v>
      </c>
      <c r="D590" s="7">
        <f>次要材料汇总!$F$9</f>
        <v>6</v>
      </c>
      <c r="E590" s="7">
        <v>103.85</v>
      </c>
      <c r="F590" s="53">
        <f t="shared" si="50"/>
        <v>623.09999999999991</v>
      </c>
    </row>
    <row r="591" spans="1:6" ht="18" customHeight="1">
      <c r="A591" s="7"/>
      <c r="B591" s="52" t="s">
        <v>873</v>
      </c>
      <c r="C591" s="7" t="s">
        <v>844</v>
      </c>
      <c r="D591" s="7">
        <f>次要材料汇总!$F$10</f>
        <v>5.5</v>
      </c>
      <c r="E591" s="7">
        <v>73.88</v>
      </c>
      <c r="F591" s="53">
        <f t="shared" si="50"/>
        <v>406.34</v>
      </c>
    </row>
    <row r="592" spans="1:6" ht="18" customHeight="1">
      <c r="A592" s="7"/>
      <c r="B592" s="52" t="s">
        <v>874</v>
      </c>
      <c r="C592" s="7" t="s">
        <v>844</v>
      </c>
      <c r="D592" s="7">
        <f>次要材料汇总!$F$11</f>
        <v>6.5</v>
      </c>
      <c r="E592" s="7">
        <v>48</v>
      </c>
      <c r="F592" s="53">
        <f t="shared" si="50"/>
        <v>312</v>
      </c>
    </row>
    <row r="593" spans="1:6" ht="18" customHeight="1">
      <c r="A593" s="7"/>
      <c r="B593" s="52" t="s">
        <v>875</v>
      </c>
      <c r="C593" s="7" t="s">
        <v>844</v>
      </c>
      <c r="D593" s="7">
        <f>次要材料汇总!$F$5</f>
        <v>8</v>
      </c>
      <c r="E593" s="7">
        <v>0</v>
      </c>
      <c r="F593" s="53">
        <f t="shared" si="50"/>
        <v>0</v>
      </c>
    </row>
    <row r="594" spans="1:6" ht="18" customHeight="1">
      <c r="A594" s="7"/>
      <c r="B594" s="52" t="s">
        <v>372</v>
      </c>
      <c r="C594" s="7" t="s">
        <v>844</v>
      </c>
      <c r="D594" s="7">
        <f>次要材料汇总!$F$6</f>
        <v>7.4</v>
      </c>
      <c r="E594" s="7">
        <v>328.9</v>
      </c>
      <c r="F594" s="53">
        <f t="shared" si="50"/>
        <v>2433.86</v>
      </c>
    </row>
    <row r="595" spans="1:6" ht="18" customHeight="1">
      <c r="A595" s="7"/>
      <c r="B595" s="52" t="s">
        <v>876</v>
      </c>
      <c r="C595" s="7" t="s">
        <v>844</v>
      </c>
      <c r="D595" s="7">
        <f>次要材料汇总!$F$12</f>
        <v>7.5</v>
      </c>
      <c r="E595" s="7">
        <v>6.91</v>
      </c>
      <c r="F595" s="53">
        <f t="shared" si="50"/>
        <v>51.825000000000003</v>
      </c>
    </row>
    <row r="596" spans="1:6" ht="18" customHeight="1">
      <c r="A596" s="7"/>
      <c r="B596" s="52" t="s">
        <v>877</v>
      </c>
      <c r="C596" s="7" t="s">
        <v>871</v>
      </c>
      <c r="D596" s="66">
        <f>砼配合!J14</f>
        <v>171.692409</v>
      </c>
      <c r="E596" s="7">
        <v>103</v>
      </c>
      <c r="F596" s="53">
        <f t="shared" si="50"/>
        <v>17684.318126999999</v>
      </c>
    </row>
    <row r="597" spans="1:6" ht="18" customHeight="1">
      <c r="A597" s="7"/>
      <c r="B597" s="52" t="s">
        <v>806</v>
      </c>
      <c r="C597" s="7" t="s">
        <v>871</v>
      </c>
      <c r="D597" s="7">
        <f>D503</f>
        <v>3.88</v>
      </c>
      <c r="E597" s="7">
        <v>70</v>
      </c>
      <c r="F597" s="53">
        <f t="shared" si="50"/>
        <v>271.59999999999997</v>
      </c>
    </row>
    <row r="598" spans="1:6" ht="18" customHeight="1">
      <c r="A598" s="7"/>
      <c r="B598" s="52" t="s">
        <v>833</v>
      </c>
      <c r="C598" s="7" t="s">
        <v>834</v>
      </c>
      <c r="D598" s="66">
        <f>SUM(F589:F597)</f>
        <v>23619.639370999997</v>
      </c>
      <c r="E598" s="7">
        <v>2</v>
      </c>
      <c r="F598" s="53">
        <f>D598*E598/100</f>
        <v>472.39278741999993</v>
      </c>
    </row>
    <row r="599" spans="1:6" ht="18" customHeight="1">
      <c r="A599" s="7" t="s">
        <v>835</v>
      </c>
      <c r="B599" s="52" t="s">
        <v>836</v>
      </c>
      <c r="C599" s="7"/>
      <c r="D599" s="7"/>
      <c r="E599" s="7"/>
      <c r="F599" s="53">
        <f>SUM(F600:F606)</f>
        <v>1005.157761015276</v>
      </c>
    </row>
    <row r="600" spans="1:6" ht="18" customHeight="1">
      <c r="A600" s="7"/>
      <c r="B600" s="52" t="s">
        <v>878</v>
      </c>
      <c r="C600" s="7" t="s">
        <v>863</v>
      </c>
      <c r="D600" s="66">
        <f>施工机械台时汇总!$C$42</f>
        <v>49.210305522914197</v>
      </c>
      <c r="E600" s="7">
        <v>0.46</v>
      </c>
      <c r="F600" s="53">
        <f t="shared" ref="F600:F605" si="51">D600*E600</f>
        <v>22.636740540540533</v>
      </c>
    </row>
    <row r="601" spans="1:6" ht="18" customHeight="1">
      <c r="A601" s="7"/>
      <c r="B601" s="52" t="s">
        <v>879</v>
      </c>
      <c r="C601" s="7" t="s">
        <v>863</v>
      </c>
      <c r="D601" s="66">
        <f>施工机械台时汇总!$C$57</f>
        <v>62.128971797884901</v>
      </c>
      <c r="E601" s="7">
        <v>0</v>
      </c>
      <c r="F601" s="53">
        <f t="shared" si="51"/>
        <v>0</v>
      </c>
    </row>
    <row r="602" spans="1:6" ht="18" customHeight="1">
      <c r="A602" s="7"/>
      <c r="B602" s="52" t="s">
        <v>881</v>
      </c>
      <c r="C602" s="7" t="s">
        <v>863</v>
      </c>
      <c r="D602" s="66">
        <f>施工机械台时汇总!$C$40</f>
        <v>15.582226792009401</v>
      </c>
      <c r="E602" s="7">
        <v>10.32</v>
      </c>
      <c r="F602" s="53">
        <f t="shared" si="51"/>
        <v>160.80858049353702</v>
      </c>
    </row>
    <row r="603" spans="1:6" ht="18" customHeight="1">
      <c r="A603" s="7"/>
      <c r="B603" s="52" t="s">
        <v>882</v>
      </c>
      <c r="C603" s="7" t="s">
        <v>863</v>
      </c>
      <c r="D603" s="66">
        <f>施工机械台时汇总!$C$21</f>
        <v>28.129680376028197</v>
      </c>
      <c r="E603" s="7">
        <v>18.54</v>
      </c>
      <c r="F603" s="53">
        <f t="shared" si="51"/>
        <v>521.52427417156275</v>
      </c>
    </row>
    <row r="604" spans="1:6" ht="18" customHeight="1">
      <c r="A604" s="7"/>
      <c r="B604" s="52" t="s">
        <v>883</v>
      </c>
      <c r="C604" s="7" t="s">
        <v>863</v>
      </c>
      <c r="D604" s="66">
        <f>施工机械台时汇总!$C$24</f>
        <v>2.2013599686643204</v>
      </c>
      <c r="E604" s="7">
        <v>30</v>
      </c>
      <c r="F604" s="53">
        <f t="shared" si="51"/>
        <v>66.040799059929611</v>
      </c>
    </row>
    <row r="605" spans="1:6" ht="18" customHeight="1">
      <c r="A605" s="7"/>
      <c r="B605" s="52" t="s">
        <v>407</v>
      </c>
      <c r="C605" s="7" t="s">
        <v>863</v>
      </c>
      <c r="D605" s="7">
        <f>施工机械台时汇总!$C$19</f>
        <v>0.80266353309831595</v>
      </c>
      <c r="E605" s="7">
        <v>83</v>
      </c>
      <c r="F605" s="53">
        <f t="shared" si="51"/>
        <v>66.621073247160226</v>
      </c>
    </row>
    <row r="606" spans="1:6" ht="18" customHeight="1">
      <c r="A606" s="7"/>
      <c r="B606" s="52" t="s">
        <v>840</v>
      </c>
      <c r="C606" s="7" t="s">
        <v>834</v>
      </c>
      <c r="D606" s="66">
        <f>SUM(F600:F605)</f>
        <v>837.63146751273007</v>
      </c>
      <c r="E606" s="7">
        <v>20</v>
      </c>
      <c r="F606" s="53">
        <f>D606*E606/100</f>
        <v>167.52629350254603</v>
      </c>
    </row>
    <row r="607" spans="1:6" ht="18" customHeight="1">
      <c r="A607" s="7" t="s">
        <v>884</v>
      </c>
      <c r="B607" s="52" t="s">
        <v>885</v>
      </c>
      <c r="C607" s="7" t="s">
        <v>871</v>
      </c>
      <c r="D607" s="66">
        <f>D513</f>
        <v>5.0269138732471603</v>
      </c>
      <c r="E607" s="7">
        <v>103</v>
      </c>
      <c r="F607" s="53">
        <f>D607*E607</f>
        <v>517.77212894445756</v>
      </c>
    </row>
    <row r="608" spans="1:6" ht="18" customHeight="1">
      <c r="A608" s="7" t="s">
        <v>886</v>
      </c>
      <c r="B608" s="52" t="s">
        <v>887</v>
      </c>
      <c r="C608" s="7" t="s">
        <v>871</v>
      </c>
      <c r="D608" s="66">
        <f>D514</f>
        <v>5.8974622495064617</v>
      </c>
      <c r="E608" s="7">
        <v>103</v>
      </c>
      <c r="F608" s="53">
        <f>D608*E608</f>
        <v>607.43861169916556</v>
      </c>
    </row>
    <row r="609" spans="1:6" ht="18" customHeight="1">
      <c r="A609" s="7"/>
      <c r="B609" s="52"/>
      <c r="C609" s="7"/>
      <c r="D609" s="7"/>
      <c r="E609" s="7"/>
      <c r="F609" s="53"/>
    </row>
    <row r="610" spans="1:6" ht="18" customHeight="1">
      <c r="A610" s="7">
        <v>1.2</v>
      </c>
      <c r="B610" s="52" t="s">
        <v>841</v>
      </c>
      <c r="C610" s="7"/>
      <c r="D610" s="53">
        <f>F584</f>
        <v>39281.7966600789</v>
      </c>
      <c r="E610" s="56">
        <f>E516</f>
        <v>4.8000000000000001E-2</v>
      </c>
      <c r="F610" s="53">
        <f>D610*E610</f>
        <v>1885.5262396837873</v>
      </c>
    </row>
    <row r="611" spans="1:6" ht="18" customHeight="1">
      <c r="A611" s="7">
        <v>1.3</v>
      </c>
      <c r="B611" s="52" t="s">
        <v>842</v>
      </c>
      <c r="C611" s="7"/>
      <c r="D611" s="53">
        <f>F584</f>
        <v>39281.7966600789</v>
      </c>
      <c r="E611" s="56">
        <f>E517</f>
        <v>0</v>
      </c>
      <c r="F611" s="53">
        <f>D611*E611</f>
        <v>0</v>
      </c>
    </row>
    <row r="612" spans="1:6" ht="18" customHeight="1">
      <c r="A612" s="7">
        <v>2</v>
      </c>
      <c r="B612" s="52" t="s">
        <v>182</v>
      </c>
      <c r="C612" s="7"/>
      <c r="D612" s="53">
        <f>F583</f>
        <v>41167.322899762687</v>
      </c>
      <c r="E612" s="56">
        <f>E518</f>
        <v>7.0000000000000007E-2</v>
      </c>
      <c r="F612" s="53">
        <f>D612*E612</f>
        <v>2881.7126029833885</v>
      </c>
    </row>
    <row r="613" spans="1:6" ht="18" customHeight="1">
      <c r="A613" s="7">
        <v>3</v>
      </c>
      <c r="B613" s="52" t="s">
        <v>843</v>
      </c>
      <c r="C613" s="7"/>
      <c r="D613" s="53">
        <f>F612+F583</f>
        <v>44049.035502746076</v>
      </c>
      <c r="E613" s="56">
        <f>E519</f>
        <v>7.0000000000000007E-2</v>
      </c>
      <c r="F613" s="53">
        <f>D613*E613</f>
        <v>3083.4324851922256</v>
      </c>
    </row>
    <row r="614" spans="1:6" ht="18" customHeight="1">
      <c r="A614" s="7">
        <v>4</v>
      </c>
      <c r="B614" s="52" t="s">
        <v>184</v>
      </c>
      <c r="C614" s="7"/>
      <c r="D614" s="7"/>
      <c r="E614" s="7"/>
      <c r="F614" s="53">
        <f>SUM(F615:F620)</f>
        <v>4618.5064691611606</v>
      </c>
    </row>
    <row r="615" spans="1:6" ht="18" customHeight="1">
      <c r="A615" s="7"/>
      <c r="B615" s="52" t="s">
        <v>354</v>
      </c>
      <c r="C615" s="7" t="s">
        <v>88</v>
      </c>
      <c r="D615" s="7">
        <f t="shared" ref="D615:D620" si="52">D521</f>
        <v>116.41515</v>
      </c>
      <c r="E615" s="66">
        <f>E596*砼配合!I15</f>
        <v>31.641290999999999</v>
      </c>
      <c r="F615" s="53">
        <f t="shared" ref="F615:F621" si="53">D615*E615</f>
        <v>3683.5256379586499</v>
      </c>
    </row>
    <row r="616" spans="1:6" ht="18" customHeight="1">
      <c r="A616" s="7"/>
      <c r="B616" s="52" t="s">
        <v>507</v>
      </c>
      <c r="C616" s="7" t="s">
        <v>871</v>
      </c>
      <c r="D616" s="66">
        <f t="shared" si="52"/>
        <v>4.6598683999999899</v>
      </c>
      <c r="E616" s="66">
        <f>E596*砼配合!I16</f>
        <v>49.693379999999998</v>
      </c>
      <c r="F616" s="53">
        <f t="shared" si="53"/>
        <v>231.56461115119149</v>
      </c>
    </row>
    <row r="617" spans="1:6" ht="18" customHeight="1">
      <c r="A617" s="7"/>
      <c r="B617" s="52" t="s">
        <v>509</v>
      </c>
      <c r="C617" s="7" t="s">
        <v>871</v>
      </c>
      <c r="D617" s="66">
        <f t="shared" si="52"/>
        <v>6.2457299999999902</v>
      </c>
      <c r="E617" s="66">
        <f>E596*砼配合!I17</f>
        <v>86.667083999999988</v>
      </c>
      <c r="F617" s="53">
        <f t="shared" si="53"/>
        <v>541.29920655131912</v>
      </c>
    </row>
    <row r="618" spans="1:6" ht="18" customHeight="1">
      <c r="A618" s="7"/>
      <c r="B618" s="52" t="s">
        <v>506</v>
      </c>
      <c r="C618" s="7" t="s">
        <v>871</v>
      </c>
      <c r="D618" s="7">
        <f t="shared" si="52"/>
        <v>0</v>
      </c>
      <c r="E618" s="66">
        <f>E589</f>
        <v>0.98</v>
      </c>
      <c r="F618" s="53">
        <f t="shared" si="53"/>
        <v>0</v>
      </c>
    </row>
    <row r="619" spans="1:6" ht="18" customHeight="1">
      <c r="A619" s="7"/>
      <c r="B619" s="52" t="s">
        <v>515</v>
      </c>
      <c r="C619" s="7" t="s">
        <v>844</v>
      </c>
      <c r="D619" s="7">
        <f t="shared" si="52"/>
        <v>4.7450000000000001</v>
      </c>
      <c r="E619" s="66">
        <f>台时!AK19*砼单价!E600+E601*台时!AZ19</f>
        <v>3.3120000000000003</v>
      </c>
      <c r="F619" s="53">
        <f t="shared" si="53"/>
        <v>15.715440000000001</v>
      </c>
    </row>
    <row r="620" spans="1:6" ht="18" customHeight="1">
      <c r="A620" s="7"/>
      <c r="B620" s="52" t="s">
        <v>516</v>
      </c>
      <c r="C620" s="7" t="s">
        <v>844</v>
      </c>
      <c r="D620" s="7">
        <f t="shared" si="52"/>
        <v>3.51</v>
      </c>
      <c r="E620" s="66">
        <f>砼配合!I63*台时!AN22*砼单价!E608/100</f>
        <v>41.709849999999996</v>
      </c>
      <c r="F620" s="53">
        <f t="shared" si="53"/>
        <v>146.40157349999998</v>
      </c>
    </row>
    <row r="621" spans="1:6" ht="18" customHeight="1">
      <c r="A621" s="7">
        <v>5</v>
      </c>
      <c r="B621" s="52" t="s">
        <v>845</v>
      </c>
      <c r="C621" s="7"/>
      <c r="D621" s="53">
        <f>F583+F612+F613+F614</f>
        <v>51750.974457099466</v>
      </c>
      <c r="E621" s="56">
        <f>E527</f>
        <v>0.09</v>
      </c>
      <c r="F621" s="53">
        <f t="shared" si="53"/>
        <v>4657.5877011389521</v>
      </c>
    </row>
    <row r="622" spans="1:6" ht="18" customHeight="1">
      <c r="A622" s="7">
        <v>6</v>
      </c>
      <c r="B622" s="52" t="s">
        <v>7</v>
      </c>
      <c r="C622" s="7"/>
      <c r="D622" s="7"/>
      <c r="E622" s="7"/>
      <c r="F622" s="53">
        <f>D621+F621</f>
        <v>56408.562158238419</v>
      </c>
    </row>
    <row r="623" spans="1:6" ht="18" customHeight="1">
      <c r="A623" s="7"/>
      <c r="B623" s="52" t="s">
        <v>846</v>
      </c>
      <c r="C623" s="7"/>
      <c r="D623" s="53">
        <f>F622</f>
        <v>56408.562158238419</v>
      </c>
      <c r="E623" s="56">
        <f>E529</f>
        <v>0.03</v>
      </c>
      <c r="F623" s="53">
        <f>E623*D623</f>
        <v>1692.2568647471526</v>
      </c>
    </row>
    <row r="624" spans="1:6" ht="18" customHeight="1">
      <c r="A624" s="7"/>
      <c r="B624" s="52" t="s">
        <v>44</v>
      </c>
      <c r="C624" s="7"/>
      <c r="D624" s="7"/>
      <c r="E624" s="7"/>
      <c r="F624" s="53">
        <f>SUM(F622:F623)</f>
        <v>58100.819022985568</v>
      </c>
    </row>
    <row r="625" spans="1:6" ht="22.5" customHeight="1">
      <c r="A625" s="461" t="s">
        <v>813</v>
      </c>
      <c r="B625" s="461"/>
      <c r="C625" s="461"/>
      <c r="D625" s="461"/>
      <c r="E625" s="461"/>
      <c r="F625" s="461"/>
    </row>
    <row r="626" spans="1:6" ht="18" customHeight="1">
      <c r="A626" s="462" t="s">
        <v>905</v>
      </c>
      <c r="B626" s="462"/>
      <c r="C626" s="462"/>
      <c r="D626" s="462"/>
      <c r="E626" s="462"/>
      <c r="F626" s="462"/>
    </row>
    <row r="627" spans="1:6" ht="18" customHeight="1">
      <c r="A627" s="47" t="s">
        <v>815</v>
      </c>
      <c r="B627" s="49">
        <v>4067</v>
      </c>
      <c r="D627" s="46"/>
      <c r="E627" s="47" t="s">
        <v>169</v>
      </c>
      <c r="F627" s="49" t="s">
        <v>869</v>
      </c>
    </row>
    <row r="628" spans="1:6" ht="18" customHeight="1">
      <c r="A628" s="50" t="s">
        <v>817</v>
      </c>
      <c r="B628" s="458"/>
      <c r="C628" s="459"/>
      <c r="D628" s="459"/>
      <c r="E628" s="459"/>
      <c r="F628" s="460"/>
    </row>
    <row r="629" spans="1:6" ht="18" customHeight="1">
      <c r="A629" s="7" t="s">
        <v>1</v>
      </c>
      <c r="B629" s="52" t="s">
        <v>344</v>
      </c>
      <c r="C629" s="7" t="s">
        <v>818</v>
      </c>
      <c r="D629" s="7" t="s">
        <v>819</v>
      </c>
      <c r="E629" s="7" t="s">
        <v>820</v>
      </c>
      <c r="F629" s="7" t="s">
        <v>821</v>
      </c>
    </row>
    <row r="630" spans="1:6" ht="18" customHeight="1">
      <c r="A630" s="7">
        <v>1</v>
      </c>
      <c r="B630" s="52" t="s">
        <v>822</v>
      </c>
      <c r="C630" s="7"/>
      <c r="D630" s="7"/>
      <c r="E630" s="7"/>
      <c r="F630" s="53">
        <f>F631+F657+F658</f>
        <v>30011.840798376714</v>
      </c>
    </row>
    <row r="631" spans="1:6" ht="18" customHeight="1">
      <c r="A631" s="7">
        <v>1.1000000000000001</v>
      </c>
      <c r="B631" s="52" t="s">
        <v>823</v>
      </c>
      <c r="C631" s="7"/>
      <c r="D631" s="7"/>
      <c r="E631" s="7"/>
      <c r="F631" s="53">
        <f>F632+F635+F646+F654+F655+F656</f>
        <v>28637.252670206788</v>
      </c>
    </row>
    <row r="632" spans="1:6" ht="18" customHeight="1">
      <c r="A632" s="7" t="s">
        <v>47</v>
      </c>
      <c r="B632" s="52" t="s">
        <v>176</v>
      </c>
      <c r="C632" s="7"/>
      <c r="D632" s="7"/>
      <c r="E632" s="7"/>
      <c r="F632" s="53">
        <f>F633+F634</f>
        <v>7221.6570000000002</v>
      </c>
    </row>
    <row r="633" spans="1:6" ht="18" customHeight="1">
      <c r="A633" s="7"/>
      <c r="B633" s="52" t="s">
        <v>824</v>
      </c>
      <c r="C633" s="7" t="s">
        <v>825</v>
      </c>
      <c r="D633" s="7">
        <v>8.1</v>
      </c>
      <c r="E633" s="7">
        <v>620.79999999999995</v>
      </c>
      <c r="F633" s="53">
        <f>D633*E633</f>
        <v>5028.4799999999996</v>
      </c>
    </row>
    <row r="634" spans="1:6" ht="18" customHeight="1">
      <c r="A634" s="7"/>
      <c r="B634" s="52" t="s">
        <v>826</v>
      </c>
      <c r="C634" s="7" t="s">
        <v>825</v>
      </c>
      <c r="D634" s="7">
        <v>5.77</v>
      </c>
      <c r="E634" s="7">
        <v>380.1</v>
      </c>
      <c r="F634" s="53">
        <f>D634*E634</f>
        <v>2193.1770000000001</v>
      </c>
    </row>
    <row r="635" spans="1:6" ht="18" customHeight="1">
      <c r="A635" s="7" t="s">
        <v>57</v>
      </c>
      <c r="B635" s="52" t="s">
        <v>177</v>
      </c>
      <c r="C635" s="7"/>
      <c r="D635" s="7"/>
      <c r="E635" s="7"/>
      <c r="F635" s="53">
        <f>SUM(F636:F645)</f>
        <v>19566.334348004999</v>
      </c>
    </row>
    <row r="636" spans="1:6" ht="18" customHeight="1">
      <c r="A636" s="7"/>
      <c r="B636" s="52" t="s">
        <v>870</v>
      </c>
      <c r="C636" s="7" t="s">
        <v>871</v>
      </c>
      <c r="D636" s="7">
        <f>D589</f>
        <v>1874.0778</v>
      </c>
      <c r="E636" s="7">
        <v>0.03</v>
      </c>
      <c r="F636" s="53">
        <f t="shared" ref="F636:F644" si="54">D636*E636</f>
        <v>56.222333999999996</v>
      </c>
    </row>
    <row r="637" spans="1:6" ht="18" customHeight="1">
      <c r="A637" s="7"/>
      <c r="B637" s="52" t="s">
        <v>375</v>
      </c>
      <c r="C637" s="7" t="s">
        <v>844</v>
      </c>
      <c r="D637" s="7">
        <f>次要材料汇总!$F$9</f>
        <v>6</v>
      </c>
      <c r="E637" s="7">
        <v>0.98</v>
      </c>
      <c r="F637" s="53">
        <f t="shared" si="54"/>
        <v>5.88</v>
      </c>
    </row>
    <row r="638" spans="1:6" ht="18" customHeight="1">
      <c r="A638" s="7"/>
      <c r="B638" s="52" t="s">
        <v>873</v>
      </c>
      <c r="C638" s="7" t="s">
        <v>844</v>
      </c>
      <c r="D638" s="7">
        <f>次要材料汇总!$F$10</f>
        <v>5.5</v>
      </c>
      <c r="E638" s="7">
        <v>2.34</v>
      </c>
      <c r="F638" s="53">
        <f t="shared" si="54"/>
        <v>12.87</v>
      </c>
    </row>
    <row r="639" spans="1:6" ht="18" customHeight="1">
      <c r="A639" s="7"/>
      <c r="B639" s="52" t="s">
        <v>874</v>
      </c>
      <c r="C639" s="7" t="s">
        <v>844</v>
      </c>
      <c r="D639" s="7">
        <f>次要材料汇总!$F$11</f>
        <v>6.5</v>
      </c>
      <c r="E639" s="7">
        <v>3.14</v>
      </c>
      <c r="F639" s="53">
        <f t="shared" si="54"/>
        <v>20.41</v>
      </c>
    </row>
    <row r="640" spans="1:6" ht="18" customHeight="1">
      <c r="A640" s="7"/>
      <c r="B640" s="52" t="s">
        <v>875</v>
      </c>
      <c r="C640" s="7" t="s">
        <v>844</v>
      </c>
      <c r="D640" s="7">
        <f>次要材料汇总!$F$5</f>
        <v>8</v>
      </c>
      <c r="E640" s="7">
        <v>7.0000000000000007E-2</v>
      </c>
      <c r="F640" s="53">
        <f t="shared" si="54"/>
        <v>0.56000000000000005</v>
      </c>
    </row>
    <row r="641" spans="1:6" ht="18" customHeight="1">
      <c r="A641" s="7"/>
      <c r="B641" s="52" t="s">
        <v>372</v>
      </c>
      <c r="C641" s="7" t="s">
        <v>844</v>
      </c>
      <c r="D641" s="7">
        <f>次要材料汇总!$F$6</f>
        <v>7.4</v>
      </c>
      <c r="E641" s="7">
        <v>3.65</v>
      </c>
      <c r="F641" s="53">
        <f t="shared" si="54"/>
        <v>27.01</v>
      </c>
    </row>
    <row r="642" spans="1:6" ht="18" customHeight="1">
      <c r="A642" s="7"/>
      <c r="B642" s="52" t="s">
        <v>876</v>
      </c>
      <c r="C642" s="7" t="s">
        <v>844</v>
      </c>
      <c r="D642" s="7">
        <f>次要材料汇总!$F$12</f>
        <v>7.5</v>
      </c>
      <c r="E642" s="7">
        <v>0.08</v>
      </c>
      <c r="F642" s="53">
        <f t="shared" si="54"/>
        <v>0.6</v>
      </c>
    </row>
    <row r="643" spans="1:6" ht="18" customHeight="1">
      <c r="A643" s="7"/>
      <c r="B643" s="52" t="s">
        <v>877</v>
      </c>
      <c r="C643" s="7" t="s">
        <v>871</v>
      </c>
      <c r="D643" s="66">
        <f>砼配合!J8</f>
        <v>183.29938899999999</v>
      </c>
      <c r="E643" s="7">
        <v>103</v>
      </c>
      <c r="F643" s="53">
        <f t="shared" si="54"/>
        <v>18879.837067</v>
      </c>
    </row>
    <row r="644" spans="1:6" ht="18" customHeight="1">
      <c r="A644" s="7"/>
      <c r="B644" s="52" t="s">
        <v>806</v>
      </c>
      <c r="C644" s="7" t="s">
        <v>871</v>
      </c>
      <c r="D644" s="7">
        <f>D597</f>
        <v>3.88</v>
      </c>
      <c r="E644" s="7">
        <v>120</v>
      </c>
      <c r="F644" s="53">
        <f t="shared" si="54"/>
        <v>465.59999999999997</v>
      </c>
    </row>
    <row r="645" spans="1:6" ht="18" customHeight="1">
      <c r="A645" s="7"/>
      <c r="B645" s="52" t="s">
        <v>833</v>
      </c>
      <c r="C645" s="7" t="s">
        <v>834</v>
      </c>
      <c r="D645" s="66">
        <f>SUM(F636:F644)</f>
        <v>19468.989400999999</v>
      </c>
      <c r="E645" s="7">
        <v>0.5</v>
      </c>
      <c r="F645" s="53">
        <f>D645*E645/100</f>
        <v>97.344947004999995</v>
      </c>
    </row>
    <row r="646" spans="1:6" ht="18" customHeight="1">
      <c r="A646" s="7" t="s">
        <v>835</v>
      </c>
      <c r="B646" s="52" t="s">
        <v>836</v>
      </c>
      <c r="C646" s="7"/>
      <c r="D646" s="7"/>
      <c r="E646" s="7"/>
      <c r="F646" s="53">
        <f>SUM(F647:F653)</f>
        <v>724.05058155816698</v>
      </c>
    </row>
    <row r="647" spans="1:6" ht="18" customHeight="1">
      <c r="A647" s="7"/>
      <c r="B647" s="52" t="s">
        <v>878</v>
      </c>
      <c r="C647" s="7" t="s">
        <v>863</v>
      </c>
      <c r="D647" s="66">
        <f>施工机械台时汇总!$C$42</f>
        <v>49.210305522914197</v>
      </c>
      <c r="E647" s="7">
        <v>0.08</v>
      </c>
      <c r="F647" s="53">
        <f t="shared" ref="F647:F652" si="55">D647*E647</f>
        <v>3.936824441833136</v>
      </c>
    </row>
    <row r="648" spans="1:6" ht="18" customHeight="1">
      <c r="A648" s="7"/>
      <c r="B648" s="52" t="s">
        <v>879</v>
      </c>
      <c r="C648" s="7" t="s">
        <v>863</v>
      </c>
      <c r="D648" s="66">
        <f>施工机械台时汇总!$C$57</f>
        <v>62.128971797884901</v>
      </c>
      <c r="E648" s="7">
        <v>0.12</v>
      </c>
      <c r="F648" s="53">
        <f t="shared" si="55"/>
        <v>7.4554766157461883</v>
      </c>
    </row>
    <row r="649" spans="1:6" ht="18" customHeight="1">
      <c r="A649" s="7"/>
      <c r="B649" s="52" t="s">
        <v>881</v>
      </c>
      <c r="C649" s="7" t="s">
        <v>863</v>
      </c>
      <c r="D649" s="66">
        <f>施工机械台时汇总!$C$40</f>
        <v>15.582226792009401</v>
      </c>
      <c r="E649" s="7">
        <v>0.12</v>
      </c>
      <c r="F649" s="53">
        <f t="shared" si="55"/>
        <v>1.869867215041128</v>
      </c>
    </row>
    <row r="650" spans="1:6" ht="18" customHeight="1">
      <c r="A650" s="7"/>
      <c r="B650" s="52" t="s">
        <v>882</v>
      </c>
      <c r="C650" s="7" t="s">
        <v>863</v>
      </c>
      <c r="D650" s="66">
        <f>施工机械台时汇总!$C$21</f>
        <v>28.129680376028197</v>
      </c>
      <c r="E650" s="7">
        <v>18.54</v>
      </c>
      <c r="F650" s="53">
        <f t="shared" si="55"/>
        <v>521.52427417156275</v>
      </c>
    </row>
    <row r="651" spans="1:6" ht="18" customHeight="1">
      <c r="A651" s="7"/>
      <c r="B651" s="52" t="s">
        <v>883</v>
      </c>
      <c r="C651" s="7" t="s">
        <v>863</v>
      </c>
      <c r="D651" s="66">
        <f>施工机械台时汇总!$C$24</f>
        <v>2.2013599686643204</v>
      </c>
      <c r="E651" s="7">
        <v>40.049999999999997</v>
      </c>
      <c r="F651" s="53">
        <f t="shared" si="55"/>
        <v>88.164466745006024</v>
      </c>
    </row>
    <row r="652" spans="1:6" ht="18" customHeight="1">
      <c r="A652" s="7"/>
      <c r="B652" s="52" t="s">
        <v>407</v>
      </c>
      <c r="C652" s="7" t="s">
        <v>863</v>
      </c>
      <c r="D652" s="7">
        <f>施工机械台时汇总!$C$19</f>
        <v>0.80266353309831595</v>
      </c>
      <c r="E652" s="7">
        <v>83</v>
      </c>
      <c r="F652" s="53">
        <f t="shared" si="55"/>
        <v>66.621073247160226</v>
      </c>
    </row>
    <row r="653" spans="1:6" ht="18" customHeight="1">
      <c r="A653" s="7"/>
      <c r="B653" s="52" t="s">
        <v>840</v>
      </c>
      <c r="C653" s="7" t="s">
        <v>834</v>
      </c>
      <c r="D653" s="66">
        <f>SUM(F647:F652)</f>
        <v>689.57198243634946</v>
      </c>
      <c r="E653" s="7">
        <v>5</v>
      </c>
      <c r="F653" s="53">
        <f>D653*E653/100</f>
        <v>34.478599121817474</v>
      </c>
    </row>
    <row r="654" spans="1:6" ht="18" customHeight="1">
      <c r="A654" s="7" t="s">
        <v>884</v>
      </c>
      <c r="B654" s="52" t="s">
        <v>885</v>
      </c>
      <c r="C654" s="7" t="s">
        <v>871</v>
      </c>
      <c r="D654" s="66">
        <f>D607</f>
        <v>5.0269138732471603</v>
      </c>
      <c r="E654" s="7">
        <v>103</v>
      </c>
      <c r="F654" s="53">
        <f>D654*E654</f>
        <v>517.77212894445756</v>
      </c>
    </row>
    <row r="655" spans="1:6" ht="18" customHeight="1">
      <c r="A655" s="7" t="s">
        <v>886</v>
      </c>
      <c r="B655" s="52" t="s">
        <v>887</v>
      </c>
      <c r="C655" s="7" t="s">
        <v>871</v>
      </c>
      <c r="D655" s="66">
        <f>D608</f>
        <v>5.8974622495064617</v>
      </c>
      <c r="E655" s="7">
        <v>103</v>
      </c>
      <c r="F655" s="53">
        <f>D655*E655</f>
        <v>607.43861169916556</v>
      </c>
    </row>
    <row r="656" spans="1:6" ht="18" customHeight="1">
      <c r="A656" s="7"/>
      <c r="B656" s="52"/>
      <c r="C656" s="7"/>
      <c r="D656" s="7"/>
      <c r="E656" s="7"/>
      <c r="F656" s="53"/>
    </row>
    <row r="657" spans="1:20" ht="18" customHeight="1">
      <c r="A657" s="7">
        <v>1.2</v>
      </c>
      <c r="B657" s="52" t="s">
        <v>841</v>
      </c>
      <c r="C657" s="7"/>
      <c r="D657" s="53">
        <f>F631</f>
        <v>28637.252670206788</v>
      </c>
      <c r="E657" s="56">
        <f>E610</f>
        <v>4.8000000000000001E-2</v>
      </c>
      <c r="F657" s="53">
        <f>D657*E657</f>
        <v>1374.5881281699258</v>
      </c>
    </row>
    <row r="658" spans="1:20" ht="18" customHeight="1">
      <c r="A658" s="7">
        <v>1.3</v>
      </c>
      <c r="B658" s="52" t="s">
        <v>842</v>
      </c>
      <c r="C658" s="7"/>
      <c r="D658" s="53">
        <f>F631</f>
        <v>28637.252670206788</v>
      </c>
      <c r="E658" s="56">
        <f>E611</f>
        <v>0</v>
      </c>
      <c r="F658" s="53">
        <f>D658*E658</f>
        <v>0</v>
      </c>
    </row>
    <row r="659" spans="1:20" ht="18" customHeight="1">
      <c r="A659" s="7">
        <v>2</v>
      </c>
      <c r="B659" s="52" t="s">
        <v>182</v>
      </c>
      <c r="C659" s="7"/>
      <c r="D659" s="53">
        <f>F630</f>
        <v>30011.840798376714</v>
      </c>
      <c r="E659" s="56">
        <f>E612</f>
        <v>7.0000000000000007E-2</v>
      </c>
      <c r="F659" s="53">
        <f>D659*E659</f>
        <v>2100.8288558863701</v>
      </c>
    </row>
    <row r="660" spans="1:20" ht="18" customHeight="1">
      <c r="A660" s="7">
        <v>3</v>
      </c>
      <c r="B660" s="52" t="s">
        <v>843</v>
      </c>
      <c r="C660" s="7"/>
      <c r="D660" s="53">
        <f>F659+F630</f>
        <v>32112.669654263085</v>
      </c>
      <c r="E660" s="56">
        <f>E613</f>
        <v>7.0000000000000007E-2</v>
      </c>
      <c r="F660" s="53">
        <f>D660*E660</f>
        <v>2247.886875798416</v>
      </c>
    </row>
    <row r="661" spans="1:20" ht="18" customHeight="1">
      <c r="A661" s="7">
        <v>4</v>
      </c>
      <c r="B661" s="52" t="s">
        <v>184</v>
      </c>
      <c r="C661" s="7"/>
      <c r="D661" s="7"/>
      <c r="E661" s="7"/>
      <c r="F661" s="53">
        <f>SUM(F662:F667)</f>
        <v>5025.9574350837129</v>
      </c>
    </row>
    <row r="662" spans="1:20" ht="18" customHeight="1">
      <c r="A662" s="7"/>
      <c r="B662" s="52" t="s">
        <v>354</v>
      </c>
      <c r="C662" s="7" t="s">
        <v>88</v>
      </c>
      <c r="D662" s="7">
        <f t="shared" ref="D662:D667" si="56">D615</f>
        <v>116.41515</v>
      </c>
      <c r="E662" s="66">
        <f>E643*砼配合!I9</f>
        <v>35.035758999999999</v>
      </c>
      <c r="F662" s="53">
        <f t="shared" ref="F662:F668" si="57">D662*E662</f>
        <v>4078.6931393488499</v>
      </c>
    </row>
    <row r="663" spans="1:20" ht="18" customHeight="1">
      <c r="A663" s="7"/>
      <c r="B663" s="52" t="s">
        <v>507</v>
      </c>
      <c r="C663" s="7" t="s">
        <v>871</v>
      </c>
      <c r="D663" s="66">
        <f t="shared" si="56"/>
        <v>4.6598683999999899</v>
      </c>
      <c r="E663" s="66">
        <f>E643*砼配合!I10</f>
        <v>54.406660000000002</v>
      </c>
      <c r="F663" s="53">
        <f t="shared" si="57"/>
        <v>253.52787568354347</v>
      </c>
    </row>
    <row r="664" spans="1:20" ht="18" customHeight="1">
      <c r="A664" s="7"/>
      <c r="B664" s="52" t="s">
        <v>509</v>
      </c>
      <c r="C664" s="7" t="s">
        <v>871</v>
      </c>
      <c r="D664" s="66">
        <f t="shared" si="56"/>
        <v>6.2457299999999902</v>
      </c>
      <c r="E664" s="66">
        <f>E643*砼配合!I11</f>
        <v>86.667083999999988</v>
      </c>
      <c r="F664" s="53">
        <f t="shared" si="57"/>
        <v>541.29920655131912</v>
      </c>
    </row>
    <row r="665" spans="1:20" ht="18" customHeight="1">
      <c r="A665" s="7"/>
      <c r="B665" s="52" t="s">
        <v>506</v>
      </c>
      <c r="C665" s="7" t="s">
        <v>871</v>
      </c>
      <c r="D665" s="7">
        <f t="shared" si="56"/>
        <v>0</v>
      </c>
      <c r="E665" s="66">
        <f>E636</f>
        <v>0.03</v>
      </c>
      <c r="F665" s="53">
        <f t="shared" si="57"/>
        <v>0</v>
      </c>
    </row>
    <row r="666" spans="1:20" ht="18" customHeight="1">
      <c r="A666" s="7"/>
      <c r="B666" s="52" t="s">
        <v>515</v>
      </c>
      <c r="C666" s="7" t="s">
        <v>844</v>
      </c>
      <c r="D666" s="7">
        <f t="shared" si="56"/>
        <v>4.7450000000000001</v>
      </c>
      <c r="E666" s="66">
        <f>台时!AK19*砼单价!E647+E648*台时!AZ19</f>
        <v>1.272</v>
      </c>
      <c r="F666" s="53">
        <f t="shared" si="57"/>
        <v>6.0356399999999999</v>
      </c>
    </row>
    <row r="667" spans="1:20" ht="18" customHeight="1">
      <c r="A667" s="7"/>
      <c r="B667" s="52" t="s">
        <v>516</v>
      </c>
      <c r="C667" s="7" t="s">
        <v>844</v>
      </c>
      <c r="D667" s="7">
        <f t="shared" si="56"/>
        <v>3.51</v>
      </c>
      <c r="E667" s="66">
        <f>砼配合!I63*台时!AN22*砼单价!E655/100</f>
        <v>41.709849999999996</v>
      </c>
      <c r="F667" s="53">
        <f t="shared" si="57"/>
        <v>146.40157349999998</v>
      </c>
    </row>
    <row r="668" spans="1:20" ht="18" customHeight="1">
      <c r="A668" s="7">
        <v>5</v>
      </c>
      <c r="B668" s="52" t="s">
        <v>845</v>
      </c>
      <c r="C668" s="7"/>
      <c r="D668" s="53">
        <f>F630+F659+F660+F661</f>
        <v>39386.513965145212</v>
      </c>
      <c r="E668" s="56">
        <f>E621</f>
        <v>0.09</v>
      </c>
      <c r="F668" s="53">
        <f t="shared" si="57"/>
        <v>3544.786256863069</v>
      </c>
    </row>
    <row r="669" spans="1:20" ht="18" customHeight="1">
      <c r="A669" s="7">
        <v>6</v>
      </c>
      <c r="B669" s="52" t="s">
        <v>7</v>
      </c>
      <c r="C669" s="7"/>
      <c r="D669" s="7"/>
      <c r="E669" s="7"/>
      <c r="F669" s="53">
        <f>D668+F668</f>
        <v>42931.300222008278</v>
      </c>
    </row>
    <row r="670" spans="1:20" ht="18" customHeight="1">
      <c r="A670" s="7"/>
      <c r="B670" s="52" t="s">
        <v>846</v>
      </c>
      <c r="C670" s="7"/>
      <c r="D670" s="53">
        <f>F669</f>
        <v>42931.300222008278</v>
      </c>
      <c r="E670" s="56">
        <f>E623</f>
        <v>0.03</v>
      </c>
      <c r="F670" s="53">
        <f>E670*D670</f>
        <v>1287.9390066602482</v>
      </c>
    </row>
    <row r="671" spans="1:20" ht="18" customHeight="1">
      <c r="A671" s="7"/>
      <c r="B671" s="52" t="s">
        <v>44</v>
      </c>
      <c r="C671" s="7"/>
      <c r="D671" s="7"/>
      <c r="E671" s="7"/>
      <c r="F671" s="53">
        <f>SUM(F669:F670)</f>
        <v>44219.239228668528</v>
      </c>
    </row>
    <row r="672" spans="1:20" ht="22.5" customHeight="1">
      <c r="A672" s="461" t="s">
        <v>813</v>
      </c>
      <c r="B672" s="461"/>
      <c r="C672" s="461"/>
      <c r="D672" s="461"/>
      <c r="E672" s="461"/>
      <c r="F672" s="461"/>
      <c r="H672" s="461" t="s">
        <v>813</v>
      </c>
      <c r="I672" s="461"/>
      <c r="J672" s="461"/>
      <c r="K672" s="461"/>
      <c r="L672" s="461"/>
      <c r="M672" s="461"/>
      <c r="O672" s="461" t="s">
        <v>813</v>
      </c>
      <c r="P672" s="461"/>
      <c r="Q672" s="461"/>
      <c r="R672" s="461"/>
      <c r="S672" s="461"/>
      <c r="T672" s="461"/>
    </row>
    <row r="673" spans="1:20" ht="18" customHeight="1">
      <c r="A673" s="462" t="s">
        <v>906</v>
      </c>
      <c r="B673" s="462"/>
      <c r="C673" s="462"/>
      <c r="D673" s="462"/>
      <c r="E673" s="462"/>
      <c r="F673" s="462"/>
      <c r="H673" s="462" t="s">
        <v>906</v>
      </c>
      <c r="I673" s="462"/>
      <c r="J673" s="462"/>
      <c r="K673" s="462"/>
      <c r="L673" s="462"/>
      <c r="M673" s="462"/>
      <c r="O673" s="462" t="s">
        <v>906</v>
      </c>
      <c r="P673" s="462"/>
      <c r="Q673" s="462"/>
      <c r="R673" s="462"/>
      <c r="S673" s="462"/>
      <c r="T673" s="462"/>
    </row>
    <row r="674" spans="1:20" ht="18" customHeight="1">
      <c r="A674" s="46" t="s">
        <v>815</v>
      </c>
      <c r="B674" s="49">
        <v>4069</v>
      </c>
      <c r="D674" s="46"/>
      <c r="E674" s="47" t="s">
        <v>169</v>
      </c>
      <c r="F674" s="49" t="s">
        <v>869</v>
      </c>
      <c r="H674" s="46" t="s">
        <v>815</v>
      </c>
      <c r="I674" s="49">
        <v>4069</v>
      </c>
      <c r="K674" s="46"/>
      <c r="L674" s="47" t="s">
        <v>169</v>
      </c>
      <c r="M674" s="49" t="s">
        <v>869</v>
      </c>
      <c r="O674" s="46" t="s">
        <v>815</v>
      </c>
      <c r="P674" s="49">
        <v>4069</v>
      </c>
      <c r="R674" s="46"/>
      <c r="S674" s="47" t="s">
        <v>169</v>
      </c>
      <c r="T674" s="49" t="s">
        <v>869</v>
      </c>
    </row>
    <row r="675" spans="1:20" ht="18" customHeight="1">
      <c r="A675" s="7" t="s">
        <v>817</v>
      </c>
      <c r="B675" s="458"/>
      <c r="C675" s="459"/>
      <c r="D675" s="459"/>
      <c r="E675" s="459"/>
      <c r="F675" s="460"/>
      <c r="H675" s="7" t="s">
        <v>817</v>
      </c>
      <c r="I675" s="458"/>
      <c r="J675" s="459"/>
      <c r="K675" s="459"/>
      <c r="L675" s="459"/>
      <c r="M675" s="460"/>
      <c r="O675" s="7" t="s">
        <v>817</v>
      </c>
      <c r="P675" s="458"/>
      <c r="Q675" s="459"/>
      <c r="R675" s="459"/>
      <c r="S675" s="459"/>
      <c r="T675" s="460"/>
    </row>
    <row r="676" spans="1:20" ht="18" customHeight="1">
      <c r="A676" s="7" t="s">
        <v>1</v>
      </c>
      <c r="B676" s="52" t="s">
        <v>344</v>
      </c>
      <c r="C676" s="7" t="s">
        <v>818</v>
      </c>
      <c r="D676" s="7" t="s">
        <v>819</v>
      </c>
      <c r="E676" s="7" t="s">
        <v>820</v>
      </c>
      <c r="F676" s="7" t="s">
        <v>821</v>
      </c>
      <c r="H676" s="7" t="s">
        <v>1</v>
      </c>
      <c r="I676" s="52" t="s">
        <v>344</v>
      </c>
      <c r="J676" s="7" t="s">
        <v>818</v>
      </c>
      <c r="K676" s="7" t="s">
        <v>819</v>
      </c>
      <c r="L676" s="7" t="s">
        <v>820</v>
      </c>
      <c r="M676" s="7" t="s">
        <v>821</v>
      </c>
      <c r="O676" s="7" t="s">
        <v>1</v>
      </c>
      <c r="P676" s="52" t="s">
        <v>344</v>
      </c>
      <c r="Q676" s="7" t="s">
        <v>818</v>
      </c>
      <c r="R676" s="7" t="s">
        <v>819</v>
      </c>
      <c r="S676" s="7" t="s">
        <v>820</v>
      </c>
      <c r="T676" s="7" t="s">
        <v>821</v>
      </c>
    </row>
    <row r="677" spans="1:20" ht="18" customHeight="1">
      <c r="A677" s="7">
        <v>1</v>
      </c>
      <c r="B677" s="52" t="s">
        <v>822</v>
      </c>
      <c r="C677" s="7"/>
      <c r="D677" s="7"/>
      <c r="E677" s="7"/>
      <c r="F677" s="53">
        <f>F678+F703+F704</f>
        <v>34719.969233014039</v>
      </c>
      <c r="H677" s="7">
        <v>1</v>
      </c>
      <c r="I677" s="52" t="s">
        <v>822</v>
      </c>
      <c r="J677" s="7"/>
      <c r="K677" s="7"/>
      <c r="L677" s="7"/>
      <c r="M677" s="53">
        <f>M678+M703+M704</f>
        <v>35848.648913434365</v>
      </c>
      <c r="O677" s="7">
        <v>1</v>
      </c>
      <c r="P677" s="52" t="s">
        <v>822</v>
      </c>
      <c r="Q677" s="7"/>
      <c r="R677" s="7"/>
      <c r="S677" s="7"/>
      <c r="T677" s="53">
        <f>T678+T703+T704</f>
        <v>37107.817281799973</v>
      </c>
    </row>
    <row r="678" spans="1:20" ht="18" customHeight="1">
      <c r="A678" s="7">
        <v>1.1000000000000001</v>
      </c>
      <c r="B678" s="52" t="s">
        <v>823</v>
      </c>
      <c r="C678" s="7"/>
      <c r="D678" s="7"/>
      <c r="E678" s="7"/>
      <c r="F678" s="53">
        <f>F679+F682+F692+F700+F701+F702</f>
        <v>33129.741634555379</v>
      </c>
      <c r="H678" s="7">
        <v>1.1000000000000001</v>
      </c>
      <c r="I678" s="52" t="s">
        <v>823</v>
      </c>
      <c r="J678" s="7"/>
      <c r="K678" s="7"/>
      <c r="L678" s="7"/>
      <c r="M678" s="53">
        <f>M679+M682+M692+M700+M701+M702</f>
        <v>34206.726062437374</v>
      </c>
      <c r="O678" s="7">
        <v>1.1000000000000001</v>
      </c>
      <c r="P678" s="52" t="s">
        <v>823</v>
      </c>
      <c r="Q678" s="7"/>
      <c r="R678" s="7"/>
      <c r="S678" s="7"/>
      <c r="T678" s="53">
        <f>T679+T682+T692+T700+T701+T702</f>
        <v>35408.222597137377</v>
      </c>
    </row>
    <row r="679" spans="1:20" ht="18" customHeight="1">
      <c r="A679" s="7" t="s">
        <v>47</v>
      </c>
      <c r="B679" s="52" t="s">
        <v>176</v>
      </c>
      <c r="C679" s="7"/>
      <c r="D679" s="7"/>
      <c r="E679" s="7"/>
      <c r="F679" s="53">
        <f>F680+F681</f>
        <v>11700.707</v>
      </c>
      <c r="H679" s="7" t="s">
        <v>47</v>
      </c>
      <c r="I679" s="52" t="s">
        <v>176</v>
      </c>
      <c r="J679" s="7"/>
      <c r="K679" s="7"/>
      <c r="L679" s="7"/>
      <c r="M679" s="53">
        <f>M680+M681</f>
        <v>11700.707</v>
      </c>
      <c r="O679" s="7" t="s">
        <v>47</v>
      </c>
      <c r="P679" s="52" t="s">
        <v>176</v>
      </c>
      <c r="Q679" s="7"/>
      <c r="R679" s="7"/>
      <c r="S679" s="7"/>
      <c r="T679" s="53">
        <f>T680+T681</f>
        <v>11700.707</v>
      </c>
    </row>
    <row r="680" spans="1:20" ht="18" customHeight="1">
      <c r="A680" s="7"/>
      <c r="B680" s="52" t="s">
        <v>824</v>
      </c>
      <c r="C680" s="7" t="s">
        <v>825</v>
      </c>
      <c r="D680" s="7">
        <v>8.1</v>
      </c>
      <c r="E680" s="7">
        <v>1031.3</v>
      </c>
      <c r="F680" s="53">
        <f>D680*E680</f>
        <v>8353.5300000000007</v>
      </c>
      <c r="H680" s="7"/>
      <c r="I680" s="52" t="s">
        <v>824</v>
      </c>
      <c r="J680" s="7" t="s">
        <v>825</v>
      </c>
      <c r="K680" s="7">
        <v>8.1</v>
      </c>
      <c r="L680" s="7">
        <v>1031.3</v>
      </c>
      <c r="M680" s="53">
        <f>K680*L680</f>
        <v>8353.5300000000007</v>
      </c>
      <c r="O680" s="7"/>
      <c r="P680" s="52" t="s">
        <v>824</v>
      </c>
      <c r="Q680" s="7" t="s">
        <v>825</v>
      </c>
      <c r="R680" s="7">
        <v>8.1</v>
      </c>
      <c r="S680" s="7">
        <v>1031.3</v>
      </c>
      <c r="T680" s="53">
        <f>R680*S680</f>
        <v>8353.5300000000007</v>
      </c>
    </row>
    <row r="681" spans="1:20" ht="18" customHeight="1">
      <c r="A681" s="7"/>
      <c r="B681" s="52" t="s">
        <v>826</v>
      </c>
      <c r="C681" s="7" t="s">
        <v>825</v>
      </c>
      <c r="D681" s="7">
        <v>5.77</v>
      </c>
      <c r="E681" s="7">
        <v>580.1</v>
      </c>
      <c r="F681" s="53">
        <f>D681*E681</f>
        <v>3347.1770000000001</v>
      </c>
      <c r="H681" s="7"/>
      <c r="I681" s="52" t="s">
        <v>826</v>
      </c>
      <c r="J681" s="7" t="s">
        <v>825</v>
      </c>
      <c r="K681" s="7">
        <v>5.77</v>
      </c>
      <c r="L681" s="7">
        <v>580.1</v>
      </c>
      <c r="M681" s="53">
        <f>K681*L681</f>
        <v>3347.1770000000001</v>
      </c>
      <c r="O681" s="7"/>
      <c r="P681" s="52" t="s">
        <v>826</v>
      </c>
      <c r="Q681" s="7" t="s">
        <v>825</v>
      </c>
      <c r="R681" s="7">
        <v>5.77</v>
      </c>
      <c r="S681" s="7">
        <v>580.1</v>
      </c>
      <c r="T681" s="53">
        <f>R681*S681</f>
        <v>3347.1770000000001</v>
      </c>
    </row>
    <row r="682" spans="1:20" ht="18" customHeight="1">
      <c r="A682" s="7" t="s">
        <v>57</v>
      </c>
      <c r="B682" s="52" t="s">
        <v>177</v>
      </c>
      <c r="C682" s="7"/>
      <c r="D682" s="7"/>
      <c r="E682" s="7"/>
      <c r="F682" s="53">
        <f>SUM(F683:F691)</f>
        <v>19436.592415353</v>
      </c>
      <c r="H682" s="7" t="s">
        <v>57</v>
      </c>
      <c r="I682" s="52" t="s">
        <v>177</v>
      </c>
      <c r="J682" s="7"/>
      <c r="K682" s="7"/>
      <c r="L682" s="7"/>
      <c r="M682" s="53">
        <f>SUM(M683:M691)</f>
        <v>20513.576843234998</v>
      </c>
      <c r="O682" s="7" t="s">
        <v>57</v>
      </c>
      <c r="P682" s="52" t="s">
        <v>177</v>
      </c>
      <c r="Q682" s="7"/>
      <c r="R682" s="7"/>
      <c r="S682" s="7"/>
      <c r="T682" s="53">
        <f>SUM(T683:T691)</f>
        <v>21715.073377934998</v>
      </c>
    </row>
    <row r="683" spans="1:20" ht="18" customHeight="1">
      <c r="A683" s="7"/>
      <c r="B683" s="52" t="s">
        <v>870</v>
      </c>
      <c r="C683" s="7" t="s">
        <v>871</v>
      </c>
      <c r="D683" s="7">
        <f>D636</f>
        <v>1874.0778</v>
      </c>
      <c r="E683" s="7">
        <v>0.4</v>
      </c>
      <c r="F683" s="53">
        <f t="shared" ref="F683:F690" si="58">D683*E683</f>
        <v>749.63112000000001</v>
      </c>
      <c r="H683" s="7"/>
      <c r="I683" s="52" t="s">
        <v>870</v>
      </c>
      <c r="J683" s="7" t="s">
        <v>871</v>
      </c>
      <c r="K683" s="7">
        <f>D683</f>
        <v>1874.0778</v>
      </c>
      <c r="L683" s="7">
        <v>0.4</v>
      </c>
      <c r="M683" s="53">
        <f t="shared" ref="M683:M690" si="59">K683*L683</f>
        <v>749.63112000000001</v>
      </c>
      <c r="O683" s="7"/>
      <c r="P683" s="52" t="s">
        <v>870</v>
      </c>
      <c r="Q683" s="7" t="s">
        <v>871</v>
      </c>
      <c r="R683" s="7">
        <f>K683</f>
        <v>1874.0778</v>
      </c>
      <c r="S683" s="7">
        <v>0.4</v>
      </c>
      <c r="T683" s="53">
        <f t="shared" ref="T683:T690" si="60">R683*S683</f>
        <v>749.63112000000001</v>
      </c>
    </row>
    <row r="684" spans="1:20" ht="18" customHeight="1">
      <c r="A684" s="7"/>
      <c r="B684" s="52" t="s">
        <v>375</v>
      </c>
      <c r="C684" s="7" t="s">
        <v>844</v>
      </c>
      <c r="D684" s="7">
        <f>次要材料汇总!$F$9</f>
        <v>6</v>
      </c>
      <c r="E684" s="7">
        <v>63.56</v>
      </c>
      <c r="F684" s="53">
        <f t="shared" si="58"/>
        <v>381.36</v>
      </c>
      <c r="H684" s="7"/>
      <c r="I684" s="52" t="s">
        <v>375</v>
      </c>
      <c r="J684" s="7" t="s">
        <v>844</v>
      </c>
      <c r="K684" s="7">
        <f>次要材料汇总!$F$9</f>
        <v>6</v>
      </c>
      <c r="L684" s="7">
        <v>63.56</v>
      </c>
      <c r="M684" s="53">
        <f t="shared" si="59"/>
        <v>381.36</v>
      </c>
      <c r="O684" s="7"/>
      <c r="P684" s="52" t="s">
        <v>375</v>
      </c>
      <c r="Q684" s="7" t="s">
        <v>844</v>
      </c>
      <c r="R684" s="7">
        <f>次要材料汇总!$F$9</f>
        <v>6</v>
      </c>
      <c r="S684" s="7">
        <v>63.56</v>
      </c>
      <c r="T684" s="53">
        <f t="shared" si="60"/>
        <v>381.36</v>
      </c>
    </row>
    <row r="685" spans="1:20" ht="18" customHeight="1">
      <c r="A685" s="7"/>
      <c r="B685" s="52" t="s">
        <v>873</v>
      </c>
      <c r="C685" s="7" t="s">
        <v>844</v>
      </c>
      <c r="D685" s="7">
        <f>次要材料汇总!$F$10</f>
        <v>5.5</v>
      </c>
      <c r="E685" s="7">
        <v>51.5</v>
      </c>
      <c r="F685" s="53">
        <f t="shared" si="58"/>
        <v>283.25</v>
      </c>
      <c r="H685" s="7"/>
      <c r="I685" s="52" t="s">
        <v>873</v>
      </c>
      <c r="J685" s="7" t="s">
        <v>844</v>
      </c>
      <c r="K685" s="7">
        <f>次要材料汇总!$F$10</f>
        <v>5.5</v>
      </c>
      <c r="L685" s="7">
        <v>51.5</v>
      </c>
      <c r="M685" s="53">
        <f t="shared" si="59"/>
        <v>283.25</v>
      </c>
      <c r="O685" s="7"/>
      <c r="P685" s="52" t="s">
        <v>873</v>
      </c>
      <c r="Q685" s="7" t="s">
        <v>844</v>
      </c>
      <c r="R685" s="7">
        <f>次要材料汇总!$F$10</f>
        <v>5.5</v>
      </c>
      <c r="S685" s="7">
        <v>51.5</v>
      </c>
      <c r="T685" s="53">
        <f t="shared" si="60"/>
        <v>283.25</v>
      </c>
    </row>
    <row r="686" spans="1:20" ht="18" customHeight="1">
      <c r="A686" s="7"/>
      <c r="B686" s="52" t="s">
        <v>874</v>
      </c>
      <c r="C686" s="7" t="s">
        <v>844</v>
      </c>
      <c r="D686" s="7">
        <f>次要材料汇总!$F$11</f>
        <v>6.5</v>
      </c>
      <c r="E686" s="7">
        <v>27.24</v>
      </c>
      <c r="F686" s="53">
        <f t="shared" si="58"/>
        <v>177.06</v>
      </c>
      <c r="H686" s="7"/>
      <c r="I686" s="52" t="s">
        <v>874</v>
      </c>
      <c r="J686" s="7" t="s">
        <v>844</v>
      </c>
      <c r="K686" s="7">
        <f>次要材料汇总!$F$11</f>
        <v>6.5</v>
      </c>
      <c r="L686" s="7">
        <v>27.24</v>
      </c>
      <c r="M686" s="53">
        <f t="shared" si="59"/>
        <v>177.06</v>
      </c>
      <c r="O686" s="7"/>
      <c r="P686" s="52" t="s">
        <v>874</v>
      </c>
      <c r="Q686" s="7" t="s">
        <v>844</v>
      </c>
      <c r="R686" s="7">
        <f>次要材料汇总!$F$11</f>
        <v>6.5</v>
      </c>
      <c r="S686" s="7">
        <v>27.24</v>
      </c>
      <c r="T686" s="53">
        <f t="shared" si="60"/>
        <v>177.06</v>
      </c>
    </row>
    <row r="687" spans="1:20" ht="18" customHeight="1">
      <c r="A687" s="7"/>
      <c r="B687" s="52" t="s">
        <v>875</v>
      </c>
      <c r="C687" s="7" t="s">
        <v>844</v>
      </c>
      <c r="D687" s="7">
        <f>次要材料汇总!$F$5</f>
        <v>8</v>
      </c>
      <c r="E687" s="7">
        <v>82.1</v>
      </c>
      <c r="F687" s="53">
        <f t="shared" si="58"/>
        <v>656.8</v>
      </c>
      <c r="H687" s="7"/>
      <c r="I687" s="52" t="s">
        <v>875</v>
      </c>
      <c r="J687" s="7" t="s">
        <v>844</v>
      </c>
      <c r="K687" s="7">
        <f>次要材料汇总!$F$5</f>
        <v>8</v>
      </c>
      <c r="L687" s="7">
        <v>82.1</v>
      </c>
      <c r="M687" s="53">
        <f t="shared" si="59"/>
        <v>656.8</v>
      </c>
      <c r="O687" s="7"/>
      <c r="P687" s="52" t="s">
        <v>875</v>
      </c>
      <c r="Q687" s="7" t="s">
        <v>844</v>
      </c>
      <c r="R687" s="7">
        <f>次要材料汇总!$F$5</f>
        <v>8</v>
      </c>
      <c r="S687" s="7">
        <v>82.1</v>
      </c>
      <c r="T687" s="53">
        <f t="shared" si="60"/>
        <v>656.8</v>
      </c>
    </row>
    <row r="688" spans="1:20" ht="18" customHeight="1">
      <c r="A688" s="7"/>
      <c r="B688" s="52" t="s">
        <v>876</v>
      </c>
      <c r="C688" s="7" t="s">
        <v>844</v>
      </c>
      <c r="D688" s="7">
        <f>次要材料汇总!$F$12</f>
        <v>7.5</v>
      </c>
      <c r="E688" s="7">
        <v>1.8</v>
      </c>
      <c r="F688" s="53">
        <f t="shared" si="58"/>
        <v>13.5</v>
      </c>
      <c r="H688" s="7"/>
      <c r="I688" s="52" t="s">
        <v>876</v>
      </c>
      <c r="J688" s="7" t="s">
        <v>844</v>
      </c>
      <c r="K688" s="7">
        <f>次要材料汇总!$F$12</f>
        <v>7.5</v>
      </c>
      <c r="L688" s="7">
        <v>1.8</v>
      </c>
      <c r="M688" s="53">
        <f t="shared" si="59"/>
        <v>13.5</v>
      </c>
      <c r="O688" s="7"/>
      <c r="P688" s="52" t="s">
        <v>876</v>
      </c>
      <c r="Q688" s="7" t="s">
        <v>844</v>
      </c>
      <c r="R688" s="7">
        <f>次要材料汇总!$F$12</f>
        <v>7.5</v>
      </c>
      <c r="S688" s="7">
        <v>1.8</v>
      </c>
      <c r="T688" s="53">
        <f t="shared" si="60"/>
        <v>13.5</v>
      </c>
    </row>
    <row r="689" spans="1:20" ht="18" customHeight="1">
      <c r="A689" s="7"/>
      <c r="B689" s="52" t="s">
        <v>877</v>
      </c>
      <c r="C689" s="7" t="s">
        <v>871</v>
      </c>
      <c r="D689" s="66">
        <f>砼配合!J20</f>
        <v>161.2882702</v>
      </c>
      <c r="E689" s="7">
        <v>103</v>
      </c>
      <c r="F689" s="53">
        <f t="shared" si="58"/>
        <v>16612.691830600001</v>
      </c>
      <c r="H689" s="7"/>
      <c r="I689" s="52" t="s">
        <v>877</v>
      </c>
      <c r="J689" s="7" t="s">
        <v>871</v>
      </c>
      <c r="K689" s="66">
        <f>砼配合!J14</f>
        <v>171.692409</v>
      </c>
      <c r="L689" s="7">
        <v>103</v>
      </c>
      <c r="M689" s="53">
        <f t="shared" si="59"/>
        <v>17684.318126999999</v>
      </c>
      <c r="O689" s="7"/>
      <c r="P689" s="52" t="s">
        <v>877</v>
      </c>
      <c r="Q689" s="7" t="s">
        <v>871</v>
      </c>
      <c r="R689" s="66">
        <f>砼配合!J8</f>
        <v>183.29938899999999</v>
      </c>
      <c r="S689" s="7">
        <v>103</v>
      </c>
      <c r="T689" s="53">
        <f t="shared" si="60"/>
        <v>18879.837067</v>
      </c>
    </row>
    <row r="690" spans="1:20" ht="18" customHeight="1">
      <c r="A690" s="7"/>
      <c r="B690" s="52" t="s">
        <v>806</v>
      </c>
      <c r="C690" s="7" t="s">
        <v>871</v>
      </c>
      <c r="D690" s="7">
        <f>D644</f>
        <v>3.88</v>
      </c>
      <c r="E690" s="7">
        <v>120</v>
      </c>
      <c r="F690" s="53">
        <f t="shared" si="58"/>
        <v>465.59999999999997</v>
      </c>
      <c r="H690" s="7"/>
      <c r="I690" s="52" t="s">
        <v>806</v>
      </c>
      <c r="J690" s="7" t="s">
        <v>871</v>
      </c>
      <c r="K690" s="7">
        <f>D690</f>
        <v>3.88</v>
      </c>
      <c r="L690" s="7">
        <v>120</v>
      </c>
      <c r="M690" s="53">
        <f t="shared" si="59"/>
        <v>465.59999999999997</v>
      </c>
      <c r="O690" s="7"/>
      <c r="P690" s="52" t="s">
        <v>806</v>
      </c>
      <c r="Q690" s="7" t="s">
        <v>871</v>
      </c>
      <c r="R690" s="7">
        <f>K690</f>
        <v>3.88</v>
      </c>
      <c r="S690" s="7">
        <v>120</v>
      </c>
      <c r="T690" s="53">
        <f t="shared" si="60"/>
        <v>465.59999999999997</v>
      </c>
    </row>
    <row r="691" spans="1:20" ht="18" customHeight="1">
      <c r="A691" s="7"/>
      <c r="B691" s="52" t="s">
        <v>833</v>
      </c>
      <c r="C691" s="7" t="s">
        <v>834</v>
      </c>
      <c r="D691" s="66">
        <f>SUM(F683:F690)</f>
        <v>19339.892950599999</v>
      </c>
      <c r="E691" s="7">
        <v>0.5</v>
      </c>
      <c r="F691" s="53">
        <f>D691*E691/100</f>
        <v>96.699464752999987</v>
      </c>
      <c r="H691" s="7"/>
      <c r="I691" s="52" t="s">
        <v>833</v>
      </c>
      <c r="J691" s="7" t="s">
        <v>834</v>
      </c>
      <c r="K691" s="66">
        <f>SUM(M683:M690)</f>
        <v>20411.519246999997</v>
      </c>
      <c r="L691" s="7">
        <v>0.5</v>
      </c>
      <c r="M691" s="53">
        <f>K691*L691/100</f>
        <v>102.05759623499998</v>
      </c>
      <c r="O691" s="7"/>
      <c r="P691" s="52" t="s">
        <v>833</v>
      </c>
      <c r="Q691" s="7" t="s">
        <v>834</v>
      </c>
      <c r="R691" s="66">
        <f>SUM(T683:T690)</f>
        <v>21607.038186999998</v>
      </c>
      <c r="S691" s="7">
        <v>0.5</v>
      </c>
      <c r="T691" s="53">
        <f>R691*S691/100</f>
        <v>108.03519093499999</v>
      </c>
    </row>
    <row r="692" spans="1:20" ht="18" customHeight="1">
      <c r="A692" s="7" t="s">
        <v>835</v>
      </c>
      <c r="B692" s="52" t="s">
        <v>836</v>
      </c>
      <c r="C692" s="7"/>
      <c r="D692" s="7"/>
      <c r="E692" s="7"/>
      <c r="F692" s="53">
        <f>SUM(F693:F699)</f>
        <v>867.23147855875436</v>
      </c>
      <c r="H692" s="7" t="s">
        <v>835</v>
      </c>
      <c r="I692" s="52" t="s">
        <v>836</v>
      </c>
      <c r="J692" s="7"/>
      <c r="K692" s="7"/>
      <c r="L692" s="7"/>
      <c r="M692" s="53">
        <f>SUM(M693:M699)</f>
        <v>867.23147855875436</v>
      </c>
      <c r="O692" s="7" t="s">
        <v>835</v>
      </c>
      <c r="P692" s="52" t="s">
        <v>836</v>
      </c>
      <c r="Q692" s="7"/>
      <c r="R692" s="7"/>
      <c r="S692" s="7"/>
      <c r="T692" s="53">
        <f>SUM(T693:T699)</f>
        <v>867.23147855875436</v>
      </c>
    </row>
    <row r="693" spans="1:20" ht="18" customHeight="1">
      <c r="A693" s="7"/>
      <c r="B693" s="52" t="s">
        <v>878</v>
      </c>
      <c r="C693" s="7" t="s">
        <v>863</v>
      </c>
      <c r="D693" s="66">
        <f>施工机械台时汇总!$C$42</f>
        <v>49.210305522914197</v>
      </c>
      <c r="E693" s="7">
        <v>1.5</v>
      </c>
      <c r="F693" s="53">
        <f t="shared" ref="F693:F698" si="61">D693*E693</f>
        <v>73.815458284371289</v>
      </c>
      <c r="H693" s="7"/>
      <c r="I693" s="52" t="s">
        <v>878</v>
      </c>
      <c r="J693" s="7" t="s">
        <v>863</v>
      </c>
      <c r="K693" s="66">
        <f>施工机械台时汇总!$C$42</f>
        <v>49.210305522914197</v>
      </c>
      <c r="L693" s="7">
        <v>1.5</v>
      </c>
      <c r="M693" s="53">
        <f t="shared" ref="M693:M698" si="62">K693*L693</f>
        <v>73.815458284371289</v>
      </c>
      <c r="O693" s="7"/>
      <c r="P693" s="52" t="s">
        <v>878</v>
      </c>
      <c r="Q693" s="7" t="s">
        <v>863</v>
      </c>
      <c r="R693" s="66">
        <f>施工机械台时汇总!$C$42</f>
        <v>49.210305522914197</v>
      </c>
      <c r="S693" s="7">
        <v>1.5</v>
      </c>
      <c r="T693" s="53">
        <f t="shared" ref="T693:T698" si="63">R693*S693</f>
        <v>73.815458284371289</v>
      </c>
    </row>
    <row r="694" spans="1:20" ht="18" customHeight="1">
      <c r="A694" s="7"/>
      <c r="B694" s="52" t="s">
        <v>879</v>
      </c>
      <c r="C694" s="7" t="s">
        <v>863</v>
      </c>
      <c r="D694" s="66">
        <f>施工机械台时汇总!$C$57</f>
        <v>62.128971797884901</v>
      </c>
      <c r="E694" s="7">
        <v>0.38</v>
      </c>
      <c r="F694" s="53">
        <f t="shared" si="61"/>
        <v>23.609009283196261</v>
      </c>
      <c r="H694" s="7"/>
      <c r="I694" s="52" t="s">
        <v>879</v>
      </c>
      <c r="J694" s="7" t="s">
        <v>863</v>
      </c>
      <c r="K694" s="66">
        <f>施工机械台时汇总!$C$57</f>
        <v>62.128971797884901</v>
      </c>
      <c r="L694" s="7">
        <v>0.38</v>
      </c>
      <c r="M694" s="53">
        <f t="shared" si="62"/>
        <v>23.609009283196261</v>
      </c>
      <c r="O694" s="7"/>
      <c r="P694" s="52" t="s">
        <v>879</v>
      </c>
      <c r="Q694" s="7" t="s">
        <v>863</v>
      </c>
      <c r="R694" s="66">
        <f>施工机械台时汇总!$C$57</f>
        <v>62.128971797884901</v>
      </c>
      <c r="S694" s="7">
        <v>0.38</v>
      </c>
      <c r="T694" s="53">
        <f t="shared" si="63"/>
        <v>23.609009283196261</v>
      </c>
    </row>
    <row r="695" spans="1:20" ht="18" customHeight="1">
      <c r="A695" s="7"/>
      <c r="B695" s="52" t="s">
        <v>881</v>
      </c>
      <c r="C695" s="7" t="s">
        <v>863</v>
      </c>
      <c r="D695" s="66">
        <f>施工机械台时汇总!$C$40</f>
        <v>15.582226792009401</v>
      </c>
      <c r="E695" s="7">
        <v>3.35</v>
      </c>
      <c r="F695" s="53">
        <f t="shared" si="61"/>
        <v>52.200459753231492</v>
      </c>
      <c r="H695" s="7"/>
      <c r="I695" s="52" t="s">
        <v>881</v>
      </c>
      <c r="J695" s="7" t="s">
        <v>863</v>
      </c>
      <c r="K695" s="66">
        <f>施工机械台时汇总!$C$40</f>
        <v>15.582226792009401</v>
      </c>
      <c r="L695" s="7">
        <v>3.35</v>
      </c>
      <c r="M695" s="53">
        <f t="shared" si="62"/>
        <v>52.200459753231492</v>
      </c>
      <c r="O695" s="7"/>
      <c r="P695" s="52" t="s">
        <v>881</v>
      </c>
      <c r="Q695" s="7" t="s">
        <v>863</v>
      </c>
      <c r="R695" s="66">
        <f>施工机械台时汇总!$C$40</f>
        <v>15.582226792009401</v>
      </c>
      <c r="S695" s="7">
        <v>3.35</v>
      </c>
      <c r="T695" s="53">
        <f t="shared" si="63"/>
        <v>52.200459753231492</v>
      </c>
    </row>
    <row r="696" spans="1:20" ht="18" customHeight="1">
      <c r="A696" s="7"/>
      <c r="B696" s="52" t="s">
        <v>882</v>
      </c>
      <c r="C696" s="7" t="s">
        <v>863</v>
      </c>
      <c r="D696" s="66">
        <f>施工机械台时汇总!$C$21</f>
        <v>28.129680376028197</v>
      </c>
      <c r="E696" s="7">
        <v>18.54</v>
      </c>
      <c r="F696" s="53">
        <f t="shared" si="61"/>
        <v>521.52427417156275</v>
      </c>
      <c r="H696" s="7"/>
      <c r="I696" s="52" t="s">
        <v>882</v>
      </c>
      <c r="J696" s="7" t="s">
        <v>863</v>
      </c>
      <c r="K696" s="66">
        <f>施工机械台时汇总!$C$21</f>
        <v>28.129680376028197</v>
      </c>
      <c r="L696" s="7">
        <v>18.54</v>
      </c>
      <c r="M696" s="53">
        <f t="shared" si="62"/>
        <v>521.52427417156275</v>
      </c>
      <c r="O696" s="7"/>
      <c r="P696" s="52" t="s">
        <v>882</v>
      </c>
      <c r="Q696" s="7" t="s">
        <v>863</v>
      </c>
      <c r="R696" s="66">
        <f>施工机械台时汇总!$C$21</f>
        <v>28.129680376028197</v>
      </c>
      <c r="S696" s="7">
        <v>18.54</v>
      </c>
      <c r="T696" s="53">
        <f t="shared" si="63"/>
        <v>521.52427417156275</v>
      </c>
    </row>
    <row r="697" spans="1:20" ht="18" customHeight="1">
      <c r="A697" s="7"/>
      <c r="B697" s="52" t="s">
        <v>883</v>
      </c>
      <c r="C697" s="7" t="s">
        <v>863</v>
      </c>
      <c r="D697" s="66">
        <f>施工机械台时汇总!$C$24</f>
        <v>2.2013599686643204</v>
      </c>
      <c r="E697" s="7">
        <v>40.049999999999997</v>
      </c>
      <c r="F697" s="53">
        <f t="shared" si="61"/>
        <v>88.164466745006024</v>
      </c>
      <c r="H697" s="7"/>
      <c r="I697" s="52" t="s">
        <v>883</v>
      </c>
      <c r="J697" s="7" t="s">
        <v>863</v>
      </c>
      <c r="K697" s="66">
        <f>施工机械台时汇总!$C$24</f>
        <v>2.2013599686643204</v>
      </c>
      <c r="L697" s="7">
        <v>40.049999999999997</v>
      </c>
      <c r="M697" s="53">
        <f t="shared" si="62"/>
        <v>88.164466745006024</v>
      </c>
      <c r="O697" s="7"/>
      <c r="P697" s="52" t="s">
        <v>883</v>
      </c>
      <c r="Q697" s="7" t="s">
        <v>863</v>
      </c>
      <c r="R697" s="66">
        <f>施工机械台时汇总!$C$24</f>
        <v>2.2013599686643204</v>
      </c>
      <c r="S697" s="7">
        <v>40.049999999999997</v>
      </c>
      <c r="T697" s="53">
        <f t="shared" si="63"/>
        <v>88.164466745006024</v>
      </c>
    </row>
    <row r="698" spans="1:20" ht="18" customHeight="1">
      <c r="A698" s="7"/>
      <c r="B698" s="52" t="s">
        <v>407</v>
      </c>
      <c r="C698" s="7" t="s">
        <v>863</v>
      </c>
      <c r="D698" s="7">
        <f>施工机械台时汇总!$C$19</f>
        <v>0.80266353309831595</v>
      </c>
      <c r="E698" s="7">
        <v>83</v>
      </c>
      <c r="F698" s="53">
        <f t="shared" si="61"/>
        <v>66.621073247160226</v>
      </c>
      <c r="H698" s="7"/>
      <c r="I698" s="52" t="s">
        <v>407</v>
      </c>
      <c r="J698" s="7" t="s">
        <v>863</v>
      </c>
      <c r="K698" s="7">
        <f>施工机械台时汇总!$C$19</f>
        <v>0.80266353309831595</v>
      </c>
      <c r="L698" s="7">
        <v>83</v>
      </c>
      <c r="M698" s="53">
        <f t="shared" si="62"/>
        <v>66.621073247160226</v>
      </c>
      <c r="O698" s="7"/>
      <c r="P698" s="52" t="s">
        <v>407</v>
      </c>
      <c r="Q698" s="7" t="s">
        <v>863</v>
      </c>
      <c r="R698" s="7">
        <f>施工机械台时汇总!$C$19</f>
        <v>0.80266353309831595</v>
      </c>
      <c r="S698" s="7">
        <v>83</v>
      </c>
      <c r="T698" s="53">
        <f t="shared" si="63"/>
        <v>66.621073247160226</v>
      </c>
    </row>
    <row r="699" spans="1:20" ht="18" customHeight="1">
      <c r="A699" s="7"/>
      <c r="B699" s="52" t="s">
        <v>840</v>
      </c>
      <c r="C699" s="7" t="s">
        <v>834</v>
      </c>
      <c r="D699" s="66">
        <f>SUM(F693:F698)</f>
        <v>825.93474148452799</v>
      </c>
      <c r="E699" s="7">
        <v>5</v>
      </c>
      <c r="F699" s="53">
        <f>D699*E699/100</f>
        <v>41.296737074226399</v>
      </c>
      <c r="H699" s="7"/>
      <c r="I699" s="52" t="s">
        <v>840</v>
      </c>
      <c r="J699" s="7" t="s">
        <v>834</v>
      </c>
      <c r="K699" s="66">
        <f>SUM(M693:M698)</f>
        <v>825.93474148452799</v>
      </c>
      <c r="L699" s="7">
        <v>5</v>
      </c>
      <c r="M699" s="53">
        <f>K699*L699/100</f>
        <v>41.296737074226399</v>
      </c>
      <c r="O699" s="7"/>
      <c r="P699" s="52" t="s">
        <v>840</v>
      </c>
      <c r="Q699" s="7" t="s">
        <v>834</v>
      </c>
      <c r="R699" s="66">
        <f>SUM(T693:T698)</f>
        <v>825.93474148452799</v>
      </c>
      <c r="S699" s="7">
        <v>5</v>
      </c>
      <c r="T699" s="53">
        <f>R699*S699/100</f>
        <v>41.296737074226399</v>
      </c>
    </row>
    <row r="700" spans="1:20" ht="18" customHeight="1">
      <c r="A700" s="7" t="s">
        <v>884</v>
      </c>
      <c r="B700" s="52" t="s">
        <v>885</v>
      </c>
      <c r="C700" s="7" t="s">
        <v>871</v>
      </c>
      <c r="D700" s="66">
        <f>D654</f>
        <v>5.0269138732471603</v>
      </c>
      <c r="E700" s="7">
        <v>103</v>
      </c>
      <c r="F700" s="53">
        <f>D700*E700</f>
        <v>517.77212894445756</v>
      </c>
      <c r="H700" s="7" t="s">
        <v>884</v>
      </c>
      <c r="I700" s="52" t="s">
        <v>885</v>
      </c>
      <c r="J700" s="7" t="s">
        <v>871</v>
      </c>
      <c r="K700" s="66">
        <f>D700</f>
        <v>5.0269138732471603</v>
      </c>
      <c r="L700" s="7">
        <v>103</v>
      </c>
      <c r="M700" s="53">
        <f>K700*L700</f>
        <v>517.77212894445756</v>
      </c>
      <c r="O700" s="7" t="s">
        <v>884</v>
      </c>
      <c r="P700" s="52" t="s">
        <v>885</v>
      </c>
      <c r="Q700" s="7" t="s">
        <v>871</v>
      </c>
      <c r="R700" s="66">
        <f>K700</f>
        <v>5.0269138732471603</v>
      </c>
      <c r="S700" s="7">
        <v>103</v>
      </c>
      <c r="T700" s="53">
        <f>R700*S700</f>
        <v>517.77212894445756</v>
      </c>
    </row>
    <row r="701" spans="1:20" ht="18" customHeight="1">
      <c r="A701" s="7" t="s">
        <v>886</v>
      </c>
      <c r="B701" s="52" t="s">
        <v>887</v>
      </c>
      <c r="C701" s="7" t="s">
        <v>871</v>
      </c>
      <c r="D701" s="66">
        <f>D655</f>
        <v>5.8974622495064617</v>
      </c>
      <c r="E701" s="7">
        <v>103</v>
      </c>
      <c r="F701" s="53">
        <f>D701*E701</f>
        <v>607.43861169916556</v>
      </c>
      <c r="H701" s="7" t="s">
        <v>886</v>
      </c>
      <c r="I701" s="52" t="s">
        <v>887</v>
      </c>
      <c r="J701" s="7" t="s">
        <v>871</v>
      </c>
      <c r="K701" s="66">
        <f>D701</f>
        <v>5.8974622495064617</v>
      </c>
      <c r="L701" s="7">
        <v>103</v>
      </c>
      <c r="M701" s="53">
        <f>K701*L701</f>
        <v>607.43861169916556</v>
      </c>
      <c r="O701" s="7" t="s">
        <v>886</v>
      </c>
      <c r="P701" s="52" t="s">
        <v>887</v>
      </c>
      <c r="Q701" s="7" t="s">
        <v>871</v>
      </c>
      <c r="R701" s="66">
        <f>K701</f>
        <v>5.8974622495064617</v>
      </c>
      <c r="S701" s="7">
        <v>103</v>
      </c>
      <c r="T701" s="53">
        <f>R701*S701</f>
        <v>607.43861169916556</v>
      </c>
    </row>
    <row r="702" spans="1:20" ht="18" customHeight="1">
      <c r="A702" s="7"/>
      <c r="B702" s="52"/>
      <c r="C702" s="7"/>
      <c r="D702" s="7"/>
      <c r="E702" s="7"/>
      <c r="F702" s="53"/>
      <c r="H702" s="7"/>
      <c r="I702" s="52"/>
      <c r="J702" s="7"/>
      <c r="K702" s="7"/>
      <c r="L702" s="7"/>
      <c r="M702" s="53"/>
      <c r="O702" s="7"/>
      <c r="P702" s="52"/>
      <c r="Q702" s="7"/>
      <c r="R702" s="7"/>
      <c r="S702" s="7"/>
      <c r="T702" s="53"/>
    </row>
    <row r="703" spans="1:20" ht="18" customHeight="1">
      <c r="A703" s="7">
        <v>1.2</v>
      </c>
      <c r="B703" s="52" t="s">
        <v>841</v>
      </c>
      <c r="C703" s="7"/>
      <c r="D703" s="53">
        <f>F678</f>
        <v>33129.741634555379</v>
      </c>
      <c r="E703" s="56">
        <f>E657</f>
        <v>4.8000000000000001E-2</v>
      </c>
      <c r="F703" s="53">
        <f>D703*E703</f>
        <v>1590.2275984586583</v>
      </c>
      <c r="H703" s="7">
        <v>1.2</v>
      </c>
      <c r="I703" s="52" t="s">
        <v>841</v>
      </c>
      <c r="J703" s="7"/>
      <c r="K703" s="53">
        <f>M678</f>
        <v>34206.726062437374</v>
      </c>
      <c r="L703" s="56">
        <f>E703</f>
        <v>4.8000000000000001E-2</v>
      </c>
      <c r="M703" s="53">
        <f>K703*L703</f>
        <v>1641.9228509969939</v>
      </c>
      <c r="O703" s="7">
        <v>1.2</v>
      </c>
      <c r="P703" s="52" t="s">
        <v>841</v>
      </c>
      <c r="Q703" s="7"/>
      <c r="R703" s="53">
        <f>T678</f>
        <v>35408.222597137377</v>
      </c>
      <c r="S703" s="56">
        <f>L703</f>
        <v>4.8000000000000001E-2</v>
      </c>
      <c r="T703" s="53">
        <f>R703*S703</f>
        <v>1699.5946846625941</v>
      </c>
    </row>
    <row r="704" spans="1:20" ht="18" customHeight="1">
      <c r="A704" s="7">
        <v>1.3</v>
      </c>
      <c r="B704" s="52" t="s">
        <v>842</v>
      </c>
      <c r="C704" s="7"/>
      <c r="D704" s="53">
        <f>F678</f>
        <v>33129.741634555379</v>
      </c>
      <c r="E704" s="56">
        <f>E658</f>
        <v>0</v>
      </c>
      <c r="F704" s="53">
        <f>D704*E704</f>
        <v>0</v>
      </c>
      <c r="H704" s="7">
        <v>1.3</v>
      </c>
      <c r="I704" s="52" t="s">
        <v>842</v>
      </c>
      <c r="J704" s="7"/>
      <c r="K704" s="53">
        <f>M678</f>
        <v>34206.726062437374</v>
      </c>
      <c r="L704" s="56">
        <f>E704</f>
        <v>0</v>
      </c>
      <c r="M704" s="53">
        <f>K704*L704</f>
        <v>0</v>
      </c>
      <c r="O704" s="7">
        <v>1.3</v>
      </c>
      <c r="P704" s="52" t="s">
        <v>842</v>
      </c>
      <c r="Q704" s="7"/>
      <c r="R704" s="53">
        <f>T678</f>
        <v>35408.222597137377</v>
      </c>
      <c r="S704" s="56">
        <f>L704</f>
        <v>0</v>
      </c>
      <c r="T704" s="53">
        <f>R704*S704</f>
        <v>0</v>
      </c>
    </row>
    <row r="705" spans="1:20" ht="18" customHeight="1">
      <c r="A705" s="7">
        <v>2</v>
      </c>
      <c r="B705" s="52" t="s">
        <v>182</v>
      </c>
      <c r="C705" s="7"/>
      <c r="D705" s="53">
        <f>F677</f>
        <v>34719.969233014039</v>
      </c>
      <c r="E705" s="56">
        <f>E659</f>
        <v>7.0000000000000007E-2</v>
      </c>
      <c r="F705" s="53">
        <f>D705*E705</f>
        <v>2430.3978463109829</v>
      </c>
      <c r="H705" s="7">
        <v>2</v>
      </c>
      <c r="I705" s="52" t="s">
        <v>182</v>
      </c>
      <c r="J705" s="7"/>
      <c r="K705" s="53">
        <f>M677</f>
        <v>35848.648913434365</v>
      </c>
      <c r="L705" s="56">
        <f>E705</f>
        <v>7.0000000000000007E-2</v>
      </c>
      <c r="M705" s="53">
        <f>K705*L705</f>
        <v>2509.4054239404059</v>
      </c>
      <c r="O705" s="7">
        <v>2</v>
      </c>
      <c r="P705" s="52" t="s">
        <v>182</v>
      </c>
      <c r="Q705" s="7"/>
      <c r="R705" s="53">
        <f>T677</f>
        <v>37107.817281799973</v>
      </c>
      <c r="S705" s="56">
        <f>L705</f>
        <v>7.0000000000000007E-2</v>
      </c>
      <c r="T705" s="53">
        <f>R705*S705</f>
        <v>2597.5472097259985</v>
      </c>
    </row>
    <row r="706" spans="1:20" ht="18" customHeight="1">
      <c r="A706" s="7">
        <v>3</v>
      </c>
      <c r="B706" s="52" t="s">
        <v>843</v>
      </c>
      <c r="C706" s="7"/>
      <c r="D706" s="53">
        <f>F705+F677</f>
        <v>37150.36707932502</v>
      </c>
      <c r="E706" s="56">
        <f>E660</f>
        <v>7.0000000000000007E-2</v>
      </c>
      <c r="F706" s="53">
        <f>D706*E706</f>
        <v>2600.5256955527516</v>
      </c>
      <c r="H706" s="7">
        <v>3</v>
      </c>
      <c r="I706" s="52" t="s">
        <v>843</v>
      </c>
      <c r="J706" s="7"/>
      <c r="K706" s="53">
        <f>M705+M677</f>
        <v>38358.054337374771</v>
      </c>
      <c r="L706" s="56">
        <f>E706</f>
        <v>7.0000000000000007E-2</v>
      </c>
      <c r="M706" s="53">
        <f>K706*L706</f>
        <v>2685.0638036162341</v>
      </c>
      <c r="O706" s="7">
        <v>3</v>
      </c>
      <c r="P706" s="52" t="s">
        <v>843</v>
      </c>
      <c r="Q706" s="7"/>
      <c r="R706" s="53">
        <f>T705+T677</f>
        <v>39705.364491525972</v>
      </c>
      <c r="S706" s="56">
        <f>L706</f>
        <v>7.0000000000000007E-2</v>
      </c>
      <c r="T706" s="53">
        <f>R706*S706</f>
        <v>2779.3755144068182</v>
      </c>
    </row>
    <row r="707" spans="1:20" ht="18" customHeight="1">
      <c r="A707" s="7">
        <v>4</v>
      </c>
      <c r="B707" s="52" t="s">
        <v>184</v>
      </c>
      <c r="C707" s="7"/>
      <c r="D707" s="7"/>
      <c r="E707" s="7"/>
      <c r="F707" s="53">
        <f>SUM(F708:F713)</f>
        <v>3955.6783359057886</v>
      </c>
      <c r="H707" s="7">
        <v>4</v>
      </c>
      <c r="I707" s="52" t="s">
        <v>184</v>
      </c>
      <c r="J707" s="7"/>
      <c r="K707" s="7"/>
      <c r="L707" s="7"/>
      <c r="M707" s="53">
        <f>SUM(M708:M713)</f>
        <v>4664.4950091611609</v>
      </c>
      <c r="O707" s="7">
        <v>4</v>
      </c>
      <c r="P707" s="52" t="s">
        <v>184</v>
      </c>
      <c r="Q707" s="7"/>
      <c r="R707" s="7"/>
      <c r="S707" s="7"/>
      <c r="T707" s="53">
        <f>SUM(T708:T713)</f>
        <v>5081.6257750837131</v>
      </c>
    </row>
    <row r="708" spans="1:20" ht="18" customHeight="1">
      <c r="A708" s="7"/>
      <c r="B708" s="52" t="s">
        <v>354</v>
      </c>
      <c r="C708" s="7" t="s">
        <v>88</v>
      </c>
      <c r="D708" s="7">
        <f>A2</f>
        <v>116.41515</v>
      </c>
      <c r="E708" s="66">
        <f>E689*砼配合!I21</f>
        <v>25.23059572</v>
      </c>
      <c r="F708" s="53">
        <f t="shared" ref="F708:F714" si="64">D708*E708</f>
        <v>2937.2235853331581</v>
      </c>
      <c r="H708" s="7"/>
      <c r="I708" s="52" t="s">
        <v>354</v>
      </c>
      <c r="J708" s="7" t="s">
        <v>88</v>
      </c>
      <c r="K708" s="7">
        <f t="shared" ref="K708:K713" si="65">D708</f>
        <v>116.41515</v>
      </c>
      <c r="L708" s="66">
        <f>L689*砼配合!I15</f>
        <v>31.641290999999999</v>
      </c>
      <c r="M708" s="53">
        <f t="shared" ref="M708:M714" si="66">K708*L708</f>
        <v>3683.5256379586499</v>
      </c>
      <c r="O708" s="7"/>
      <c r="P708" s="52" t="s">
        <v>354</v>
      </c>
      <c r="Q708" s="7" t="s">
        <v>88</v>
      </c>
      <c r="R708" s="7">
        <f t="shared" ref="R708:R713" si="67">K708</f>
        <v>116.41515</v>
      </c>
      <c r="S708" s="66">
        <f>S689*砼配合!I9</f>
        <v>35.035758999999999</v>
      </c>
      <c r="T708" s="53">
        <f t="shared" ref="T708:T714" si="68">R708*S708</f>
        <v>4078.6931393488499</v>
      </c>
    </row>
    <row r="709" spans="1:20" ht="18" customHeight="1">
      <c r="A709" s="7"/>
      <c r="B709" s="52" t="s">
        <v>507</v>
      </c>
      <c r="C709" s="7" t="s">
        <v>871</v>
      </c>
      <c r="D709" s="66">
        <f>D2</f>
        <v>4.6598683999999899</v>
      </c>
      <c r="E709" s="66">
        <f>E689*砼配合!I22</f>
        <v>57.737679999999997</v>
      </c>
      <c r="F709" s="53">
        <f t="shared" si="64"/>
        <v>269.04999052131143</v>
      </c>
      <c r="H709" s="7"/>
      <c r="I709" s="52" t="s">
        <v>507</v>
      </c>
      <c r="J709" s="7" t="s">
        <v>871</v>
      </c>
      <c r="K709" s="7">
        <f t="shared" si="65"/>
        <v>4.6598683999999899</v>
      </c>
      <c r="L709" s="66">
        <f>L689*砼配合!I16</f>
        <v>49.693379999999998</v>
      </c>
      <c r="M709" s="53">
        <f t="shared" si="66"/>
        <v>231.56461115119149</v>
      </c>
      <c r="O709" s="7"/>
      <c r="P709" s="52" t="s">
        <v>507</v>
      </c>
      <c r="Q709" s="7" t="s">
        <v>871</v>
      </c>
      <c r="R709" s="7">
        <f t="shared" si="67"/>
        <v>4.6598683999999899</v>
      </c>
      <c r="S709" s="66">
        <f>S689*砼配合!I10</f>
        <v>54.406660000000002</v>
      </c>
      <c r="T709" s="53">
        <f t="shared" si="68"/>
        <v>253.52787568354347</v>
      </c>
    </row>
    <row r="710" spans="1:20" ht="18" customHeight="1">
      <c r="A710" s="7"/>
      <c r="B710" s="52" t="s">
        <v>509</v>
      </c>
      <c r="C710" s="7" t="s">
        <v>871</v>
      </c>
      <c r="D710" s="66">
        <f>E2</f>
        <v>6.2457299999999902</v>
      </c>
      <c r="E710" s="66">
        <f>E689*砼配合!I23</f>
        <v>86.667083999999988</v>
      </c>
      <c r="F710" s="53">
        <f t="shared" si="64"/>
        <v>541.29920655131912</v>
      </c>
      <c r="H710" s="7"/>
      <c r="I710" s="52" t="s">
        <v>509</v>
      </c>
      <c r="J710" s="7" t="s">
        <v>871</v>
      </c>
      <c r="K710" s="7">
        <f t="shared" si="65"/>
        <v>6.2457299999999902</v>
      </c>
      <c r="L710" s="66">
        <f>L689*砼配合!I17</f>
        <v>86.667083999999988</v>
      </c>
      <c r="M710" s="53">
        <f t="shared" si="66"/>
        <v>541.29920655131912</v>
      </c>
      <c r="O710" s="7"/>
      <c r="P710" s="52" t="s">
        <v>509</v>
      </c>
      <c r="Q710" s="7" t="s">
        <v>871</v>
      </c>
      <c r="R710" s="7">
        <f t="shared" si="67"/>
        <v>6.2457299999999902</v>
      </c>
      <c r="S710" s="66">
        <f>S689*砼配合!I11</f>
        <v>86.667083999999988</v>
      </c>
      <c r="T710" s="53">
        <f t="shared" si="68"/>
        <v>541.29920655131912</v>
      </c>
    </row>
    <row r="711" spans="1:20" ht="18" customHeight="1">
      <c r="A711" s="7"/>
      <c r="B711" s="52" t="s">
        <v>506</v>
      </c>
      <c r="C711" s="7" t="s">
        <v>871</v>
      </c>
      <c r="D711" s="7">
        <f>C2</f>
        <v>0</v>
      </c>
      <c r="E711" s="66">
        <f>E683</f>
        <v>0.4</v>
      </c>
      <c r="F711" s="53">
        <f t="shared" si="64"/>
        <v>0</v>
      </c>
      <c r="H711" s="7"/>
      <c r="I711" s="52" t="s">
        <v>506</v>
      </c>
      <c r="J711" s="7" t="s">
        <v>871</v>
      </c>
      <c r="K711" s="7">
        <f t="shared" si="65"/>
        <v>0</v>
      </c>
      <c r="L711" s="66">
        <f>L683</f>
        <v>0.4</v>
      </c>
      <c r="M711" s="53">
        <f t="shared" si="66"/>
        <v>0</v>
      </c>
      <c r="O711" s="7"/>
      <c r="P711" s="52" t="s">
        <v>506</v>
      </c>
      <c r="Q711" s="7" t="s">
        <v>871</v>
      </c>
      <c r="R711" s="7">
        <f t="shared" si="67"/>
        <v>0</v>
      </c>
      <c r="S711" s="66">
        <f>S683</f>
        <v>0.4</v>
      </c>
      <c r="T711" s="53">
        <f t="shared" si="68"/>
        <v>0</v>
      </c>
    </row>
    <row r="712" spans="1:20" ht="18" customHeight="1">
      <c r="A712" s="7"/>
      <c r="B712" s="52" t="s">
        <v>515</v>
      </c>
      <c r="C712" s="7" t="s">
        <v>844</v>
      </c>
      <c r="D712" s="7">
        <f>G2</f>
        <v>4.7450000000000001</v>
      </c>
      <c r="E712" s="66">
        <f>台时!AK19*砼单价!E693+E694*台时!AZ19</f>
        <v>13.004000000000001</v>
      </c>
      <c r="F712" s="53">
        <f t="shared" si="64"/>
        <v>61.703980000000008</v>
      </c>
      <c r="H712" s="7"/>
      <c r="I712" s="52" t="s">
        <v>515</v>
      </c>
      <c r="J712" s="7" t="s">
        <v>844</v>
      </c>
      <c r="K712" s="7">
        <f t="shared" si="65"/>
        <v>4.7450000000000001</v>
      </c>
      <c r="L712" s="66">
        <f>E712</f>
        <v>13.004000000000001</v>
      </c>
      <c r="M712" s="53">
        <f t="shared" si="66"/>
        <v>61.703980000000008</v>
      </c>
      <c r="O712" s="7"/>
      <c r="P712" s="52" t="s">
        <v>515</v>
      </c>
      <c r="Q712" s="7" t="s">
        <v>844</v>
      </c>
      <c r="R712" s="7">
        <f t="shared" si="67"/>
        <v>4.7450000000000001</v>
      </c>
      <c r="S712" s="66">
        <f>L712</f>
        <v>13.004000000000001</v>
      </c>
      <c r="T712" s="53">
        <f t="shared" si="68"/>
        <v>61.703980000000008</v>
      </c>
    </row>
    <row r="713" spans="1:20" ht="18" customHeight="1">
      <c r="A713" s="7"/>
      <c r="B713" s="52" t="s">
        <v>516</v>
      </c>
      <c r="C713" s="7" t="s">
        <v>844</v>
      </c>
      <c r="D713" s="7">
        <f>H2</f>
        <v>3.51</v>
      </c>
      <c r="E713" s="66">
        <f>砼配合!I63*台时!AN22*砼单价!E701/100</f>
        <v>41.709849999999996</v>
      </c>
      <c r="F713" s="53">
        <f t="shared" si="64"/>
        <v>146.40157349999998</v>
      </c>
      <c r="H713" s="7"/>
      <c r="I713" s="52" t="s">
        <v>516</v>
      </c>
      <c r="J713" s="7" t="s">
        <v>844</v>
      </c>
      <c r="K713" s="7">
        <f t="shared" si="65"/>
        <v>3.51</v>
      </c>
      <c r="L713" s="66">
        <f>E713</f>
        <v>41.709849999999996</v>
      </c>
      <c r="M713" s="53">
        <f t="shared" si="66"/>
        <v>146.40157349999998</v>
      </c>
      <c r="O713" s="7"/>
      <c r="P713" s="52" t="s">
        <v>516</v>
      </c>
      <c r="Q713" s="7" t="s">
        <v>844</v>
      </c>
      <c r="R713" s="7">
        <f t="shared" si="67"/>
        <v>3.51</v>
      </c>
      <c r="S713" s="66">
        <f>L713</f>
        <v>41.709849999999996</v>
      </c>
      <c r="T713" s="53">
        <f t="shared" si="68"/>
        <v>146.40157349999998</v>
      </c>
    </row>
    <row r="714" spans="1:20" ht="18" customHeight="1">
      <c r="A714" s="7">
        <v>5</v>
      </c>
      <c r="B714" s="52" t="s">
        <v>845</v>
      </c>
      <c r="C714" s="7"/>
      <c r="D714" s="53">
        <f>F677+F705+F706+F707</f>
        <v>43706.57111078356</v>
      </c>
      <c r="E714" s="56">
        <f>E668</f>
        <v>0.09</v>
      </c>
      <c r="F714" s="53">
        <f t="shared" si="64"/>
        <v>3933.5913999705203</v>
      </c>
      <c r="H714" s="7">
        <v>5</v>
      </c>
      <c r="I714" s="52" t="s">
        <v>845</v>
      </c>
      <c r="J714" s="7"/>
      <c r="K714" s="53">
        <f>M677+M705+M706+M707</f>
        <v>45707.613150152167</v>
      </c>
      <c r="L714" s="56">
        <f>E714</f>
        <v>0.09</v>
      </c>
      <c r="M714" s="53">
        <f t="shared" si="66"/>
        <v>4113.6851835136949</v>
      </c>
      <c r="O714" s="7">
        <v>5</v>
      </c>
      <c r="P714" s="52" t="s">
        <v>845</v>
      </c>
      <c r="Q714" s="7"/>
      <c r="R714" s="53">
        <f>T677+T705+T706+T707</f>
        <v>47566.365781016502</v>
      </c>
      <c r="S714" s="56">
        <f>L714</f>
        <v>0.09</v>
      </c>
      <c r="T714" s="53">
        <f t="shared" si="68"/>
        <v>4280.972920291485</v>
      </c>
    </row>
    <row r="715" spans="1:20" ht="18" customHeight="1">
      <c r="A715" s="7">
        <v>6</v>
      </c>
      <c r="B715" s="52" t="s">
        <v>7</v>
      </c>
      <c r="C715" s="7"/>
      <c r="D715" s="7"/>
      <c r="E715" s="7"/>
      <c r="F715" s="53">
        <f>D714+F714</f>
        <v>47640.162510754082</v>
      </c>
      <c r="H715" s="7">
        <v>6</v>
      </c>
      <c r="I715" s="52" t="s">
        <v>7</v>
      </c>
      <c r="J715" s="7"/>
      <c r="K715" s="7"/>
      <c r="L715" s="7"/>
      <c r="M715" s="53">
        <f>K714+M714</f>
        <v>49821.298333665865</v>
      </c>
      <c r="O715" s="7">
        <v>6</v>
      </c>
      <c r="P715" s="52" t="s">
        <v>7</v>
      </c>
      <c r="Q715" s="7"/>
      <c r="R715" s="7"/>
      <c r="S715" s="7"/>
      <c r="T715" s="53">
        <f>R714+T714</f>
        <v>51847.338701307985</v>
      </c>
    </row>
    <row r="716" spans="1:20" ht="18" customHeight="1">
      <c r="A716" s="7"/>
      <c r="B716" s="52" t="s">
        <v>846</v>
      </c>
      <c r="C716" s="7"/>
      <c r="D716" s="53">
        <f>F715</f>
        <v>47640.162510754082</v>
      </c>
      <c r="E716" s="56">
        <f>E670</f>
        <v>0.03</v>
      </c>
      <c r="F716" s="53">
        <f>E716*D716</f>
        <v>1429.2048753226225</v>
      </c>
      <c r="H716" s="7"/>
      <c r="I716" s="52" t="s">
        <v>846</v>
      </c>
      <c r="J716" s="7"/>
      <c r="K716" s="53">
        <f>M715</f>
        <v>49821.298333665865</v>
      </c>
      <c r="L716" s="56">
        <f>E716</f>
        <v>0.03</v>
      </c>
      <c r="M716" s="53">
        <f>L716*K716</f>
        <v>1494.6389500099758</v>
      </c>
      <c r="O716" s="7"/>
      <c r="P716" s="52" t="s">
        <v>846</v>
      </c>
      <c r="Q716" s="7"/>
      <c r="R716" s="53">
        <f>T715</f>
        <v>51847.338701307985</v>
      </c>
      <c r="S716" s="56">
        <f>L716</f>
        <v>0.03</v>
      </c>
      <c r="T716" s="53">
        <f>S716*R716</f>
        <v>1555.4201610392395</v>
      </c>
    </row>
    <row r="717" spans="1:20" ht="18" customHeight="1">
      <c r="A717" s="7"/>
      <c r="B717" s="52" t="s">
        <v>44</v>
      </c>
      <c r="C717" s="7"/>
      <c r="D717" s="7"/>
      <c r="E717" s="7"/>
      <c r="F717" s="53">
        <f>SUM(F715:F716)</f>
        <v>49069.367386076701</v>
      </c>
      <c r="H717" s="7"/>
      <c r="I717" s="52" t="s">
        <v>44</v>
      </c>
      <c r="J717" s="7"/>
      <c r="K717" s="7"/>
      <c r="L717" s="7"/>
      <c r="M717" s="53">
        <f>SUM(M715:M716)</f>
        <v>51315.937283675841</v>
      </c>
      <c r="O717" s="7"/>
      <c r="P717" s="52" t="s">
        <v>44</v>
      </c>
      <c r="Q717" s="7"/>
      <c r="R717" s="7"/>
      <c r="S717" s="7"/>
      <c r="T717" s="53">
        <f>SUM(T715:T716)</f>
        <v>53402.758862347226</v>
      </c>
    </row>
    <row r="718" spans="1:20" ht="22.5" customHeight="1">
      <c r="A718" s="461" t="s">
        <v>813</v>
      </c>
      <c r="B718" s="461"/>
      <c r="C718" s="461"/>
      <c r="D718" s="461"/>
      <c r="E718" s="461"/>
      <c r="F718" s="461"/>
    </row>
    <row r="719" spans="1:20" ht="18" customHeight="1">
      <c r="A719" s="462" t="s">
        <v>907</v>
      </c>
      <c r="B719" s="462"/>
      <c r="C719" s="462"/>
      <c r="D719" s="462"/>
      <c r="E719" s="462"/>
      <c r="F719" s="462"/>
    </row>
    <row r="720" spans="1:20" ht="18" customHeight="1">
      <c r="A720" s="47" t="s">
        <v>815</v>
      </c>
      <c r="B720" s="49">
        <v>4073</v>
      </c>
      <c r="D720" s="46"/>
      <c r="E720" s="47" t="s">
        <v>169</v>
      </c>
      <c r="F720" s="49" t="s">
        <v>869</v>
      </c>
    </row>
    <row r="721" spans="1:6" ht="18" customHeight="1">
      <c r="A721" s="50" t="s">
        <v>817</v>
      </c>
      <c r="B721" s="458"/>
      <c r="C721" s="459"/>
      <c r="D721" s="459"/>
      <c r="E721" s="459"/>
      <c r="F721" s="460"/>
    </row>
    <row r="722" spans="1:6" ht="18" customHeight="1">
      <c r="A722" s="7" t="s">
        <v>1</v>
      </c>
      <c r="B722" s="52" t="s">
        <v>344</v>
      </c>
      <c r="C722" s="7" t="s">
        <v>818</v>
      </c>
      <c r="D722" s="7" t="s">
        <v>819</v>
      </c>
      <c r="E722" s="7" t="s">
        <v>820</v>
      </c>
      <c r="F722" s="7" t="s">
        <v>821</v>
      </c>
    </row>
    <row r="723" spans="1:6" ht="18" customHeight="1">
      <c r="A723" s="7">
        <v>1</v>
      </c>
      <c r="B723" s="52" t="s">
        <v>822</v>
      </c>
      <c r="C723" s="7"/>
      <c r="D723" s="7"/>
      <c r="E723" s="7"/>
      <c r="F723" s="53">
        <f>F724+F750+F751</f>
        <v>29381.455280625873</v>
      </c>
    </row>
    <row r="724" spans="1:6" ht="18" customHeight="1">
      <c r="A724" s="7">
        <v>1.1000000000000001</v>
      </c>
      <c r="B724" s="52" t="s">
        <v>823</v>
      </c>
      <c r="C724" s="7"/>
      <c r="D724" s="7"/>
      <c r="E724" s="7"/>
      <c r="F724" s="53">
        <f>F725+F728+F739+F747+F748+F749</f>
        <v>28035.739771589571</v>
      </c>
    </row>
    <row r="725" spans="1:6" ht="18" customHeight="1">
      <c r="A725" s="7" t="s">
        <v>47</v>
      </c>
      <c r="B725" s="52" t="s">
        <v>176</v>
      </c>
      <c r="C725" s="7"/>
      <c r="D725" s="7"/>
      <c r="E725" s="7"/>
      <c r="F725" s="53">
        <f>F726+F727</f>
        <v>6269.5360000000001</v>
      </c>
    </row>
    <row r="726" spans="1:6" ht="18" customHeight="1">
      <c r="A726" s="7"/>
      <c r="B726" s="52" t="s">
        <v>824</v>
      </c>
      <c r="C726" s="7" t="s">
        <v>825</v>
      </c>
      <c r="D726" s="7">
        <v>8.1</v>
      </c>
      <c r="E726" s="7">
        <v>413</v>
      </c>
      <c r="F726" s="53">
        <f>D726*E726</f>
        <v>3345.3</v>
      </c>
    </row>
    <row r="727" spans="1:6" ht="18" customHeight="1">
      <c r="A727" s="7"/>
      <c r="B727" s="52" t="s">
        <v>826</v>
      </c>
      <c r="C727" s="7" t="s">
        <v>825</v>
      </c>
      <c r="D727" s="7">
        <v>5.77</v>
      </c>
      <c r="E727" s="7">
        <v>506.8</v>
      </c>
      <c r="F727" s="53">
        <f>D727*E727</f>
        <v>2924.2359999999999</v>
      </c>
    </row>
    <row r="728" spans="1:6" ht="18" customHeight="1">
      <c r="A728" s="7" t="s">
        <v>57</v>
      </c>
      <c r="B728" s="52" t="s">
        <v>177</v>
      </c>
      <c r="C728" s="7"/>
      <c r="D728" s="7"/>
      <c r="E728" s="7"/>
      <c r="F728" s="53">
        <f>SUM(F729:F738)</f>
        <v>19853.237067000002</v>
      </c>
    </row>
    <row r="729" spans="1:6" ht="18" customHeight="1">
      <c r="A729" s="7"/>
      <c r="B729" s="52" t="s">
        <v>870</v>
      </c>
      <c r="C729" s="7" t="s">
        <v>871</v>
      </c>
      <c r="D729" s="7">
        <f>D683</f>
        <v>1874.0778</v>
      </c>
      <c r="E729" s="7">
        <v>0</v>
      </c>
      <c r="F729" s="53">
        <f t="shared" ref="F729:F737" si="69">D729*E729</f>
        <v>0</v>
      </c>
    </row>
    <row r="730" spans="1:6" ht="18" customHeight="1">
      <c r="A730" s="7"/>
      <c r="B730" s="52" t="s">
        <v>375</v>
      </c>
      <c r="C730" s="7" t="s">
        <v>844</v>
      </c>
      <c r="D730" s="7">
        <f>次要材料汇总!$F$9</f>
        <v>6</v>
      </c>
      <c r="E730" s="7">
        <v>0</v>
      </c>
      <c r="F730" s="53">
        <f t="shared" si="69"/>
        <v>0</v>
      </c>
    </row>
    <row r="731" spans="1:6" ht="18" customHeight="1">
      <c r="A731" s="7"/>
      <c r="B731" s="52" t="s">
        <v>873</v>
      </c>
      <c r="C731" s="7" t="s">
        <v>844</v>
      </c>
      <c r="D731" s="7">
        <f>次要材料汇总!$F$10</f>
        <v>5.5</v>
      </c>
      <c r="E731" s="7">
        <v>50</v>
      </c>
      <c r="F731" s="53">
        <f t="shared" si="69"/>
        <v>275</v>
      </c>
    </row>
    <row r="732" spans="1:6" ht="18" customHeight="1">
      <c r="A732" s="7"/>
      <c r="B732" s="52" t="s">
        <v>874</v>
      </c>
      <c r="C732" s="7" t="s">
        <v>844</v>
      </c>
      <c r="D732" s="7">
        <f>次要材料汇总!$F$11</f>
        <v>6.5</v>
      </c>
      <c r="E732" s="7">
        <v>0</v>
      </c>
      <c r="F732" s="53">
        <f t="shared" si="69"/>
        <v>0</v>
      </c>
    </row>
    <row r="733" spans="1:6" ht="18" customHeight="1">
      <c r="A733" s="7"/>
      <c r="B733" s="52" t="s">
        <v>875</v>
      </c>
      <c r="C733" s="7" t="s">
        <v>844</v>
      </c>
      <c r="D733" s="7">
        <f>次要材料汇总!$F$5</f>
        <v>8</v>
      </c>
      <c r="E733" s="7">
        <v>0</v>
      </c>
      <c r="F733" s="53">
        <f t="shared" si="69"/>
        <v>0</v>
      </c>
    </row>
    <row r="734" spans="1:6" ht="18" customHeight="1">
      <c r="A734" s="7"/>
      <c r="B734" s="52" t="s">
        <v>372</v>
      </c>
      <c r="C734" s="7" t="s">
        <v>844</v>
      </c>
      <c r="D734" s="7">
        <f>次要材料汇总!$F$6</f>
        <v>7.4</v>
      </c>
      <c r="E734" s="7">
        <v>0</v>
      </c>
      <c r="F734" s="53">
        <f t="shared" si="69"/>
        <v>0</v>
      </c>
    </row>
    <row r="735" spans="1:6" ht="18" customHeight="1">
      <c r="A735" s="7"/>
      <c r="B735" s="52" t="s">
        <v>876</v>
      </c>
      <c r="C735" s="7" t="s">
        <v>844</v>
      </c>
      <c r="D735" s="7">
        <f>次要材料汇总!$F$12</f>
        <v>7.5</v>
      </c>
      <c r="E735" s="7">
        <v>0</v>
      </c>
      <c r="F735" s="53">
        <f t="shared" si="69"/>
        <v>0</v>
      </c>
    </row>
    <row r="736" spans="1:6" ht="18" customHeight="1">
      <c r="A736" s="7"/>
      <c r="B736" s="52" t="s">
        <v>877</v>
      </c>
      <c r="C736" s="7" t="s">
        <v>871</v>
      </c>
      <c r="D736" s="55">
        <f>砼配合!J8</f>
        <v>183.29938899999999</v>
      </c>
      <c r="E736" s="7">
        <v>103</v>
      </c>
      <c r="F736" s="53">
        <f t="shared" si="69"/>
        <v>18879.837067</v>
      </c>
    </row>
    <row r="737" spans="1:6" ht="18" customHeight="1">
      <c r="A737" s="7"/>
      <c r="B737" s="52" t="s">
        <v>806</v>
      </c>
      <c r="C737" s="7" t="s">
        <v>871</v>
      </c>
      <c r="D737" s="7">
        <f>D690</f>
        <v>3.88</v>
      </c>
      <c r="E737" s="7">
        <v>180</v>
      </c>
      <c r="F737" s="53">
        <f t="shared" si="69"/>
        <v>698.4</v>
      </c>
    </row>
    <row r="738" spans="1:6" ht="18" customHeight="1">
      <c r="A738" s="7"/>
      <c r="B738" s="52" t="s">
        <v>833</v>
      </c>
      <c r="C738" s="7" t="s">
        <v>834</v>
      </c>
      <c r="D738" s="7">
        <f>SUM(F729:F737)</f>
        <v>19853.237067000002</v>
      </c>
      <c r="E738" s="7">
        <v>0</v>
      </c>
      <c r="F738" s="53">
        <f>D738*E738/100</f>
        <v>0</v>
      </c>
    </row>
    <row r="739" spans="1:6" ht="18" customHeight="1">
      <c r="A739" s="7" t="s">
        <v>835</v>
      </c>
      <c r="B739" s="52" t="s">
        <v>836</v>
      </c>
      <c r="C739" s="7"/>
      <c r="D739" s="7"/>
      <c r="E739" s="7"/>
      <c r="F739" s="53">
        <f>SUM(F740:F746)</f>
        <v>787.75596394594606</v>
      </c>
    </row>
    <row r="740" spans="1:6" ht="18" customHeight="1">
      <c r="A740" s="7"/>
      <c r="B740" s="52" t="s">
        <v>878</v>
      </c>
      <c r="C740" s="7" t="s">
        <v>863</v>
      </c>
      <c r="D740" s="7">
        <f>施工机械台时汇总!$C$42</f>
        <v>49.210305522914197</v>
      </c>
      <c r="E740" s="7">
        <v>0</v>
      </c>
      <c r="F740" s="53">
        <f t="shared" ref="F740:F745" si="70">D740*E740</f>
        <v>0</v>
      </c>
    </row>
    <row r="741" spans="1:6" ht="18" customHeight="1">
      <c r="A741" s="7"/>
      <c r="B741" s="52" t="s">
        <v>879</v>
      </c>
      <c r="C741" s="7" t="s">
        <v>863</v>
      </c>
      <c r="D741" s="7">
        <f>施工机械台时汇总!$C$57</f>
        <v>62.128971797884901</v>
      </c>
      <c r="E741" s="7">
        <v>0</v>
      </c>
      <c r="F741" s="53">
        <f t="shared" si="70"/>
        <v>0</v>
      </c>
    </row>
    <row r="742" spans="1:6" ht="18" customHeight="1">
      <c r="A742" s="7"/>
      <c r="B742" s="52" t="s">
        <v>881</v>
      </c>
      <c r="C742" s="7" t="s">
        <v>863</v>
      </c>
      <c r="D742" s="7">
        <f>施工机械台时汇总!$C$40</f>
        <v>15.582226792009401</v>
      </c>
      <c r="E742" s="7">
        <v>0</v>
      </c>
      <c r="F742" s="53">
        <f t="shared" si="70"/>
        <v>0</v>
      </c>
    </row>
    <row r="743" spans="1:6" ht="18" customHeight="1">
      <c r="A743" s="7"/>
      <c r="B743" s="52" t="s">
        <v>882</v>
      </c>
      <c r="C743" s="7" t="s">
        <v>863</v>
      </c>
      <c r="D743" s="7">
        <f>施工机械台时汇总!$C$21</f>
        <v>28.129680376028197</v>
      </c>
      <c r="E743" s="7">
        <v>18.54</v>
      </c>
      <c r="F743" s="53">
        <f t="shared" si="70"/>
        <v>521.52427417156275</v>
      </c>
    </row>
    <row r="744" spans="1:6" ht="18" customHeight="1">
      <c r="A744" s="7"/>
      <c r="B744" s="52" t="s">
        <v>883</v>
      </c>
      <c r="C744" s="7" t="s">
        <v>863</v>
      </c>
      <c r="D744" s="7">
        <f>施工机械台时汇总!$C$24</f>
        <v>2.2013599686643204</v>
      </c>
      <c r="E744" s="7">
        <v>44</v>
      </c>
      <c r="F744" s="53">
        <f t="shared" si="70"/>
        <v>96.859838621230097</v>
      </c>
    </row>
    <row r="745" spans="1:6" ht="18" customHeight="1">
      <c r="A745" s="7"/>
      <c r="B745" s="52" t="s">
        <v>407</v>
      </c>
      <c r="C745" s="7" t="s">
        <v>863</v>
      </c>
      <c r="D745" s="7">
        <f>施工机械台时汇总!$C$19</f>
        <v>0.80266353309831595</v>
      </c>
      <c r="E745" s="7">
        <v>83</v>
      </c>
      <c r="F745" s="53">
        <f t="shared" si="70"/>
        <v>66.621073247160226</v>
      </c>
    </row>
    <row r="746" spans="1:6" ht="18" customHeight="1">
      <c r="A746" s="7"/>
      <c r="B746" s="52" t="s">
        <v>840</v>
      </c>
      <c r="C746" s="7" t="s">
        <v>834</v>
      </c>
      <c r="D746" s="7">
        <f>SUM(F740:F745)</f>
        <v>685.00518603995306</v>
      </c>
      <c r="E746" s="7">
        <v>15</v>
      </c>
      <c r="F746" s="53">
        <f>D746*E746/100</f>
        <v>102.75077790599296</v>
      </c>
    </row>
    <row r="747" spans="1:6" ht="18" customHeight="1">
      <c r="A747" s="7" t="s">
        <v>884</v>
      </c>
      <c r="B747" s="52" t="s">
        <v>885</v>
      </c>
      <c r="C747" s="7" t="s">
        <v>871</v>
      </c>
      <c r="D747" s="7">
        <f>D700</f>
        <v>5.0269138732471603</v>
      </c>
      <c r="E747" s="7">
        <v>103</v>
      </c>
      <c r="F747" s="53">
        <f>D747*E747</f>
        <v>517.77212894445756</v>
      </c>
    </row>
    <row r="748" spans="1:6" ht="18" customHeight="1">
      <c r="A748" s="7" t="s">
        <v>886</v>
      </c>
      <c r="B748" s="52" t="s">
        <v>887</v>
      </c>
      <c r="C748" s="7" t="s">
        <v>871</v>
      </c>
      <c r="D748" s="7">
        <f>D701</f>
        <v>5.8974622495064617</v>
      </c>
      <c r="E748" s="7">
        <v>103</v>
      </c>
      <c r="F748" s="53">
        <f>D748*E748</f>
        <v>607.43861169916556</v>
      </c>
    </row>
    <row r="749" spans="1:6" ht="18" customHeight="1">
      <c r="A749" s="7"/>
      <c r="B749" s="52"/>
      <c r="C749" s="7"/>
      <c r="D749" s="7"/>
      <c r="E749" s="7"/>
      <c r="F749" s="53"/>
    </row>
    <row r="750" spans="1:6" ht="18" customHeight="1">
      <c r="A750" s="7">
        <v>1.2</v>
      </c>
      <c r="B750" s="52" t="s">
        <v>841</v>
      </c>
      <c r="C750" s="7"/>
      <c r="D750" s="7">
        <f>F724</f>
        <v>28035.739771589571</v>
      </c>
      <c r="E750" s="56">
        <f>E703</f>
        <v>4.8000000000000001E-2</v>
      </c>
      <c r="F750" s="53">
        <f>D750*E750</f>
        <v>1345.7155090362994</v>
      </c>
    </row>
    <row r="751" spans="1:6" ht="18" customHeight="1">
      <c r="A751" s="7">
        <v>1.3</v>
      </c>
      <c r="B751" s="52" t="s">
        <v>842</v>
      </c>
      <c r="C751" s="7"/>
      <c r="D751" s="7">
        <f>F724</f>
        <v>28035.739771589571</v>
      </c>
      <c r="E751" s="56">
        <f>E704</f>
        <v>0</v>
      </c>
      <c r="F751" s="53">
        <f>D751*E751</f>
        <v>0</v>
      </c>
    </row>
    <row r="752" spans="1:6" ht="18" customHeight="1">
      <c r="A752" s="7">
        <v>2</v>
      </c>
      <c r="B752" s="52" t="s">
        <v>182</v>
      </c>
      <c r="C752" s="7"/>
      <c r="D752" s="7">
        <f>F723</f>
        <v>29381.455280625873</v>
      </c>
      <c r="E752" s="56">
        <f>E705</f>
        <v>7.0000000000000007E-2</v>
      </c>
      <c r="F752" s="53">
        <f>D752*E752</f>
        <v>2056.7018696438113</v>
      </c>
    </row>
    <row r="753" spans="1:6" ht="18" customHeight="1">
      <c r="A753" s="7">
        <v>3</v>
      </c>
      <c r="B753" s="52" t="s">
        <v>843</v>
      </c>
      <c r="C753" s="7"/>
      <c r="D753" s="7">
        <f>F752+F723</f>
        <v>31438.157150269682</v>
      </c>
      <c r="E753" s="56">
        <f>E706</f>
        <v>7.0000000000000007E-2</v>
      </c>
      <c r="F753" s="53">
        <f>D753*E753</f>
        <v>2200.6710005188779</v>
      </c>
    </row>
    <row r="754" spans="1:6" ht="18" customHeight="1">
      <c r="A754" s="7">
        <v>4</v>
      </c>
      <c r="B754" s="52" t="s">
        <v>184</v>
      </c>
      <c r="C754" s="7"/>
      <c r="D754" s="7"/>
      <c r="E754" s="7"/>
      <c r="F754" s="53">
        <f>SUM(F755:F760)</f>
        <v>5019.9217950837128</v>
      </c>
    </row>
    <row r="755" spans="1:6" ht="18" customHeight="1">
      <c r="A755" s="7"/>
      <c r="B755" s="52" t="s">
        <v>354</v>
      </c>
      <c r="C755" s="7" t="s">
        <v>88</v>
      </c>
      <c r="D755" s="7">
        <f>A2</f>
        <v>116.41515</v>
      </c>
      <c r="E755" s="66">
        <f>E736*砼配合!I9</f>
        <v>35.035758999999999</v>
      </c>
      <c r="F755" s="53">
        <f t="shared" ref="F755:F761" si="71">D755*E755</f>
        <v>4078.6931393488499</v>
      </c>
    </row>
    <row r="756" spans="1:6" ht="18" customHeight="1">
      <c r="A756" s="7"/>
      <c r="B756" s="52" t="s">
        <v>507</v>
      </c>
      <c r="C756" s="7" t="s">
        <v>871</v>
      </c>
      <c r="D756" s="66">
        <f>D709</f>
        <v>4.6598683999999899</v>
      </c>
      <c r="E756" s="66">
        <f>E736*砼配合!I10</f>
        <v>54.406660000000002</v>
      </c>
      <c r="F756" s="53">
        <f t="shared" si="71"/>
        <v>253.52787568354347</v>
      </c>
    </row>
    <row r="757" spans="1:6" ht="18" customHeight="1">
      <c r="A757" s="7"/>
      <c r="B757" s="52" t="s">
        <v>509</v>
      </c>
      <c r="C757" s="7" t="s">
        <v>871</v>
      </c>
      <c r="D757" s="66">
        <f>D710</f>
        <v>6.2457299999999902</v>
      </c>
      <c r="E757" s="66">
        <f>E736*砼配合!I11</f>
        <v>86.667083999999988</v>
      </c>
      <c r="F757" s="53">
        <f t="shared" si="71"/>
        <v>541.29920655131912</v>
      </c>
    </row>
    <row r="758" spans="1:6" ht="18" customHeight="1">
      <c r="A758" s="7"/>
      <c r="B758" s="52" t="s">
        <v>506</v>
      </c>
      <c r="C758" s="7" t="s">
        <v>871</v>
      </c>
      <c r="D758" s="7">
        <f>D711</f>
        <v>0</v>
      </c>
      <c r="E758" s="7">
        <f>E729</f>
        <v>0</v>
      </c>
      <c r="F758" s="53">
        <f t="shared" si="71"/>
        <v>0</v>
      </c>
    </row>
    <row r="759" spans="1:6" ht="18" customHeight="1">
      <c r="A759" s="7"/>
      <c r="B759" s="52" t="s">
        <v>515</v>
      </c>
      <c r="C759" s="7" t="s">
        <v>844</v>
      </c>
      <c r="D759" s="7">
        <f>D712</f>
        <v>4.7450000000000001</v>
      </c>
      <c r="E759" s="7">
        <f>台时!AK19*砼单价!E740+E741*台时!AZ19</f>
        <v>0</v>
      </c>
      <c r="F759" s="53">
        <f t="shared" si="71"/>
        <v>0</v>
      </c>
    </row>
    <row r="760" spans="1:6" ht="18" customHeight="1">
      <c r="A760" s="7"/>
      <c r="B760" s="52" t="s">
        <v>516</v>
      </c>
      <c r="C760" s="7" t="s">
        <v>844</v>
      </c>
      <c r="D760" s="7">
        <f>D713</f>
        <v>3.51</v>
      </c>
      <c r="E760" s="66">
        <f>砼配合!I63*台时!AN22*砼单价!E748/100</f>
        <v>41.709849999999996</v>
      </c>
      <c r="F760" s="53">
        <f t="shared" si="71"/>
        <v>146.40157349999998</v>
      </c>
    </row>
    <row r="761" spans="1:6" ht="18" customHeight="1">
      <c r="A761" s="7">
        <v>5</v>
      </c>
      <c r="B761" s="52" t="s">
        <v>845</v>
      </c>
      <c r="C761" s="7"/>
      <c r="D761" s="53">
        <f>F723+F752+F753+F754</f>
        <v>38658.749945872274</v>
      </c>
      <c r="E761" s="56">
        <f>E714</f>
        <v>0.09</v>
      </c>
      <c r="F761" s="53">
        <f t="shared" si="71"/>
        <v>3479.2874951285044</v>
      </c>
    </row>
    <row r="762" spans="1:6" ht="18" customHeight="1">
      <c r="A762" s="7">
        <v>6</v>
      </c>
      <c r="B762" s="52" t="s">
        <v>7</v>
      </c>
      <c r="C762" s="7"/>
      <c r="D762" s="7"/>
      <c r="E762" s="7"/>
      <c r="F762" s="53">
        <f>D761+F761</f>
        <v>42138.037441000779</v>
      </c>
    </row>
    <row r="763" spans="1:6" ht="18" customHeight="1">
      <c r="A763" s="7"/>
      <c r="B763" s="52" t="s">
        <v>846</v>
      </c>
      <c r="C763" s="7"/>
      <c r="D763" s="53">
        <f>F762</f>
        <v>42138.037441000779</v>
      </c>
      <c r="E763" s="56">
        <f>E716</f>
        <v>0.03</v>
      </c>
      <c r="F763" s="53">
        <f>E763*D763</f>
        <v>1264.1411232300234</v>
      </c>
    </row>
    <row r="764" spans="1:6" ht="18" customHeight="1">
      <c r="A764" s="7"/>
      <c r="B764" s="52" t="s">
        <v>44</v>
      </c>
      <c r="C764" s="7"/>
      <c r="D764" s="7"/>
      <c r="E764" s="7"/>
      <c r="F764" s="53">
        <f>SUM(F762:F763)</f>
        <v>43402.178564230802</v>
      </c>
    </row>
    <row r="765" spans="1:6" ht="22.5" customHeight="1">
      <c r="A765" s="480" t="s">
        <v>908</v>
      </c>
      <c r="B765" s="480"/>
      <c r="C765" s="480"/>
      <c r="D765" s="480"/>
      <c r="E765" s="480"/>
      <c r="F765" s="480"/>
    </row>
    <row r="766" spans="1:6" ht="18" customHeight="1">
      <c r="A766" s="462" t="s">
        <v>909</v>
      </c>
      <c r="B766" s="462"/>
      <c r="C766" s="462"/>
      <c r="D766" s="462"/>
      <c r="E766" s="462"/>
      <c r="F766" s="462"/>
    </row>
    <row r="767" spans="1:6" ht="18" customHeight="1">
      <c r="A767" s="47" t="s">
        <v>894</v>
      </c>
      <c r="B767" s="49">
        <v>4076</v>
      </c>
      <c r="D767" s="46"/>
      <c r="E767" s="47" t="s">
        <v>169</v>
      </c>
      <c r="F767" s="49" t="s">
        <v>869</v>
      </c>
    </row>
    <row r="768" spans="1:6" ht="18" customHeight="1">
      <c r="A768" s="50" t="s">
        <v>817</v>
      </c>
      <c r="B768" s="458"/>
      <c r="C768" s="459"/>
      <c r="D768" s="459"/>
      <c r="E768" s="459"/>
      <c r="F768" s="460"/>
    </row>
    <row r="769" spans="1:6" ht="18" customHeight="1">
      <c r="A769" s="7" t="s">
        <v>1</v>
      </c>
      <c r="B769" s="52" t="s">
        <v>344</v>
      </c>
      <c r="C769" s="7" t="s">
        <v>818</v>
      </c>
      <c r="D769" s="7" t="s">
        <v>819</v>
      </c>
      <c r="E769" s="7" t="s">
        <v>820</v>
      </c>
      <c r="F769" s="7" t="s">
        <v>821</v>
      </c>
    </row>
    <row r="770" spans="1:6" ht="18" customHeight="1">
      <c r="A770" s="7">
        <v>1</v>
      </c>
      <c r="B770" s="52" t="s">
        <v>822</v>
      </c>
      <c r="C770" s="7"/>
      <c r="D770" s="7"/>
      <c r="E770" s="7"/>
      <c r="F770" s="53">
        <f>F771+F797+F798</f>
        <v>35778.033757497135</v>
      </c>
    </row>
    <row r="771" spans="1:6" ht="18" customHeight="1">
      <c r="A771" s="7">
        <v>1.1000000000000001</v>
      </c>
      <c r="B771" s="52" t="s">
        <v>823</v>
      </c>
      <c r="C771" s="7"/>
      <c r="D771" s="7"/>
      <c r="E771" s="7"/>
      <c r="F771" s="53">
        <f>F772+F775+F786+F794+F795+F796</f>
        <v>34139.345188451465</v>
      </c>
    </row>
    <row r="772" spans="1:6" ht="18" customHeight="1">
      <c r="A772" s="7" t="s">
        <v>47</v>
      </c>
      <c r="B772" s="52" t="s">
        <v>176</v>
      </c>
      <c r="C772" s="7"/>
      <c r="D772" s="7"/>
      <c r="E772" s="7"/>
      <c r="F772" s="53">
        <f>F773+F774</f>
        <v>10095.936</v>
      </c>
    </row>
    <row r="773" spans="1:6" ht="18" customHeight="1">
      <c r="A773" s="7"/>
      <c r="B773" s="52" t="s">
        <v>824</v>
      </c>
      <c r="C773" s="7" t="s">
        <v>825</v>
      </c>
      <c r="D773" s="7">
        <v>8.1</v>
      </c>
      <c r="E773" s="7">
        <v>862.6</v>
      </c>
      <c r="F773" s="53">
        <f>D773*E773</f>
        <v>6987.06</v>
      </c>
    </row>
    <row r="774" spans="1:6" ht="18" customHeight="1">
      <c r="A774" s="7"/>
      <c r="B774" s="52" t="s">
        <v>826</v>
      </c>
      <c r="C774" s="7" t="s">
        <v>825</v>
      </c>
      <c r="D774" s="7">
        <v>5.77</v>
      </c>
      <c r="E774" s="7">
        <v>538.79999999999995</v>
      </c>
      <c r="F774" s="53">
        <f>D774*E774</f>
        <v>3108.8760000000002</v>
      </c>
    </row>
    <row r="775" spans="1:6" ht="18" customHeight="1">
      <c r="A775" s="7" t="s">
        <v>57</v>
      </c>
      <c r="B775" s="52" t="s">
        <v>177</v>
      </c>
      <c r="C775" s="7"/>
      <c r="D775" s="7"/>
      <c r="E775" s="7"/>
      <c r="F775" s="53">
        <f>SUM(F776:F785)</f>
        <v>21860.171084470003</v>
      </c>
    </row>
    <row r="776" spans="1:6" ht="18" customHeight="1">
      <c r="A776" s="7"/>
      <c r="B776" s="52" t="s">
        <v>870</v>
      </c>
      <c r="C776" s="7" t="s">
        <v>871</v>
      </c>
      <c r="D776" s="7">
        <f>D729</f>
        <v>1874.0778</v>
      </c>
      <c r="E776" s="7">
        <v>0.6</v>
      </c>
      <c r="F776" s="53">
        <f t="shared" ref="F776:F784" si="72">D776*E776</f>
        <v>1124.44668</v>
      </c>
    </row>
    <row r="777" spans="1:6" ht="18" customHeight="1">
      <c r="A777" s="7"/>
      <c r="B777" s="52" t="s">
        <v>375</v>
      </c>
      <c r="C777" s="7" t="s">
        <v>844</v>
      </c>
      <c r="D777" s="7">
        <f>次要材料汇总!$F$9</f>
        <v>6</v>
      </c>
      <c r="E777" s="7">
        <v>13.7</v>
      </c>
      <c r="F777" s="53">
        <f t="shared" si="72"/>
        <v>82.199999999999989</v>
      </c>
    </row>
    <row r="778" spans="1:6" ht="18" customHeight="1">
      <c r="A778" s="7"/>
      <c r="B778" s="52" t="s">
        <v>873</v>
      </c>
      <c r="C778" s="7" t="s">
        <v>844</v>
      </c>
      <c r="D778" s="7">
        <f>次要材料汇总!$F$10</f>
        <v>5.5</v>
      </c>
      <c r="E778" s="7">
        <v>32.700000000000003</v>
      </c>
      <c r="F778" s="53">
        <f t="shared" si="72"/>
        <v>179.85000000000002</v>
      </c>
    </row>
    <row r="779" spans="1:6" ht="18" customHeight="1">
      <c r="A779" s="7"/>
      <c r="B779" s="52" t="s">
        <v>874</v>
      </c>
      <c r="C779" s="7" t="s">
        <v>844</v>
      </c>
      <c r="D779" s="7">
        <f>次要材料汇总!$F$11</f>
        <v>6.5</v>
      </c>
      <c r="E779" s="7">
        <v>43.9</v>
      </c>
      <c r="F779" s="53">
        <f t="shared" si="72"/>
        <v>285.34999999999997</v>
      </c>
    </row>
    <row r="780" spans="1:6" ht="18" customHeight="1">
      <c r="A780" s="7"/>
      <c r="B780" s="52" t="s">
        <v>875</v>
      </c>
      <c r="C780" s="7" t="s">
        <v>844</v>
      </c>
      <c r="D780" s="7">
        <f>次要材料汇总!$F$5</f>
        <v>8</v>
      </c>
      <c r="E780" s="7">
        <v>1</v>
      </c>
      <c r="F780" s="53">
        <f t="shared" si="72"/>
        <v>8</v>
      </c>
    </row>
    <row r="781" spans="1:6" ht="18" customHeight="1">
      <c r="A781" s="7"/>
      <c r="B781" s="52" t="s">
        <v>372</v>
      </c>
      <c r="C781" s="7" t="s">
        <v>844</v>
      </c>
      <c r="D781" s="7">
        <f>次要材料汇总!$F$6</f>
        <v>7.4</v>
      </c>
      <c r="E781" s="7">
        <v>51</v>
      </c>
      <c r="F781" s="53">
        <f t="shared" si="72"/>
        <v>377.40000000000003</v>
      </c>
    </row>
    <row r="782" spans="1:6" ht="18" customHeight="1">
      <c r="A782" s="7"/>
      <c r="B782" s="52" t="s">
        <v>876</v>
      </c>
      <c r="C782" s="7" t="s">
        <v>844</v>
      </c>
      <c r="D782" s="7">
        <f>次要材料汇总!$F$12</f>
        <v>7.5</v>
      </c>
      <c r="E782" s="7">
        <v>1.1000000000000001</v>
      </c>
      <c r="F782" s="53">
        <f t="shared" si="72"/>
        <v>8.25</v>
      </c>
    </row>
    <row r="783" spans="1:6" ht="18" customHeight="1">
      <c r="A783" s="7"/>
      <c r="B783" s="52" t="s">
        <v>877</v>
      </c>
      <c r="C783" s="7" t="s">
        <v>871</v>
      </c>
      <c r="D783" s="66">
        <f>砼配合!J8</f>
        <v>183.29938899999999</v>
      </c>
      <c r="E783" s="7">
        <v>103</v>
      </c>
      <c r="F783" s="53">
        <f t="shared" si="72"/>
        <v>18879.837067</v>
      </c>
    </row>
    <row r="784" spans="1:6" ht="18" customHeight="1">
      <c r="A784" s="7"/>
      <c r="B784" s="52" t="s">
        <v>806</v>
      </c>
      <c r="C784" s="7" t="s">
        <v>871</v>
      </c>
      <c r="D784" s="7">
        <f>D737</f>
        <v>3.88</v>
      </c>
      <c r="E784" s="7">
        <v>180</v>
      </c>
      <c r="F784" s="53">
        <f t="shared" si="72"/>
        <v>698.4</v>
      </c>
    </row>
    <row r="785" spans="1:6" ht="18" customHeight="1">
      <c r="A785" s="7"/>
      <c r="B785" s="52" t="s">
        <v>833</v>
      </c>
      <c r="C785" s="7" t="s">
        <v>834</v>
      </c>
      <c r="D785" s="66">
        <f>SUM(F776:F784)</f>
        <v>21643.733747000002</v>
      </c>
      <c r="E785" s="7">
        <v>1</v>
      </c>
      <c r="F785" s="53">
        <f>D785*E785/100</f>
        <v>216.43733747000002</v>
      </c>
    </row>
    <row r="786" spans="1:6" ht="18" customHeight="1">
      <c r="A786" s="7" t="s">
        <v>835</v>
      </c>
      <c r="B786" s="52" t="s">
        <v>836</v>
      </c>
      <c r="C786" s="7"/>
      <c r="D786" s="7"/>
      <c r="E786" s="7"/>
      <c r="F786" s="53">
        <f>SUM(F787:F793)</f>
        <v>1058.0273633378379</v>
      </c>
    </row>
    <row r="787" spans="1:6" ht="18" customHeight="1">
      <c r="A787" s="7"/>
      <c r="B787" s="52" t="s">
        <v>878</v>
      </c>
      <c r="C787" s="7" t="s">
        <v>863</v>
      </c>
      <c r="D787" s="66">
        <f>施工机械台时汇总!$C$42</f>
        <v>49.210305522914197</v>
      </c>
      <c r="E787" s="7">
        <v>1.67</v>
      </c>
      <c r="F787" s="53">
        <f t="shared" ref="F787:F792" si="73">D787*E787</f>
        <v>82.181210223266703</v>
      </c>
    </row>
    <row r="788" spans="1:6" ht="18" customHeight="1">
      <c r="A788" s="7"/>
      <c r="B788" s="52" t="s">
        <v>879</v>
      </c>
      <c r="C788" s="7" t="s">
        <v>863</v>
      </c>
      <c r="D788" s="66">
        <f>施工机械台时汇总!$C$57</f>
        <v>62.128971797884901</v>
      </c>
      <c r="E788" s="7">
        <v>1.68</v>
      </c>
      <c r="F788" s="53">
        <f t="shared" si="73"/>
        <v>104.37667262044663</v>
      </c>
    </row>
    <row r="789" spans="1:6" ht="18" customHeight="1">
      <c r="A789" s="7"/>
      <c r="B789" s="52" t="s">
        <v>881</v>
      </c>
      <c r="C789" s="7" t="s">
        <v>863</v>
      </c>
      <c r="D789" s="66">
        <f>施工机械台时汇总!$C$40</f>
        <v>15.582226792009401</v>
      </c>
      <c r="E789" s="7">
        <v>3.11</v>
      </c>
      <c r="F789" s="53">
        <f t="shared" si="73"/>
        <v>48.460725323149234</v>
      </c>
    </row>
    <row r="790" spans="1:6" ht="18" customHeight="1">
      <c r="A790" s="7"/>
      <c r="B790" s="52" t="s">
        <v>882</v>
      </c>
      <c r="C790" s="7" t="s">
        <v>863</v>
      </c>
      <c r="D790" s="66">
        <f>施工机械台时汇总!$C$21</f>
        <v>28.129680376028197</v>
      </c>
      <c r="E790" s="7">
        <v>18.54</v>
      </c>
      <c r="F790" s="53">
        <f t="shared" si="73"/>
        <v>521.52427417156275</v>
      </c>
    </row>
    <row r="791" spans="1:6" ht="18" customHeight="1">
      <c r="A791" s="7"/>
      <c r="B791" s="52" t="s">
        <v>883</v>
      </c>
      <c r="C791" s="7" t="s">
        <v>863</v>
      </c>
      <c r="D791" s="66">
        <f>施工机械台时汇总!$C$24</f>
        <v>2.2013599686643204</v>
      </c>
      <c r="E791" s="7">
        <v>44</v>
      </c>
      <c r="F791" s="53">
        <f t="shared" si="73"/>
        <v>96.859838621230097</v>
      </c>
    </row>
    <row r="792" spans="1:6" ht="18" customHeight="1">
      <c r="A792" s="7"/>
      <c r="B792" s="52" t="s">
        <v>407</v>
      </c>
      <c r="C792" s="7" t="s">
        <v>863</v>
      </c>
      <c r="D792" s="7">
        <f>施工机械台时汇总!$C$19</f>
        <v>0.80266353309831595</v>
      </c>
      <c r="E792" s="7">
        <v>83</v>
      </c>
      <c r="F792" s="53">
        <f t="shared" si="73"/>
        <v>66.621073247160226</v>
      </c>
    </row>
    <row r="793" spans="1:6" ht="18" customHeight="1">
      <c r="A793" s="7"/>
      <c r="B793" s="52" t="s">
        <v>840</v>
      </c>
      <c r="C793" s="7" t="s">
        <v>834</v>
      </c>
      <c r="D793" s="66">
        <f>SUM(F787:F792)</f>
        <v>920.02379420681564</v>
      </c>
      <c r="E793" s="7">
        <v>15</v>
      </c>
      <c r="F793" s="53">
        <f>D793*E793/100</f>
        <v>138.00356913102235</v>
      </c>
    </row>
    <row r="794" spans="1:6" ht="18" customHeight="1">
      <c r="A794" s="7" t="s">
        <v>884</v>
      </c>
      <c r="B794" s="52" t="s">
        <v>885</v>
      </c>
      <c r="C794" s="7" t="s">
        <v>871</v>
      </c>
      <c r="D794" s="66">
        <f>D747</f>
        <v>5.0269138732471603</v>
      </c>
      <c r="E794" s="7">
        <v>103</v>
      </c>
      <c r="F794" s="53">
        <f>D794*E794</f>
        <v>517.77212894445756</v>
      </c>
    </row>
    <row r="795" spans="1:6" ht="18" customHeight="1">
      <c r="A795" s="7" t="s">
        <v>886</v>
      </c>
      <c r="B795" s="52" t="s">
        <v>887</v>
      </c>
      <c r="C795" s="7" t="s">
        <v>871</v>
      </c>
      <c r="D795" s="66">
        <f>D748</f>
        <v>5.8974622495064617</v>
      </c>
      <c r="E795" s="7">
        <v>103</v>
      </c>
      <c r="F795" s="53">
        <f>D795*E795</f>
        <v>607.43861169916556</v>
      </c>
    </row>
    <row r="796" spans="1:6" ht="18" customHeight="1">
      <c r="A796" s="7"/>
      <c r="B796" s="52"/>
      <c r="C796" s="7"/>
      <c r="D796" s="7"/>
      <c r="E796" s="7"/>
      <c r="F796" s="53"/>
    </row>
    <row r="797" spans="1:6" ht="18" customHeight="1">
      <c r="A797" s="7">
        <v>1.2</v>
      </c>
      <c r="B797" s="52" t="s">
        <v>841</v>
      </c>
      <c r="C797" s="7"/>
      <c r="D797" s="53">
        <f>F771</f>
        <v>34139.345188451465</v>
      </c>
      <c r="E797" s="56">
        <f>E750</f>
        <v>4.8000000000000001E-2</v>
      </c>
      <c r="F797" s="53">
        <f>D797*E797</f>
        <v>1638.6885690456704</v>
      </c>
    </row>
    <row r="798" spans="1:6" ht="18" customHeight="1">
      <c r="A798" s="7">
        <v>1.3</v>
      </c>
      <c r="B798" s="52" t="s">
        <v>842</v>
      </c>
      <c r="C798" s="7"/>
      <c r="D798" s="53">
        <f>F771</f>
        <v>34139.345188451465</v>
      </c>
      <c r="E798" s="56">
        <f>E751</f>
        <v>0</v>
      </c>
      <c r="F798" s="53">
        <f>D798*E798</f>
        <v>0</v>
      </c>
    </row>
    <row r="799" spans="1:6" ht="18" customHeight="1">
      <c r="A799" s="7">
        <v>2</v>
      </c>
      <c r="B799" s="52" t="s">
        <v>182</v>
      </c>
      <c r="C799" s="7"/>
      <c r="D799" s="53">
        <f>F770</f>
        <v>35778.033757497135</v>
      </c>
      <c r="E799" s="56">
        <f>E752</f>
        <v>7.0000000000000007E-2</v>
      </c>
      <c r="F799" s="53">
        <f>D799*E799</f>
        <v>2504.4623630247997</v>
      </c>
    </row>
    <row r="800" spans="1:6" ht="18" customHeight="1">
      <c r="A800" s="7">
        <v>3</v>
      </c>
      <c r="B800" s="52" t="s">
        <v>843</v>
      </c>
      <c r="C800" s="7"/>
      <c r="D800" s="53">
        <f>F799+F770</f>
        <v>38282.496120521937</v>
      </c>
      <c r="E800" s="56">
        <f>E753</f>
        <v>7.0000000000000007E-2</v>
      </c>
      <c r="F800" s="53">
        <f>D800*E800</f>
        <v>2679.774728436536</v>
      </c>
    </row>
    <row r="801" spans="1:6" ht="18" customHeight="1">
      <c r="A801" s="7">
        <v>4</v>
      </c>
      <c r="B801" s="52" t="s">
        <v>184</v>
      </c>
      <c r="C801" s="7"/>
      <c r="D801" s="7"/>
      <c r="E801" s="7"/>
      <c r="F801" s="53">
        <f>SUM(F802:F807)</f>
        <v>5123.2109550837131</v>
      </c>
    </row>
    <row r="802" spans="1:6" ht="18" customHeight="1">
      <c r="A802" s="7"/>
      <c r="B802" s="52" t="s">
        <v>354</v>
      </c>
      <c r="C802" s="7" t="s">
        <v>88</v>
      </c>
      <c r="D802" s="7">
        <f t="shared" ref="D802:D807" si="74">D755</f>
        <v>116.41515</v>
      </c>
      <c r="E802" s="66">
        <f>E783*砼配合!I9</f>
        <v>35.035758999999999</v>
      </c>
      <c r="F802" s="53">
        <f t="shared" ref="F802:F808" si="75">D802*E802</f>
        <v>4078.6931393488499</v>
      </c>
    </row>
    <row r="803" spans="1:6" ht="18" customHeight="1">
      <c r="A803" s="7"/>
      <c r="B803" s="52" t="s">
        <v>507</v>
      </c>
      <c r="C803" s="7" t="s">
        <v>871</v>
      </c>
      <c r="D803" s="66">
        <f t="shared" si="74"/>
        <v>4.6598683999999899</v>
      </c>
      <c r="E803" s="66">
        <f>E783*砼配合!I10</f>
        <v>54.406660000000002</v>
      </c>
      <c r="F803" s="53">
        <f t="shared" si="75"/>
        <v>253.52787568354347</v>
      </c>
    </row>
    <row r="804" spans="1:6" ht="18" customHeight="1">
      <c r="A804" s="7"/>
      <c r="B804" s="52" t="s">
        <v>509</v>
      </c>
      <c r="C804" s="7" t="s">
        <v>871</v>
      </c>
      <c r="D804" s="66">
        <f t="shared" si="74"/>
        <v>6.2457299999999902</v>
      </c>
      <c r="E804" s="66">
        <f>E783*砼配合!I11</f>
        <v>86.667083999999988</v>
      </c>
      <c r="F804" s="53">
        <f t="shared" si="75"/>
        <v>541.29920655131912</v>
      </c>
    </row>
    <row r="805" spans="1:6" ht="18" customHeight="1">
      <c r="A805" s="7"/>
      <c r="B805" s="52" t="s">
        <v>506</v>
      </c>
      <c r="C805" s="7" t="s">
        <v>871</v>
      </c>
      <c r="D805" s="7">
        <f>C2</f>
        <v>0</v>
      </c>
      <c r="E805" s="66">
        <f>E776</f>
        <v>0.6</v>
      </c>
      <c r="F805" s="53">
        <f t="shared" si="75"/>
        <v>0</v>
      </c>
    </row>
    <row r="806" spans="1:6" ht="18" customHeight="1">
      <c r="A806" s="7"/>
      <c r="B806" s="52" t="s">
        <v>515</v>
      </c>
      <c r="C806" s="7" t="s">
        <v>844</v>
      </c>
      <c r="D806" s="7">
        <f t="shared" si="74"/>
        <v>4.7450000000000001</v>
      </c>
      <c r="E806" s="66">
        <f>台时!AK19*砼单价!E787+E788*台时!AZ19</f>
        <v>21.768000000000001</v>
      </c>
      <c r="F806" s="53">
        <f t="shared" si="75"/>
        <v>103.28916000000001</v>
      </c>
    </row>
    <row r="807" spans="1:6" ht="18" customHeight="1">
      <c r="A807" s="7"/>
      <c r="B807" s="52" t="s">
        <v>516</v>
      </c>
      <c r="C807" s="7" t="s">
        <v>844</v>
      </c>
      <c r="D807" s="7">
        <f t="shared" si="74"/>
        <v>3.51</v>
      </c>
      <c r="E807" s="66">
        <f>砼配合!I63*台时!AN22*砼单价!E795/100</f>
        <v>41.709849999999996</v>
      </c>
      <c r="F807" s="53">
        <f t="shared" si="75"/>
        <v>146.40157349999998</v>
      </c>
    </row>
    <row r="808" spans="1:6" ht="18" customHeight="1">
      <c r="A808" s="7">
        <v>5</v>
      </c>
      <c r="B808" s="52" t="s">
        <v>845</v>
      </c>
      <c r="C808" s="7"/>
      <c r="D808" s="53">
        <f>F770+F799+F800+F801</f>
        <v>46085.481804042189</v>
      </c>
      <c r="E808" s="56">
        <f>E761</f>
        <v>0.09</v>
      </c>
      <c r="F808" s="53">
        <f t="shared" si="75"/>
        <v>4147.693362363797</v>
      </c>
    </row>
    <row r="809" spans="1:6" ht="18" customHeight="1">
      <c r="A809" s="7">
        <v>6</v>
      </c>
      <c r="B809" s="52" t="s">
        <v>7</v>
      </c>
      <c r="C809" s="7"/>
      <c r="D809" s="7"/>
      <c r="E809" s="7"/>
      <c r="F809" s="53">
        <f>D808+F808</f>
        <v>50233.175166405985</v>
      </c>
    </row>
    <row r="810" spans="1:6" ht="18" customHeight="1">
      <c r="A810" s="7"/>
      <c r="B810" s="52" t="s">
        <v>846</v>
      </c>
      <c r="C810" s="7"/>
      <c r="D810" s="53">
        <f>F809</f>
        <v>50233.175166405985</v>
      </c>
      <c r="E810" s="56">
        <f>E763</f>
        <v>0.03</v>
      </c>
      <c r="F810" s="53">
        <f>E810*D810</f>
        <v>1506.9952549921795</v>
      </c>
    </row>
    <row r="811" spans="1:6" ht="18" customHeight="1">
      <c r="A811" s="7"/>
      <c r="B811" s="52" t="s">
        <v>44</v>
      </c>
      <c r="C811" s="52"/>
      <c r="D811" s="7"/>
      <c r="E811" s="7"/>
      <c r="F811" s="53">
        <f>SUM(F809:F810)</f>
        <v>51740.170421398165</v>
      </c>
    </row>
    <row r="812" spans="1:6" ht="22.5" customHeight="1">
      <c r="A812" s="461" t="s">
        <v>813</v>
      </c>
      <c r="B812" s="461"/>
      <c r="C812" s="461"/>
      <c r="D812" s="461"/>
      <c r="E812" s="461"/>
      <c r="F812" s="461"/>
    </row>
    <row r="813" spans="1:6" ht="18" customHeight="1">
      <c r="A813" s="462" t="s">
        <v>910</v>
      </c>
      <c r="B813" s="462"/>
      <c r="C813" s="462"/>
      <c r="D813" s="462"/>
      <c r="E813" s="462"/>
      <c r="F813" s="462"/>
    </row>
    <row r="814" spans="1:6" ht="18" customHeight="1">
      <c r="A814" s="47" t="s">
        <v>815</v>
      </c>
      <c r="B814" s="49">
        <v>4086</v>
      </c>
      <c r="D814" s="46"/>
      <c r="E814" s="47" t="s">
        <v>169</v>
      </c>
      <c r="F814" s="49" t="s">
        <v>869</v>
      </c>
    </row>
    <row r="815" spans="1:6" ht="18" customHeight="1">
      <c r="A815" s="50" t="s">
        <v>817</v>
      </c>
      <c r="B815" s="458"/>
      <c r="C815" s="459"/>
      <c r="D815" s="459"/>
      <c r="E815" s="459"/>
      <c r="F815" s="460"/>
    </row>
    <row r="816" spans="1:6" ht="18" customHeight="1">
      <c r="A816" s="7" t="s">
        <v>1</v>
      </c>
      <c r="B816" s="52" t="s">
        <v>344</v>
      </c>
      <c r="C816" s="7" t="s">
        <v>818</v>
      </c>
      <c r="D816" s="7" t="s">
        <v>819</v>
      </c>
      <c r="E816" s="7" t="s">
        <v>820</v>
      </c>
      <c r="F816" s="7" t="s">
        <v>821</v>
      </c>
    </row>
    <row r="817" spans="1:6" ht="18" customHeight="1">
      <c r="A817" s="7">
        <v>1</v>
      </c>
      <c r="B817" s="52" t="s">
        <v>822</v>
      </c>
      <c r="C817" s="7"/>
      <c r="D817" s="7"/>
      <c r="E817" s="7"/>
      <c r="F817" s="53">
        <f>F818+F845+F846</f>
        <v>34697.099893735278</v>
      </c>
    </row>
    <row r="818" spans="1:6" ht="18" customHeight="1">
      <c r="A818" s="7">
        <v>1.1000000000000001</v>
      </c>
      <c r="B818" s="52" t="s">
        <v>823</v>
      </c>
      <c r="C818" s="7"/>
      <c r="D818" s="7"/>
      <c r="E818" s="7"/>
      <c r="F818" s="53">
        <f>F819+F822+F833+F842+F843+F844</f>
        <v>33107.919745930609</v>
      </c>
    </row>
    <row r="819" spans="1:6" ht="18" customHeight="1">
      <c r="A819" s="7" t="s">
        <v>47</v>
      </c>
      <c r="B819" s="52" t="s">
        <v>176</v>
      </c>
      <c r="C819" s="7"/>
      <c r="D819" s="7"/>
      <c r="E819" s="7"/>
      <c r="F819" s="53">
        <f>F820+F821</f>
        <v>9571.0229999999992</v>
      </c>
    </row>
    <row r="820" spans="1:6" ht="18" customHeight="1">
      <c r="A820" s="7"/>
      <c r="B820" s="52" t="s">
        <v>824</v>
      </c>
      <c r="C820" s="7" t="s">
        <v>825</v>
      </c>
      <c r="D820" s="7">
        <v>8.1</v>
      </c>
      <c r="E820" s="7">
        <v>854</v>
      </c>
      <c r="F820" s="53">
        <f>D820*E820</f>
        <v>6917.4</v>
      </c>
    </row>
    <row r="821" spans="1:6" ht="18" customHeight="1">
      <c r="A821" s="7"/>
      <c r="B821" s="52" t="s">
        <v>826</v>
      </c>
      <c r="C821" s="7" t="s">
        <v>825</v>
      </c>
      <c r="D821" s="7">
        <v>5.77</v>
      </c>
      <c r="E821" s="7">
        <v>459.9</v>
      </c>
      <c r="F821" s="53">
        <f>D821*E821</f>
        <v>2653.623</v>
      </c>
    </row>
    <row r="822" spans="1:6" ht="18" customHeight="1">
      <c r="A822" s="7" t="s">
        <v>57</v>
      </c>
      <c r="B822" s="52" t="s">
        <v>177</v>
      </c>
      <c r="C822" s="7"/>
      <c r="D822" s="7"/>
      <c r="E822" s="7"/>
      <c r="F822" s="53">
        <f>SUM(F823:F832)</f>
        <v>21479.485527075001</v>
      </c>
    </row>
    <row r="823" spans="1:6" ht="18" customHeight="1">
      <c r="A823" s="7"/>
      <c r="B823" s="52" t="s">
        <v>870</v>
      </c>
      <c r="C823" s="7" t="s">
        <v>871</v>
      </c>
      <c r="D823" s="7">
        <f>D776</f>
        <v>1874.0778</v>
      </c>
      <c r="E823" s="7">
        <v>0.66</v>
      </c>
      <c r="F823" s="53">
        <f t="shared" ref="F823:F831" si="76">D823*E823</f>
        <v>1236.8913480000001</v>
      </c>
    </row>
    <row r="824" spans="1:6" ht="18" customHeight="1">
      <c r="A824" s="7"/>
      <c r="B824" s="52" t="s">
        <v>375</v>
      </c>
      <c r="C824" s="7" t="s">
        <v>844</v>
      </c>
      <c r="D824" s="7">
        <f>次要材料汇总!$F$9</f>
        <v>6</v>
      </c>
      <c r="E824" s="7">
        <v>15.15</v>
      </c>
      <c r="F824" s="53">
        <f t="shared" si="76"/>
        <v>90.9</v>
      </c>
    </row>
    <row r="825" spans="1:6" ht="18" customHeight="1">
      <c r="A825" s="7"/>
      <c r="B825" s="52" t="s">
        <v>873</v>
      </c>
      <c r="C825" s="7" t="s">
        <v>844</v>
      </c>
      <c r="D825" s="7">
        <f>次要材料汇总!$F$10</f>
        <v>5.5</v>
      </c>
      <c r="E825" s="7">
        <v>36.21</v>
      </c>
      <c r="F825" s="53">
        <f t="shared" si="76"/>
        <v>199.155</v>
      </c>
    </row>
    <row r="826" spans="1:6" ht="18" customHeight="1">
      <c r="A826" s="7"/>
      <c r="B826" s="52" t="s">
        <v>874</v>
      </c>
      <c r="C826" s="7" t="s">
        <v>844</v>
      </c>
      <c r="D826" s="7">
        <f>次要材料汇总!$F$11</f>
        <v>6.5</v>
      </c>
      <c r="E826" s="7">
        <v>48.65</v>
      </c>
      <c r="F826" s="53">
        <f t="shared" si="76"/>
        <v>316.22499999999997</v>
      </c>
    </row>
    <row r="827" spans="1:6" ht="18" customHeight="1">
      <c r="A827" s="7"/>
      <c r="B827" s="52" t="s">
        <v>875</v>
      </c>
      <c r="C827" s="7" t="s">
        <v>844</v>
      </c>
      <c r="D827" s="7">
        <f>次要材料汇总!$F$5</f>
        <v>8</v>
      </c>
      <c r="E827" s="7">
        <v>1.1299999999999999</v>
      </c>
      <c r="F827" s="53">
        <f t="shared" si="76"/>
        <v>9.0399999999999991</v>
      </c>
    </row>
    <row r="828" spans="1:6" ht="18" customHeight="1">
      <c r="A828" s="7"/>
      <c r="B828" s="52" t="s">
        <v>372</v>
      </c>
      <c r="C828" s="7" t="s">
        <v>844</v>
      </c>
      <c r="D828" s="7">
        <f>次要材料汇总!$F$6</f>
        <v>7.4</v>
      </c>
      <c r="E828" s="7">
        <v>56.51</v>
      </c>
      <c r="F828" s="53">
        <f t="shared" si="76"/>
        <v>418.17399999999998</v>
      </c>
    </row>
    <row r="829" spans="1:6" ht="18" customHeight="1">
      <c r="A829" s="7"/>
      <c r="B829" s="52" t="s">
        <v>876</v>
      </c>
      <c r="C829" s="7" t="s">
        <v>844</v>
      </c>
      <c r="D829" s="7">
        <f>次要材料汇总!$F$12</f>
        <v>7.5</v>
      </c>
      <c r="E829" s="7">
        <v>1.2</v>
      </c>
      <c r="F829" s="53">
        <f t="shared" si="76"/>
        <v>9</v>
      </c>
    </row>
    <row r="830" spans="1:6" ht="18" customHeight="1">
      <c r="A830" s="7"/>
      <c r="B830" s="52" t="s">
        <v>877</v>
      </c>
      <c r="C830" s="7" t="s">
        <v>871</v>
      </c>
      <c r="D830" s="66">
        <f>D783</f>
        <v>183.29938899999999</v>
      </c>
      <c r="E830" s="7">
        <v>103</v>
      </c>
      <c r="F830" s="53">
        <f t="shared" si="76"/>
        <v>18879.837067</v>
      </c>
    </row>
    <row r="831" spans="1:6" ht="18" customHeight="1">
      <c r="A831" s="7"/>
      <c r="B831" s="52" t="s">
        <v>806</v>
      </c>
      <c r="C831" s="7" t="s">
        <v>871</v>
      </c>
      <c r="D831" s="7">
        <f>D784</f>
        <v>3.88</v>
      </c>
      <c r="E831" s="7">
        <v>55</v>
      </c>
      <c r="F831" s="53">
        <f t="shared" si="76"/>
        <v>213.4</v>
      </c>
    </row>
    <row r="832" spans="1:6" ht="18" customHeight="1">
      <c r="A832" s="7"/>
      <c r="B832" s="52" t="s">
        <v>833</v>
      </c>
      <c r="C832" s="7" t="s">
        <v>834</v>
      </c>
      <c r="D832" s="7">
        <f>SUM(F823:F831)</f>
        <v>21372.622415000002</v>
      </c>
      <c r="E832" s="7">
        <v>0.5</v>
      </c>
      <c r="F832" s="53">
        <f>D832*E832/100</f>
        <v>106.863112075</v>
      </c>
    </row>
    <row r="833" spans="1:6" ht="18" customHeight="1">
      <c r="A833" s="7" t="s">
        <v>835</v>
      </c>
      <c r="B833" s="52" t="s">
        <v>836</v>
      </c>
      <c r="C833" s="7"/>
      <c r="D833" s="7"/>
      <c r="E833" s="7"/>
      <c r="F833" s="53">
        <f>SUM(F834:F841)</f>
        <v>932.2004782119858</v>
      </c>
    </row>
    <row r="834" spans="1:6" ht="18" customHeight="1">
      <c r="A834" s="7"/>
      <c r="B834" s="52" t="s">
        <v>878</v>
      </c>
      <c r="C834" s="7" t="s">
        <v>863</v>
      </c>
      <c r="D834" s="66">
        <f>施工机械台时汇总!$C$42</f>
        <v>49.210305522914197</v>
      </c>
      <c r="E834" s="7">
        <v>1</v>
      </c>
      <c r="F834" s="53">
        <f t="shared" ref="F834:F840" si="77">D834*E834</f>
        <v>49.210305522914197</v>
      </c>
    </row>
    <row r="835" spans="1:6" ht="18" customHeight="1">
      <c r="A835" s="7"/>
      <c r="B835" s="52" t="s">
        <v>879</v>
      </c>
      <c r="C835" s="7" t="s">
        <v>863</v>
      </c>
      <c r="D835" s="66">
        <f>施工机械台时汇总!$C$57</f>
        <v>62.128971797884901</v>
      </c>
      <c r="E835" s="7">
        <v>0.06</v>
      </c>
      <c r="F835" s="53">
        <f t="shared" si="77"/>
        <v>3.7277383078730941</v>
      </c>
    </row>
    <row r="836" spans="1:6" ht="18" customHeight="1">
      <c r="A836" s="7"/>
      <c r="B836" s="52" t="s">
        <v>911</v>
      </c>
      <c r="C836" s="7" t="s">
        <v>863</v>
      </c>
      <c r="D836" s="66">
        <f>施工机械台时汇总!$C$61</f>
        <v>89.918316098707407</v>
      </c>
      <c r="E836" s="7">
        <v>0.9</v>
      </c>
      <c r="F836" s="53">
        <f t="shared" si="77"/>
        <v>80.926484488836664</v>
      </c>
    </row>
    <row r="837" spans="1:6" ht="18" customHeight="1">
      <c r="A837" s="7"/>
      <c r="B837" s="52" t="s">
        <v>881</v>
      </c>
      <c r="C837" s="7" t="s">
        <v>863</v>
      </c>
      <c r="D837" s="66">
        <f>施工机械台时汇总!$C$40</f>
        <v>15.582226792009401</v>
      </c>
      <c r="E837" s="7">
        <v>2.0499999999999998</v>
      </c>
      <c r="F837" s="53">
        <f t="shared" si="77"/>
        <v>31.94356492361927</v>
      </c>
    </row>
    <row r="838" spans="1:6" ht="18" customHeight="1">
      <c r="A838" s="7"/>
      <c r="B838" s="52" t="s">
        <v>882</v>
      </c>
      <c r="C838" s="7" t="s">
        <v>863</v>
      </c>
      <c r="D838" s="66">
        <f>施工机械台时汇总!$C$21</f>
        <v>28.129680376028197</v>
      </c>
      <c r="E838" s="7">
        <v>18.54</v>
      </c>
      <c r="F838" s="53">
        <f t="shared" si="77"/>
        <v>521.52427417156275</v>
      </c>
    </row>
    <row r="839" spans="1:6" ht="18" customHeight="1">
      <c r="A839" s="7"/>
      <c r="B839" s="52" t="s">
        <v>883</v>
      </c>
      <c r="C839" s="7" t="s">
        <v>863</v>
      </c>
      <c r="D839" s="66">
        <f>施工机械台时汇总!$C$24</f>
        <v>2.2013599686643204</v>
      </c>
      <c r="E839" s="7">
        <v>35.6</v>
      </c>
      <c r="F839" s="53">
        <f t="shared" si="77"/>
        <v>78.368414884449805</v>
      </c>
    </row>
    <row r="840" spans="1:6" ht="18" customHeight="1">
      <c r="A840" s="7"/>
      <c r="B840" s="52" t="s">
        <v>407</v>
      </c>
      <c r="C840" s="7" t="s">
        <v>863</v>
      </c>
      <c r="D840" s="7">
        <f>施工机械台时汇总!$C$19</f>
        <v>0.80266353309831595</v>
      </c>
      <c r="E840" s="7">
        <v>83</v>
      </c>
      <c r="F840" s="53">
        <f t="shared" si="77"/>
        <v>66.621073247160226</v>
      </c>
    </row>
    <row r="841" spans="1:6" ht="18" customHeight="1">
      <c r="A841" s="7"/>
      <c r="B841" s="52" t="s">
        <v>840</v>
      </c>
      <c r="C841" s="7" t="s">
        <v>834</v>
      </c>
      <c r="D841" s="66">
        <f>SUM(F834:F840)</f>
        <v>832.32185554641592</v>
      </c>
      <c r="E841" s="7">
        <v>12</v>
      </c>
      <c r="F841" s="53">
        <f>D841*E841/100</f>
        <v>99.878622665569907</v>
      </c>
    </row>
    <row r="842" spans="1:6" ht="18" customHeight="1">
      <c r="A842" s="7" t="s">
        <v>884</v>
      </c>
      <c r="B842" s="52" t="s">
        <v>885</v>
      </c>
      <c r="C842" s="7" t="s">
        <v>871</v>
      </c>
      <c r="D842" s="66">
        <f>D794</f>
        <v>5.0269138732471603</v>
      </c>
      <c r="E842" s="7">
        <v>103</v>
      </c>
      <c r="F842" s="53">
        <f>D842*E842</f>
        <v>517.77212894445756</v>
      </c>
    </row>
    <row r="843" spans="1:6" ht="18" customHeight="1">
      <c r="A843" s="7" t="s">
        <v>886</v>
      </c>
      <c r="B843" s="52" t="s">
        <v>887</v>
      </c>
      <c r="C843" s="7" t="s">
        <v>871</v>
      </c>
      <c r="D843" s="66">
        <f>D795</f>
        <v>5.8974622495064617</v>
      </c>
      <c r="E843" s="7">
        <v>103</v>
      </c>
      <c r="F843" s="53">
        <f>D843*E843</f>
        <v>607.43861169916556</v>
      </c>
    </row>
    <row r="844" spans="1:6" ht="18" customHeight="1">
      <c r="A844" s="7"/>
      <c r="B844" s="52"/>
      <c r="C844" s="7"/>
      <c r="D844" s="7"/>
      <c r="E844" s="7"/>
      <c r="F844" s="53"/>
    </row>
    <row r="845" spans="1:6" ht="18" customHeight="1">
      <c r="A845" s="7">
        <v>1.2</v>
      </c>
      <c r="B845" s="52" t="s">
        <v>841</v>
      </c>
      <c r="C845" s="7"/>
      <c r="D845" s="53">
        <f>F818</f>
        <v>33107.919745930609</v>
      </c>
      <c r="E845" s="56">
        <f>E797</f>
        <v>4.8000000000000001E-2</v>
      </c>
      <c r="F845" s="53">
        <f>D845*E845</f>
        <v>1589.1801478046693</v>
      </c>
    </row>
    <row r="846" spans="1:6" ht="18" customHeight="1">
      <c r="A846" s="7">
        <v>1.3</v>
      </c>
      <c r="B846" s="52" t="s">
        <v>842</v>
      </c>
      <c r="C846" s="7"/>
      <c r="D846" s="53">
        <f>F818</f>
        <v>33107.919745930609</v>
      </c>
      <c r="E846" s="56">
        <f>E798</f>
        <v>0</v>
      </c>
      <c r="F846" s="53">
        <f>D846*E846</f>
        <v>0</v>
      </c>
    </row>
    <row r="847" spans="1:6" ht="18" customHeight="1">
      <c r="A847" s="7">
        <v>2</v>
      </c>
      <c r="B847" s="52" t="s">
        <v>182</v>
      </c>
      <c r="C847" s="7"/>
      <c r="D847" s="53">
        <f>F817</f>
        <v>34697.099893735278</v>
      </c>
      <c r="E847" s="56">
        <f>E799</f>
        <v>7.0000000000000007E-2</v>
      </c>
      <c r="F847" s="53">
        <f>D847*E847</f>
        <v>2428.7969925614698</v>
      </c>
    </row>
    <row r="848" spans="1:6" ht="18" customHeight="1">
      <c r="A848" s="7">
        <v>3</v>
      </c>
      <c r="B848" s="52" t="s">
        <v>843</v>
      </c>
      <c r="C848" s="7"/>
      <c r="D848" s="53">
        <f>F847+F817</f>
        <v>37125.896886296745</v>
      </c>
      <c r="E848" s="56">
        <f>E800</f>
        <v>7.0000000000000007E-2</v>
      </c>
      <c r="F848" s="53">
        <f>D848*E848</f>
        <v>2598.8127820407726</v>
      </c>
    </row>
    <row r="849" spans="1:6" ht="18" customHeight="1">
      <c r="A849" s="7">
        <v>4</v>
      </c>
      <c r="B849" s="52" t="s">
        <v>184</v>
      </c>
      <c r="C849" s="7"/>
      <c r="D849" s="7"/>
      <c r="E849" s="7"/>
      <c r="F849" s="53">
        <f>SUM(F850:F855)</f>
        <v>5081.9567550837128</v>
      </c>
    </row>
    <row r="850" spans="1:6" ht="18" customHeight="1">
      <c r="A850" s="7"/>
      <c r="B850" s="52" t="s">
        <v>354</v>
      </c>
      <c r="C850" s="7" t="s">
        <v>88</v>
      </c>
      <c r="D850" s="7">
        <f t="shared" ref="D850:D855" si="78">D802</f>
        <v>116.41515</v>
      </c>
      <c r="E850" s="66">
        <f>E830*砼配合!I9</f>
        <v>35.035758999999999</v>
      </c>
      <c r="F850" s="53">
        <f t="shared" ref="F850:F856" si="79">D850*E850</f>
        <v>4078.6931393488499</v>
      </c>
    </row>
    <row r="851" spans="1:6" ht="18" customHeight="1">
      <c r="A851" s="7"/>
      <c r="B851" s="52" t="s">
        <v>507</v>
      </c>
      <c r="C851" s="7" t="s">
        <v>871</v>
      </c>
      <c r="D851" s="66">
        <f t="shared" si="78"/>
        <v>4.6598683999999899</v>
      </c>
      <c r="E851" s="66">
        <f>E830*砼配合!I10</f>
        <v>54.406660000000002</v>
      </c>
      <c r="F851" s="53">
        <f t="shared" si="79"/>
        <v>253.52787568354347</v>
      </c>
    </row>
    <row r="852" spans="1:6" ht="18" customHeight="1">
      <c r="A852" s="7"/>
      <c r="B852" s="52" t="s">
        <v>509</v>
      </c>
      <c r="C852" s="7" t="s">
        <v>871</v>
      </c>
      <c r="D852" s="66">
        <f t="shared" si="78"/>
        <v>6.2457299999999902</v>
      </c>
      <c r="E852" s="66">
        <f>E830*砼配合!I11</f>
        <v>86.667083999999988</v>
      </c>
      <c r="F852" s="53">
        <f t="shared" si="79"/>
        <v>541.29920655131912</v>
      </c>
    </row>
    <row r="853" spans="1:6" ht="18" customHeight="1">
      <c r="A853" s="7"/>
      <c r="B853" s="52" t="s">
        <v>506</v>
      </c>
      <c r="C853" s="7" t="s">
        <v>871</v>
      </c>
      <c r="D853" s="7">
        <f t="shared" si="78"/>
        <v>0</v>
      </c>
      <c r="E853" s="66">
        <f>E823</f>
        <v>0.66</v>
      </c>
      <c r="F853" s="53">
        <f t="shared" si="79"/>
        <v>0</v>
      </c>
    </row>
    <row r="854" spans="1:6" ht="18" customHeight="1">
      <c r="A854" s="7"/>
      <c r="B854" s="52" t="s">
        <v>515</v>
      </c>
      <c r="C854" s="7" t="s">
        <v>844</v>
      </c>
      <c r="D854" s="7">
        <f t="shared" si="78"/>
        <v>4.7450000000000001</v>
      </c>
      <c r="E854" s="66">
        <f>台时!AK19*砼单价!E834+E835*台时!AZ19</f>
        <v>7.548</v>
      </c>
      <c r="F854" s="53">
        <f t="shared" si="79"/>
        <v>35.815260000000002</v>
      </c>
    </row>
    <row r="855" spans="1:6" ht="18" customHeight="1">
      <c r="A855" s="7"/>
      <c r="B855" s="52" t="s">
        <v>516</v>
      </c>
      <c r="C855" s="7" t="s">
        <v>844</v>
      </c>
      <c r="D855" s="7">
        <f t="shared" si="78"/>
        <v>3.51</v>
      </c>
      <c r="E855" s="66">
        <f>砼配合!I63*台时!AN22*砼单价!E843/100+E836*台时!BD22</f>
        <v>49.179849999999995</v>
      </c>
      <c r="F855" s="53">
        <f t="shared" si="79"/>
        <v>172.62127349999997</v>
      </c>
    </row>
    <row r="856" spans="1:6" ht="18" customHeight="1">
      <c r="A856" s="7">
        <v>5</v>
      </c>
      <c r="B856" s="52" t="s">
        <v>845</v>
      </c>
      <c r="C856" s="7"/>
      <c r="D856" s="53">
        <f>F817+F847+F848+F849</f>
        <v>44806.666423421237</v>
      </c>
      <c r="E856" s="56">
        <f>E808</f>
        <v>0.09</v>
      </c>
      <c r="F856" s="53">
        <f t="shared" si="79"/>
        <v>4032.5999781079113</v>
      </c>
    </row>
    <row r="857" spans="1:6" ht="18" customHeight="1">
      <c r="A857" s="7">
        <v>6</v>
      </c>
      <c r="B857" s="52" t="s">
        <v>7</v>
      </c>
      <c r="C857" s="7"/>
      <c r="D857" s="7"/>
      <c r="E857" s="7"/>
      <c r="F857" s="53">
        <f>D856+F856</f>
        <v>48839.266401529145</v>
      </c>
    </row>
    <row r="858" spans="1:6" ht="18" customHeight="1">
      <c r="A858" s="7"/>
      <c r="B858" s="52" t="s">
        <v>846</v>
      </c>
      <c r="C858" s="7"/>
      <c r="D858" s="53">
        <f>F857</f>
        <v>48839.266401529145</v>
      </c>
      <c r="E858" s="56">
        <f>E810</f>
        <v>0.03</v>
      </c>
      <c r="F858" s="53">
        <f>E858*D858</f>
        <v>1465.1779920458744</v>
      </c>
    </row>
    <row r="859" spans="1:6" ht="18" customHeight="1">
      <c r="A859" s="7"/>
      <c r="B859" s="52" t="s">
        <v>44</v>
      </c>
      <c r="C859" s="52"/>
      <c r="D859" s="7"/>
      <c r="E859" s="7"/>
      <c r="F859" s="53">
        <f>SUM(F857:F858)</f>
        <v>50304.444393575017</v>
      </c>
    </row>
    <row r="860" spans="1:6" ht="22.5" customHeight="1">
      <c r="A860" s="461" t="s">
        <v>813</v>
      </c>
      <c r="B860" s="461"/>
      <c r="C860" s="461"/>
      <c r="D860" s="461"/>
      <c r="E860" s="461"/>
      <c r="F860" s="461"/>
    </row>
    <row r="861" spans="1:6" ht="18" customHeight="1">
      <c r="A861" s="462" t="s">
        <v>912</v>
      </c>
      <c r="B861" s="462"/>
      <c r="C861" s="462"/>
      <c r="D861" s="462"/>
      <c r="E861" s="462"/>
      <c r="F861" s="462"/>
    </row>
    <row r="862" spans="1:6" ht="18" customHeight="1">
      <c r="A862" s="47" t="s">
        <v>815</v>
      </c>
      <c r="B862" s="49">
        <v>4095</v>
      </c>
      <c r="D862" s="46"/>
      <c r="E862" s="47" t="s">
        <v>169</v>
      </c>
      <c r="F862" s="49" t="s">
        <v>869</v>
      </c>
    </row>
    <row r="863" spans="1:6" ht="18" customHeight="1">
      <c r="A863" s="50" t="s">
        <v>817</v>
      </c>
      <c r="B863" s="458"/>
      <c r="C863" s="459"/>
      <c r="D863" s="459"/>
      <c r="E863" s="459"/>
      <c r="F863" s="460"/>
    </row>
    <row r="864" spans="1:6" ht="18" customHeight="1">
      <c r="A864" s="7" t="s">
        <v>1</v>
      </c>
      <c r="B864" s="52" t="s">
        <v>344</v>
      </c>
      <c r="C864" s="7" t="s">
        <v>818</v>
      </c>
      <c r="D864" s="7" t="s">
        <v>819</v>
      </c>
      <c r="E864" s="7" t="s">
        <v>820</v>
      </c>
      <c r="F864" s="7" t="s">
        <v>821</v>
      </c>
    </row>
    <row r="865" spans="1:6" ht="18" customHeight="1">
      <c r="A865" s="7">
        <v>1</v>
      </c>
      <c r="B865" s="52" t="s">
        <v>822</v>
      </c>
      <c r="C865" s="7"/>
      <c r="D865" s="7"/>
      <c r="E865" s="7"/>
      <c r="F865" s="53">
        <f>F866+F890+F891</f>
        <v>61366.200559512909</v>
      </c>
    </row>
    <row r="866" spans="1:6" ht="18" customHeight="1">
      <c r="A866" s="7">
        <v>1.1000000000000001</v>
      </c>
      <c r="B866" s="52" t="s">
        <v>823</v>
      </c>
      <c r="C866" s="7"/>
      <c r="D866" s="7"/>
      <c r="E866" s="7"/>
      <c r="F866" s="53">
        <f>F867+F870+F880+F887+F888+F889</f>
        <v>58555.534885031404</v>
      </c>
    </row>
    <row r="867" spans="1:6" ht="18" customHeight="1">
      <c r="A867" s="7" t="s">
        <v>47</v>
      </c>
      <c r="B867" s="52" t="s">
        <v>176</v>
      </c>
      <c r="C867" s="7"/>
      <c r="D867" s="7"/>
      <c r="E867" s="7"/>
      <c r="F867" s="53">
        <f>F868+F869</f>
        <v>15084.625</v>
      </c>
    </row>
    <row r="868" spans="1:6" ht="18" customHeight="1">
      <c r="A868" s="7"/>
      <c r="B868" s="52" t="s">
        <v>824</v>
      </c>
      <c r="C868" s="7" t="s">
        <v>825</v>
      </c>
      <c r="D868" s="7">
        <v>8.1</v>
      </c>
      <c r="E868" s="7">
        <v>1426.7</v>
      </c>
      <c r="F868" s="53">
        <f>D868*E868</f>
        <v>11556.27</v>
      </c>
    </row>
    <row r="869" spans="1:6" ht="18" customHeight="1">
      <c r="A869" s="7"/>
      <c r="B869" s="52" t="s">
        <v>826</v>
      </c>
      <c r="C869" s="7" t="s">
        <v>825</v>
      </c>
      <c r="D869" s="7">
        <v>5.77</v>
      </c>
      <c r="E869" s="7">
        <v>611.5</v>
      </c>
      <c r="F869" s="53">
        <f>D869*E869</f>
        <v>3528.355</v>
      </c>
    </row>
    <row r="870" spans="1:6" ht="18" customHeight="1">
      <c r="A870" s="7" t="s">
        <v>57</v>
      </c>
      <c r="B870" s="52" t="s">
        <v>177</v>
      </c>
      <c r="C870" s="7"/>
      <c r="D870" s="7"/>
      <c r="E870" s="7"/>
      <c r="F870" s="53">
        <f>SUM(F871:F879)</f>
        <v>40711.393667939992</v>
      </c>
    </row>
    <row r="871" spans="1:6" ht="18" customHeight="1">
      <c r="A871" s="7"/>
      <c r="B871" s="52" t="s">
        <v>870</v>
      </c>
      <c r="C871" s="7" t="s">
        <v>871</v>
      </c>
      <c r="D871" s="7">
        <f>D823</f>
        <v>1874.0778</v>
      </c>
      <c r="E871" s="7">
        <v>4.0999999999999996</v>
      </c>
      <c r="F871" s="53">
        <f t="shared" ref="F871:F878" si="80">D871*E871</f>
        <v>7683.7189799999996</v>
      </c>
    </row>
    <row r="872" spans="1:6" ht="18" customHeight="1">
      <c r="A872" s="7"/>
      <c r="B872" s="52" t="s">
        <v>375</v>
      </c>
      <c r="C872" s="7" t="s">
        <v>844</v>
      </c>
      <c r="D872" s="7">
        <f>次要材料汇总!$F$9</f>
        <v>6</v>
      </c>
      <c r="E872" s="7">
        <v>171.7</v>
      </c>
      <c r="F872" s="53">
        <f t="shared" si="80"/>
        <v>1030.1999999999998</v>
      </c>
    </row>
    <row r="873" spans="1:6" ht="18" customHeight="1">
      <c r="A873" s="7"/>
      <c r="B873" s="52" t="s">
        <v>873</v>
      </c>
      <c r="C873" s="7" t="s">
        <v>844</v>
      </c>
      <c r="D873" s="7">
        <f>次要材料汇总!$F$10</f>
        <v>5.5</v>
      </c>
      <c r="E873" s="7">
        <v>410</v>
      </c>
      <c r="F873" s="53">
        <f t="shared" si="80"/>
        <v>2255</v>
      </c>
    </row>
    <row r="874" spans="1:6" ht="18" customHeight="1">
      <c r="A874" s="7"/>
      <c r="B874" s="52" t="s">
        <v>874</v>
      </c>
      <c r="C874" s="7" t="s">
        <v>844</v>
      </c>
      <c r="D874" s="7">
        <f>次要材料汇总!$F$11</f>
        <v>6.5</v>
      </c>
      <c r="E874" s="7">
        <v>550.6</v>
      </c>
      <c r="F874" s="53">
        <f t="shared" si="80"/>
        <v>3578.9</v>
      </c>
    </row>
    <row r="875" spans="1:6" ht="18" customHeight="1">
      <c r="A875" s="7"/>
      <c r="B875" s="52" t="s">
        <v>913</v>
      </c>
      <c r="C875" s="7" t="s">
        <v>844</v>
      </c>
      <c r="D875" s="7">
        <f>次要材料汇总!$F$5</f>
        <v>8</v>
      </c>
      <c r="E875" s="7">
        <v>751.2</v>
      </c>
      <c r="F875" s="53">
        <f t="shared" si="80"/>
        <v>6009.6</v>
      </c>
    </row>
    <row r="876" spans="1:6" ht="18" customHeight="1">
      <c r="A876" s="7"/>
      <c r="B876" s="52" t="s">
        <v>876</v>
      </c>
      <c r="C876" s="7" t="s">
        <v>844</v>
      </c>
      <c r="D876" s="7">
        <f>次要材料汇总!$F$12</f>
        <v>7.5</v>
      </c>
      <c r="E876" s="7">
        <v>1.37</v>
      </c>
      <c r="F876" s="53">
        <f t="shared" si="80"/>
        <v>10.275</v>
      </c>
    </row>
    <row r="877" spans="1:6" ht="18" customHeight="1">
      <c r="A877" s="7"/>
      <c r="B877" s="52" t="s">
        <v>877</v>
      </c>
      <c r="C877" s="7" t="s">
        <v>871</v>
      </c>
      <c r="D877" s="66">
        <f>D830</f>
        <v>183.29938899999999</v>
      </c>
      <c r="E877" s="7">
        <v>103</v>
      </c>
      <c r="F877" s="53">
        <f t="shared" si="80"/>
        <v>18879.837067</v>
      </c>
    </row>
    <row r="878" spans="1:6" ht="18" customHeight="1">
      <c r="A878" s="7"/>
      <c r="B878" s="52" t="s">
        <v>806</v>
      </c>
      <c r="C878" s="7" t="s">
        <v>871</v>
      </c>
      <c r="D878" s="7">
        <f>D831</f>
        <v>3.88</v>
      </c>
      <c r="E878" s="7">
        <v>120</v>
      </c>
      <c r="F878" s="53">
        <f t="shared" si="80"/>
        <v>465.59999999999997</v>
      </c>
    </row>
    <row r="879" spans="1:6" ht="18" customHeight="1">
      <c r="A879" s="7"/>
      <c r="B879" s="52" t="s">
        <v>833</v>
      </c>
      <c r="C879" s="7" t="s">
        <v>834</v>
      </c>
      <c r="D879" s="66">
        <f>SUM(F871:F878)</f>
        <v>39913.131046999995</v>
      </c>
      <c r="E879" s="7">
        <v>2</v>
      </c>
      <c r="F879" s="53">
        <f>D879*E879/100</f>
        <v>798.26262093999992</v>
      </c>
    </row>
    <row r="880" spans="1:6" ht="18" customHeight="1">
      <c r="A880" s="7" t="s">
        <v>835</v>
      </c>
      <c r="B880" s="52" t="s">
        <v>836</v>
      </c>
      <c r="C880" s="7"/>
      <c r="D880" s="7"/>
      <c r="E880" s="7"/>
      <c r="F880" s="53">
        <f>SUM(F881:F886)</f>
        <v>1634.3054764477868</v>
      </c>
    </row>
    <row r="881" spans="1:6" ht="18" customHeight="1">
      <c r="A881" s="7"/>
      <c r="B881" s="52" t="s">
        <v>878</v>
      </c>
      <c r="C881" s="7" t="s">
        <v>863</v>
      </c>
      <c r="D881" s="66">
        <f>施工机械台时汇总!$C$42</f>
        <v>49.210305522914197</v>
      </c>
      <c r="E881" s="7">
        <v>7.55</v>
      </c>
      <c r="F881" s="53">
        <f>D881*E881</f>
        <v>371.53780669800216</v>
      </c>
    </row>
    <row r="882" spans="1:6" ht="18" customHeight="1">
      <c r="A882" s="7"/>
      <c r="B882" s="52" t="s">
        <v>881</v>
      </c>
      <c r="C882" s="7" t="s">
        <v>863</v>
      </c>
      <c r="D882" s="66">
        <f>施工机械台时汇总!$C$40</f>
        <v>15.582226792009401</v>
      </c>
      <c r="E882" s="7">
        <v>24.65</v>
      </c>
      <c r="F882" s="53">
        <f>D882*E882</f>
        <v>384.1018904230317</v>
      </c>
    </row>
    <row r="883" spans="1:6" ht="18" customHeight="1">
      <c r="A883" s="7"/>
      <c r="B883" s="52" t="s">
        <v>882</v>
      </c>
      <c r="C883" s="7" t="s">
        <v>863</v>
      </c>
      <c r="D883" s="66">
        <f>施工机械台时汇总!$C$21</f>
        <v>28.129680376028197</v>
      </c>
      <c r="E883" s="7">
        <v>18.54</v>
      </c>
      <c r="F883" s="53">
        <f>D883*E883</f>
        <v>521.52427417156275</v>
      </c>
    </row>
    <row r="884" spans="1:6" ht="18" customHeight="1">
      <c r="A884" s="7"/>
      <c r="B884" s="52" t="s">
        <v>914</v>
      </c>
      <c r="C884" s="7" t="s">
        <v>863</v>
      </c>
      <c r="D884" s="66">
        <f>施工机械台时汇总!$C$25</f>
        <v>3.2420301605953799</v>
      </c>
      <c r="E884" s="7">
        <v>35.6</v>
      </c>
      <c r="F884" s="53">
        <f>D884*E884</f>
        <v>115.41627371719552</v>
      </c>
    </row>
    <row r="885" spans="1:6" ht="18" customHeight="1">
      <c r="A885" s="7"/>
      <c r="B885" s="52" t="s">
        <v>407</v>
      </c>
      <c r="C885" s="7" t="s">
        <v>863</v>
      </c>
      <c r="D885" s="7">
        <f>施工机械台时汇总!$C$19</f>
        <v>0.80266353309831595</v>
      </c>
      <c r="E885" s="7">
        <v>83</v>
      </c>
      <c r="F885" s="53">
        <f>D885*E885</f>
        <v>66.621073247160226</v>
      </c>
    </row>
    <row r="886" spans="1:6" ht="18" customHeight="1">
      <c r="A886" s="7"/>
      <c r="B886" s="52" t="s">
        <v>840</v>
      </c>
      <c r="C886" s="7" t="s">
        <v>834</v>
      </c>
      <c r="D886" s="66">
        <f>SUM(F881:F885)</f>
        <v>1459.2013182569524</v>
      </c>
      <c r="E886" s="7">
        <v>12</v>
      </c>
      <c r="F886" s="53">
        <f>D886*E886/100</f>
        <v>175.10415819083428</v>
      </c>
    </row>
    <row r="887" spans="1:6" ht="18" customHeight="1">
      <c r="A887" s="7" t="s">
        <v>884</v>
      </c>
      <c r="B887" s="52" t="s">
        <v>885</v>
      </c>
      <c r="C887" s="7" t="s">
        <v>871</v>
      </c>
      <c r="D887" s="66">
        <f>D842</f>
        <v>5.0269138732471603</v>
      </c>
      <c r="E887" s="7">
        <v>103</v>
      </c>
      <c r="F887" s="53">
        <f>D887*E887</f>
        <v>517.77212894445756</v>
      </c>
    </row>
    <row r="888" spans="1:6" ht="18" customHeight="1">
      <c r="A888" s="7" t="s">
        <v>886</v>
      </c>
      <c r="B888" s="52" t="s">
        <v>887</v>
      </c>
      <c r="C888" s="7" t="s">
        <v>871</v>
      </c>
      <c r="D888" s="66">
        <f>D843</f>
        <v>5.8974622495064617</v>
      </c>
      <c r="E888" s="7">
        <v>103</v>
      </c>
      <c r="F888" s="53">
        <f>D888*E888</f>
        <v>607.43861169916556</v>
      </c>
    </row>
    <row r="889" spans="1:6" ht="18" customHeight="1">
      <c r="A889" s="7"/>
      <c r="B889" s="52"/>
      <c r="C889" s="7"/>
      <c r="D889" s="7"/>
      <c r="E889" s="7"/>
      <c r="F889" s="53"/>
    </row>
    <row r="890" spans="1:6" ht="18" customHeight="1">
      <c r="A890" s="7">
        <v>1.2</v>
      </c>
      <c r="B890" s="52" t="s">
        <v>841</v>
      </c>
      <c r="C890" s="7"/>
      <c r="D890" s="53">
        <f>F866</f>
        <v>58555.534885031404</v>
      </c>
      <c r="E890" s="56">
        <f>E845</f>
        <v>4.8000000000000001E-2</v>
      </c>
      <c r="F890" s="53">
        <f>D890*E890</f>
        <v>2810.6656744815073</v>
      </c>
    </row>
    <row r="891" spans="1:6" ht="18" customHeight="1">
      <c r="A891" s="7">
        <v>1.3</v>
      </c>
      <c r="B891" s="52" t="s">
        <v>842</v>
      </c>
      <c r="C891" s="7"/>
      <c r="D891" s="53">
        <f>F866</f>
        <v>58555.534885031404</v>
      </c>
      <c r="E891" s="56">
        <f>E846</f>
        <v>0</v>
      </c>
      <c r="F891" s="53">
        <f>D891*E891</f>
        <v>0</v>
      </c>
    </row>
    <row r="892" spans="1:6" ht="18" customHeight="1">
      <c r="A892" s="7">
        <v>2</v>
      </c>
      <c r="B892" s="52" t="s">
        <v>182</v>
      </c>
      <c r="C892" s="7"/>
      <c r="D892" s="53">
        <f>F865</f>
        <v>61366.200559512909</v>
      </c>
      <c r="E892" s="56">
        <f>E847</f>
        <v>7.0000000000000007E-2</v>
      </c>
      <c r="F892" s="53">
        <f>D892*E892</f>
        <v>4295.6340391659041</v>
      </c>
    </row>
    <row r="893" spans="1:6" ht="18" customHeight="1">
      <c r="A893" s="7">
        <v>3</v>
      </c>
      <c r="B893" s="52" t="s">
        <v>843</v>
      </c>
      <c r="C893" s="7"/>
      <c r="D893" s="53">
        <f>F892+F865</f>
        <v>65661.834598678819</v>
      </c>
      <c r="E893" s="56">
        <f>E848</f>
        <v>7.0000000000000007E-2</v>
      </c>
      <c r="F893" s="53">
        <f>D893*E893</f>
        <v>4596.3284219075176</v>
      </c>
    </row>
    <row r="894" spans="1:6" ht="18" customHeight="1">
      <c r="A894" s="7">
        <v>4</v>
      </c>
      <c r="B894" s="52" t="s">
        <v>184</v>
      </c>
      <c r="C894" s="7"/>
      <c r="D894" s="7"/>
      <c r="E894" s="7"/>
      <c r="F894" s="53">
        <f>SUM(F895:F900)</f>
        <v>5277.8599950837124</v>
      </c>
    </row>
    <row r="895" spans="1:6" ht="18" customHeight="1">
      <c r="A895" s="7"/>
      <c r="B895" s="52" t="s">
        <v>354</v>
      </c>
      <c r="C895" s="7" t="s">
        <v>88</v>
      </c>
      <c r="D895" s="7">
        <f>A2</f>
        <v>116.41515</v>
      </c>
      <c r="E895" s="66">
        <f>E877*砼配合!I9</f>
        <v>35.035758999999999</v>
      </c>
      <c r="F895" s="53">
        <f t="shared" ref="F895:F901" si="81">D895*E895</f>
        <v>4078.6931393488499</v>
      </c>
    </row>
    <row r="896" spans="1:6" ht="18" customHeight="1">
      <c r="A896" s="7"/>
      <c r="B896" s="52" t="s">
        <v>507</v>
      </c>
      <c r="C896" s="7" t="s">
        <v>871</v>
      </c>
      <c r="D896" s="66">
        <f>D851</f>
        <v>4.6598683999999899</v>
      </c>
      <c r="E896" s="66">
        <f>E877*砼配合!I10</f>
        <v>54.406660000000002</v>
      </c>
      <c r="F896" s="53">
        <f t="shared" si="81"/>
        <v>253.52787568354347</v>
      </c>
    </row>
    <row r="897" spans="1:6" ht="18" customHeight="1">
      <c r="A897" s="7"/>
      <c r="B897" s="52" t="s">
        <v>509</v>
      </c>
      <c r="C897" s="7" t="s">
        <v>871</v>
      </c>
      <c r="D897" s="66">
        <f>D852</f>
        <v>6.2457299999999902</v>
      </c>
      <c r="E897" s="66">
        <f>E877*砼配合!I11</f>
        <v>86.667083999999988</v>
      </c>
      <c r="F897" s="53">
        <f t="shared" si="81"/>
        <v>541.29920655131912</v>
      </c>
    </row>
    <row r="898" spans="1:6" ht="18" customHeight="1">
      <c r="A898" s="7"/>
      <c r="B898" s="52" t="s">
        <v>506</v>
      </c>
      <c r="C898" s="7" t="s">
        <v>871</v>
      </c>
      <c r="D898" s="7">
        <f>D853</f>
        <v>0</v>
      </c>
      <c r="E898" s="7">
        <f>E871</f>
        <v>4.0999999999999996</v>
      </c>
      <c r="F898" s="53">
        <f t="shared" si="81"/>
        <v>0</v>
      </c>
    </row>
    <row r="899" spans="1:6" ht="18" customHeight="1">
      <c r="A899" s="7"/>
      <c r="B899" s="52" t="s">
        <v>515</v>
      </c>
      <c r="C899" s="7" t="s">
        <v>844</v>
      </c>
      <c r="D899" s="7">
        <f>D854</f>
        <v>4.7450000000000001</v>
      </c>
      <c r="E899" s="7">
        <f>台时!AK19*砼单价!E881</f>
        <v>54.36</v>
      </c>
      <c r="F899" s="53">
        <f t="shared" si="81"/>
        <v>257.93819999999999</v>
      </c>
    </row>
    <row r="900" spans="1:6" ht="18" customHeight="1">
      <c r="A900" s="7"/>
      <c r="B900" s="52" t="s">
        <v>516</v>
      </c>
      <c r="C900" s="7" t="s">
        <v>844</v>
      </c>
      <c r="D900" s="7">
        <f>D855</f>
        <v>3.51</v>
      </c>
      <c r="E900" s="66">
        <f>砼配合!I63*台时!AN22*砼单价!E888/100</f>
        <v>41.709849999999996</v>
      </c>
      <c r="F900" s="53">
        <f t="shared" si="81"/>
        <v>146.40157349999998</v>
      </c>
    </row>
    <row r="901" spans="1:6" ht="18" customHeight="1">
      <c r="A901" s="7">
        <v>5</v>
      </c>
      <c r="B901" s="52" t="s">
        <v>845</v>
      </c>
      <c r="C901" s="7"/>
      <c r="D901" s="53">
        <f>F865+F892+F893+F894</f>
        <v>75536.023015670042</v>
      </c>
      <c r="E901" s="56">
        <f>E856</f>
        <v>0.09</v>
      </c>
      <c r="F901" s="53">
        <f t="shared" si="81"/>
        <v>6798.2420714103037</v>
      </c>
    </row>
    <row r="902" spans="1:6" ht="18" customHeight="1">
      <c r="A902" s="7">
        <v>6</v>
      </c>
      <c r="B902" s="52" t="s">
        <v>7</v>
      </c>
      <c r="C902" s="7"/>
      <c r="D902" s="7"/>
      <c r="E902" s="7"/>
      <c r="F902" s="53">
        <f>D901+F901</f>
        <v>82334.265087080348</v>
      </c>
    </row>
    <row r="903" spans="1:6" ht="18" customHeight="1">
      <c r="A903" s="7"/>
      <c r="B903" s="52" t="s">
        <v>846</v>
      </c>
      <c r="C903" s="7"/>
      <c r="D903" s="53">
        <f>F902</f>
        <v>82334.265087080348</v>
      </c>
      <c r="E903" s="56">
        <f>E858</f>
        <v>0.03</v>
      </c>
      <c r="F903" s="53">
        <f>E903*D903</f>
        <v>2470.0279526124104</v>
      </c>
    </row>
    <row r="904" spans="1:6" ht="18" customHeight="1">
      <c r="A904" s="7"/>
      <c r="B904" s="52" t="s">
        <v>44</v>
      </c>
      <c r="C904" s="7"/>
      <c r="D904" s="7"/>
      <c r="E904" s="7"/>
      <c r="F904" s="53">
        <f>SUM(F902:F903)</f>
        <v>84804.293039692755</v>
      </c>
    </row>
    <row r="905" spans="1:6" ht="22.5" customHeight="1">
      <c r="A905" s="461" t="s">
        <v>813</v>
      </c>
      <c r="B905" s="461"/>
      <c r="C905" s="461"/>
      <c r="D905" s="461"/>
      <c r="E905" s="461"/>
      <c r="F905" s="461"/>
    </row>
    <row r="906" spans="1:6" ht="18" customHeight="1">
      <c r="A906" s="462" t="s">
        <v>915</v>
      </c>
      <c r="B906" s="462"/>
      <c r="C906" s="462"/>
      <c r="D906" s="462"/>
      <c r="E906" s="462"/>
      <c r="F906" s="462"/>
    </row>
    <row r="907" spans="1:6" ht="18" customHeight="1">
      <c r="A907" s="47" t="s">
        <v>815</v>
      </c>
      <c r="B907" s="49">
        <v>4102</v>
      </c>
      <c r="D907" s="46"/>
      <c r="E907" s="47" t="s">
        <v>169</v>
      </c>
      <c r="F907" s="49" t="s">
        <v>869</v>
      </c>
    </row>
    <row r="908" spans="1:6" ht="18" customHeight="1">
      <c r="A908" s="50" t="s">
        <v>817</v>
      </c>
      <c r="B908" s="458"/>
      <c r="C908" s="459"/>
      <c r="D908" s="459"/>
      <c r="E908" s="459"/>
      <c r="F908" s="460"/>
    </row>
    <row r="909" spans="1:6" ht="18" customHeight="1">
      <c r="A909" s="7" t="s">
        <v>1</v>
      </c>
      <c r="B909" s="52" t="s">
        <v>344</v>
      </c>
      <c r="C909" s="7" t="s">
        <v>818</v>
      </c>
      <c r="D909" s="7" t="s">
        <v>819</v>
      </c>
      <c r="E909" s="7" t="s">
        <v>820</v>
      </c>
      <c r="F909" s="7" t="s">
        <v>821</v>
      </c>
    </row>
    <row r="910" spans="1:6" ht="18" customHeight="1">
      <c r="A910" s="7">
        <v>1</v>
      </c>
      <c r="B910" s="52" t="s">
        <v>822</v>
      </c>
      <c r="C910" s="7"/>
      <c r="D910" s="7"/>
      <c r="E910" s="7"/>
      <c r="F910" s="53">
        <f>F911+F935+F936</f>
        <v>63156.540066102345</v>
      </c>
    </row>
    <row r="911" spans="1:6" ht="18" customHeight="1">
      <c r="A911" s="7">
        <v>1.1000000000000001</v>
      </c>
      <c r="B911" s="52" t="s">
        <v>823</v>
      </c>
      <c r="C911" s="7"/>
      <c r="D911" s="7"/>
      <c r="E911" s="7"/>
      <c r="F911" s="53">
        <f>F912+F915+F925+F932+F933+F934</f>
        <v>60263.874108876284</v>
      </c>
    </row>
    <row r="912" spans="1:6" ht="18" customHeight="1">
      <c r="A912" s="7" t="s">
        <v>47</v>
      </c>
      <c r="B912" s="52" t="s">
        <v>176</v>
      </c>
      <c r="C912" s="7"/>
      <c r="D912" s="7"/>
      <c r="E912" s="7"/>
      <c r="F912" s="53">
        <f>F913+F914</f>
        <v>30234.805</v>
      </c>
    </row>
    <row r="913" spans="1:6" ht="18" customHeight="1">
      <c r="A913" s="7"/>
      <c r="B913" s="52" t="s">
        <v>824</v>
      </c>
      <c r="C913" s="7" t="s">
        <v>825</v>
      </c>
      <c r="D913" s="7">
        <v>8.1</v>
      </c>
      <c r="E913" s="7">
        <v>3147.5</v>
      </c>
      <c r="F913" s="53">
        <f>D913*E913</f>
        <v>25494.75</v>
      </c>
    </row>
    <row r="914" spans="1:6" ht="18" customHeight="1">
      <c r="A914" s="7"/>
      <c r="B914" s="52" t="s">
        <v>826</v>
      </c>
      <c r="C914" s="7" t="s">
        <v>825</v>
      </c>
      <c r="D914" s="7">
        <v>5.77</v>
      </c>
      <c r="E914" s="7">
        <v>821.5</v>
      </c>
      <c r="F914" s="53">
        <f>D914*E914</f>
        <v>4740.0550000000003</v>
      </c>
    </row>
    <row r="915" spans="1:6" ht="18" customHeight="1">
      <c r="A915" s="7" t="s">
        <v>57</v>
      </c>
      <c r="B915" s="52" t="s">
        <v>177</v>
      </c>
      <c r="C915" s="7"/>
      <c r="D915" s="7"/>
      <c r="E915" s="7"/>
      <c r="F915" s="53">
        <f>SUM(F916:F924)</f>
        <v>27356.34997549</v>
      </c>
    </row>
    <row r="916" spans="1:6" ht="18" customHeight="1">
      <c r="A916" s="7"/>
      <c r="B916" s="52" t="s">
        <v>870</v>
      </c>
      <c r="C916" s="7" t="s">
        <v>871</v>
      </c>
      <c r="D916" s="7">
        <f>D871</f>
        <v>1874.0778</v>
      </c>
      <c r="E916" s="7">
        <v>0.72</v>
      </c>
      <c r="F916" s="53">
        <f t="shared" ref="F916:F923" si="82">D916*E916</f>
        <v>1349.336016</v>
      </c>
    </row>
    <row r="917" spans="1:6" ht="18" customHeight="1">
      <c r="A917" s="7"/>
      <c r="B917" s="52" t="s">
        <v>375</v>
      </c>
      <c r="C917" s="7" t="s">
        <v>844</v>
      </c>
      <c r="D917" s="7">
        <f>次要材料汇总!$F$9</f>
        <v>6</v>
      </c>
      <c r="E917" s="7">
        <v>435.16</v>
      </c>
      <c r="F917" s="53">
        <f t="shared" si="82"/>
        <v>2610.96</v>
      </c>
    </row>
    <row r="918" spans="1:6" ht="18" customHeight="1">
      <c r="A918" s="7"/>
      <c r="B918" s="52" t="s">
        <v>873</v>
      </c>
      <c r="C918" s="7" t="s">
        <v>844</v>
      </c>
      <c r="D918" s="7">
        <f>次要材料汇总!$F$10</f>
        <v>5.5</v>
      </c>
      <c r="E918" s="7">
        <v>192.31</v>
      </c>
      <c r="F918" s="53">
        <f t="shared" si="82"/>
        <v>1057.7049999999999</v>
      </c>
    </row>
    <row r="919" spans="1:6" ht="18" customHeight="1">
      <c r="A919" s="7"/>
      <c r="B919" s="52" t="s">
        <v>874</v>
      </c>
      <c r="C919" s="7" t="s">
        <v>844</v>
      </c>
      <c r="D919" s="7">
        <f>次要材料汇总!$F$11</f>
        <v>6.5</v>
      </c>
      <c r="E919" s="7">
        <v>302.05</v>
      </c>
      <c r="F919" s="53">
        <f t="shared" si="82"/>
        <v>1963.325</v>
      </c>
    </row>
    <row r="920" spans="1:6" ht="18" customHeight="1">
      <c r="A920" s="7"/>
      <c r="B920" s="52" t="s">
        <v>913</v>
      </c>
      <c r="C920" s="7" t="s">
        <v>844</v>
      </c>
      <c r="D920" s="7">
        <f>次要材料汇总!$F$5</f>
        <v>8</v>
      </c>
      <c r="E920" s="7">
        <v>0</v>
      </c>
      <c r="F920" s="53">
        <f t="shared" si="82"/>
        <v>0</v>
      </c>
    </row>
    <row r="921" spans="1:6" ht="18" customHeight="1">
      <c r="A921" s="7"/>
      <c r="B921" s="52" t="s">
        <v>876</v>
      </c>
      <c r="C921" s="7" t="s">
        <v>844</v>
      </c>
      <c r="D921" s="7">
        <f>次要材料汇总!$F$12</f>
        <v>7.5</v>
      </c>
      <c r="E921" s="7">
        <v>0</v>
      </c>
      <c r="F921" s="53">
        <f t="shared" si="82"/>
        <v>0</v>
      </c>
    </row>
    <row r="922" spans="1:6" ht="18" customHeight="1">
      <c r="A922" s="7"/>
      <c r="B922" s="52" t="s">
        <v>877</v>
      </c>
      <c r="C922" s="7" t="s">
        <v>871</v>
      </c>
      <c r="D922" s="66">
        <f>D877</f>
        <v>183.29938899999999</v>
      </c>
      <c r="E922" s="7">
        <v>103</v>
      </c>
      <c r="F922" s="53">
        <f t="shared" si="82"/>
        <v>18879.837067</v>
      </c>
    </row>
    <row r="923" spans="1:6" ht="18" customHeight="1">
      <c r="A923" s="7"/>
      <c r="B923" s="52" t="s">
        <v>806</v>
      </c>
      <c r="C923" s="7" t="s">
        <v>871</v>
      </c>
      <c r="D923" s="7">
        <f>D878</f>
        <v>3.88</v>
      </c>
      <c r="E923" s="7">
        <v>180</v>
      </c>
      <c r="F923" s="53">
        <f t="shared" si="82"/>
        <v>698.4</v>
      </c>
    </row>
    <row r="924" spans="1:6" ht="18" customHeight="1">
      <c r="A924" s="7"/>
      <c r="B924" s="52" t="s">
        <v>833</v>
      </c>
      <c r="C924" s="7" t="s">
        <v>834</v>
      </c>
      <c r="D924" s="66">
        <f>SUM(F916:F923)</f>
        <v>26559.563083000001</v>
      </c>
      <c r="E924" s="7">
        <v>3</v>
      </c>
      <c r="F924" s="53">
        <f>D924*E924/100</f>
        <v>796.78689249000001</v>
      </c>
    </row>
    <row r="925" spans="1:6" ht="18" customHeight="1">
      <c r="A925" s="7" t="s">
        <v>835</v>
      </c>
      <c r="B925" s="52" t="s">
        <v>836</v>
      </c>
      <c r="C925" s="7"/>
      <c r="D925" s="7"/>
      <c r="E925" s="7"/>
      <c r="F925" s="53">
        <f>SUM(F926:F931)</f>
        <v>1547.5083927426554</v>
      </c>
    </row>
    <row r="926" spans="1:6" ht="18" customHeight="1">
      <c r="A926" s="7"/>
      <c r="B926" s="52" t="s">
        <v>878</v>
      </c>
      <c r="C926" s="7" t="s">
        <v>863</v>
      </c>
      <c r="D926" s="66">
        <f>施工机械台时汇总!$C$42</f>
        <v>49.210305522914197</v>
      </c>
      <c r="E926" s="7">
        <v>1.63</v>
      </c>
      <c r="F926" s="53">
        <f>D926*E926</f>
        <v>80.212798002350141</v>
      </c>
    </row>
    <row r="927" spans="1:6" ht="18" customHeight="1">
      <c r="A927" s="7"/>
      <c r="B927" s="52" t="s">
        <v>916</v>
      </c>
      <c r="C927" s="7" t="s">
        <v>863</v>
      </c>
      <c r="D927" s="66">
        <f>施工机械台时汇总!$C$51</f>
        <v>22.344653740697211</v>
      </c>
      <c r="E927" s="7">
        <v>22.3</v>
      </c>
      <c r="F927" s="53">
        <f>D927*E927</f>
        <v>498.28577841754782</v>
      </c>
    </row>
    <row r="928" spans="1:6" ht="18" customHeight="1">
      <c r="A928" s="7"/>
      <c r="B928" s="52" t="s">
        <v>882</v>
      </c>
      <c r="C928" s="7" t="s">
        <v>863</v>
      </c>
      <c r="D928" s="66">
        <f>施工机械台时汇总!$C$21</f>
        <v>28.129680376028197</v>
      </c>
      <c r="E928" s="7">
        <v>18.54</v>
      </c>
      <c r="F928" s="53">
        <f>D928*E928</f>
        <v>521.52427417156275</v>
      </c>
    </row>
    <row r="929" spans="1:6" ht="18" customHeight="1">
      <c r="A929" s="7"/>
      <c r="B929" s="52" t="s">
        <v>883</v>
      </c>
      <c r="C929" s="7" t="s">
        <v>863</v>
      </c>
      <c r="D929" s="66">
        <f>施工机械台时汇总!$C$24</f>
        <v>2.2013599686643204</v>
      </c>
      <c r="E929" s="7">
        <v>44</v>
      </c>
      <c r="F929" s="53">
        <f>D929*E929</f>
        <v>96.859838621230097</v>
      </c>
    </row>
    <row r="930" spans="1:6" ht="18" customHeight="1">
      <c r="A930" s="7"/>
      <c r="B930" s="52" t="s">
        <v>407</v>
      </c>
      <c r="C930" s="7" t="s">
        <v>863</v>
      </c>
      <c r="D930" s="7">
        <f>施工机械台时汇总!$C$19</f>
        <v>0.80266353309831595</v>
      </c>
      <c r="E930" s="7">
        <v>115.5</v>
      </c>
      <c r="F930" s="53">
        <f>D930*E930</f>
        <v>92.707638072855488</v>
      </c>
    </row>
    <row r="931" spans="1:6" ht="18" customHeight="1">
      <c r="A931" s="7"/>
      <c r="B931" s="52" t="s">
        <v>840</v>
      </c>
      <c r="C931" s="7" t="s">
        <v>834</v>
      </c>
      <c r="D931" s="66">
        <f>SUM(F926:F930)</f>
        <v>1289.5903272855462</v>
      </c>
      <c r="E931" s="7">
        <v>20</v>
      </c>
      <c r="F931" s="53">
        <f>D931*E931/100</f>
        <v>257.91806545710926</v>
      </c>
    </row>
    <row r="932" spans="1:6" ht="18" customHeight="1">
      <c r="A932" s="7" t="s">
        <v>884</v>
      </c>
      <c r="B932" s="52" t="s">
        <v>885</v>
      </c>
      <c r="C932" s="7" t="s">
        <v>871</v>
      </c>
      <c r="D932" s="66">
        <f>D887</f>
        <v>5.0269138732471603</v>
      </c>
      <c r="E932" s="7">
        <v>103</v>
      </c>
      <c r="F932" s="53">
        <f>D932*E932</f>
        <v>517.77212894445756</v>
      </c>
    </row>
    <row r="933" spans="1:6" ht="18" customHeight="1">
      <c r="A933" s="7" t="s">
        <v>886</v>
      </c>
      <c r="B933" s="52" t="s">
        <v>887</v>
      </c>
      <c r="C933" s="7" t="s">
        <v>871</v>
      </c>
      <c r="D933" s="66">
        <f>D888</f>
        <v>5.8974622495064617</v>
      </c>
      <c r="E933" s="7">
        <v>103</v>
      </c>
      <c r="F933" s="53">
        <f>D933*E933</f>
        <v>607.43861169916556</v>
      </c>
    </row>
    <row r="934" spans="1:6" ht="18" customHeight="1">
      <c r="A934" s="7"/>
      <c r="B934" s="52"/>
      <c r="C934" s="7"/>
      <c r="D934" s="7"/>
      <c r="E934" s="7"/>
      <c r="F934" s="53"/>
    </row>
    <row r="935" spans="1:6" ht="18" customHeight="1">
      <c r="A935" s="7">
        <v>1.2</v>
      </c>
      <c r="B935" s="52" t="s">
        <v>841</v>
      </c>
      <c r="C935" s="7"/>
      <c r="D935" s="53">
        <f>F911</f>
        <v>60263.874108876284</v>
      </c>
      <c r="E935" s="56">
        <f>E890</f>
        <v>4.8000000000000001E-2</v>
      </c>
      <c r="F935" s="53">
        <f>D935*E935</f>
        <v>2892.6659572260619</v>
      </c>
    </row>
    <row r="936" spans="1:6" ht="18" customHeight="1">
      <c r="A936" s="7">
        <v>1.3</v>
      </c>
      <c r="B936" s="52" t="s">
        <v>842</v>
      </c>
      <c r="C936" s="7"/>
      <c r="D936" s="53">
        <f>F911</f>
        <v>60263.874108876284</v>
      </c>
      <c r="E936" s="56">
        <f>E891</f>
        <v>0</v>
      </c>
      <c r="F936" s="53">
        <f>D936*E936</f>
        <v>0</v>
      </c>
    </row>
    <row r="937" spans="1:6" ht="18" customHeight="1">
      <c r="A937" s="7">
        <v>2</v>
      </c>
      <c r="B937" s="52" t="s">
        <v>182</v>
      </c>
      <c r="C937" s="7"/>
      <c r="D937" s="53">
        <f>F910</f>
        <v>63156.540066102345</v>
      </c>
      <c r="E937" s="56">
        <f>E892</f>
        <v>7.0000000000000007E-2</v>
      </c>
      <c r="F937" s="53">
        <f>D937*E937</f>
        <v>4420.9578046271645</v>
      </c>
    </row>
    <row r="938" spans="1:6" ht="18" customHeight="1">
      <c r="A938" s="7">
        <v>3</v>
      </c>
      <c r="B938" s="52" t="s">
        <v>843</v>
      </c>
      <c r="C938" s="7"/>
      <c r="D938" s="53">
        <f>F937+F910</f>
        <v>67577.497870729509</v>
      </c>
      <c r="E938" s="56">
        <f>E893</f>
        <v>7.0000000000000007E-2</v>
      </c>
      <c r="F938" s="53">
        <f>D938*E938</f>
        <v>4730.4248509510662</v>
      </c>
    </row>
    <row r="939" spans="1:6" ht="18" customHeight="1">
      <c r="A939" s="7">
        <v>4</v>
      </c>
      <c r="B939" s="52" t="s">
        <v>184</v>
      </c>
      <c r="C939" s="7"/>
      <c r="D939" s="7"/>
      <c r="E939" s="7"/>
      <c r="F939" s="53">
        <f>SUM(F940:F945)</f>
        <v>5075.6091150837128</v>
      </c>
    </row>
    <row r="940" spans="1:6" ht="18" customHeight="1">
      <c r="A940" s="7"/>
      <c r="B940" s="52" t="s">
        <v>354</v>
      </c>
      <c r="C940" s="7" t="s">
        <v>88</v>
      </c>
      <c r="D940" s="7">
        <f>A2</f>
        <v>116.41515</v>
      </c>
      <c r="E940" s="66">
        <f>E922*砼配合!I9</f>
        <v>35.035758999999999</v>
      </c>
      <c r="F940" s="53">
        <f t="shared" ref="F940:F946" si="83">D940*E940</f>
        <v>4078.6931393488499</v>
      </c>
    </row>
    <row r="941" spans="1:6" ht="18" customHeight="1">
      <c r="A941" s="7"/>
      <c r="B941" s="52" t="s">
        <v>507</v>
      </c>
      <c r="C941" s="7" t="s">
        <v>871</v>
      </c>
      <c r="D941" s="66">
        <f>D896</f>
        <v>4.6598683999999899</v>
      </c>
      <c r="E941" s="66">
        <f>E922*砼配合!I10</f>
        <v>54.406660000000002</v>
      </c>
      <c r="F941" s="53">
        <f t="shared" si="83"/>
        <v>253.52787568354347</v>
      </c>
    </row>
    <row r="942" spans="1:6" ht="18" customHeight="1">
      <c r="A942" s="7"/>
      <c r="B942" s="52" t="s">
        <v>509</v>
      </c>
      <c r="C942" s="7" t="s">
        <v>871</v>
      </c>
      <c r="D942" s="66">
        <f>D897</f>
        <v>6.2457299999999902</v>
      </c>
      <c r="E942" s="66">
        <f>E922*砼配合!I11</f>
        <v>86.667083999999988</v>
      </c>
      <c r="F942" s="53">
        <f t="shared" si="83"/>
        <v>541.29920655131912</v>
      </c>
    </row>
    <row r="943" spans="1:6" ht="18" customHeight="1">
      <c r="A943" s="7"/>
      <c r="B943" s="52" t="s">
        <v>506</v>
      </c>
      <c r="C943" s="7" t="s">
        <v>871</v>
      </c>
      <c r="D943" s="7">
        <f>D898</f>
        <v>0</v>
      </c>
      <c r="E943" s="7">
        <f>E916</f>
        <v>0.72</v>
      </c>
      <c r="F943" s="53">
        <f t="shared" si="83"/>
        <v>0</v>
      </c>
    </row>
    <row r="944" spans="1:6" ht="18" customHeight="1">
      <c r="A944" s="7"/>
      <c r="B944" s="52" t="s">
        <v>515</v>
      </c>
      <c r="C944" s="7" t="s">
        <v>844</v>
      </c>
      <c r="D944" s="7">
        <f>D899</f>
        <v>4.7450000000000001</v>
      </c>
      <c r="E944" s="66">
        <f>台时!AK19*砼单价!E926</f>
        <v>11.735999999999999</v>
      </c>
      <c r="F944" s="53">
        <f t="shared" si="83"/>
        <v>55.687319999999993</v>
      </c>
    </row>
    <row r="945" spans="1:6" ht="18" customHeight="1">
      <c r="A945" s="7"/>
      <c r="B945" s="52" t="s">
        <v>516</v>
      </c>
      <c r="C945" s="7" t="s">
        <v>844</v>
      </c>
      <c r="D945" s="7">
        <f>D900</f>
        <v>3.51</v>
      </c>
      <c r="E945" s="66">
        <f>砼配合!I63*台时!AN22*砼单价!E933/100</f>
        <v>41.709849999999996</v>
      </c>
      <c r="F945" s="53">
        <f t="shared" si="83"/>
        <v>146.40157349999998</v>
      </c>
    </row>
    <row r="946" spans="1:6" ht="18" customHeight="1">
      <c r="A946" s="7">
        <v>5</v>
      </c>
      <c r="B946" s="52" t="s">
        <v>845</v>
      </c>
      <c r="C946" s="7"/>
      <c r="D946" s="53">
        <f>F910+F937+F938+F939</f>
        <v>77383.53183676429</v>
      </c>
      <c r="E946" s="56">
        <f>E901</f>
        <v>0.09</v>
      </c>
      <c r="F946" s="53">
        <f t="shared" si="83"/>
        <v>6964.517865308786</v>
      </c>
    </row>
    <row r="947" spans="1:6" ht="18" customHeight="1">
      <c r="A947" s="7">
        <v>6</v>
      </c>
      <c r="B947" s="52" t="s">
        <v>7</v>
      </c>
      <c r="C947" s="7"/>
      <c r="D947" s="7"/>
      <c r="E947" s="7"/>
      <c r="F947" s="53">
        <f>D946+F946</f>
        <v>84348.049702073069</v>
      </c>
    </row>
    <row r="948" spans="1:6" ht="18" customHeight="1">
      <c r="A948" s="7"/>
      <c r="B948" s="52" t="s">
        <v>846</v>
      </c>
      <c r="C948" s="7"/>
      <c r="D948" s="53">
        <f>F947</f>
        <v>84348.049702073069</v>
      </c>
      <c r="E948" s="56">
        <f>E903</f>
        <v>0.03</v>
      </c>
      <c r="F948" s="53">
        <f>E948*D948</f>
        <v>2530.4414910621922</v>
      </c>
    </row>
    <row r="949" spans="1:6" ht="18" customHeight="1">
      <c r="A949" s="7"/>
      <c r="B949" s="52" t="s">
        <v>44</v>
      </c>
      <c r="C949" s="7"/>
      <c r="D949" s="7"/>
      <c r="E949" s="7"/>
      <c r="F949" s="53">
        <f>SUM(F947:F948)</f>
        <v>86878.491193135254</v>
      </c>
    </row>
    <row r="950" spans="1:6" ht="22.5" customHeight="1">
      <c r="A950" s="461" t="s">
        <v>813</v>
      </c>
      <c r="B950" s="461"/>
      <c r="C950" s="461"/>
      <c r="D950" s="461"/>
      <c r="E950" s="461"/>
      <c r="F950" s="461"/>
    </row>
    <row r="951" spans="1:6" ht="18" customHeight="1">
      <c r="A951" s="481" t="s">
        <v>917</v>
      </c>
      <c r="B951" s="481"/>
      <c r="C951" s="481"/>
      <c r="D951" s="481"/>
      <c r="E951" s="481"/>
      <c r="F951" s="481"/>
    </row>
    <row r="952" spans="1:6" ht="18" customHeight="1">
      <c r="A952" s="47" t="s">
        <v>815</v>
      </c>
      <c r="B952" s="49">
        <v>4109</v>
      </c>
      <c r="D952" s="46"/>
      <c r="E952" s="47" t="s">
        <v>169</v>
      </c>
      <c r="F952" s="49" t="s">
        <v>869</v>
      </c>
    </row>
    <row r="953" spans="1:6" ht="18" customHeight="1">
      <c r="A953" s="50" t="s">
        <v>817</v>
      </c>
      <c r="B953" s="458"/>
      <c r="C953" s="459"/>
      <c r="D953" s="459"/>
      <c r="E953" s="459"/>
      <c r="F953" s="460"/>
    </row>
    <row r="954" spans="1:6" ht="18" customHeight="1">
      <c r="A954" s="7" t="s">
        <v>1</v>
      </c>
      <c r="B954" s="52" t="s">
        <v>344</v>
      </c>
      <c r="C954" s="7" t="s">
        <v>818</v>
      </c>
      <c r="D954" s="7" t="s">
        <v>819</v>
      </c>
      <c r="E954" s="7" t="s">
        <v>820</v>
      </c>
      <c r="F954" s="7" t="s">
        <v>821</v>
      </c>
    </row>
    <row r="955" spans="1:6" ht="18" customHeight="1">
      <c r="A955" s="7">
        <v>1</v>
      </c>
      <c r="B955" s="52" t="s">
        <v>822</v>
      </c>
      <c r="C955" s="7"/>
      <c r="D955" s="7"/>
      <c r="E955" s="7"/>
      <c r="F955" s="53">
        <f>F956+F980+F981</f>
        <v>36330.356173884618</v>
      </c>
    </row>
    <row r="956" spans="1:6" ht="18" customHeight="1">
      <c r="A956" s="7">
        <v>1.1000000000000001</v>
      </c>
      <c r="B956" s="52" t="s">
        <v>823</v>
      </c>
      <c r="C956" s="7"/>
      <c r="D956" s="7"/>
      <c r="E956" s="7"/>
      <c r="F956" s="53">
        <f>F957+F960+F970+F977+F978+F979</f>
        <v>34666.370394928068</v>
      </c>
    </row>
    <row r="957" spans="1:6" ht="18" customHeight="1">
      <c r="A957" s="7" t="s">
        <v>47</v>
      </c>
      <c r="B957" s="52" t="s">
        <v>176</v>
      </c>
      <c r="C957" s="7"/>
      <c r="D957" s="7"/>
      <c r="E957" s="7"/>
      <c r="F957" s="53">
        <f>F958+F959</f>
        <v>8210.2109999999993</v>
      </c>
    </row>
    <row r="958" spans="1:6" ht="18" customHeight="1">
      <c r="A958" s="7"/>
      <c r="B958" s="52" t="s">
        <v>824</v>
      </c>
      <c r="C958" s="7" t="s">
        <v>825</v>
      </c>
      <c r="D958" s="7">
        <v>8.1</v>
      </c>
      <c r="E958" s="7">
        <v>748.4</v>
      </c>
      <c r="F958" s="53">
        <f>D958*E958</f>
        <v>6062.04</v>
      </c>
    </row>
    <row r="959" spans="1:6" ht="18" customHeight="1">
      <c r="A959" s="7"/>
      <c r="B959" s="52" t="s">
        <v>826</v>
      </c>
      <c r="C959" s="7" t="s">
        <v>825</v>
      </c>
      <c r="D959" s="7">
        <v>5.77</v>
      </c>
      <c r="E959" s="7">
        <v>372.3</v>
      </c>
      <c r="F959" s="53">
        <f>D959*E959</f>
        <v>2148.1709999999998</v>
      </c>
    </row>
    <row r="960" spans="1:6" ht="18" customHeight="1">
      <c r="A960" s="7" t="s">
        <v>57</v>
      </c>
      <c r="B960" s="52" t="s">
        <v>177</v>
      </c>
      <c r="C960" s="7"/>
      <c r="D960" s="7"/>
      <c r="E960" s="7"/>
      <c r="F960" s="53">
        <f>SUM(F961:F969)</f>
        <v>24436.52564466</v>
      </c>
    </row>
    <row r="961" spans="1:6" ht="18" customHeight="1">
      <c r="A961" s="7"/>
      <c r="B961" s="52" t="s">
        <v>870</v>
      </c>
      <c r="C961" s="7" t="s">
        <v>871</v>
      </c>
      <c r="D961" s="7">
        <f>D916</f>
        <v>1874.0778</v>
      </c>
      <c r="E961" s="7">
        <v>0.72</v>
      </c>
      <c r="F961" s="53">
        <f t="shared" ref="F961:F968" si="84">D961*E961</f>
        <v>1349.336016</v>
      </c>
    </row>
    <row r="962" spans="1:6" ht="18" customHeight="1">
      <c r="A962" s="7"/>
      <c r="B962" s="52" t="s">
        <v>375</v>
      </c>
      <c r="C962" s="7" t="s">
        <v>844</v>
      </c>
      <c r="D962" s="7">
        <f>次要材料汇总!$F$9</f>
        <v>6</v>
      </c>
      <c r="E962" s="7">
        <v>60.25</v>
      </c>
      <c r="F962" s="53">
        <f t="shared" si="84"/>
        <v>361.5</v>
      </c>
    </row>
    <row r="963" spans="1:6" ht="18" customHeight="1">
      <c r="A963" s="7"/>
      <c r="B963" s="52" t="s">
        <v>873</v>
      </c>
      <c r="C963" s="7" t="s">
        <v>844</v>
      </c>
      <c r="D963" s="7">
        <f>次要材料汇总!$F$10</f>
        <v>5.5</v>
      </c>
      <c r="E963" s="7">
        <v>41.4</v>
      </c>
      <c r="F963" s="53">
        <f t="shared" si="84"/>
        <v>227.7</v>
      </c>
    </row>
    <row r="964" spans="1:6" ht="18" customHeight="1">
      <c r="A964" s="7"/>
      <c r="B964" s="52" t="s">
        <v>874</v>
      </c>
      <c r="C964" s="7" t="s">
        <v>844</v>
      </c>
      <c r="D964" s="7">
        <f>次要材料汇总!$F$11</f>
        <v>6.5</v>
      </c>
      <c r="E964" s="7">
        <v>31.83</v>
      </c>
      <c r="F964" s="53">
        <f t="shared" si="84"/>
        <v>206.89499999999998</v>
      </c>
    </row>
    <row r="965" spans="1:6" ht="18" customHeight="1">
      <c r="A965" s="7"/>
      <c r="B965" s="52" t="s">
        <v>913</v>
      </c>
      <c r="C965" s="7" t="s">
        <v>844</v>
      </c>
      <c r="D965" s="7">
        <f>次要材料汇总!$F$5</f>
        <v>8</v>
      </c>
      <c r="E965" s="7">
        <v>302.37</v>
      </c>
      <c r="F965" s="53">
        <f t="shared" si="84"/>
        <v>2418.96</v>
      </c>
    </row>
    <row r="966" spans="1:6" ht="18" customHeight="1">
      <c r="A966" s="7"/>
      <c r="B966" s="52" t="s">
        <v>876</v>
      </c>
      <c r="C966" s="7" t="s">
        <v>844</v>
      </c>
      <c r="D966" s="7">
        <f>次要材料汇总!$F$12</f>
        <v>7.5</v>
      </c>
      <c r="E966" s="7">
        <v>6.34</v>
      </c>
      <c r="F966" s="53">
        <f t="shared" si="84"/>
        <v>47.55</v>
      </c>
    </row>
    <row r="967" spans="1:6" ht="18" customHeight="1">
      <c r="A967" s="7"/>
      <c r="B967" s="52" t="s">
        <v>877</v>
      </c>
      <c r="C967" s="7" t="s">
        <v>871</v>
      </c>
      <c r="D967" s="66">
        <f>D922</f>
        <v>183.29938899999999</v>
      </c>
      <c r="E967" s="7">
        <v>103</v>
      </c>
      <c r="F967" s="53">
        <f t="shared" si="84"/>
        <v>18879.837067</v>
      </c>
    </row>
    <row r="968" spans="1:6" ht="18" customHeight="1">
      <c r="A968" s="7"/>
      <c r="B968" s="52" t="s">
        <v>806</v>
      </c>
      <c r="C968" s="7" t="s">
        <v>871</v>
      </c>
      <c r="D968" s="7">
        <f>D923</f>
        <v>3.88</v>
      </c>
      <c r="E968" s="7">
        <v>120</v>
      </c>
      <c r="F968" s="53">
        <f t="shared" si="84"/>
        <v>465.59999999999997</v>
      </c>
    </row>
    <row r="969" spans="1:6" ht="18" customHeight="1">
      <c r="A969" s="7"/>
      <c r="B969" s="52" t="s">
        <v>833</v>
      </c>
      <c r="C969" s="7" t="s">
        <v>834</v>
      </c>
      <c r="D969" s="66">
        <f>SUM(F961:F968)</f>
        <v>23957.378083</v>
      </c>
      <c r="E969" s="7">
        <v>2</v>
      </c>
      <c r="F969" s="53">
        <f>D969*E969/100</f>
        <v>479.14756166000001</v>
      </c>
    </row>
    <row r="970" spans="1:6" ht="18" customHeight="1">
      <c r="A970" s="7" t="s">
        <v>835</v>
      </c>
      <c r="B970" s="52" t="s">
        <v>836</v>
      </c>
      <c r="C970" s="7"/>
      <c r="D970" s="7"/>
      <c r="E970" s="7"/>
      <c r="F970" s="53">
        <f>SUM(F971:F976)</f>
        <v>894.42300962444176</v>
      </c>
    </row>
    <row r="971" spans="1:6" ht="18" customHeight="1">
      <c r="A971" s="7"/>
      <c r="B971" s="52" t="s">
        <v>878</v>
      </c>
      <c r="C971" s="7" t="s">
        <v>863</v>
      </c>
      <c r="D971" s="66">
        <f>施工机械台时汇总!$C$42</f>
        <v>49.210305522914197</v>
      </c>
      <c r="E971" s="7">
        <v>0.38</v>
      </c>
      <c r="F971" s="53">
        <f>D971*E971</f>
        <v>18.699916098707394</v>
      </c>
    </row>
    <row r="972" spans="1:6" ht="18" customHeight="1">
      <c r="A972" s="7"/>
      <c r="B972" s="52" t="s">
        <v>918</v>
      </c>
      <c r="C972" s="7" t="s">
        <v>863</v>
      </c>
      <c r="D972" s="66">
        <f>施工机械台时汇总!C40</f>
        <v>15.582226792009401</v>
      </c>
      <c r="E972" s="7">
        <v>9.48</v>
      </c>
      <c r="F972" s="53">
        <f>D972*E972</f>
        <v>147.71950998824911</v>
      </c>
    </row>
    <row r="973" spans="1:6" ht="18" customHeight="1">
      <c r="A973" s="7"/>
      <c r="B973" s="52" t="s">
        <v>882</v>
      </c>
      <c r="C973" s="7" t="s">
        <v>863</v>
      </c>
      <c r="D973" s="66">
        <f>施工机械台时汇总!$C$21</f>
        <v>28.129680376028197</v>
      </c>
      <c r="E973" s="7">
        <v>18.54</v>
      </c>
      <c r="F973" s="53">
        <f>D973*E973</f>
        <v>521.52427417156275</v>
      </c>
    </row>
    <row r="974" spans="1:6" ht="18" customHeight="1">
      <c r="A974" s="7"/>
      <c r="B974" s="52" t="s">
        <v>883</v>
      </c>
      <c r="C974" s="7" t="s">
        <v>863</v>
      </c>
      <c r="D974" s="66">
        <f>施工机械台时汇总!$C$24</f>
        <v>2.2013599686643204</v>
      </c>
      <c r="E974" s="7">
        <v>20</v>
      </c>
      <c r="F974" s="53">
        <f>D974*E974</f>
        <v>44.027199373286408</v>
      </c>
    </row>
    <row r="975" spans="1:6" ht="18" customHeight="1">
      <c r="A975" s="7"/>
      <c r="B975" s="52" t="s">
        <v>407</v>
      </c>
      <c r="C975" s="7" t="s">
        <v>863</v>
      </c>
      <c r="D975" s="7">
        <f>施工机械台时汇总!$C$19</f>
        <v>0.80266353309831595</v>
      </c>
      <c r="E975" s="7">
        <v>83</v>
      </c>
      <c r="F975" s="53">
        <f>D975*E975</f>
        <v>66.621073247160226</v>
      </c>
    </row>
    <row r="976" spans="1:6" ht="18" customHeight="1">
      <c r="A976" s="7"/>
      <c r="B976" s="52" t="s">
        <v>840</v>
      </c>
      <c r="C976" s="7" t="s">
        <v>834</v>
      </c>
      <c r="D976" s="66">
        <f>SUM(F971:F975)</f>
        <v>798.59197287896586</v>
      </c>
      <c r="E976" s="7">
        <v>12</v>
      </c>
      <c r="F976" s="53">
        <f>D976*E976/100</f>
        <v>95.831036745475899</v>
      </c>
    </row>
    <row r="977" spans="1:6" ht="18" customHeight="1">
      <c r="A977" s="7" t="s">
        <v>884</v>
      </c>
      <c r="B977" s="52" t="s">
        <v>885</v>
      </c>
      <c r="C977" s="7" t="s">
        <v>871</v>
      </c>
      <c r="D977" s="66">
        <f>D932</f>
        <v>5.0269138732471603</v>
      </c>
      <c r="E977" s="7">
        <v>103</v>
      </c>
      <c r="F977" s="53">
        <f>D977*E977</f>
        <v>517.77212894445756</v>
      </c>
    </row>
    <row r="978" spans="1:6" ht="18" customHeight="1">
      <c r="A978" s="7" t="s">
        <v>886</v>
      </c>
      <c r="B978" s="52" t="s">
        <v>887</v>
      </c>
      <c r="C978" s="7" t="s">
        <v>871</v>
      </c>
      <c r="D978" s="66">
        <f>D933</f>
        <v>5.8974622495064617</v>
      </c>
      <c r="E978" s="7">
        <v>103</v>
      </c>
      <c r="F978" s="53">
        <f>D978*E978</f>
        <v>607.43861169916556</v>
      </c>
    </row>
    <row r="979" spans="1:6" ht="18" customHeight="1">
      <c r="A979" s="7"/>
      <c r="B979" s="52"/>
      <c r="C979" s="7"/>
      <c r="D979" s="7"/>
      <c r="E979" s="7"/>
      <c r="F979" s="53"/>
    </row>
    <row r="980" spans="1:6" ht="18" customHeight="1">
      <c r="A980" s="7">
        <v>1.2</v>
      </c>
      <c r="B980" s="52" t="s">
        <v>841</v>
      </c>
      <c r="C980" s="7"/>
      <c r="D980" s="53">
        <f>F956</f>
        <v>34666.370394928068</v>
      </c>
      <c r="E980" s="56">
        <f>E935</f>
        <v>4.8000000000000001E-2</v>
      </c>
      <c r="F980" s="53">
        <f>D980*E980</f>
        <v>1663.9857789565474</v>
      </c>
    </row>
    <row r="981" spans="1:6" ht="18" customHeight="1">
      <c r="A981" s="7">
        <v>1.3</v>
      </c>
      <c r="B981" s="52" t="s">
        <v>842</v>
      </c>
      <c r="C981" s="7"/>
      <c r="D981" s="53">
        <f>F956</f>
        <v>34666.370394928068</v>
      </c>
      <c r="E981" s="56">
        <f>E936</f>
        <v>0</v>
      </c>
      <c r="F981" s="53">
        <f>D981*E981</f>
        <v>0</v>
      </c>
    </row>
    <row r="982" spans="1:6" ht="18" customHeight="1">
      <c r="A982" s="7">
        <v>2</v>
      </c>
      <c r="B982" s="52" t="s">
        <v>182</v>
      </c>
      <c r="C982" s="7"/>
      <c r="D982" s="53">
        <f>F955</f>
        <v>36330.356173884618</v>
      </c>
      <c r="E982" s="56">
        <f>E937</f>
        <v>7.0000000000000007E-2</v>
      </c>
      <c r="F982" s="53">
        <f>D982*E982</f>
        <v>2543.1249321719233</v>
      </c>
    </row>
    <row r="983" spans="1:6" ht="18" customHeight="1">
      <c r="A983" s="7">
        <v>3</v>
      </c>
      <c r="B983" s="52" t="s">
        <v>843</v>
      </c>
      <c r="C983" s="7"/>
      <c r="D983" s="53">
        <f>F982+F955</f>
        <v>38873.481106056541</v>
      </c>
      <c r="E983" s="56">
        <f>E938</f>
        <v>7.0000000000000007E-2</v>
      </c>
      <c r="F983" s="53">
        <f>D983*E983</f>
        <v>2721.1436774239583</v>
      </c>
    </row>
    <row r="984" spans="1:6" ht="18" customHeight="1">
      <c r="A984" s="7">
        <v>4</v>
      </c>
      <c r="B984" s="52" t="s">
        <v>184</v>
      </c>
      <c r="C984" s="7"/>
      <c r="D984" s="7"/>
      <c r="E984" s="7"/>
      <c r="F984" s="53">
        <f>SUM(F985:F990)</f>
        <v>5032.9041150837129</v>
      </c>
    </row>
    <row r="985" spans="1:6" ht="18" customHeight="1">
      <c r="A985" s="7"/>
      <c r="B985" s="52" t="s">
        <v>354</v>
      </c>
      <c r="C985" s="7" t="s">
        <v>88</v>
      </c>
      <c r="D985" s="7">
        <f>A2</f>
        <v>116.41515</v>
      </c>
      <c r="E985" s="66">
        <f>E967*砼配合!I9</f>
        <v>35.035758999999999</v>
      </c>
      <c r="F985" s="53">
        <f t="shared" ref="F985:F991" si="85">D985*E985</f>
        <v>4078.6931393488499</v>
      </c>
    </row>
    <row r="986" spans="1:6" ht="18" customHeight="1">
      <c r="A986" s="7"/>
      <c r="B986" s="52" t="s">
        <v>507</v>
      </c>
      <c r="C986" s="7" t="s">
        <v>871</v>
      </c>
      <c r="D986" s="66">
        <f>D2</f>
        <v>4.6598683999999899</v>
      </c>
      <c r="E986" s="66">
        <f>E967*砼配合!I10</f>
        <v>54.406660000000002</v>
      </c>
      <c r="F986" s="53">
        <f t="shared" si="85"/>
        <v>253.52787568354347</v>
      </c>
    </row>
    <row r="987" spans="1:6" ht="18" customHeight="1">
      <c r="A987" s="7"/>
      <c r="B987" s="52" t="s">
        <v>509</v>
      </c>
      <c r="C987" s="7" t="s">
        <v>871</v>
      </c>
      <c r="D987" s="66">
        <f>E2</f>
        <v>6.2457299999999902</v>
      </c>
      <c r="E987" s="66">
        <f>E967*砼配合!I11</f>
        <v>86.667083999999988</v>
      </c>
      <c r="F987" s="53">
        <f t="shared" si="85"/>
        <v>541.29920655131912</v>
      </c>
    </row>
    <row r="988" spans="1:6" ht="18" customHeight="1">
      <c r="A988" s="7"/>
      <c r="B988" s="52" t="s">
        <v>506</v>
      </c>
      <c r="C988" s="7" t="s">
        <v>871</v>
      </c>
      <c r="D988" s="7">
        <f>C2</f>
        <v>0</v>
      </c>
      <c r="E988" s="7">
        <f>E961</f>
        <v>0.72</v>
      </c>
      <c r="F988" s="53">
        <f t="shared" si="85"/>
        <v>0</v>
      </c>
    </row>
    <row r="989" spans="1:6" ht="18" customHeight="1">
      <c r="A989" s="7"/>
      <c r="B989" s="52" t="s">
        <v>515</v>
      </c>
      <c r="C989" s="7" t="s">
        <v>844</v>
      </c>
      <c r="D989" s="7">
        <f>G2</f>
        <v>4.7450000000000001</v>
      </c>
      <c r="E989" s="66">
        <f>台时!AK19*砼单价!E971</f>
        <v>2.7360000000000002</v>
      </c>
      <c r="F989" s="53">
        <f t="shared" si="85"/>
        <v>12.982320000000001</v>
      </c>
    </row>
    <row r="990" spans="1:6" ht="18" customHeight="1">
      <c r="A990" s="7"/>
      <c r="B990" s="52" t="s">
        <v>516</v>
      </c>
      <c r="C990" s="7" t="s">
        <v>844</v>
      </c>
      <c r="D990" s="7">
        <f>H2</f>
        <v>3.51</v>
      </c>
      <c r="E990" s="66">
        <f>砼配合!I63*台时!AN22*砼单价!E978/100</f>
        <v>41.709849999999996</v>
      </c>
      <c r="F990" s="53">
        <f t="shared" si="85"/>
        <v>146.40157349999998</v>
      </c>
    </row>
    <row r="991" spans="1:6" ht="18" customHeight="1">
      <c r="A991" s="7">
        <v>5</v>
      </c>
      <c r="B991" s="52" t="s">
        <v>845</v>
      </c>
      <c r="C991" s="7"/>
      <c r="D991" s="53">
        <f>F955+F982+F983+F984</f>
        <v>46627.528898564211</v>
      </c>
      <c r="E991" s="56">
        <f>E946</f>
        <v>0.09</v>
      </c>
      <c r="F991" s="53">
        <f t="shared" si="85"/>
        <v>4196.4776008707786</v>
      </c>
    </row>
    <row r="992" spans="1:6" ht="18" customHeight="1">
      <c r="A992" s="7">
        <v>6</v>
      </c>
      <c r="B992" s="52" t="s">
        <v>7</v>
      </c>
      <c r="C992" s="7"/>
      <c r="D992" s="7"/>
      <c r="E992" s="7"/>
      <c r="F992" s="53">
        <f>D991+F991</f>
        <v>50824.006499434989</v>
      </c>
    </row>
    <row r="993" spans="1:6" ht="18" customHeight="1">
      <c r="A993" s="7"/>
      <c r="B993" s="52" t="s">
        <v>846</v>
      </c>
      <c r="C993" s="7"/>
      <c r="D993" s="53">
        <f>F992</f>
        <v>50824.006499434989</v>
      </c>
      <c r="E993" s="56">
        <f>E948</f>
        <v>0.03</v>
      </c>
      <c r="F993" s="53">
        <f>E993*D993</f>
        <v>1524.7201949830496</v>
      </c>
    </row>
    <row r="994" spans="1:6" ht="18" customHeight="1">
      <c r="A994" s="7"/>
      <c r="B994" s="52" t="s">
        <v>44</v>
      </c>
      <c r="C994" s="7"/>
      <c r="D994" s="7"/>
      <c r="E994" s="7"/>
      <c r="F994" s="53">
        <f>SUM(F992:F993)</f>
        <v>52348.726694418037</v>
      </c>
    </row>
    <row r="995" spans="1:6" ht="22.5" customHeight="1">
      <c r="A995" s="461" t="s">
        <v>813</v>
      </c>
      <c r="B995" s="461"/>
      <c r="C995" s="461"/>
      <c r="D995" s="461"/>
      <c r="E995" s="461"/>
      <c r="F995" s="461"/>
    </row>
    <row r="996" spans="1:6" ht="18" customHeight="1">
      <c r="A996" s="481" t="s">
        <v>919</v>
      </c>
      <c r="B996" s="481"/>
      <c r="C996" s="481"/>
      <c r="D996" s="481"/>
      <c r="E996" s="481"/>
      <c r="F996" s="481"/>
    </row>
    <row r="997" spans="1:6" ht="18" customHeight="1">
      <c r="A997" s="47" t="s">
        <v>815</v>
      </c>
      <c r="B997" s="49">
        <v>4049</v>
      </c>
      <c r="D997" s="46"/>
      <c r="E997" s="47" t="s">
        <v>169</v>
      </c>
      <c r="F997" s="49" t="s">
        <v>869</v>
      </c>
    </row>
    <row r="998" spans="1:6" ht="18" customHeight="1">
      <c r="A998" s="50" t="s">
        <v>817</v>
      </c>
      <c r="B998" s="458"/>
      <c r="C998" s="459"/>
      <c r="D998" s="459"/>
      <c r="E998" s="459"/>
      <c r="F998" s="460"/>
    </row>
    <row r="999" spans="1:6" ht="18" customHeight="1">
      <c r="A999" s="7" t="s">
        <v>1</v>
      </c>
      <c r="B999" s="52" t="s">
        <v>344</v>
      </c>
      <c r="C999" s="7" t="s">
        <v>818</v>
      </c>
      <c r="D999" s="7" t="s">
        <v>819</v>
      </c>
      <c r="E999" s="7" t="s">
        <v>820</v>
      </c>
      <c r="F999" s="7" t="s">
        <v>821</v>
      </c>
    </row>
    <row r="1000" spans="1:6" ht="18" customHeight="1">
      <c r="A1000" s="7">
        <v>1</v>
      </c>
      <c r="B1000" s="52" t="s">
        <v>822</v>
      </c>
      <c r="C1000" s="7"/>
      <c r="D1000" s="7"/>
      <c r="E1000" s="7"/>
      <c r="F1000" s="53">
        <f>F1001+F1025+F1026</f>
        <v>30018.623370733756</v>
      </c>
    </row>
    <row r="1001" spans="1:6" ht="18" customHeight="1">
      <c r="A1001" s="7">
        <v>1.1000000000000001</v>
      </c>
      <c r="B1001" s="52" t="s">
        <v>823</v>
      </c>
      <c r="C1001" s="7"/>
      <c r="D1001" s="7"/>
      <c r="E1001" s="7"/>
      <c r="F1001" s="53">
        <f>F1002+F1005+F1015+F1022+F1023+F1024</f>
        <v>28643.724590394806</v>
      </c>
    </row>
    <row r="1002" spans="1:6" ht="18" customHeight="1">
      <c r="A1002" s="7" t="s">
        <v>47</v>
      </c>
      <c r="B1002" s="52" t="s">
        <v>176</v>
      </c>
      <c r="C1002" s="7"/>
      <c r="D1002" s="7"/>
      <c r="E1002" s="7"/>
      <c r="F1002" s="53">
        <f>F1003+F1004</f>
        <v>5339.866</v>
      </c>
    </row>
    <row r="1003" spans="1:6" ht="18" customHeight="1">
      <c r="A1003" s="7"/>
      <c r="B1003" s="52" t="s">
        <v>824</v>
      </c>
      <c r="C1003" s="7" t="s">
        <v>825</v>
      </c>
      <c r="D1003" s="7">
        <v>8.1</v>
      </c>
      <c r="E1003" s="7">
        <v>417.9</v>
      </c>
      <c r="F1003" s="53">
        <f>D1003*E1003</f>
        <v>3384.99</v>
      </c>
    </row>
    <row r="1004" spans="1:6" ht="18" customHeight="1">
      <c r="A1004" s="7"/>
      <c r="B1004" s="52" t="s">
        <v>826</v>
      </c>
      <c r="C1004" s="7" t="s">
        <v>825</v>
      </c>
      <c r="D1004" s="7">
        <v>5.77</v>
      </c>
      <c r="E1004" s="7">
        <v>338.8</v>
      </c>
      <c r="F1004" s="53">
        <f>D1004*E1004</f>
        <v>1954.876</v>
      </c>
    </row>
    <row r="1005" spans="1:6" ht="18" customHeight="1">
      <c r="A1005" s="7" t="s">
        <v>57</v>
      </c>
      <c r="B1005" s="52" t="s">
        <v>177</v>
      </c>
      <c r="C1005" s="7"/>
      <c r="D1005" s="7"/>
      <c r="E1005" s="7"/>
      <c r="F1005" s="53">
        <f>SUM(F1006:F1014)</f>
        <v>21260.872363259998</v>
      </c>
    </row>
    <row r="1006" spans="1:6" ht="18" customHeight="1">
      <c r="A1006" s="7"/>
      <c r="B1006" s="52" t="s">
        <v>870</v>
      </c>
      <c r="C1006" s="7" t="s">
        <v>871</v>
      </c>
      <c r="D1006" s="7">
        <f>D961</f>
        <v>1874.0778</v>
      </c>
      <c r="E1006" s="7">
        <v>7.0000000000000007E-2</v>
      </c>
      <c r="F1006" s="53">
        <f t="shared" ref="F1006:F1013" si="86">D1006*E1006</f>
        <v>131.18544600000001</v>
      </c>
    </row>
    <row r="1007" spans="1:6" ht="18" customHeight="1">
      <c r="A1007" s="7"/>
      <c r="B1007" s="52" t="s">
        <v>375</v>
      </c>
      <c r="C1007" s="7" t="s">
        <v>844</v>
      </c>
      <c r="D1007" s="7">
        <f>次要材料汇总!$F$9</f>
        <v>6</v>
      </c>
      <c r="E1007" s="7">
        <v>29.22</v>
      </c>
      <c r="F1007" s="53">
        <f t="shared" si="86"/>
        <v>175.32</v>
      </c>
    </row>
    <row r="1008" spans="1:6" ht="18" customHeight="1">
      <c r="A1008" s="7"/>
      <c r="B1008" s="52" t="s">
        <v>873</v>
      </c>
      <c r="C1008" s="7" t="s">
        <v>844</v>
      </c>
      <c r="D1008" s="7">
        <f>次要材料汇总!$F$10</f>
        <v>5.5</v>
      </c>
      <c r="E1008" s="7">
        <v>12.38</v>
      </c>
      <c r="F1008" s="53">
        <f t="shared" si="86"/>
        <v>68.09</v>
      </c>
    </row>
    <row r="1009" spans="1:6" ht="18" customHeight="1">
      <c r="A1009" s="7"/>
      <c r="B1009" s="52" t="s">
        <v>874</v>
      </c>
      <c r="C1009" s="7" t="s">
        <v>844</v>
      </c>
      <c r="D1009" s="7">
        <f>次要材料汇总!$F$11</f>
        <v>6.5</v>
      </c>
      <c r="E1009" s="7">
        <v>12.94</v>
      </c>
      <c r="F1009" s="53">
        <f t="shared" si="86"/>
        <v>84.11</v>
      </c>
    </row>
    <row r="1010" spans="1:6" ht="18" customHeight="1">
      <c r="A1010" s="7"/>
      <c r="B1010" s="52" t="s">
        <v>913</v>
      </c>
      <c r="C1010" s="7" t="s">
        <v>844</v>
      </c>
      <c r="D1010" s="7">
        <f>次要材料汇总!$F$5</f>
        <v>8</v>
      </c>
      <c r="E1010" s="7">
        <v>151.25</v>
      </c>
      <c r="F1010" s="53">
        <f t="shared" si="86"/>
        <v>1210</v>
      </c>
    </row>
    <row r="1011" spans="1:6" ht="18" customHeight="1">
      <c r="A1011" s="7"/>
      <c r="B1011" s="52" t="s">
        <v>876</v>
      </c>
      <c r="C1011" s="7" t="s">
        <v>844</v>
      </c>
      <c r="D1011" s="7">
        <f>次要材料汇总!$F$12</f>
        <v>7.5</v>
      </c>
      <c r="E1011" s="7">
        <v>3.18</v>
      </c>
      <c r="F1011" s="53">
        <f t="shared" si="86"/>
        <v>23.85</v>
      </c>
    </row>
    <row r="1012" spans="1:6" ht="18" customHeight="1">
      <c r="A1012" s="7"/>
      <c r="B1012" s="52" t="s">
        <v>877</v>
      </c>
      <c r="C1012" s="7" t="s">
        <v>871</v>
      </c>
      <c r="D1012" s="66">
        <f>D967</f>
        <v>183.29938899999999</v>
      </c>
      <c r="E1012" s="7">
        <v>103</v>
      </c>
      <c r="F1012" s="53">
        <f t="shared" si="86"/>
        <v>18879.837067</v>
      </c>
    </row>
    <row r="1013" spans="1:6" ht="18" customHeight="1">
      <c r="A1013" s="7"/>
      <c r="B1013" s="52" t="s">
        <v>806</v>
      </c>
      <c r="C1013" s="7" t="s">
        <v>871</v>
      </c>
      <c r="D1013" s="7">
        <f>D968</f>
        <v>3.88</v>
      </c>
      <c r="E1013" s="7">
        <v>70</v>
      </c>
      <c r="F1013" s="53">
        <f t="shared" si="86"/>
        <v>271.59999999999997</v>
      </c>
    </row>
    <row r="1014" spans="1:6" ht="18" customHeight="1">
      <c r="A1014" s="7"/>
      <c r="B1014" s="52" t="s">
        <v>833</v>
      </c>
      <c r="C1014" s="7" t="s">
        <v>834</v>
      </c>
      <c r="D1014" s="66">
        <f>SUM(F1006:F1013)</f>
        <v>20843.992512999997</v>
      </c>
      <c r="E1014" s="7">
        <v>2</v>
      </c>
      <c r="F1014" s="53">
        <f>D1014*E1014/100</f>
        <v>416.87985025999996</v>
      </c>
    </row>
    <row r="1015" spans="1:6" ht="18" customHeight="1">
      <c r="A1015" s="7" t="s">
        <v>835</v>
      </c>
      <c r="B1015" s="52" t="s">
        <v>836</v>
      </c>
      <c r="C1015" s="7"/>
      <c r="D1015" s="7"/>
      <c r="E1015" s="7"/>
      <c r="F1015" s="53">
        <f>SUM(F1016:F1021)</f>
        <v>917.77548649118648</v>
      </c>
    </row>
    <row r="1016" spans="1:6" ht="18" customHeight="1">
      <c r="A1016" s="7"/>
      <c r="B1016" s="52" t="s">
        <v>878</v>
      </c>
      <c r="C1016" s="7" t="s">
        <v>863</v>
      </c>
      <c r="D1016" s="66">
        <f>施工机械台时汇总!$C$42</f>
        <v>49.210305522914197</v>
      </c>
      <c r="E1016" s="7">
        <v>0.13</v>
      </c>
      <c r="F1016" s="53">
        <f>D1016*E1016</f>
        <v>6.3973397179788458</v>
      </c>
    </row>
    <row r="1017" spans="1:6" ht="18" customHeight="1">
      <c r="A1017" s="7"/>
      <c r="B1017" s="52" t="s">
        <v>918</v>
      </c>
      <c r="C1017" s="7" t="s">
        <v>863</v>
      </c>
      <c r="D1017" s="66">
        <f>施工机械台时汇总!C40</f>
        <v>15.582226792009401</v>
      </c>
      <c r="E1017" s="7">
        <v>4.7699999999999996</v>
      </c>
      <c r="F1017" s="53">
        <f>D1017*E1017</f>
        <v>74.327221797884832</v>
      </c>
    </row>
    <row r="1018" spans="1:6" ht="18" customHeight="1">
      <c r="A1018" s="7"/>
      <c r="B1018" s="52" t="s">
        <v>882</v>
      </c>
      <c r="C1018" s="7" t="s">
        <v>863</v>
      </c>
      <c r="D1018" s="66">
        <f>施工机械台时汇总!$C$21</f>
        <v>28.129680376028197</v>
      </c>
      <c r="E1018" s="7">
        <v>18.54</v>
      </c>
      <c r="F1018" s="53">
        <f>D1018*E1018</f>
        <v>521.52427417156275</v>
      </c>
    </row>
    <row r="1019" spans="1:6" ht="18" customHeight="1">
      <c r="A1019" s="7"/>
      <c r="B1019" s="52" t="s">
        <v>899</v>
      </c>
      <c r="C1019" s="7" t="s">
        <v>863</v>
      </c>
      <c r="D1019" s="66">
        <f>施工机械台时汇总!$C$23</f>
        <v>3.1980998824911806</v>
      </c>
      <c r="E1019" s="7">
        <v>30</v>
      </c>
      <c r="F1019" s="53">
        <f>D1019*E1019</f>
        <v>95.942996474735423</v>
      </c>
    </row>
    <row r="1020" spans="1:6" ht="18" customHeight="1">
      <c r="A1020" s="7"/>
      <c r="B1020" s="52" t="s">
        <v>407</v>
      </c>
      <c r="C1020" s="7" t="s">
        <v>863</v>
      </c>
      <c r="D1020" s="7">
        <f>施工机械台时汇总!$C$19</f>
        <v>0.80266353309831595</v>
      </c>
      <c r="E1020" s="7">
        <v>83</v>
      </c>
      <c r="F1020" s="53">
        <f>D1020*E1020</f>
        <v>66.621073247160226</v>
      </c>
    </row>
    <row r="1021" spans="1:6" ht="18" customHeight="1">
      <c r="A1021" s="7"/>
      <c r="B1021" s="52" t="s">
        <v>840</v>
      </c>
      <c r="C1021" s="7" t="s">
        <v>834</v>
      </c>
      <c r="D1021" s="66">
        <f>SUM(F1016:F1020)</f>
        <v>764.81290540932207</v>
      </c>
      <c r="E1021" s="7">
        <v>20</v>
      </c>
      <c r="F1021" s="53">
        <f>D1021*E1021/100</f>
        <v>152.96258108186441</v>
      </c>
    </row>
    <row r="1022" spans="1:6" ht="18" customHeight="1">
      <c r="A1022" s="7" t="s">
        <v>884</v>
      </c>
      <c r="B1022" s="52" t="s">
        <v>885</v>
      </c>
      <c r="C1022" s="7" t="s">
        <v>871</v>
      </c>
      <c r="D1022" s="66">
        <f>D977</f>
        <v>5.0269138732471603</v>
      </c>
      <c r="E1022" s="7">
        <v>103</v>
      </c>
      <c r="F1022" s="53">
        <f>D1022*E1022</f>
        <v>517.77212894445756</v>
      </c>
    </row>
    <row r="1023" spans="1:6" ht="18" customHeight="1">
      <c r="A1023" s="7" t="s">
        <v>886</v>
      </c>
      <c r="B1023" s="52" t="s">
        <v>887</v>
      </c>
      <c r="C1023" s="7" t="s">
        <v>871</v>
      </c>
      <c r="D1023" s="66">
        <f>D978</f>
        <v>5.8974622495064617</v>
      </c>
      <c r="E1023" s="7">
        <v>103</v>
      </c>
      <c r="F1023" s="53">
        <f>D1023*E1023</f>
        <v>607.43861169916556</v>
      </c>
    </row>
    <row r="1024" spans="1:6" ht="18" customHeight="1">
      <c r="A1024" s="7"/>
      <c r="B1024" s="52"/>
      <c r="C1024" s="7"/>
      <c r="D1024" s="7"/>
      <c r="E1024" s="7"/>
      <c r="F1024" s="53"/>
    </row>
    <row r="1025" spans="1:6" ht="18" customHeight="1">
      <c r="A1025" s="7">
        <v>1.2</v>
      </c>
      <c r="B1025" s="52" t="s">
        <v>841</v>
      </c>
      <c r="C1025" s="7"/>
      <c r="D1025" s="53">
        <f>F1001</f>
        <v>28643.724590394806</v>
      </c>
      <c r="E1025" s="56">
        <f>E980</f>
        <v>4.8000000000000001E-2</v>
      </c>
      <c r="F1025" s="53">
        <f>D1025*E1025</f>
        <v>1374.8987803389507</v>
      </c>
    </row>
    <row r="1026" spans="1:6" ht="18" customHeight="1">
      <c r="A1026" s="7">
        <v>1.3</v>
      </c>
      <c r="B1026" s="52" t="s">
        <v>842</v>
      </c>
      <c r="C1026" s="7"/>
      <c r="D1026" s="53">
        <f>F1001</f>
        <v>28643.724590394806</v>
      </c>
      <c r="E1026" s="56">
        <f>E981</f>
        <v>0</v>
      </c>
      <c r="F1026" s="53">
        <f>D1026*E1026</f>
        <v>0</v>
      </c>
    </row>
    <row r="1027" spans="1:6" ht="18" customHeight="1">
      <c r="A1027" s="7">
        <v>2</v>
      </c>
      <c r="B1027" s="52" t="s">
        <v>182</v>
      </c>
      <c r="C1027" s="7"/>
      <c r="D1027" s="53">
        <f>F1000</f>
        <v>30018.623370733756</v>
      </c>
      <c r="E1027" s="56">
        <f>E982</f>
        <v>7.0000000000000007E-2</v>
      </c>
      <c r="F1027" s="53">
        <f>D1027*E1027</f>
        <v>2101.303635951363</v>
      </c>
    </row>
    <row r="1028" spans="1:6" ht="18" customHeight="1">
      <c r="A1028" s="7">
        <v>3</v>
      </c>
      <c r="B1028" s="52" t="s">
        <v>843</v>
      </c>
      <c r="C1028" s="7"/>
      <c r="D1028" s="53">
        <f>F1027+F1000</f>
        <v>32119.92700668512</v>
      </c>
      <c r="E1028" s="56">
        <f>E983</f>
        <v>7.0000000000000007E-2</v>
      </c>
      <c r="F1028" s="53">
        <f>D1028*E1028</f>
        <v>2248.3948904679587</v>
      </c>
    </row>
    <row r="1029" spans="1:6" ht="18" customHeight="1">
      <c r="A1029" s="7">
        <v>4</v>
      </c>
      <c r="B1029" s="52" t="s">
        <v>184</v>
      </c>
      <c r="C1029" s="7"/>
      <c r="D1029" s="7"/>
      <c r="E1029" s="7"/>
      <c r="F1029" s="53">
        <f>SUM(F1030:F1035)</f>
        <v>5024.3631150837127</v>
      </c>
    </row>
    <row r="1030" spans="1:6" ht="18" customHeight="1">
      <c r="A1030" s="7"/>
      <c r="B1030" s="52" t="s">
        <v>354</v>
      </c>
      <c r="C1030" s="7" t="s">
        <v>88</v>
      </c>
      <c r="D1030" s="7">
        <f>A2</f>
        <v>116.41515</v>
      </c>
      <c r="E1030" s="66">
        <f>E1012*砼配合!I9</f>
        <v>35.035758999999999</v>
      </c>
      <c r="F1030" s="53">
        <f t="shared" ref="F1030:F1036" si="87">D1030*E1030</f>
        <v>4078.6931393488499</v>
      </c>
    </row>
    <row r="1031" spans="1:6" ht="18" customHeight="1">
      <c r="A1031" s="7"/>
      <c r="B1031" s="52" t="s">
        <v>507</v>
      </c>
      <c r="C1031" s="7" t="s">
        <v>871</v>
      </c>
      <c r="D1031" s="66">
        <f>D2</f>
        <v>4.6598683999999899</v>
      </c>
      <c r="E1031" s="66">
        <f>E1012*砼配合!I10</f>
        <v>54.406660000000002</v>
      </c>
      <c r="F1031" s="53">
        <f t="shared" si="87"/>
        <v>253.52787568354347</v>
      </c>
    </row>
    <row r="1032" spans="1:6" ht="18" customHeight="1">
      <c r="A1032" s="7"/>
      <c r="B1032" s="52" t="s">
        <v>509</v>
      </c>
      <c r="C1032" s="7" t="s">
        <v>871</v>
      </c>
      <c r="D1032" s="66">
        <f>E2</f>
        <v>6.2457299999999902</v>
      </c>
      <c r="E1032" s="66">
        <f>E1012*砼配合!I11</f>
        <v>86.667083999999988</v>
      </c>
      <c r="F1032" s="53">
        <f t="shared" si="87"/>
        <v>541.29920655131912</v>
      </c>
    </row>
    <row r="1033" spans="1:6" ht="18" customHeight="1">
      <c r="A1033" s="7"/>
      <c r="B1033" s="52" t="s">
        <v>506</v>
      </c>
      <c r="C1033" s="7" t="s">
        <v>871</v>
      </c>
      <c r="D1033" s="7">
        <f>C2</f>
        <v>0</v>
      </c>
      <c r="E1033" s="7">
        <f>E1006</f>
        <v>7.0000000000000007E-2</v>
      </c>
      <c r="F1033" s="53">
        <f t="shared" si="87"/>
        <v>0</v>
      </c>
    </row>
    <row r="1034" spans="1:6" ht="18" customHeight="1">
      <c r="A1034" s="7"/>
      <c r="B1034" s="52" t="s">
        <v>515</v>
      </c>
      <c r="C1034" s="7" t="s">
        <v>844</v>
      </c>
      <c r="D1034" s="7">
        <f>G2</f>
        <v>4.7450000000000001</v>
      </c>
      <c r="E1034" s="66">
        <f>台时!AK19*砼单价!E1016</f>
        <v>0.93600000000000005</v>
      </c>
      <c r="F1034" s="53">
        <f t="shared" si="87"/>
        <v>4.4413200000000002</v>
      </c>
    </row>
    <row r="1035" spans="1:6" ht="18" customHeight="1">
      <c r="A1035" s="7"/>
      <c r="B1035" s="52" t="s">
        <v>516</v>
      </c>
      <c r="C1035" s="7" t="s">
        <v>844</v>
      </c>
      <c r="D1035" s="7">
        <f>H2</f>
        <v>3.51</v>
      </c>
      <c r="E1035" s="66">
        <f>砼配合!I63*台时!AN22*砼单价!E1023/100</f>
        <v>41.709849999999996</v>
      </c>
      <c r="F1035" s="53">
        <f t="shared" si="87"/>
        <v>146.40157349999998</v>
      </c>
    </row>
    <row r="1036" spans="1:6" ht="18" customHeight="1">
      <c r="A1036" s="7">
        <v>5</v>
      </c>
      <c r="B1036" s="52" t="s">
        <v>845</v>
      </c>
      <c r="C1036" s="7"/>
      <c r="D1036" s="53">
        <f>F1000+F1027+F1028+F1029</f>
        <v>39392.68501223679</v>
      </c>
      <c r="E1036" s="56">
        <f>E991</f>
        <v>0.09</v>
      </c>
      <c r="F1036" s="53">
        <f t="shared" si="87"/>
        <v>3545.3416511013111</v>
      </c>
    </row>
    <row r="1037" spans="1:6" ht="18" customHeight="1">
      <c r="A1037" s="7">
        <v>6</v>
      </c>
      <c r="B1037" s="52" t="s">
        <v>7</v>
      </c>
      <c r="C1037" s="7"/>
      <c r="D1037" s="7"/>
      <c r="E1037" s="7"/>
      <c r="F1037" s="53">
        <f>D1036+F1036</f>
        <v>42938.026663338103</v>
      </c>
    </row>
    <row r="1038" spans="1:6" ht="18" customHeight="1">
      <c r="A1038" s="7"/>
      <c r="B1038" s="52" t="s">
        <v>846</v>
      </c>
      <c r="C1038" s="7"/>
      <c r="D1038" s="53">
        <f>F1037</f>
        <v>42938.026663338103</v>
      </c>
      <c r="E1038" s="56">
        <f>E993</f>
        <v>0.03</v>
      </c>
      <c r="F1038" s="53">
        <f>E1038*D1038</f>
        <v>1288.1407999001431</v>
      </c>
    </row>
    <row r="1039" spans="1:6" ht="18" customHeight="1">
      <c r="A1039" s="7"/>
      <c r="B1039" s="52" t="s">
        <v>44</v>
      </c>
      <c r="C1039" s="7"/>
      <c r="D1039" s="7"/>
      <c r="E1039" s="7"/>
      <c r="F1039" s="53">
        <f>SUM(F1037:F1038)</f>
        <v>44226.167463238249</v>
      </c>
    </row>
    <row r="1040" spans="1:6" ht="20.25" customHeight="1">
      <c r="A1040" s="461" t="s">
        <v>813</v>
      </c>
      <c r="B1040" s="461"/>
      <c r="C1040" s="461"/>
      <c r="D1040" s="461"/>
      <c r="E1040" s="461"/>
      <c r="F1040" s="461"/>
    </row>
    <row r="1041" spans="1:6" ht="18" customHeight="1">
      <c r="A1041" s="462" t="s">
        <v>920</v>
      </c>
      <c r="B1041" s="462"/>
      <c r="C1041" s="462"/>
      <c r="D1041" s="462"/>
      <c r="E1041" s="462"/>
      <c r="F1041" s="462"/>
    </row>
    <row r="1042" spans="1:6" ht="20.25" customHeight="1">
      <c r="A1042" s="47" t="s">
        <v>815</v>
      </c>
      <c r="B1042" s="49">
        <v>4108</v>
      </c>
      <c r="D1042" s="46"/>
      <c r="E1042" s="47" t="s">
        <v>169</v>
      </c>
      <c r="F1042" s="49" t="s">
        <v>869</v>
      </c>
    </row>
    <row r="1043" spans="1:6" ht="20.25" customHeight="1">
      <c r="A1043" s="50" t="s">
        <v>817</v>
      </c>
      <c r="B1043" s="458"/>
      <c r="C1043" s="459"/>
      <c r="D1043" s="459"/>
      <c r="E1043" s="459"/>
      <c r="F1043" s="460"/>
    </row>
    <row r="1044" spans="1:6" ht="18" customHeight="1">
      <c r="A1044" s="7" t="s">
        <v>1</v>
      </c>
      <c r="B1044" s="52" t="s">
        <v>344</v>
      </c>
      <c r="C1044" s="7" t="s">
        <v>818</v>
      </c>
      <c r="D1044" s="7" t="s">
        <v>819</v>
      </c>
      <c r="E1044" s="7" t="s">
        <v>820</v>
      </c>
      <c r="F1044" s="7" t="s">
        <v>821</v>
      </c>
    </row>
    <row r="1045" spans="1:6" ht="20.25" customHeight="1">
      <c r="A1045" s="7">
        <v>1</v>
      </c>
      <c r="B1045" s="52" t="s">
        <v>822</v>
      </c>
      <c r="C1045" s="7"/>
      <c r="D1045" s="7"/>
      <c r="E1045" s="7"/>
      <c r="F1045" s="53">
        <f>F1046+F1070+F1071</f>
        <v>52184.631000837493</v>
      </c>
    </row>
    <row r="1046" spans="1:6" ht="20.25" customHeight="1">
      <c r="A1046" s="7">
        <v>1.1000000000000001</v>
      </c>
      <c r="B1046" s="52" t="s">
        <v>823</v>
      </c>
      <c r="C1046" s="7"/>
      <c r="D1046" s="7"/>
      <c r="E1046" s="7"/>
      <c r="F1046" s="53">
        <f>F1047+F1050+F1060+F1067+F1068+F1069</f>
        <v>49794.495229806766</v>
      </c>
    </row>
    <row r="1047" spans="1:6" ht="20.25" customHeight="1">
      <c r="A1047" s="7" t="s">
        <v>47</v>
      </c>
      <c r="B1047" s="52" t="s">
        <v>176</v>
      </c>
      <c r="C1047" s="7"/>
      <c r="D1047" s="7"/>
      <c r="E1047" s="7"/>
      <c r="F1047" s="53">
        <f>F1048+F1049</f>
        <v>21991.916000000001</v>
      </c>
    </row>
    <row r="1048" spans="1:6" ht="20.25" customHeight="1">
      <c r="A1048" s="7"/>
      <c r="B1048" s="52" t="s">
        <v>824</v>
      </c>
      <c r="C1048" s="7" t="s">
        <v>825</v>
      </c>
      <c r="D1048" s="7">
        <v>8.1</v>
      </c>
      <c r="E1048" s="7">
        <v>2282.8000000000002</v>
      </c>
      <c r="F1048" s="53">
        <f>D1048*E1048</f>
        <v>18490.68</v>
      </c>
    </row>
    <row r="1049" spans="1:6" ht="20.25" customHeight="1">
      <c r="A1049" s="7"/>
      <c r="B1049" s="52" t="s">
        <v>826</v>
      </c>
      <c r="C1049" s="7" t="s">
        <v>825</v>
      </c>
      <c r="D1049" s="7">
        <v>5.77</v>
      </c>
      <c r="E1049" s="7">
        <v>606.79999999999995</v>
      </c>
      <c r="F1049" s="53">
        <f>D1049*E1049</f>
        <v>3501.2359999999999</v>
      </c>
    </row>
    <row r="1050" spans="1:6" ht="20.25" customHeight="1">
      <c r="A1050" s="7" t="s">
        <v>57</v>
      </c>
      <c r="B1050" s="52" t="s">
        <v>177</v>
      </c>
      <c r="C1050" s="7"/>
      <c r="D1050" s="7"/>
      <c r="E1050" s="7"/>
      <c r="F1050" s="53">
        <f>SUM(F1051:F1059)</f>
        <v>25263.370743330004</v>
      </c>
    </row>
    <row r="1051" spans="1:6" ht="20.25" customHeight="1">
      <c r="A1051" s="7"/>
      <c r="B1051" s="52" t="s">
        <v>870</v>
      </c>
      <c r="C1051" s="7" t="s">
        <v>871</v>
      </c>
      <c r="D1051" s="7">
        <f>D916</f>
        <v>1874.0778</v>
      </c>
      <c r="E1051" s="7">
        <v>0.48</v>
      </c>
      <c r="F1051" s="53">
        <f t="shared" ref="F1051:F1058" si="88">D1051*E1051</f>
        <v>899.55734399999994</v>
      </c>
    </row>
    <row r="1052" spans="1:6" ht="20.25" customHeight="1">
      <c r="A1052" s="7"/>
      <c r="B1052" s="52" t="s">
        <v>375</v>
      </c>
      <c r="C1052" s="7" t="s">
        <v>844</v>
      </c>
      <c r="D1052" s="7">
        <f>次要材料汇总!$F$9</f>
        <v>6</v>
      </c>
      <c r="E1052" s="7">
        <v>318</v>
      </c>
      <c r="F1052" s="53">
        <f t="shared" si="88"/>
        <v>1908</v>
      </c>
    </row>
    <row r="1053" spans="1:6" ht="20.25" customHeight="1">
      <c r="A1053" s="7"/>
      <c r="B1053" s="52" t="s">
        <v>873</v>
      </c>
      <c r="C1053" s="7" t="s">
        <v>844</v>
      </c>
      <c r="D1053" s="7">
        <f>次要材料汇总!$F$10</f>
        <v>5.5</v>
      </c>
      <c r="E1053" s="7">
        <v>117</v>
      </c>
      <c r="F1053" s="53">
        <f t="shared" si="88"/>
        <v>643.5</v>
      </c>
    </row>
    <row r="1054" spans="1:6" ht="20.25" customHeight="1">
      <c r="A1054" s="7"/>
      <c r="B1054" s="52" t="s">
        <v>874</v>
      </c>
      <c r="C1054" s="7" t="s">
        <v>844</v>
      </c>
      <c r="D1054" s="7">
        <f>次要材料汇总!$F$11</f>
        <v>6.5</v>
      </c>
      <c r="E1054" s="7">
        <v>230.5</v>
      </c>
      <c r="F1054" s="53">
        <f t="shared" si="88"/>
        <v>1498.25</v>
      </c>
    </row>
    <row r="1055" spans="1:6" ht="20.25" customHeight="1">
      <c r="A1055" s="7"/>
      <c r="B1055" s="52" t="s">
        <v>913</v>
      </c>
      <c r="C1055" s="7" t="s">
        <v>844</v>
      </c>
      <c r="D1055" s="7">
        <f>次要材料汇总!$F$5</f>
        <v>8</v>
      </c>
      <c r="E1055" s="7">
        <v>0</v>
      </c>
      <c r="F1055" s="53">
        <f t="shared" si="88"/>
        <v>0</v>
      </c>
    </row>
    <row r="1056" spans="1:6" ht="20.25" customHeight="1">
      <c r="A1056" s="7"/>
      <c r="B1056" s="52" t="s">
        <v>876</v>
      </c>
      <c r="C1056" s="7" t="s">
        <v>844</v>
      </c>
      <c r="D1056" s="7">
        <f>次要材料汇总!$F$12</f>
        <v>7.5</v>
      </c>
      <c r="E1056" s="7">
        <v>0</v>
      </c>
      <c r="F1056" s="53">
        <f t="shared" si="88"/>
        <v>0</v>
      </c>
    </row>
    <row r="1057" spans="1:6" ht="20.25" customHeight="1">
      <c r="A1057" s="7"/>
      <c r="B1057" s="52" t="s">
        <v>877</v>
      </c>
      <c r="C1057" s="7" t="s">
        <v>871</v>
      </c>
      <c r="D1057" s="66">
        <f>D922</f>
        <v>183.29938899999999</v>
      </c>
      <c r="E1057" s="7">
        <v>103</v>
      </c>
      <c r="F1057" s="53">
        <f t="shared" si="88"/>
        <v>18879.837067</v>
      </c>
    </row>
    <row r="1058" spans="1:6" ht="20.25" customHeight="1">
      <c r="A1058" s="7"/>
      <c r="B1058" s="52" t="s">
        <v>806</v>
      </c>
      <c r="C1058" s="7" t="s">
        <v>871</v>
      </c>
      <c r="D1058" s="7">
        <f>D923</f>
        <v>3.88</v>
      </c>
      <c r="E1058" s="7">
        <v>180</v>
      </c>
      <c r="F1058" s="53">
        <f t="shared" si="88"/>
        <v>698.4</v>
      </c>
    </row>
    <row r="1059" spans="1:6" ht="20.25" customHeight="1">
      <c r="A1059" s="7"/>
      <c r="B1059" s="52" t="s">
        <v>833</v>
      </c>
      <c r="C1059" s="7" t="s">
        <v>834</v>
      </c>
      <c r="D1059" s="66">
        <f>SUM(F1051:F1058)</f>
        <v>24527.544411000003</v>
      </c>
      <c r="E1059" s="7">
        <v>3</v>
      </c>
      <c r="F1059" s="53">
        <f>D1059*E1059/100</f>
        <v>735.82633233000001</v>
      </c>
    </row>
    <row r="1060" spans="1:6" ht="20.25" customHeight="1">
      <c r="A1060" s="7" t="s">
        <v>835</v>
      </c>
      <c r="B1060" s="52" t="s">
        <v>836</v>
      </c>
      <c r="C1060" s="7"/>
      <c r="D1060" s="7"/>
      <c r="E1060" s="7"/>
      <c r="F1060" s="53">
        <f>SUM(F1061:F1066)</f>
        <v>1413.9977458331373</v>
      </c>
    </row>
    <row r="1061" spans="1:6" ht="20.25" customHeight="1">
      <c r="A1061" s="7"/>
      <c r="B1061" s="52" t="s">
        <v>878</v>
      </c>
      <c r="C1061" s="7" t="s">
        <v>863</v>
      </c>
      <c r="D1061" s="66">
        <f>施工机械台时汇总!$C$42</f>
        <v>49.210305522914197</v>
      </c>
      <c r="E1061" s="7">
        <v>1.38</v>
      </c>
      <c r="F1061" s="53">
        <f>D1061*E1061</f>
        <v>67.910221621621588</v>
      </c>
    </row>
    <row r="1062" spans="1:6" ht="20.25" customHeight="1">
      <c r="A1062" s="7"/>
      <c r="B1062" s="52" t="s">
        <v>916</v>
      </c>
      <c r="C1062" s="7" t="s">
        <v>863</v>
      </c>
      <c r="D1062" s="66">
        <f>施工机械台时汇总!$C$51</f>
        <v>22.344653740697211</v>
      </c>
      <c r="E1062" s="7">
        <v>18.5</v>
      </c>
      <c r="F1062" s="53">
        <f>D1062*E1062</f>
        <v>413.3760942028984</v>
      </c>
    </row>
    <row r="1063" spans="1:6" ht="20.25" customHeight="1">
      <c r="A1063" s="7"/>
      <c r="B1063" s="52" t="s">
        <v>882</v>
      </c>
      <c r="C1063" s="7" t="s">
        <v>863</v>
      </c>
      <c r="D1063" s="66">
        <f>施工机械台时汇总!$C$21</f>
        <v>28.129680376028197</v>
      </c>
      <c r="E1063" s="7">
        <v>18.54</v>
      </c>
      <c r="F1063" s="53">
        <f>D1063*E1063</f>
        <v>521.52427417156275</v>
      </c>
    </row>
    <row r="1064" spans="1:6" ht="20.25" customHeight="1">
      <c r="A1064" s="7"/>
      <c r="B1064" s="52" t="s">
        <v>883</v>
      </c>
      <c r="C1064" s="7" t="s">
        <v>863</v>
      </c>
      <c r="D1064" s="66">
        <f>施工机械台时汇总!$C$24</f>
        <v>2.2013599686643204</v>
      </c>
      <c r="E1064" s="7">
        <v>44</v>
      </c>
      <c r="F1064" s="53">
        <f>D1064*E1064</f>
        <v>96.859838621230097</v>
      </c>
    </row>
    <row r="1065" spans="1:6" ht="20.25" customHeight="1">
      <c r="A1065" s="7"/>
      <c r="B1065" s="52" t="s">
        <v>407</v>
      </c>
      <c r="C1065" s="7" t="s">
        <v>863</v>
      </c>
      <c r="D1065" s="7">
        <f>施工机械台时汇总!$C$19</f>
        <v>0.80266353309831595</v>
      </c>
      <c r="E1065" s="7">
        <v>98</v>
      </c>
      <c r="F1065" s="53">
        <f>D1065*E1065</f>
        <v>78.661026243634964</v>
      </c>
    </row>
    <row r="1066" spans="1:6" ht="20.25" customHeight="1">
      <c r="A1066" s="7"/>
      <c r="B1066" s="52" t="s">
        <v>840</v>
      </c>
      <c r="C1066" s="7" t="s">
        <v>834</v>
      </c>
      <c r="D1066" s="66">
        <f>SUM(F1061:F1065)</f>
        <v>1178.3314548609478</v>
      </c>
      <c r="E1066" s="7">
        <v>20</v>
      </c>
      <c r="F1066" s="53">
        <f>D1066*E1066/100</f>
        <v>235.66629097218956</v>
      </c>
    </row>
    <row r="1067" spans="1:6" ht="20.25" customHeight="1">
      <c r="A1067" s="7" t="s">
        <v>884</v>
      </c>
      <c r="B1067" s="52" t="s">
        <v>885</v>
      </c>
      <c r="C1067" s="7" t="s">
        <v>871</v>
      </c>
      <c r="D1067" s="66">
        <f>D932</f>
        <v>5.0269138732471603</v>
      </c>
      <c r="E1067" s="7">
        <v>103</v>
      </c>
      <c r="F1067" s="53">
        <f>D1067*E1067</f>
        <v>517.77212894445756</v>
      </c>
    </row>
    <row r="1068" spans="1:6" ht="20.25" customHeight="1">
      <c r="A1068" s="7" t="s">
        <v>886</v>
      </c>
      <c r="B1068" s="52" t="s">
        <v>887</v>
      </c>
      <c r="C1068" s="7" t="s">
        <v>871</v>
      </c>
      <c r="D1068" s="66">
        <f>D933</f>
        <v>5.8974622495064617</v>
      </c>
      <c r="E1068" s="7">
        <v>103</v>
      </c>
      <c r="F1068" s="53">
        <f>D1068*E1068</f>
        <v>607.43861169916556</v>
      </c>
    </row>
    <row r="1069" spans="1:6" ht="20.25" customHeight="1">
      <c r="A1069" s="7"/>
      <c r="B1069" s="52"/>
      <c r="C1069" s="7"/>
      <c r="D1069" s="7"/>
      <c r="E1069" s="7"/>
      <c r="F1069" s="53"/>
    </row>
    <row r="1070" spans="1:6" ht="20.25" customHeight="1">
      <c r="A1070" s="7">
        <v>1.2</v>
      </c>
      <c r="B1070" s="52" t="s">
        <v>841</v>
      </c>
      <c r="C1070" s="7"/>
      <c r="D1070" s="53">
        <f>F1046</f>
        <v>49794.495229806766</v>
      </c>
      <c r="E1070" s="56">
        <f>E935</f>
        <v>4.8000000000000001E-2</v>
      </c>
      <c r="F1070" s="53">
        <f>D1070*E1070</f>
        <v>2390.1357710307248</v>
      </c>
    </row>
    <row r="1071" spans="1:6" ht="20.25" customHeight="1">
      <c r="A1071" s="7">
        <v>1.3</v>
      </c>
      <c r="B1071" s="52" t="s">
        <v>842</v>
      </c>
      <c r="C1071" s="7"/>
      <c r="D1071" s="53">
        <f>F1046</f>
        <v>49794.495229806766</v>
      </c>
      <c r="E1071" s="56">
        <f>E936</f>
        <v>0</v>
      </c>
      <c r="F1071" s="53">
        <f>D1071*E1071</f>
        <v>0</v>
      </c>
    </row>
    <row r="1072" spans="1:6" ht="20.25" customHeight="1">
      <c r="A1072" s="7">
        <v>2</v>
      </c>
      <c r="B1072" s="52" t="s">
        <v>182</v>
      </c>
      <c r="C1072" s="7"/>
      <c r="D1072" s="53">
        <f>F1045</f>
        <v>52184.631000837493</v>
      </c>
      <c r="E1072" s="56">
        <f>E937</f>
        <v>7.0000000000000007E-2</v>
      </c>
      <c r="F1072" s="53">
        <f>D1072*E1072</f>
        <v>3652.9241700586249</v>
      </c>
    </row>
    <row r="1073" spans="1:6" ht="20.25" customHeight="1">
      <c r="A1073" s="7">
        <v>3</v>
      </c>
      <c r="B1073" s="52" t="s">
        <v>843</v>
      </c>
      <c r="C1073" s="7"/>
      <c r="D1073" s="53">
        <f>F1072+F1045</f>
        <v>55837.555170896121</v>
      </c>
      <c r="E1073" s="56">
        <f>E938</f>
        <v>7.0000000000000007E-2</v>
      </c>
      <c r="F1073" s="53">
        <f>D1073*E1073</f>
        <v>3908.6288619627289</v>
      </c>
    </row>
    <row r="1074" spans="1:6" ht="20.25" customHeight="1">
      <c r="A1074" s="7">
        <v>4</v>
      </c>
      <c r="B1074" s="52" t="s">
        <v>184</v>
      </c>
      <c r="C1074" s="7"/>
      <c r="D1074" s="7"/>
      <c r="E1074" s="7"/>
      <c r="F1074" s="53">
        <f>SUM(F1075:F1080)</f>
        <v>5067.0681150837127</v>
      </c>
    </row>
    <row r="1075" spans="1:6" ht="20.25" customHeight="1">
      <c r="A1075" s="7"/>
      <c r="B1075" s="52" t="s">
        <v>354</v>
      </c>
      <c r="C1075" s="7" t="s">
        <v>88</v>
      </c>
      <c r="D1075" s="7">
        <f>A2</f>
        <v>116.41515</v>
      </c>
      <c r="E1075" s="66">
        <f>E1057*砼配合!I9</f>
        <v>35.035758999999999</v>
      </c>
      <c r="F1075" s="53">
        <f t="shared" ref="F1075:F1081" si="89">D1075*E1075</f>
        <v>4078.6931393488499</v>
      </c>
    </row>
    <row r="1076" spans="1:6" ht="20.25" customHeight="1">
      <c r="A1076" s="7"/>
      <c r="B1076" s="52" t="s">
        <v>507</v>
      </c>
      <c r="C1076" s="7" t="s">
        <v>871</v>
      </c>
      <c r="D1076" s="66">
        <f>D2</f>
        <v>4.6598683999999899</v>
      </c>
      <c r="E1076" s="66">
        <f>E1057*砼配合!I10</f>
        <v>54.406660000000002</v>
      </c>
      <c r="F1076" s="53">
        <f t="shared" si="89"/>
        <v>253.52787568354347</v>
      </c>
    </row>
    <row r="1077" spans="1:6" ht="20.25" customHeight="1">
      <c r="A1077" s="7"/>
      <c r="B1077" s="52" t="s">
        <v>509</v>
      </c>
      <c r="C1077" s="7" t="s">
        <v>871</v>
      </c>
      <c r="D1077" s="66">
        <f>E2</f>
        <v>6.2457299999999902</v>
      </c>
      <c r="E1077" s="66">
        <f>E1057*砼配合!I11</f>
        <v>86.667083999999988</v>
      </c>
      <c r="F1077" s="53">
        <f t="shared" si="89"/>
        <v>541.29920655131912</v>
      </c>
    </row>
    <row r="1078" spans="1:6" ht="20.25" customHeight="1">
      <c r="A1078" s="7"/>
      <c r="B1078" s="52" t="s">
        <v>506</v>
      </c>
      <c r="C1078" s="7" t="s">
        <v>871</v>
      </c>
      <c r="D1078" s="7">
        <f>C2</f>
        <v>0</v>
      </c>
      <c r="E1078" s="66">
        <f>E1051</f>
        <v>0.48</v>
      </c>
      <c r="F1078" s="53">
        <f t="shared" si="89"/>
        <v>0</v>
      </c>
    </row>
    <row r="1079" spans="1:6" ht="20.25" customHeight="1">
      <c r="A1079" s="7"/>
      <c r="B1079" s="52" t="s">
        <v>515</v>
      </c>
      <c r="C1079" s="7" t="s">
        <v>844</v>
      </c>
      <c r="D1079" s="7">
        <f>G2</f>
        <v>4.7450000000000001</v>
      </c>
      <c r="E1079" s="66">
        <f>台时!AK19*砼单价!E1061</f>
        <v>9.9359999999999999</v>
      </c>
      <c r="F1079" s="53">
        <f t="shared" si="89"/>
        <v>47.146320000000003</v>
      </c>
    </row>
    <row r="1080" spans="1:6" ht="20.25" customHeight="1">
      <c r="A1080" s="7"/>
      <c r="B1080" s="52" t="s">
        <v>516</v>
      </c>
      <c r="C1080" s="7" t="s">
        <v>844</v>
      </c>
      <c r="D1080" s="7">
        <f>H2</f>
        <v>3.51</v>
      </c>
      <c r="E1080" s="66">
        <f>砼配合!I63*台时!AN22*砼单价!E1068/100</f>
        <v>41.709849999999996</v>
      </c>
      <c r="F1080" s="53">
        <f t="shared" si="89"/>
        <v>146.40157349999998</v>
      </c>
    </row>
    <row r="1081" spans="1:6" ht="20.25" customHeight="1">
      <c r="A1081" s="7">
        <v>5</v>
      </c>
      <c r="B1081" s="52" t="s">
        <v>845</v>
      </c>
      <c r="C1081" s="7"/>
      <c r="D1081" s="53">
        <f>F1045+F1072+F1073+F1074</f>
        <v>64813.252147942563</v>
      </c>
      <c r="E1081" s="56">
        <f>E946</f>
        <v>0.09</v>
      </c>
      <c r="F1081" s="53">
        <f t="shared" si="89"/>
        <v>5833.1926933148306</v>
      </c>
    </row>
    <row r="1082" spans="1:6" ht="20.25" customHeight="1">
      <c r="A1082" s="7">
        <v>6</v>
      </c>
      <c r="B1082" s="52" t="s">
        <v>7</v>
      </c>
      <c r="C1082" s="7"/>
      <c r="D1082" s="7"/>
      <c r="E1082" s="7"/>
      <c r="F1082" s="53">
        <f>D1081+F1081</f>
        <v>70646.444841257398</v>
      </c>
    </row>
    <row r="1083" spans="1:6" ht="20.25" customHeight="1">
      <c r="A1083" s="7"/>
      <c r="B1083" s="52" t="s">
        <v>846</v>
      </c>
      <c r="C1083" s="7"/>
      <c r="D1083" s="53">
        <f>F1082</f>
        <v>70646.444841257398</v>
      </c>
      <c r="E1083" s="56">
        <f>E948</f>
        <v>0.03</v>
      </c>
      <c r="F1083" s="53">
        <f>E1083*D1083</f>
        <v>2119.3933452377219</v>
      </c>
    </row>
    <row r="1084" spans="1:6" ht="20.25" customHeight="1">
      <c r="A1084" s="7"/>
      <c r="B1084" s="52" t="s">
        <v>44</v>
      </c>
      <c r="C1084" s="7"/>
      <c r="D1084" s="7"/>
      <c r="E1084" s="7"/>
      <c r="F1084" s="53">
        <f>SUM(F1082:F1083)</f>
        <v>72765.838186495122</v>
      </c>
    </row>
    <row r="1085" spans="1:6" ht="22.5" customHeight="1">
      <c r="A1085" s="461" t="s">
        <v>813</v>
      </c>
      <c r="B1085" s="461"/>
      <c r="C1085" s="461"/>
      <c r="D1085" s="461"/>
      <c r="E1085" s="461"/>
      <c r="F1085" s="461"/>
    </row>
    <row r="1086" spans="1:6" ht="18" customHeight="1">
      <c r="A1086" s="462" t="s">
        <v>921</v>
      </c>
      <c r="B1086" s="462"/>
      <c r="C1086" s="462"/>
      <c r="D1086" s="462"/>
      <c r="E1086" s="462"/>
      <c r="F1086" s="462"/>
    </row>
    <row r="1087" spans="1:6" ht="18" customHeight="1">
      <c r="A1087" s="47" t="s">
        <v>815</v>
      </c>
      <c r="B1087" s="49">
        <v>4127</v>
      </c>
      <c r="D1087" s="46"/>
      <c r="E1087" s="47" t="s">
        <v>169</v>
      </c>
      <c r="F1087" s="49" t="s">
        <v>869</v>
      </c>
    </row>
    <row r="1088" spans="1:6" ht="18" customHeight="1">
      <c r="A1088" s="50" t="s">
        <v>817</v>
      </c>
      <c r="B1088" s="458"/>
      <c r="C1088" s="459"/>
      <c r="D1088" s="459"/>
      <c r="E1088" s="459"/>
      <c r="F1088" s="460"/>
    </row>
    <row r="1089" spans="1:6" ht="18" customHeight="1">
      <c r="A1089" s="7" t="s">
        <v>1</v>
      </c>
      <c r="B1089" s="52" t="s">
        <v>344</v>
      </c>
      <c r="C1089" s="7" t="s">
        <v>818</v>
      </c>
      <c r="D1089" s="7" t="s">
        <v>819</v>
      </c>
      <c r="E1089" s="7" t="s">
        <v>820</v>
      </c>
      <c r="F1089" s="7" t="s">
        <v>821</v>
      </c>
    </row>
    <row r="1090" spans="1:6" ht="18" customHeight="1">
      <c r="A1090" s="7">
        <v>1</v>
      </c>
      <c r="B1090" s="52" t="s">
        <v>822</v>
      </c>
      <c r="C1090" s="7"/>
      <c r="D1090" s="7"/>
      <c r="E1090" s="7"/>
      <c r="F1090" s="53">
        <f>F1091+F1112+F1113</f>
        <v>66384.51680311629</v>
      </c>
    </row>
    <row r="1091" spans="1:6" ht="18" customHeight="1">
      <c r="A1091" s="7">
        <v>1.1000000000000001</v>
      </c>
      <c r="B1091" s="52" t="s">
        <v>823</v>
      </c>
      <c r="C1091" s="7"/>
      <c r="D1091" s="7"/>
      <c r="E1091" s="7"/>
      <c r="F1091" s="53">
        <f>F1092+F1095+F1104+F1109+F1110+F1111</f>
        <v>63344.004583126232</v>
      </c>
    </row>
    <row r="1092" spans="1:6" ht="18" customHeight="1">
      <c r="A1092" s="7" t="s">
        <v>47</v>
      </c>
      <c r="B1092" s="52" t="s">
        <v>176</v>
      </c>
      <c r="C1092" s="7"/>
      <c r="D1092" s="7"/>
      <c r="E1092" s="7"/>
      <c r="F1092" s="53">
        <f>F1093+F1094</f>
        <v>27721.949000000001</v>
      </c>
    </row>
    <row r="1093" spans="1:6" ht="18" customHeight="1">
      <c r="A1093" s="7"/>
      <c r="B1093" s="52" t="s">
        <v>824</v>
      </c>
      <c r="C1093" s="7" t="s">
        <v>825</v>
      </c>
      <c r="D1093" s="7">
        <v>8.1</v>
      </c>
      <c r="E1093" s="7">
        <v>2622</v>
      </c>
      <c r="F1093" s="53">
        <f>D1093*E1093</f>
        <v>21238.2</v>
      </c>
    </row>
    <row r="1094" spans="1:6" ht="18" customHeight="1">
      <c r="A1094" s="7"/>
      <c r="B1094" s="52" t="s">
        <v>826</v>
      </c>
      <c r="C1094" s="7" t="s">
        <v>825</v>
      </c>
      <c r="D1094" s="7">
        <v>5.77</v>
      </c>
      <c r="E1094" s="7">
        <v>1123.7</v>
      </c>
      <c r="F1094" s="53">
        <f>D1094*E1094</f>
        <v>6483.7489999999998</v>
      </c>
    </row>
    <row r="1095" spans="1:6" ht="18" customHeight="1">
      <c r="A1095" s="7" t="s">
        <v>57</v>
      </c>
      <c r="B1095" s="52" t="s">
        <v>177</v>
      </c>
      <c r="C1095" s="7"/>
      <c r="D1095" s="7"/>
      <c r="E1095" s="7"/>
      <c r="F1095" s="53">
        <f>SUM(F1096:F1103)</f>
        <v>33680.611891869994</v>
      </c>
    </row>
    <row r="1096" spans="1:6" ht="18" customHeight="1">
      <c r="A1096" s="7"/>
      <c r="B1096" s="52" t="s">
        <v>870</v>
      </c>
      <c r="C1096" s="7" t="s">
        <v>871</v>
      </c>
      <c r="D1096" s="7">
        <f>材料预算价格表!L8</f>
        <v>1874.0778</v>
      </c>
      <c r="E1096" s="7">
        <v>3.9</v>
      </c>
      <c r="F1096" s="53">
        <f t="shared" ref="F1096:F1102" si="90">D1096*E1096</f>
        <v>7308.9034199999996</v>
      </c>
    </row>
    <row r="1097" spans="1:6" ht="18" customHeight="1">
      <c r="A1097" s="7"/>
      <c r="B1097" s="52" t="s">
        <v>375</v>
      </c>
      <c r="C1097" s="7" t="s">
        <v>844</v>
      </c>
      <c r="D1097" s="7">
        <f>次要材料汇总!$F$9</f>
        <v>6</v>
      </c>
      <c r="E1097" s="7">
        <v>180.3</v>
      </c>
      <c r="F1097" s="53">
        <f t="shared" si="90"/>
        <v>1081.8000000000002</v>
      </c>
    </row>
    <row r="1098" spans="1:6" ht="18" customHeight="1">
      <c r="A1098" s="7"/>
      <c r="B1098" s="52" t="s">
        <v>873</v>
      </c>
      <c r="C1098" s="7" t="s">
        <v>844</v>
      </c>
      <c r="D1098" s="7">
        <f>次要材料汇总!$F$10</f>
        <v>5.5</v>
      </c>
      <c r="E1098" s="7">
        <v>327.3</v>
      </c>
      <c r="F1098" s="53">
        <f t="shared" si="90"/>
        <v>1800.15</v>
      </c>
    </row>
    <row r="1099" spans="1:6" ht="18" customHeight="1">
      <c r="A1099" s="7"/>
      <c r="B1099" s="52" t="s">
        <v>874</v>
      </c>
      <c r="C1099" s="7" t="s">
        <v>844</v>
      </c>
      <c r="D1099" s="7">
        <f>次要材料汇总!$F$11</f>
        <v>6.5</v>
      </c>
      <c r="E1099" s="7">
        <v>401.3</v>
      </c>
      <c r="F1099" s="53">
        <f t="shared" si="90"/>
        <v>2608.4500000000003</v>
      </c>
    </row>
    <row r="1100" spans="1:6" ht="18" customHeight="1">
      <c r="A1100" s="7"/>
      <c r="B1100" s="52" t="s">
        <v>875</v>
      </c>
      <c r="C1100" s="7" t="s">
        <v>844</v>
      </c>
      <c r="D1100" s="7">
        <f>次要材料汇总!$F$5</f>
        <v>8</v>
      </c>
      <c r="E1100" s="7">
        <v>160</v>
      </c>
      <c r="F1100" s="53">
        <f t="shared" si="90"/>
        <v>1280</v>
      </c>
    </row>
    <row r="1101" spans="1:6" ht="18" customHeight="1">
      <c r="A1101" s="7"/>
      <c r="B1101" s="52" t="s">
        <v>877</v>
      </c>
      <c r="C1101" s="7" t="s">
        <v>871</v>
      </c>
      <c r="D1101" s="66">
        <f>砼配合!J8</f>
        <v>183.29938899999999</v>
      </c>
      <c r="E1101" s="7">
        <v>103</v>
      </c>
      <c r="F1101" s="53">
        <f t="shared" si="90"/>
        <v>18879.837067</v>
      </c>
    </row>
    <row r="1102" spans="1:6" ht="18" customHeight="1">
      <c r="A1102" s="7"/>
      <c r="B1102" s="52" t="s">
        <v>806</v>
      </c>
      <c r="C1102" s="7" t="s">
        <v>871</v>
      </c>
      <c r="D1102" s="7">
        <f>材料预算价格表!K15</f>
        <v>3.88</v>
      </c>
      <c r="E1102" s="7">
        <v>100</v>
      </c>
      <c r="F1102" s="53">
        <f t="shared" si="90"/>
        <v>388</v>
      </c>
    </row>
    <row r="1103" spans="1:6" ht="18" customHeight="1">
      <c r="A1103" s="7"/>
      <c r="B1103" s="52" t="s">
        <v>833</v>
      </c>
      <c r="C1103" s="7" t="s">
        <v>834</v>
      </c>
      <c r="D1103" s="66">
        <f>SUM(F1096:F1102)</f>
        <v>33347.140486999997</v>
      </c>
      <c r="E1103" s="7">
        <v>1</v>
      </c>
      <c r="F1103" s="53">
        <f>D1103*E1103/100</f>
        <v>333.47140486999996</v>
      </c>
    </row>
    <row r="1104" spans="1:6" ht="18" customHeight="1">
      <c r="A1104" s="7" t="s">
        <v>835</v>
      </c>
      <c r="B1104" s="52" t="s">
        <v>836</v>
      </c>
      <c r="C1104" s="7"/>
      <c r="D1104" s="7"/>
      <c r="E1104" s="7"/>
      <c r="F1104" s="53">
        <f>SUM(F1105:F1108)</f>
        <v>816.23295061261274</v>
      </c>
    </row>
    <row r="1105" spans="1:6" ht="18" customHeight="1">
      <c r="A1105" s="7"/>
      <c r="B1105" s="52" t="s">
        <v>882</v>
      </c>
      <c r="C1105" s="7" t="s">
        <v>863</v>
      </c>
      <c r="D1105" s="66">
        <f>施工机械台时汇总!$C$21</f>
        <v>28.129680376028197</v>
      </c>
      <c r="E1105" s="7">
        <v>18.54</v>
      </c>
      <c r="F1105" s="53">
        <f>D1105*E1105</f>
        <v>521.52427417156275</v>
      </c>
    </row>
    <row r="1106" spans="1:6" ht="18" customHeight="1">
      <c r="A1106" s="7"/>
      <c r="B1106" s="52" t="s">
        <v>883</v>
      </c>
      <c r="C1106" s="7" t="s">
        <v>863</v>
      </c>
      <c r="D1106" s="66">
        <f>施工机械台时汇总!$C$24</f>
        <v>2.2013599686643204</v>
      </c>
      <c r="E1106" s="7">
        <v>37.200000000000003</v>
      </c>
      <c r="F1106" s="53">
        <f>D1106*E1106</f>
        <v>81.890590834312718</v>
      </c>
    </row>
    <row r="1107" spans="1:6" ht="18" customHeight="1">
      <c r="A1107" s="7"/>
      <c r="B1107" s="52" t="s">
        <v>407</v>
      </c>
      <c r="C1107" s="7" t="s">
        <v>863</v>
      </c>
      <c r="D1107" s="7">
        <f>施工机械台时汇总!$C$19</f>
        <v>0.80266353309831595</v>
      </c>
      <c r="E1107" s="7">
        <v>132.5</v>
      </c>
      <c r="F1107" s="53">
        <f>D1107*E1107</f>
        <v>106.35291813552686</v>
      </c>
    </row>
    <row r="1108" spans="1:6" ht="18" customHeight="1">
      <c r="A1108" s="7"/>
      <c r="B1108" s="52" t="s">
        <v>840</v>
      </c>
      <c r="C1108" s="7" t="s">
        <v>834</v>
      </c>
      <c r="D1108" s="66">
        <f>SUM(F1105:F1107)</f>
        <v>709.76778314140233</v>
      </c>
      <c r="E1108" s="7">
        <v>15</v>
      </c>
      <c r="F1108" s="53">
        <f>D1108*E1108/100</f>
        <v>106.46516747121035</v>
      </c>
    </row>
    <row r="1109" spans="1:6" ht="18" customHeight="1">
      <c r="A1109" s="7" t="s">
        <v>884</v>
      </c>
      <c r="B1109" s="52" t="s">
        <v>885</v>
      </c>
      <c r="C1109" s="7" t="s">
        <v>871</v>
      </c>
      <c r="D1109" s="66">
        <f>D1353</f>
        <v>5.0269138732471603</v>
      </c>
      <c r="E1109" s="7">
        <v>103</v>
      </c>
      <c r="F1109" s="53">
        <f>D1109*E1109</f>
        <v>517.77212894445756</v>
      </c>
    </row>
    <row r="1110" spans="1:6" ht="18" customHeight="1">
      <c r="A1110" s="7" t="s">
        <v>886</v>
      </c>
      <c r="B1110" s="52" t="s">
        <v>887</v>
      </c>
      <c r="C1110" s="7" t="s">
        <v>871</v>
      </c>
      <c r="D1110" s="66">
        <f>D1354</f>
        <v>5.8974622495064617</v>
      </c>
      <c r="E1110" s="7">
        <v>103</v>
      </c>
      <c r="F1110" s="53">
        <f>D1110*E1110</f>
        <v>607.43861169916556</v>
      </c>
    </row>
    <row r="1111" spans="1:6" ht="18" customHeight="1">
      <c r="A1111" s="7"/>
      <c r="B1111" s="52"/>
      <c r="C1111" s="7"/>
      <c r="D1111" s="7"/>
      <c r="E1111" s="7"/>
      <c r="F1111" s="53"/>
    </row>
    <row r="1112" spans="1:6" ht="18" customHeight="1">
      <c r="A1112" s="7">
        <v>1.2</v>
      </c>
      <c r="B1112" s="52" t="s">
        <v>841</v>
      </c>
      <c r="C1112" s="7"/>
      <c r="D1112" s="53">
        <f>F1091</f>
        <v>63344.004583126232</v>
      </c>
      <c r="E1112" s="56">
        <f>E1070</f>
        <v>4.8000000000000001E-2</v>
      </c>
      <c r="F1112" s="53">
        <f>D1112*E1112</f>
        <v>3040.5122199900593</v>
      </c>
    </row>
    <row r="1113" spans="1:6" ht="18" customHeight="1">
      <c r="A1113" s="7">
        <v>1.3</v>
      </c>
      <c r="B1113" s="52" t="s">
        <v>842</v>
      </c>
      <c r="C1113" s="7"/>
      <c r="D1113" s="53">
        <f>F1091</f>
        <v>63344.004583126232</v>
      </c>
      <c r="E1113" s="56">
        <f>E1071</f>
        <v>0</v>
      </c>
      <c r="F1113" s="53">
        <f>D1113*E1113</f>
        <v>0</v>
      </c>
    </row>
    <row r="1114" spans="1:6" ht="18" customHeight="1">
      <c r="A1114" s="7">
        <v>2</v>
      </c>
      <c r="B1114" s="52" t="s">
        <v>182</v>
      </c>
      <c r="C1114" s="7"/>
      <c r="D1114" s="53">
        <f>F1090</f>
        <v>66384.51680311629</v>
      </c>
      <c r="E1114" s="56">
        <f>E1072</f>
        <v>7.0000000000000007E-2</v>
      </c>
      <c r="F1114" s="53">
        <f>D1114*E1114</f>
        <v>4646.9161762181411</v>
      </c>
    </row>
    <row r="1115" spans="1:6" ht="18" customHeight="1">
      <c r="A1115" s="7">
        <v>3</v>
      </c>
      <c r="B1115" s="52" t="s">
        <v>843</v>
      </c>
      <c r="C1115" s="7"/>
      <c r="D1115" s="53">
        <f>F1114+F1090</f>
        <v>71031.432979334437</v>
      </c>
      <c r="E1115" s="56">
        <f>E1073</f>
        <v>7.0000000000000007E-2</v>
      </c>
      <c r="F1115" s="53">
        <f>D1115*E1115</f>
        <v>4972.2003085534107</v>
      </c>
    </row>
    <row r="1116" spans="1:6" ht="18" customHeight="1">
      <c r="A1116" s="7">
        <v>4</v>
      </c>
      <c r="B1116" s="52" t="s">
        <v>184</v>
      </c>
      <c r="C1116" s="7"/>
      <c r="D1116" s="7"/>
      <c r="E1116" s="7"/>
      <c r="F1116" s="53">
        <f>SUM(F1117:F1122)</f>
        <v>4873.5202215837126</v>
      </c>
    </row>
    <row r="1117" spans="1:6" ht="18" customHeight="1">
      <c r="A1117" s="7"/>
      <c r="B1117" s="52" t="s">
        <v>354</v>
      </c>
      <c r="C1117" s="7" t="s">
        <v>88</v>
      </c>
      <c r="D1117" s="7">
        <f>A2</f>
        <v>116.41515</v>
      </c>
      <c r="E1117" s="66">
        <f>E1101*砼配合!I9</f>
        <v>35.035758999999999</v>
      </c>
      <c r="F1117" s="53">
        <f t="shared" ref="F1117:F1123" si="91">D1117*E1117</f>
        <v>4078.6931393488499</v>
      </c>
    </row>
    <row r="1118" spans="1:6" ht="18" customHeight="1">
      <c r="A1118" s="7"/>
      <c r="B1118" s="52" t="s">
        <v>507</v>
      </c>
      <c r="C1118" s="7" t="s">
        <v>871</v>
      </c>
      <c r="D1118" s="66">
        <f>D1362</f>
        <v>4.6598683999999899</v>
      </c>
      <c r="E1118" s="66">
        <f>E1101*砼配合!I10</f>
        <v>54.406660000000002</v>
      </c>
      <c r="F1118" s="53">
        <f t="shared" si="91"/>
        <v>253.52787568354347</v>
      </c>
    </row>
    <row r="1119" spans="1:6" ht="18" customHeight="1">
      <c r="A1119" s="7"/>
      <c r="B1119" s="52" t="s">
        <v>509</v>
      </c>
      <c r="C1119" s="7" t="s">
        <v>871</v>
      </c>
      <c r="D1119" s="66">
        <f>D1363</f>
        <v>6.2457299999999902</v>
      </c>
      <c r="E1119" s="66">
        <f>E1101*砼配合!I11</f>
        <v>86.667083999999988</v>
      </c>
      <c r="F1119" s="53">
        <f t="shared" si="91"/>
        <v>541.29920655131912</v>
      </c>
    </row>
    <row r="1120" spans="1:6" ht="18" customHeight="1">
      <c r="A1120" s="7"/>
      <c r="B1120" s="52" t="s">
        <v>506</v>
      </c>
      <c r="C1120" s="7" t="s">
        <v>871</v>
      </c>
      <c r="D1120" s="7">
        <f>D1364</f>
        <v>0</v>
      </c>
      <c r="E1120" s="7">
        <f>E1096</f>
        <v>3.9</v>
      </c>
      <c r="F1120" s="53">
        <f t="shared" si="91"/>
        <v>0</v>
      </c>
    </row>
    <row r="1121" spans="1:6" ht="18" customHeight="1">
      <c r="A1121" s="7"/>
      <c r="B1121" s="52" t="s">
        <v>515</v>
      </c>
      <c r="C1121" s="7" t="s">
        <v>844</v>
      </c>
      <c r="D1121" s="7">
        <f>D1365</f>
        <v>4.7450000000000001</v>
      </c>
      <c r="E1121" s="7"/>
      <c r="F1121" s="53">
        <f t="shared" si="91"/>
        <v>0</v>
      </c>
    </row>
    <row r="1122" spans="1:6" ht="18" customHeight="1">
      <c r="A1122" s="7"/>
      <c r="B1122" s="52" t="s">
        <v>516</v>
      </c>
      <c r="C1122" s="7" t="s">
        <v>844</v>
      </c>
      <c r="D1122" s="7">
        <f>D1366</f>
        <v>3.51</v>
      </c>
      <c r="E1122" s="7"/>
      <c r="F1122" s="53">
        <f t="shared" si="91"/>
        <v>0</v>
      </c>
    </row>
    <row r="1123" spans="1:6" ht="18" customHeight="1">
      <c r="A1123" s="7">
        <v>5</v>
      </c>
      <c r="B1123" s="52" t="s">
        <v>845</v>
      </c>
      <c r="C1123" s="7"/>
      <c r="D1123" s="53">
        <f>F1090+F1114+F1115+F1116</f>
        <v>80877.153509471565</v>
      </c>
      <c r="E1123" s="56">
        <f>E1081</f>
        <v>0.09</v>
      </c>
      <c r="F1123" s="53">
        <f t="shared" si="91"/>
        <v>7278.9438158524408</v>
      </c>
    </row>
    <row r="1124" spans="1:6" ht="18" customHeight="1">
      <c r="A1124" s="7">
        <v>6</v>
      </c>
      <c r="B1124" s="52" t="s">
        <v>7</v>
      </c>
      <c r="C1124" s="7"/>
      <c r="D1124" s="7"/>
      <c r="E1124" s="7"/>
      <c r="F1124" s="53">
        <f>D1123+F1123</f>
        <v>88156.097325324008</v>
      </c>
    </row>
    <row r="1125" spans="1:6" ht="18" customHeight="1">
      <c r="A1125" s="7"/>
      <c r="B1125" s="52" t="s">
        <v>846</v>
      </c>
      <c r="C1125" s="7"/>
      <c r="D1125" s="53">
        <f>F1124</f>
        <v>88156.097325324008</v>
      </c>
      <c r="E1125" s="56">
        <f>E1083</f>
        <v>0.03</v>
      </c>
      <c r="F1125" s="53">
        <f>E1125*D1125</f>
        <v>2644.6829197597203</v>
      </c>
    </row>
    <row r="1126" spans="1:6" ht="18" customHeight="1">
      <c r="A1126" s="7"/>
      <c r="B1126" s="52" t="s">
        <v>44</v>
      </c>
      <c r="C1126" s="7"/>
      <c r="D1126" s="7"/>
      <c r="E1126" s="7"/>
      <c r="F1126" s="53">
        <f>SUM(F1124:F1125)</f>
        <v>90800.780245083733</v>
      </c>
    </row>
    <row r="1127" spans="1:6" ht="22.5" customHeight="1">
      <c r="A1127" s="461" t="s">
        <v>813</v>
      </c>
      <c r="B1127" s="461"/>
      <c r="C1127" s="461"/>
      <c r="D1127" s="461"/>
      <c r="E1127" s="461"/>
      <c r="F1127" s="461"/>
    </row>
    <row r="1128" spans="1:6" ht="18" customHeight="1">
      <c r="A1128" s="462" t="s">
        <v>922</v>
      </c>
      <c r="B1128" s="462"/>
      <c r="C1128" s="462"/>
      <c r="D1128" s="462"/>
      <c r="E1128" s="462"/>
      <c r="F1128" s="462"/>
    </row>
    <row r="1129" spans="1:6" ht="18" customHeight="1">
      <c r="A1129" s="47" t="s">
        <v>815</v>
      </c>
      <c r="B1129" s="49">
        <v>4124</v>
      </c>
      <c r="D1129" s="46"/>
      <c r="E1129" s="47" t="s">
        <v>169</v>
      </c>
      <c r="F1129" s="49" t="s">
        <v>869</v>
      </c>
    </row>
    <row r="1130" spans="1:6" ht="18" customHeight="1">
      <c r="A1130" s="50" t="s">
        <v>817</v>
      </c>
      <c r="B1130" s="458"/>
      <c r="C1130" s="459"/>
      <c r="D1130" s="459"/>
      <c r="E1130" s="459"/>
      <c r="F1130" s="460"/>
    </row>
    <row r="1131" spans="1:6" ht="18" customHeight="1">
      <c r="A1131" s="7" t="s">
        <v>1</v>
      </c>
      <c r="B1131" s="52" t="s">
        <v>344</v>
      </c>
      <c r="C1131" s="7" t="s">
        <v>818</v>
      </c>
      <c r="D1131" s="7" t="s">
        <v>819</v>
      </c>
      <c r="E1131" s="7" t="s">
        <v>820</v>
      </c>
      <c r="F1131" s="7" t="s">
        <v>821</v>
      </c>
    </row>
    <row r="1132" spans="1:6" ht="18" customHeight="1">
      <c r="A1132" s="7">
        <v>1</v>
      </c>
      <c r="B1132" s="52" t="s">
        <v>822</v>
      </c>
      <c r="C1132" s="7"/>
      <c r="D1132" s="7"/>
      <c r="E1132" s="7"/>
      <c r="F1132" s="53">
        <f>F1133+F1156+F1157</f>
        <v>33928.1983477264</v>
      </c>
    </row>
    <row r="1133" spans="1:6" ht="18" customHeight="1">
      <c r="A1133" s="7">
        <v>1.1000000000000001</v>
      </c>
      <c r="B1133" s="52" t="s">
        <v>823</v>
      </c>
      <c r="C1133" s="7"/>
      <c r="D1133" s="7"/>
      <c r="E1133" s="7"/>
      <c r="F1133" s="53">
        <f>F1134+F1137+F1146+F1153+F1154+F1155</f>
        <v>32374.23506462443</v>
      </c>
    </row>
    <row r="1134" spans="1:6" ht="18" customHeight="1">
      <c r="A1134" s="7" t="s">
        <v>47</v>
      </c>
      <c r="B1134" s="52" t="s">
        <v>176</v>
      </c>
      <c r="C1134" s="7"/>
      <c r="D1134" s="7"/>
      <c r="E1134" s="7"/>
      <c r="F1134" s="53">
        <f>F1135+F1136</f>
        <v>7794.277</v>
      </c>
    </row>
    <row r="1135" spans="1:6" ht="18" customHeight="1">
      <c r="A1135" s="7"/>
      <c r="B1135" s="52" t="s">
        <v>824</v>
      </c>
      <c r="C1135" s="7" t="s">
        <v>825</v>
      </c>
      <c r="D1135" s="7">
        <v>8.1</v>
      </c>
      <c r="E1135" s="7">
        <v>720.7</v>
      </c>
      <c r="F1135" s="53">
        <f>D1135*E1135</f>
        <v>5837.67</v>
      </c>
    </row>
    <row r="1136" spans="1:6" ht="18" customHeight="1">
      <c r="A1136" s="7"/>
      <c r="B1136" s="52" t="s">
        <v>826</v>
      </c>
      <c r="C1136" s="7" t="s">
        <v>825</v>
      </c>
      <c r="D1136" s="7">
        <v>5.77</v>
      </c>
      <c r="E1136" s="7">
        <v>339.1</v>
      </c>
      <c r="F1136" s="53">
        <f>D1136*E1136</f>
        <v>1956.607</v>
      </c>
    </row>
    <row r="1137" spans="1:6" ht="18" customHeight="1">
      <c r="A1137" s="7" t="s">
        <v>57</v>
      </c>
      <c r="B1137" s="52" t="s">
        <v>177</v>
      </c>
      <c r="C1137" s="7"/>
      <c r="D1137" s="7"/>
      <c r="E1137" s="7"/>
      <c r="F1137" s="53">
        <f>SUM(F1138:F1145)</f>
        <v>22546.543167669999</v>
      </c>
    </row>
    <row r="1138" spans="1:6" ht="18" customHeight="1">
      <c r="A1138" s="7"/>
      <c r="B1138" s="52" t="s">
        <v>870</v>
      </c>
      <c r="C1138" s="7" t="s">
        <v>871</v>
      </c>
      <c r="D1138" s="7">
        <f>材料预算价格表!L32</f>
        <v>0</v>
      </c>
      <c r="E1138" s="7">
        <v>0.02</v>
      </c>
      <c r="F1138" s="53">
        <f t="shared" ref="F1138:F1144" si="92">D1138*E1138</f>
        <v>0</v>
      </c>
    </row>
    <row r="1139" spans="1:6" ht="18" customHeight="1">
      <c r="A1139" s="7"/>
      <c r="B1139" s="52" t="s">
        <v>375</v>
      </c>
      <c r="C1139" s="7" t="s">
        <v>844</v>
      </c>
      <c r="D1139" s="7">
        <f>次要材料汇总!$F$9</f>
        <v>6</v>
      </c>
      <c r="E1139" s="7">
        <v>76.36</v>
      </c>
      <c r="F1139" s="53">
        <f t="shared" si="92"/>
        <v>458.15999999999997</v>
      </c>
    </row>
    <row r="1140" spans="1:6" ht="18" customHeight="1">
      <c r="A1140" s="7"/>
      <c r="B1140" s="52" t="s">
        <v>873</v>
      </c>
      <c r="C1140" s="7" t="s">
        <v>844</v>
      </c>
      <c r="D1140" s="7">
        <f>次要材料汇总!$F$10</f>
        <v>5.5</v>
      </c>
      <c r="E1140" s="7">
        <v>54.71</v>
      </c>
      <c r="F1140" s="53">
        <f t="shared" si="92"/>
        <v>300.90500000000003</v>
      </c>
    </row>
    <row r="1141" spans="1:6" ht="18" customHeight="1">
      <c r="A1141" s="7"/>
      <c r="B1141" s="52" t="s">
        <v>874</v>
      </c>
      <c r="C1141" s="7" t="s">
        <v>844</v>
      </c>
      <c r="D1141" s="7">
        <f>次要材料汇总!$F$11</f>
        <v>6.5</v>
      </c>
      <c r="E1141" s="7">
        <v>43.7</v>
      </c>
      <c r="F1141" s="53">
        <f t="shared" si="92"/>
        <v>284.05</v>
      </c>
    </row>
    <row r="1142" spans="1:6" ht="18" customHeight="1">
      <c r="A1142" s="7"/>
      <c r="B1142" s="52" t="s">
        <v>372</v>
      </c>
      <c r="C1142" s="7" t="s">
        <v>844</v>
      </c>
      <c r="D1142" s="7">
        <f>次要材料汇总!$F$6</f>
        <v>7.4</v>
      </c>
      <c r="E1142" s="7">
        <v>287.67</v>
      </c>
      <c r="F1142" s="53">
        <f t="shared" si="92"/>
        <v>2128.7580000000003</v>
      </c>
    </row>
    <row r="1143" spans="1:6" ht="18" customHeight="1">
      <c r="A1143" s="7"/>
      <c r="B1143" s="52" t="s">
        <v>877</v>
      </c>
      <c r="C1143" s="7" t="s">
        <v>871</v>
      </c>
      <c r="D1143" s="66">
        <f>砼配合!J8</f>
        <v>183.29938899999999</v>
      </c>
      <c r="E1143" s="7">
        <v>103</v>
      </c>
      <c r="F1143" s="53">
        <f t="shared" si="92"/>
        <v>18879.837067</v>
      </c>
    </row>
    <row r="1144" spans="1:6" ht="18" customHeight="1">
      <c r="A1144" s="7"/>
      <c r="B1144" s="52" t="s">
        <v>806</v>
      </c>
      <c r="C1144" s="7" t="s">
        <v>871</v>
      </c>
      <c r="D1144" s="55">
        <f>材料预算价格表!$K$15</f>
        <v>3.88</v>
      </c>
      <c r="E1144" s="7">
        <v>70</v>
      </c>
      <c r="F1144" s="53">
        <f t="shared" si="92"/>
        <v>271.59999999999997</v>
      </c>
    </row>
    <row r="1145" spans="1:6" ht="18" customHeight="1">
      <c r="A1145" s="7"/>
      <c r="B1145" s="52" t="s">
        <v>833</v>
      </c>
      <c r="C1145" s="7" t="s">
        <v>834</v>
      </c>
      <c r="D1145" s="66">
        <f>SUM(F1138:F1144)</f>
        <v>22323.310066999999</v>
      </c>
      <c r="E1145" s="7">
        <v>1</v>
      </c>
      <c r="F1145" s="53">
        <f>D1145*E1145/100</f>
        <v>223.23310067</v>
      </c>
    </row>
    <row r="1146" spans="1:6" ht="18" customHeight="1">
      <c r="A1146" s="7" t="s">
        <v>835</v>
      </c>
      <c r="B1146" s="52" t="s">
        <v>836</v>
      </c>
      <c r="C1146" s="7"/>
      <c r="D1146" s="7"/>
      <c r="E1146" s="7"/>
      <c r="F1146" s="53">
        <f>SUM(F1147:F1152)</f>
        <v>908.20415631081084</v>
      </c>
    </row>
    <row r="1147" spans="1:6" ht="18" customHeight="1">
      <c r="A1147" s="7"/>
      <c r="B1147" s="52" t="s">
        <v>882</v>
      </c>
      <c r="C1147" s="7" t="s">
        <v>863</v>
      </c>
      <c r="D1147" s="66">
        <f>施工机械台时汇总!$C$21</f>
        <v>28.129680376028197</v>
      </c>
      <c r="E1147" s="7">
        <v>18.54</v>
      </c>
      <c r="F1147" s="53">
        <f>D1147*E1147</f>
        <v>521.52427417156275</v>
      </c>
    </row>
    <row r="1148" spans="1:6" ht="18" customHeight="1">
      <c r="A1148" s="7"/>
      <c r="B1148" s="52" t="s">
        <v>883</v>
      </c>
      <c r="C1148" s="7" t="s">
        <v>863</v>
      </c>
      <c r="D1148" s="66">
        <f>施工机械台时汇总!$C$24</f>
        <v>2.2013599686643204</v>
      </c>
      <c r="E1148" s="7">
        <v>20</v>
      </c>
      <c r="F1148" s="53">
        <f>D1148*E1148</f>
        <v>44.027199373286408</v>
      </c>
    </row>
    <row r="1149" spans="1:6" ht="18" customHeight="1">
      <c r="A1149" s="7"/>
      <c r="B1149" s="52" t="s">
        <v>407</v>
      </c>
      <c r="C1149" s="7" t="s">
        <v>863</v>
      </c>
      <c r="D1149" s="7">
        <f>施工机械台时汇总!$C$19</f>
        <v>0.80266353309831595</v>
      </c>
      <c r="E1149" s="7">
        <v>83</v>
      </c>
      <c r="F1149" s="53">
        <f>D1149*E1149</f>
        <v>66.621073247160226</v>
      </c>
    </row>
    <row r="1150" spans="1:6" ht="18" customHeight="1">
      <c r="A1150" s="7"/>
      <c r="B1150" s="52" t="s">
        <v>923</v>
      </c>
      <c r="C1150" s="7" t="s">
        <v>863</v>
      </c>
      <c r="D1150" s="55">
        <f>施工机械台时汇总!$C$42</f>
        <v>49.210305522914197</v>
      </c>
      <c r="E1150" s="7">
        <v>0.33</v>
      </c>
      <c r="F1150" s="53">
        <f t="shared" ref="F1150:F1151" si="93">D1150*E1150</f>
        <v>16.239400822561684</v>
      </c>
    </row>
    <row r="1151" spans="1:6" ht="18" customHeight="1">
      <c r="A1151" s="7"/>
      <c r="B1151" s="52" t="s">
        <v>924</v>
      </c>
      <c r="C1151" s="7" t="s">
        <v>863</v>
      </c>
      <c r="D1151" s="55">
        <f>施工机械台时汇总!$C$40</f>
        <v>15.582226792009401</v>
      </c>
      <c r="E1151" s="7">
        <v>9.07</v>
      </c>
      <c r="F1151" s="53">
        <f t="shared" si="93"/>
        <v>141.33079700352528</v>
      </c>
    </row>
    <row r="1152" spans="1:6" ht="18" customHeight="1">
      <c r="A1152" s="7"/>
      <c r="B1152" s="52" t="s">
        <v>840</v>
      </c>
      <c r="C1152" s="7" t="s">
        <v>834</v>
      </c>
      <c r="D1152" s="66">
        <f>F1147+F1148+F1149+F1150+F1151</f>
        <v>789.74274461809637</v>
      </c>
      <c r="E1152" s="7">
        <v>15</v>
      </c>
      <c r="F1152" s="53">
        <f>D1152*E1152/100</f>
        <v>118.46141169271446</v>
      </c>
    </row>
    <row r="1153" spans="1:6" ht="18" customHeight="1">
      <c r="A1153" s="7" t="s">
        <v>884</v>
      </c>
      <c r="B1153" s="52" t="s">
        <v>885</v>
      </c>
      <c r="C1153" s="7" t="s">
        <v>871</v>
      </c>
      <c r="D1153" s="66">
        <f>D1109</f>
        <v>5.0269138732471603</v>
      </c>
      <c r="E1153" s="7">
        <v>103</v>
      </c>
      <c r="F1153" s="53">
        <f>D1153*E1153</f>
        <v>517.77212894445756</v>
      </c>
    </row>
    <row r="1154" spans="1:6" ht="18" customHeight="1">
      <c r="A1154" s="7" t="s">
        <v>886</v>
      </c>
      <c r="B1154" s="52" t="s">
        <v>887</v>
      </c>
      <c r="C1154" s="7" t="s">
        <v>871</v>
      </c>
      <c r="D1154" s="66">
        <f>D1110</f>
        <v>5.8974622495064617</v>
      </c>
      <c r="E1154" s="7">
        <v>103</v>
      </c>
      <c r="F1154" s="53">
        <f>D1154*E1154</f>
        <v>607.43861169916556</v>
      </c>
    </row>
    <row r="1155" spans="1:6" ht="18" customHeight="1">
      <c r="A1155" s="7"/>
      <c r="B1155" s="52"/>
      <c r="C1155" s="7"/>
      <c r="D1155" s="7"/>
      <c r="E1155" s="7"/>
      <c r="F1155" s="53"/>
    </row>
    <row r="1156" spans="1:6" ht="18" customHeight="1">
      <c r="A1156" s="7">
        <v>1.2</v>
      </c>
      <c r="B1156" s="52" t="s">
        <v>841</v>
      </c>
      <c r="C1156" s="7"/>
      <c r="D1156" s="53">
        <f>F1133</f>
        <v>32374.23506462443</v>
      </c>
      <c r="E1156" s="56">
        <f>E1112</f>
        <v>4.8000000000000001E-2</v>
      </c>
      <c r="F1156" s="53">
        <f>D1156*E1156</f>
        <v>1553.9632831019726</v>
      </c>
    </row>
    <row r="1157" spans="1:6" ht="18" customHeight="1">
      <c r="A1157" s="7">
        <v>1.3</v>
      </c>
      <c r="B1157" s="52" t="s">
        <v>842</v>
      </c>
      <c r="C1157" s="7"/>
      <c r="D1157" s="53">
        <f>F1133</f>
        <v>32374.23506462443</v>
      </c>
      <c r="E1157" s="56">
        <f>E1113</f>
        <v>0</v>
      </c>
      <c r="F1157" s="53">
        <f>D1157*E1157</f>
        <v>0</v>
      </c>
    </row>
    <row r="1158" spans="1:6" ht="18" customHeight="1">
      <c r="A1158" s="7">
        <v>2</v>
      </c>
      <c r="B1158" s="52" t="s">
        <v>182</v>
      </c>
      <c r="C1158" s="7"/>
      <c r="D1158" s="53">
        <f>F1132</f>
        <v>33928.1983477264</v>
      </c>
      <c r="E1158" s="56">
        <f>E1114</f>
        <v>7.0000000000000007E-2</v>
      </c>
      <c r="F1158" s="53">
        <f>D1158*E1158</f>
        <v>2374.9738843408481</v>
      </c>
    </row>
    <row r="1159" spans="1:6" ht="18" customHeight="1">
      <c r="A1159" s="7">
        <v>3</v>
      </c>
      <c r="B1159" s="52" t="s">
        <v>843</v>
      </c>
      <c r="C1159" s="7"/>
      <c r="D1159" s="53">
        <f>F1158+F1132</f>
        <v>36303.172232067249</v>
      </c>
      <c r="E1159" s="56">
        <f>E1115</f>
        <v>7.0000000000000007E-2</v>
      </c>
      <c r="F1159" s="53">
        <f>D1159*E1159</f>
        <v>2541.2220562447078</v>
      </c>
    </row>
    <row r="1160" spans="1:6" ht="18" customHeight="1">
      <c r="A1160" s="7">
        <v>4</v>
      </c>
      <c r="B1160" s="52" t="s">
        <v>184</v>
      </c>
      <c r="C1160" s="7"/>
      <c r="D1160" s="7"/>
      <c r="E1160" s="7"/>
      <c r="F1160" s="53">
        <f>SUM(F1161:F1166)</f>
        <v>4884.7943415837126</v>
      </c>
    </row>
    <row r="1161" spans="1:6" ht="18" customHeight="1">
      <c r="A1161" s="7"/>
      <c r="B1161" s="52" t="s">
        <v>354</v>
      </c>
      <c r="C1161" s="7" t="s">
        <v>88</v>
      </c>
      <c r="D1161" s="7">
        <f>D1117</f>
        <v>116.41515</v>
      </c>
      <c r="E1161" s="66">
        <f>E1143*砼配合!I9</f>
        <v>35.035758999999999</v>
      </c>
      <c r="F1161" s="53">
        <f t="shared" ref="F1161:F1167" si="94">D1161*E1161</f>
        <v>4078.6931393488499</v>
      </c>
    </row>
    <row r="1162" spans="1:6" ht="18" customHeight="1">
      <c r="A1162" s="7"/>
      <c r="B1162" s="52" t="s">
        <v>507</v>
      </c>
      <c r="C1162" s="7" t="s">
        <v>871</v>
      </c>
      <c r="D1162" s="7">
        <f t="shared" ref="D1162:D1166" si="95">D1118</f>
        <v>4.6598683999999899</v>
      </c>
      <c r="E1162" s="66">
        <f>E1143*砼配合!I10</f>
        <v>54.406660000000002</v>
      </c>
      <c r="F1162" s="53">
        <f t="shared" si="94"/>
        <v>253.52787568354347</v>
      </c>
    </row>
    <row r="1163" spans="1:6" ht="18" customHeight="1">
      <c r="A1163" s="7"/>
      <c r="B1163" s="52" t="s">
        <v>509</v>
      </c>
      <c r="C1163" s="7" t="s">
        <v>871</v>
      </c>
      <c r="D1163" s="7">
        <f t="shared" si="95"/>
        <v>6.2457299999999902</v>
      </c>
      <c r="E1163" s="66">
        <f>E1143*砼配合!I11</f>
        <v>86.667083999999988</v>
      </c>
      <c r="F1163" s="53">
        <f t="shared" si="94"/>
        <v>541.29920655131912</v>
      </c>
    </row>
    <row r="1164" spans="1:6" ht="18" customHeight="1">
      <c r="A1164" s="7"/>
      <c r="B1164" s="52" t="s">
        <v>506</v>
      </c>
      <c r="C1164" s="7" t="s">
        <v>871</v>
      </c>
      <c r="D1164" s="7">
        <f t="shared" si="95"/>
        <v>0</v>
      </c>
      <c r="E1164" s="7">
        <f>$C$2</f>
        <v>0</v>
      </c>
      <c r="F1164" s="53">
        <f t="shared" si="94"/>
        <v>0</v>
      </c>
    </row>
    <row r="1165" spans="1:6" ht="18" customHeight="1">
      <c r="A1165" s="7"/>
      <c r="B1165" s="52" t="s">
        <v>515</v>
      </c>
      <c r="C1165" s="7" t="s">
        <v>844</v>
      </c>
      <c r="D1165" s="7">
        <f t="shared" si="95"/>
        <v>4.7450000000000001</v>
      </c>
      <c r="E1165" s="7">
        <f>E1150*台时!AK19</f>
        <v>2.3760000000000003</v>
      </c>
      <c r="F1165" s="53">
        <f t="shared" si="94"/>
        <v>11.274120000000002</v>
      </c>
    </row>
    <row r="1166" spans="1:6" ht="18" customHeight="1">
      <c r="A1166" s="7"/>
      <c r="B1166" s="52" t="s">
        <v>516</v>
      </c>
      <c r="C1166" s="7" t="s">
        <v>844</v>
      </c>
      <c r="D1166" s="7">
        <f t="shared" si="95"/>
        <v>3.51</v>
      </c>
      <c r="E1166" s="7"/>
      <c r="F1166" s="53">
        <f t="shared" si="94"/>
        <v>0</v>
      </c>
    </row>
    <row r="1167" spans="1:6" ht="18" customHeight="1">
      <c r="A1167" s="7">
        <v>5</v>
      </c>
      <c r="B1167" s="52" t="s">
        <v>845</v>
      </c>
      <c r="C1167" s="7"/>
      <c r="D1167" s="53">
        <f>F1132+F1158+F1159+F1160</f>
        <v>43729.188629895674</v>
      </c>
      <c r="E1167" s="56">
        <f>E1123</f>
        <v>0.09</v>
      </c>
      <c r="F1167" s="53">
        <f t="shared" si="94"/>
        <v>3935.6269766906107</v>
      </c>
    </row>
    <row r="1168" spans="1:6" ht="18" customHeight="1">
      <c r="A1168" s="7">
        <v>6</v>
      </c>
      <c r="B1168" s="52" t="s">
        <v>7</v>
      </c>
      <c r="C1168" s="7"/>
      <c r="D1168" s="7"/>
      <c r="E1168" s="7"/>
      <c r="F1168" s="53">
        <f>D1167+F1167</f>
        <v>47664.815606586286</v>
      </c>
    </row>
    <row r="1169" spans="1:6" ht="18" customHeight="1">
      <c r="A1169" s="7"/>
      <c r="B1169" s="52" t="s">
        <v>846</v>
      </c>
      <c r="C1169" s="7"/>
      <c r="D1169" s="53">
        <f>F1168</f>
        <v>47664.815606586286</v>
      </c>
      <c r="E1169" s="56">
        <f>E1125</f>
        <v>0.03</v>
      </c>
      <c r="F1169" s="53">
        <f>E1169*D1169</f>
        <v>1429.9444681975885</v>
      </c>
    </row>
    <row r="1170" spans="1:6" ht="18" customHeight="1">
      <c r="A1170" s="7"/>
      <c r="B1170" s="52" t="s">
        <v>44</v>
      </c>
      <c r="C1170" s="7"/>
      <c r="D1170" s="7"/>
      <c r="E1170" s="7"/>
      <c r="F1170" s="53">
        <f>SUM(F1168:F1169)</f>
        <v>49094.760074783873</v>
      </c>
    </row>
    <row r="1171" spans="1:6" ht="20.25" customHeight="1">
      <c r="A1171" s="461" t="s">
        <v>813</v>
      </c>
      <c r="B1171" s="461"/>
      <c r="C1171" s="461"/>
      <c r="D1171" s="461"/>
      <c r="E1171" s="461"/>
      <c r="F1171" s="461"/>
    </row>
    <row r="1172" spans="1:6" ht="18" customHeight="1">
      <c r="A1172" s="462" t="s">
        <v>925</v>
      </c>
      <c r="B1172" s="462"/>
      <c r="C1172" s="462"/>
      <c r="D1172" s="462"/>
      <c r="E1172" s="462"/>
      <c r="F1172" s="462"/>
    </row>
    <row r="1173" spans="1:6" ht="18" customHeight="1">
      <c r="A1173" s="47" t="s">
        <v>815</v>
      </c>
      <c r="B1173" s="49">
        <v>4125</v>
      </c>
      <c r="D1173" s="46"/>
      <c r="E1173" s="47" t="s">
        <v>169</v>
      </c>
      <c r="F1173" s="49" t="s">
        <v>869</v>
      </c>
    </row>
    <row r="1174" spans="1:6" ht="18" customHeight="1">
      <c r="A1174" s="50" t="s">
        <v>817</v>
      </c>
      <c r="B1174" s="458"/>
      <c r="C1174" s="459"/>
      <c r="D1174" s="459"/>
      <c r="E1174" s="459"/>
      <c r="F1174" s="460"/>
    </row>
    <row r="1175" spans="1:6" ht="18" customHeight="1">
      <c r="A1175" s="7" t="s">
        <v>1</v>
      </c>
      <c r="B1175" s="52" t="s">
        <v>344</v>
      </c>
      <c r="C1175" s="7" t="s">
        <v>818</v>
      </c>
      <c r="D1175" s="7" t="s">
        <v>819</v>
      </c>
      <c r="E1175" s="7" t="s">
        <v>820</v>
      </c>
      <c r="F1175" s="7" t="s">
        <v>821</v>
      </c>
    </row>
    <row r="1176" spans="1:6" ht="18" customHeight="1">
      <c r="A1176" s="7">
        <v>1</v>
      </c>
      <c r="B1176" s="52" t="s">
        <v>822</v>
      </c>
      <c r="C1176" s="7"/>
      <c r="D1176" s="7"/>
      <c r="E1176" s="7"/>
      <c r="F1176" s="53">
        <f>F1177+F1198+F1199</f>
        <v>34781.363615012298</v>
      </c>
    </row>
    <row r="1177" spans="1:6" ht="18" customHeight="1">
      <c r="A1177" s="7">
        <v>1.1000000000000001</v>
      </c>
      <c r="B1177" s="52" t="s">
        <v>823</v>
      </c>
      <c r="C1177" s="7"/>
      <c r="D1177" s="7"/>
      <c r="E1177" s="7"/>
      <c r="F1177" s="53">
        <f>F1178+F1181+F1190+F1195+F1196+F1197</f>
        <v>33188.324060126237</v>
      </c>
    </row>
    <row r="1178" spans="1:6" ht="18" customHeight="1">
      <c r="A1178" s="7" t="s">
        <v>47</v>
      </c>
      <c r="B1178" s="52" t="s">
        <v>176</v>
      </c>
      <c r="C1178" s="7"/>
      <c r="D1178" s="7"/>
      <c r="E1178" s="7"/>
      <c r="F1178" s="53">
        <f>F1179+F1180</f>
        <v>9403.0869999999995</v>
      </c>
    </row>
    <row r="1179" spans="1:6" ht="18" customHeight="1">
      <c r="A1179" s="7"/>
      <c r="B1179" s="52" t="s">
        <v>824</v>
      </c>
      <c r="C1179" s="7" t="s">
        <v>825</v>
      </c>
      <c r="D1179" s="7">
        <v>8.1</v>
      </c>
      <c r="E1179" s="7">
        <v>889.4</v>
      </c>
      <c r="F1179" s="53">
        <f>D1179*E1179</f>
        <v>7204.14</v>
      </c>
    </row>
    <row r="1180" spans="1:6" ht="18" customHeight="1">
      <c r="A1180" s="7"/>
      <c r="B1180" s="52" t="s">
        <v>826</v>
      </c>
      <c r="C1180" s="7" t="s">
        <v>825</v>
      </c>
      <c r="D1180" s="7">
        <v>5.77</v>
      </c>
      <c r="E1180" s="7">
        <v>381.1</v>
      </c>
      <c r="F1180" s="53">
        <f>D1180*E1180</f>
        <v>2198.9470000000001</v>
      </c>
    </row>
    <row r="1181" spans="1:6" ht="18" customHeight="1">
      <c r="A1181" s="7" t="s">
        <v>57</v>
      </c>
      <c r="B1181" s="52" t="s">
        <v>177</v>
      </c>
      <c r="C1181" s="7"/>
      <c r="D1181" s="7"/>
      <c r="E1181" s="7"/>
      <c r="F1181" s="53">
        <f>SUM(F1182:F1189)</f>
        <v>21843.793368870003</v>
      </c>
    </row>
    <row r="1182" spans="1:6" ht="18" customHeight="1">
      <c r="A1182" s="7"/>
      <c r="B1182" s="52" t="s">
        <v>870</v>
      </c>
      <c r="C1182" s="7" t="s">
        <v>871</v>
      </c>
      <c r="D1182" s="7">
        <f>材料预算价格表!L8</f>
        <v>1874.0778</v>
      </c>
      <c r="E1182" s="7">
        <v>0.4</v>
      </c>
      <c r="F1182" s="53">
        <f t="shared" ref="F1182:F1188" si="96">D1182*E1182</f>
        <v>749.63112000000001</v>
      </c>
    </row>
    <row r="1183" spans="1:6" ht="18" customHeight="1">
      <c r="A1183" s="7"/>
      <c r="B1183" s="52" t="s">
        <v>375</v>
      </c>
      <c r="C1183" s="7" t="s">
        <v>844</v>
      </c>
      <c r="D1183" s="7">
        <f>次要材料汇总!$F$9</f>
        <v>6</v>
      </c>
      <c r="E1183" s="7">
        <v>26.6</v>
      </c>
      <c r="F1183" s="53">
        <f t="shared" si="96"/>
        <v>159.60000000000002</v>
      </c>
    </row>
    <row r="1184" spans="1:6" ht="18" customHeight="1">
      <c r="A1184" s="7"/>
      <c r="B1184" s="52" t="s">
        <v>873</v>
      </c>
      <c r="C1184" s="7" t="s">
        <v>844</v>
      </c>
      <c r="D1184" s="7">
        <f>次要材料汇总!$F$10</f>
        <v>5.5</v>
      </c>
      <c r="E1184" s="7">
        <v>48.3</v>
      </c>
      <c r="F1184" s="53">
        <f t="shared" si="96"/>
        <v>265.64999999999998</v>
      </c>
    </row>
    <row r="1185" spans="1:6" ht="18" customHeight="1">
      <c r="A1185" s="7"/>
      <c r="B1185" s="52" t="s">
        <v>874</v>
      </c>
      <c r="C1185" s="7" t="s">
        <v>844</v>
      </c>
      <c r="D1185" s="7">
        <f>次要材料汇总!$F$11</f>
        <v>6.5</v>
      </c>
      <c r="E1185" s="7">
        <v>59.2</v>
      </c>
      <c r="F1185" s="53">
        <f t="shared" si="96"/>
        <v>384.8</v>
      </c>
    </row>
    <row r="1186" spans="1:6" ht="18" customHeight="1">
      <c r="A1186" s="7"/>
      <c r="B1186" s="52" t="s">
        <v>875</v>
      </c>
      <c r="C1186" s="7" t="s">
        <v>844</v>
      </c>
      <c r="D1186" s="7">
        <f>次要材料汇总!$F$5</f>
        <v>8</v>
      </c>
      <c r="E1186" s="7">
        <v>100</v>
      </c>
      <c r="F1186" s="53">
        <f t="shared" si="96"/>
        <v>800</v>
      </c>
    </row>
    <row r="1187" spans="1:6" ht="18" customHeight="1">
      <c r="A1187" s="7"/>
      <c r="B1187" s="52" t="s">
        <v>877</v>
      </c>
      <c r="C1187" s="7" t="s">
        <v>871</v>
      </c>
      <c r="D1187" s="66">
        <f>砼配合!J8</f>
        <v>183.29938899999999</v>
      </c>
      <c r="E1187" s="7">
        <v>103</v>
      </c>
      <c r="F1187" s="53">
        <f t="shared" si="96"/>
        <v>18879.837067</v>
      </c>
    </row>
    <row r="1188" spans="1:6" ht="18" customHeight="1">
      <c r="A1188" s="7"/>
      <c r="B1188" s="52" t="s">
        <v>806</v>
      </c>
      <c r="C1188" s="7" t="s">
        <v>871</v>
      </c>
      <c r="D1188" s="7">
        <f>材料预算价格表!K15</f>
        <v>3.88</v>
      </c>
      <c r="E1188" s="7">
        <v>100</v>
      </c>
      <c r="F1188" s="53">
        <f t="shared" si="96"/>
        <v>388</v>
      </c>
    </row>
    <row r="1189" spans="1:6" ht="18" customHeight="1">
      <c r="A1189" s="7"/>
      <c r="B1189" s="52" t="s">
        <v>833</v>
      </c>
      <c r="C1189" s="7" t="s">
        <v>834</v>
      </c>
      <c r="D1189" s="66">
        <f>SUM(F1182:F1188)</f>
        <v>21627.518187000001</v>
      </c>
      <c r="E1189" s="7">
        <v>1</v>
      </c>
      <c r="F1189" s="53">
        <f>D1189*E1189/100</f>
        <v>216.27518187000001</v>
      </c>
    </row>
    <row r="1190" spans="1:6" ht="18" customHeight="1">
      <c r="A1190" s="7" t="s">
        <v>835</v>
      </c>
      <c r="B1190" s="52" t="s">
        <v>836</v>
      </c>
      <c r="C1190" s="7"/>
      <c r="D1190" s="7"/>
      <c r="E1190" s="7"/>
      <c r="F1190" s="53">
        <f>SUM(F1191:F1194)</f>
        <v>816.23295061261274</v>
      </c>
    </row>
    <row r="1191" spans="1:6" ht="18" customHeight="1">
      <c r="A1191" s="7"/>
      <c r="B1191" s="52" t="s">
        <v>882</v>
      </c>
      <c r="C1191" s="7" t="s">
        <v>863</v>
      </c>
      <c r="D1191" s="66">
        <f>施工机械台时汇总!$C$21</f>
        <v>28.129680376028197</v>
      </c>
      <c r="E1191" s="7">
        <v>18.54</v>
      </c>
      <c r="F1191" s="53">
        <f>D1191*E1191</f>
        <v>521.52427417156275</v>
      </c>
    </row>
    <row r="1192" spans="1:6" ht="18" customHeight="1">
      <c r="A1192" s="7"/>
      <c r="B1192" s="52" t="s">
        <v>883</v>
      </c>
      <c r="C1192" s="7" t="s">
        <v>863</v>
      </c>
      <c r="D1192" s="66">
        <f>施工机械台时汇总!$C$24</f>
        <v>2.2013599686643204</v>
      </c>
      <c r="E1192" s="7">
        <v>37.200000000000003</v>
      </c>
      <c r="F1192" s="53">
        <f>D1192*E1192</f>
        <v>81.890590834312718</v>
      </c>
    </row>
    <row r="1193" spans="1:6" ht="18" customHeight="1">
      <c r="A1193" s="7"/>
      <c r="B1193" s="52" t="s">
        <v>407</v>
      </c>
      <c r="C1193" s="7" t="s">
        <v>863</v>
      </c>
      <c r="D1193" s="7">
        <f>施工机械台时汇总!$C$19</f>
        <v>0.80266353309831595</v>
      </c>
      <c r="E1193" s="7">
        <v>132.5</v>
      </c>
      <c r="F1193" s="53">
        <f>D1193*E1193</f>
        <v>106.35291813552686</v>
      </c>
    </row>
    <row r="1194" spans="1:6" ht="18" customHeight="1">
      <c r="A1194" s="7"/>
      <c r="B1194" s="52" t="s">
        <v>840</v>
      </c>
      <c r="C1194" s="7" t="s">
        <v>834</v>
      </c>
      <c r="D1194" s="66">
        <f>SUM(F1191:F1193)</f>
        <v>709.76778314140233</v>
      </c>
      <c r="E1194" s="7">
        <v>15</v>
      </c>
      <c r="F1194" s="53">
        <f>D1194*E1194/100</f>
        <v>106.46516747121035</v>
      </c>
    </row>
    <row r="1195" spans="1:6" ht="18" customHeight="1">
      <c r="A1195" s="7" t="s">
        <v>884</v>
      </c>
      <c r="B1195" s="52" t="s">
        <v>885</v>
      </c>
      <c r="C1195" s="7" t="s">
        <v>871</v>
      </c>
      <c r="D1195" s="66">
        <f>砼配合!J52/100</f>
        <v>5.0269138732471603</v>
      </c>
      <c r="E1195" s="7">
        <v>103</v>
      </c>
      <c r="F1195" s="53">
        <f>D1195*E1195</f>
        <v>517.77212894445756</v>
      </c>
    </row>
    <row r="1196" spans="1:6" ht="18" customHeight="1">
      <c r="A1196" s="7" t="s">
        <v>886</v>
      </c>
      <c r="B1196" s="52" t="s">
        <v>887</v>
      </c>
      <c r="C1196" s="7" t="s">
        <v>871</v>
      </c>
      <c r="D1196" s="66">
        <f>砼配合!J65/100</f>
        <v>5.8974622495064617</v>
      </c>
      <c r="E1196" s="7">
        <v>103</v>
      </c>
      <c r="F1196" s="53">
        <f>D1196*E1196</f>
        <v>607.43861169916556</v>
      </c>
    </row>
    <row r="1197" spans="1:6" ht="18" customHeight="1">
      <c r="A1197" s="7"/>
      <c r="B1197" s="52"/>
      <c r="C1197" s="7"/>
      <c r="D1197" s="7"/>
      <c r="E1197" s="7"/>
      <c r="F1197" s="53"/>
    </row>
    <row r="1198" spans="1:6" ht="18" customHeight="1">
      <c r="A1198" s="7">
        <v>1.2</v>
      </c>
      <c r="B1198" s="52" t="s">
        <v>841</v>
      </c>
      <c r="C1198" s="7"/>
      <c r="D1198" s="53">
        <f>F1177</f>
        <v>33188.324060126237</v>
      </c>
      <c r="E1198" s="56">
        <f>E1112</f>
        <v>4.8000000000000001E-2</v>
      </c>
      <c r="F1198" s="53">
        <f>D1198*E1198</f>
        <v>1593.0395548860595</v>
      </c>
    </row>
    <row r="1199" spans="1:6" ht="18" customHeight="1">
      <c r="A1199" s="7">
        <v>1.3</v>
      </c>
      <c r="B1199" s="52" t="s">
        <v>842</v>
      </c>
      <c r="C1199" s="7"/>
      <c r="D1199" s="53">
        <f>F1177</f>
        <v>33188.324060126237</v>
      </c>
      <c r="E1199" s="56">
        <f>E1113</f>
        <v>0</v>
      </c>
      <c r="F1199" s="53">
        <f>D1199*E1199</f>
        <v>0</v>
      </c>
    </row>
    <row r="1200" spans="1:6" ht="18" customHeight="1">
      <c r="A1200" s="7">
        <v>2</v>
      </c>
      <c r="B1200" s="52" t="s">
        <v>182</v>
      </c>
      <c r="C1200" s="7"/>
      <c r="D1200" s="53">
        <f>F1176</f>
        <v>34781.363615012298</v>
      </c>
      <c r="E1200" s="56">
        <f>E1114</f>
        <v>7.0000000000000007E-2</v>
      </c>
      <c r="F1200" s="53">
        <f>D1200*E1200</f>
        <v>2434.695453050861</v>
      </c>
    </row>
    <row r="1201" spans="1:6" ht="18" customHeight="1">
      <c r="A1201" s="7">
        <v>3</v>
      </c>
      <c r="B1201" s="52" t="s">
        <v>843</v>
      </c>
      <c r="C1201" s="7"/>
      <c r="D1201" s="53">
        <f>F1200+F1176</f>
        <v>37216.059068063158</v>
      </c>
      <c r="E1201" s="56">
        <f>E1115</f>
        <v>7.0000000000000007E-2</v>
      </c>
      <c r="F1201" s="53">
        <f>D1201*E1201</f>
        <v>2605.1241347644213</v>
      </c>
    </row>
    <row r="1202" spans="1:6" ht="18" customHeight="1">
      <c r="A1202" s="7">
        <v>4</v>
      </c>
      <c r="B1202" s="52" t="s">
        <v>184</v>
      </c>
      <c r="C1202" s="7"/>
      <c r="D1202" s="7"/>
      <c r="E1202" s="7"/>
      <c r="F1202" s="53">
        <f>SUM(F1203:F1208)</f>
        <v>4873.5202215837126</v>
      </c>
    </row>
    <row r="1203" spans="1:6" ht="18" customHeight="1">
      <c r="A1203" s="7"/>
      <c r="B1203" s="52" t="s">
        <v>354</v>
      </c>
      <c r="C1203" s="7" t="s">
        <v>88</v>
      </c>
      <c r="D1203" s="7">
        <f>A2</f>
        <v>116.41515</v>
      </c>
      <c r="E1203" s="66">
        <f>E1187*砼配合!I9</f>
        <v>35.035758999999999</v>
      </c>
      <c r="F1203" s="53">
        <f t="shared" ref="F1203:F1209" si="97">D1203*E1203</f>
        <v>4078.6931393488499</v>
      </c>
    </row>
    <row r="1204" spans="1:6" ht="18" customHeight="1">
      <c r="A1204" s="7"/>
      <c r="B1204" s="52" t="s">
        <v>507</v>
      </c>
      <c r="C1204" s="7" t="s">
        <v>871</v>
      </c>
      <c r="D1204" s="66">
        <f>D2</f>
        <v>4.6598683999999899</v>
      </c>
      <c r="E1204" s="66">
        <f>E1187*砼配合!I10</f>
        <v>54.406660000000002</v>
      </c>
      <c r="F1204" s="53">
        <f t="shared" si="97"/>
        <v>253.52787568354347</v>
      </c>
    </row>
    <row r="1205" spans="1:6" ht="18" customHeight="1">
      <c r="A1205" s="7"/>
      <c r="B1205" s="52" t="s">
        <v>509</v>
      </c>
      <c r="C1205" s="7" t="s">
        <v>871</v>
      </c>
      <c r="D1205" s="66">
        <f>E2</f>
        <v>6.2457299999999902</v>
      </c>
      <c r="E1205" s="66">
        <f>E1187*砼配合!I11</f>
        <v>86.667083999999988</v>
      </c>
      <c r="F1205" s="53">
        <f t="shared" si="97"/>
        <v>541.29920655131912</v>
      </c>
    </row>
    <row r="1206" spans="1:6" ht="18" customHeight="1">
      <c r="A1206" s="7"/>
      <c r="B1206" s="52" t="s">
        <v>506</v>
      </c>
      <c r="C1206" s="7" t="s">
        <v>871</v>
      </c>
      <c r="D1206" s="7">
        <f>C2</f>
        <v>0</v>
      </c>
      <c r="E1206" s="7">
        <f>E1182</f>
        <v>0.4</v>
      </c>
      <c r="F1206" s="53">
        <f t="shared" si="97"/>
        <v>0</v>
      </c>
    </row>
    <row r="1207" spans="1:6" ht="18" customHeight="1">
      <c r="A1207" s="7"/>
      <c r="B1207" s="52" t="s">
        <v>515</v>
      </c>
      <c r="C1207" s="7" t="s">
        <v>844</v>
      </c>
      <c r="D1207" s="7">
        <f>G2</f>
        <v>4.7450000000000001</v>
      </c>
      <c r="E1207" s="7"/>
      <c r="F1207" s="53">
        <f t="shared" si="97"/>
        <v>0</v>
      </c>
    </row>
    <row r="1208" spans="1:6" ht="18" customHeight="1">
      <c r="A1208" s="7"/>
      <c r="B1208" s="52" t="s">
        <v>516</v>
      </c>
      <c r="C1208" s="7" t="s">
        <v>844</v>
      </c>
      <c r="D1208" s="7">
        <f>H2</f>
        <v>3.51</v>
      </c>
      <c r="E1208" s="7"/>
      <c r="F1208" s="53">
        <f t="shared" si="97"/>
        <v>0</v>
      </c>
    </row>
    <row r="1209" spans="1:6" ht="18" customHeight="1">
      <c r="A1209" s="7">
        <v>5</v>
      </c>
      <c r="B1209" s="52" t="s">
        <v>845</v>
      </c>
      <c r="C1209" s="7"/>
      <c r="D1209" s="53">
        <f>F1176+F1200+F1201+F1202</f>
        <v>44694.703424411295</v>
      </c>
      <c r="E1209" s="56">
        <f>E1123</f>
        <v>0.09</v>
      </c>
      <c r="F1209" s="53">
        <f t="shared" si="97"/>
        <v>4022.5233081970164</v>
      </c>
    </row>
    <row r="1210" spans="1:6" ht="18" customHeight="1">
      <c r="A1210" s="7">
        <v>6</v>
      </c>
      <c r="B1210" s="52" t="s">
        <v>7</v>
      </c>
      <c r="C1210" s="52"/>
      <c r="D1210" s="7"/>
      <c r="E1210" s="7"/>
      <c r="F1210" s="53">
        <f>D1209+F1209</f>
        <v>48717.226732608309</v>
      </c>
    </row>
    <row r="1211" spans="1:6" ht="18" customHeight="1">
      <c r="A1211" s="7"/>
      <c r="B1211" s="52" t="s">
        <v>846</v>
      </c>
      <c r="C1211" s="52"/>
      <c r="D1211" s="53">
        <f>F1210</f>
        <v>48717.226732608309</v>
      </c>
      <c r="E1211" s="56">
        <f>E1125</f>
        <v>0.03</v>
      </c>
      <c r="F1211" s="53">
        <f>E1211*D1211</f>
        <v>1461.5168019782493</v>
      </c>
    </row>
    <row r="1212" spans="1:6" ht="18" customHeight="1">
      <c r="A1212" s="7"/>
      <c r="B1212" s="52" t="s">
        <v>44</v>
      </c>
      <c r="C1212" s="52"/>
      <c r="D1212" s="7"/>
      <c r="E1212" s="7"/>
      <c r="F1212" s="53">
        <f>SUM(F1210:F1211)</f>
        <v>50178.74353458656</v>
      </c>
    </row>
    <row r="1213" spans="1:6" ht="20.25" customHeight="1">
      <c r="A1213" s="461" t="s">
        <v>813</v>
      </c>
      <c r="B1213" s="461"/>
      <c r="C1213" s="461"/>
      <c r="D1213" s="461"/>
      <c r="E1213" s="461"/>
      <c r="F1213" s="461"/>
    </row>
    <row r="1214" spans="1:6" ht="18" customHeight="1">
      <c r="A1214" s="462" t="s">
        <v>926</v>
      </c>
      <c r="B1214" s="462"/>
      <c r="C1214" s="462"/>
      <c r="D1214" s="462"/>
      <c r="E1214" s="462"/>
      <c r="F1214" s="462"/>
    </row>
    <row r="1215" spans="1:6" ht="18" customHeight="1">
      <c r="A1215" s="47" t="s">
        <v>815</v>
      </c>
      <c r="B1215" s="49">
        <v>4128</v>
      </c>
      <c r="D1215" s="46"/>
      <c r="E1215" s="47" t="s">
        <v>169</v>
      </c>
      <c r="F1215" s="49" t="s">
        <v>869</v>
      </c>
    </row>
    <row r="1216" spans="1:6" ht="18" customHeight="1">
      <c r="A1216" s="50" t="s">
        <v>817</v>
      </c>
      <c r="B1216" s="458"/>
      <c r="C1216" s="459"/>
      <c r="D1216" s="459"/>
      <c r="E1216" s="459"/>
      <c r="F1216" s="460"/>
    </row>
    <row r="1217" spans="1:6" ht="18" customHeight="1">
      <c r="A1217" s="7" t="s">
        <v>1</v>
      </c>
      <c r="B1217" s="52" t="s">
        <v>344</v>
      </c>
      <c r="C1217" s="7" t="s">
        <v>818</v>
      </c>
      <c r="D1217" s="7" t="s">
        <v>819</v>
      </c>
      <c r="E1217" s="7" t="s">
        <v>820</v>
      </c>
      <c r="F1217" s="7" t="s">
        <v>821</v>
      </c>
    </row>
    <row r="1218" spans="1:6" ht="18" customHeight="1">
      <c r="A1218" s="7">
        <v>1</v>
      </c>
      <c r="B1218" s="52" t="s">
        <v>822</v>
      </c>
      <c r="C1218" s="7"/>
      <c r="D1218" s="7"/>
      <c r="E1218" s="7"/>
      <c r="F1218" s="53">
        <f>F1219+F1240+F1241</f>
        <v>56118.099419423495</v>
      </c>
    </row>
    <row r="1219" spans="1:6" ht="18" customHeight="1">
      <c r="A1219" s="7">
        <v>1.1000000000000001</v>
      </c>
      <c r="B1219" s="52" t="s">
        <v>823</v>
      </c>
      <c r="C1219" s="7"/>
      <c r="D1219" s="7"/>
      <c r="E1219" s="7"/>
      <c r="F1219" s="53">
        <f>F1220+F1223+F1232+F1237+F1238+F1239</f>
        <v>53547.804789526235</v>
      </c>
    </row>
    <row r="1220" spans="1:6" ht="18" customHeight="1">
      <c r="A1220" s="7" t="s">
        <v>47</v>
      </c>
      <c r="B1220" s="52" t="s">
        <v>176</v>
      </c>
      <c r="C1220" s="7"/>
      <c r="D1220" s="7"/>
      <c r="E1220" s="7"/>
      <c r="F1220" s="53">
        <f>F1221+F1222</f>
        <v>22178.6</v>
      </c>
    </row>
    <row r="1221" spans="1:6" ht="18" customHeight="1">
      <c r="A1221" s="7"/>
      <c r="B1221" s="52" t="s">
        <v>824</v>
      </c>
      <c r="C1221" s="7" t="s">
        <v>825</v>
      </c>
      <c r="D1221" s="7">
        <v>8.1</v>
      </c>
      <c r="E1221" s="7">
        <v>2097.6999999999998</v>
      </c>
      <c r="F1221" s="53">
        <f>D1221*E1221</f>
        <v>16991.37</v>
      </c>
    </row>
    <row r="1222" spans="1:6" ht="18" customHeight="1">
      <c r="A1222" s="7"/>
      <c r="B1222" s="52" t="s">
        <v>826</v>
      </c>
      <c r="C1222" s="7" t="s">
        <v>825</v>
      </c>
      <c r="D1222" s="7">
        <v>5.77</v>
      </c>
      <c r="E1222" s="7">
        <v>899</v>
      </c>
      <c r="F1222" s="53">
        <f>D1222*E1222</f>
        <v>5187.2299999999996</v>
      </c>
    </row>
    <row r="1223" spans="1:6" ht="18" customHeight="1">
      <c r="A1223" s="7" t="s">
        <v>57</v>
      </c>
      <c r="B1223" s="52" t="s">
        <v>177</v>
      </c>
      <c r="C1223" s="7"/>
      <c r="D1223" s="7"/>
      <c r="E1223" s="7"/>
      <c r="F1223" s="53">
        <f>SUM(F1224:F1231)</f>
        <v>29427.761098269999</v>
      </c>
    </row>
    <row r="1224" spans="1:6" ht="18" customHeight="1">
      <c r="A1224" s="7"/>
      <c r="B1224" s="52" t="s">
        <v>870</v>
      </c>
      <c r="C1224" s="7" t="s">
        <v>871</v>
      </c>
      <c r="D1224" s="7">
        <f>材料预算价格表!L8</f>
        <v>1874.0778</v>
      </c>
      <c r="E1224" s="7">
        <v>2.7</v>
      </c>
      <c r="F1224" s="53">
        <f t="shared" ref="F1224:F1230" si="98">D1224*E1224</f>
        <v>5060.0100600000005</v>
      </c>
    </row>
    <row r="1225" spans="1:6" ht="18" customHeight="1">
      <c r="A1225" s="7"/>
      <c r="B1225" s="52" t="s">
        <v>375</v>
      </c>
      <c r="C1225" s="7" t="s">
        <v>844</v>
      </c>
      <c r="D1225" s="7">
        <f>次要材料汇总!$F$9</f>
        <v>6</v>
      </c>
      <c r="E1225" s="7">
        <v>126.4</v>
      </c>
      <c r="F1225" s="53">
        <f t="shared" si="98"/>
        <v>758.40000000000009</v>
      </c>
    </row>
    <row r="1226" spans="1:6" ht="18" customHeight="1">
      <c r="A1226" s="7"/>
      <c r="B1226" s="52" t="s">
        <v>873</v>
      </c>
      <c r="C1226" s="7" t="s">
        <v>844</v>
      </c>
      <c r="D1226" s="7">
        <f>次要材料汇总!$F$10</f>
        <v>5.5</v>
      </c>
      <c r="E1226" s="7">
        <v>229.4</v>
      </c>
      <c r="F1226" s="53">
        <f t="shared" si="98"/>
        <v>1261.7</v>
      </c>
    </row>
    <row r="1227" spans="1:6" ht="18" customHeight="1">
      <c r="A1227" s="7"/>
      <c r="B1227" s="52" t="s">
        <v>874</v>
      </c>
      <c r="C1227" s="7" t="s">
        <v>844</v>
      </c>
      <c r="D1227" s="7">
        <f>次要材料汇总!$F$11</f>
        <v>6.5</v>
      </c>
      <c r="E1227" s="7">
        <v>281.3</v>
      </c>
      <c r="F1227" s="53">
        <f t="shared" si="98"/>
        <v>1828.45</v>
      </c>
    </row>
    <row r="1228" spans="1:6" ht="18" customHeight="1">
      <c r="A1228" s="7"/>
      <c r="B1228" s="52" t="s">
        <v>875</v>
      </c>
      <c r="C1228" s="7" t="s">
        <v>844</v>
      </c>
      <c r="D1228" s="7">
        <f>次要材料汇总!$F$5</f>
        <v>8</v>
      </c>
      <c r="E1228" s="7">
        <v>120</v>
      </c>
      <c r="F1228" s="53">
        <f t="shared" si="98"/>
        <v>960</v>
      </c>
    </row>
    <row r="1229" spans="1:6" ht="18" customHeight="1">
      <c r="A1229" s="7"/>
      <c r="B1229" s="52" t="s">
        <v>877</v>
      </c>
      <c r="C1229" s="7" t="s">
        <v>871</v>
      </c>
      <c r="D1229" s="66">
        <f>砼配合!J8</f>
        <v>183.29938899999999</v>
      </c>
      <c r="E1229" s="7">
        <v>103</v>
      </c>
      <c r="F1229" s="53">
        <f t="shared" si="98"/>
        <v>18879.837067</v>
      </c>
    </row>
    <row r="1230" spans="1:6" ht="18" customHeight="1">
      <c r="A1230" s="7"/>
      <c r="B1230" s="52" t="s">
        <v>806</v>
      </c>
      <c r="C1230" s="7" t="s">
        <v>871</v>
      </c>
      <c r="D1230" s="7">
        <f>材料预算价格表!K15</f>
        <v>3.88</v>
      </c>
      <c r="E1230" s="7">
        <v>100</v>
      </c>
      <c r="F1230" s="53">
        <f t="shared" si="98"/>
        <v>388</v>
      </c>
    </row>
    <row r="1231" spans="1:6" ht="18" customHeight="1">
      <c r="A1231" s="7"/>
      <c r="B1231" s="52" t="s">
        <v>833</v>
      </c>
      <c r="C1231" s="7" t="s">
        <v>834</v>
      </c>
      <c r="D1231" s="66">
        <f>SUM(F1224:F1230)</f>
        <v>29136.397127</v>
      </c>
      <c r="E1231" s="7">
        <v>1</v>
      </c>
      <c r="F1231" s="53">
        <f>D1231*E1231/100</f>
        <v>291.36397126999998</v>
      </c>
    </row>
    <row r="1232" spans="1:6" ht="18" customHeight="1">
      <c r="A1232" s="7" t="s">
        <v>835</v>
      </c>
      <c r="B1232" s="52" t="s">
        <v>836</v>
      </c>
      <c r="C1232" s="7"/>
      <c r="D1232" s="7"/>
      <c r="E1232" s="7"/>
      <c r="F1232" s="53">
        <f>SUM(F1233:F1236)</f>
        <v>816.23295061261274</v>
      </c>
    </row>
    <row r="1233" spans="1:6" ht="18" customHeight="1">
      <c r="A1233" s="7"/>
      <c r="B1233" s="52" t="s">
        <v>882</v>
      </c>
      <c r="C1233" s="7" t="s">
        <v>863</v>
      </c>
      <c r="D1233" s="66">
        <f>施工机械台时汇总!$C$21</f>
        <v>28.129680376028197</v>
      </c>
      <c r="E1233" s="7">
        <v>18.54</v>
      </c>
      <c r="F1233" s="53">
        <f>D1233*E1233</f>
        <v>521.52427417156275</v>
      </c>
    </row>
    <row r="1234" spans="1:6" ht="18" customHeight="1">
      <c r="A1234" s="7"/>
      <c r="B1234" s="52" t="s">
        <v>883</v>
      </c>
      <c r="C1234" s="7" t="s">
        <v>863</v>
      </c>
      <c r="D1234" s="66">
        <f>施工机械台时汇总!$C$24</f>
        <v>2.2013599686643204</v>
      </c>
      <c r="E1234" s="7">
        <v>37.200000000000003</v>
      </c>
      <c r="F1234" s="53">
        <f>D1234*E1234</f>
        <v>81.890590834312718</v>
      </c>
    </row>
    <row r="1235" spans="1:6" ht="18" customHeight="1">
      <c r="A1235" s="7"/>
      <c r="B1235" s="52" t="s">
        <v>407</v>
      </c>
      <c r="C1235" s="7" t="s">
        <v>863</v>
      </c>
      <c r="D1235" s="7">
        <f>施工机械台时汇总!$C$19</f>
        <v>0.80266353309831595</v>
      </c>
      <c r="E1235" s="7">
        <v>132.5</v>
      </c>
      <c r="F1235" s="53">
        <f>D1235*E1235</f>
        <v>106.35291813552686</v>
      </c>
    </row>
    <row r="1236" spans="1:6" ht="18" customHeight="1">
      <c r="A1236" s="7"/>
      <c r="B1236" s="52" t="s">
        <v>840</v>
      </c>
      <c r="C1236" s="7" t="s">
        <v>834</v>
      </c>
      <c r="D1236" s="66">
        <f>SUM(F1233:F1235)</f>
        <v>709.76778314140233</v>
      </c>
      <c r="E1236" s="7">
        <v>15</v>
      </c>
      <c r="F1236" s="53">
        <f>D1236*E1236/100</f>
        <v>106.46516747121035</v>
      </c>
    </row>
    <row r="1237" spans="1:6" ht="18" customHeight="1">
      <c r="A1237" s="7" t="s">
        <v>884</v>
      </c>
      <c r="B1237" s="52" t="s">
        <v>885</v>
      </c>
      <c r="C1237" s="7" t="s">
        <v>871</v>
      </c>
      <c r="D1237" s="66">
        <f>砼配合!J52/100</f>
        <v>5.0269138732471603</v>
      </c>
      <c r="E1237" s="7">
        <v>103</v>
      </c>
      <c r="F1237" s="53">
        <f>D1237*E1237</f>
        <v>517.77212894445756</v>
      </c>
    </row>
    <row r="1238" spans="1:6" ht="18" customHeight="1">
      <c r="A1238" s="7" t="s">
        <v>886</v>
      </c>
      <c r="B1238" s="52" t="s">
        <v>887</v>
      </c>
      <c r="C1238" s="7" t="s">
        <v>871</v>
      </c>
      <c r="D1238" s="66">
        <f>砼配合!J65/100</f>
        <v>5.8974622495064617</v>
      </c>
      <c r="E1238" s="7">
        <v>103</v>
      </c>
      <c r="F1238" s="53">
        <f>D1238*E1238</f>
        <v>607.43861169916556</v>
      </c>
    </row>
    <row r="1239" spans="1:6" ht="18" customHeight="1">
      <c r="A1239" s="7"/>
      <c r="B1239" s="52"/>
      <c r="C1239" s="7"/>
      <c r="D1239" s="7"/>
      <c r="E1239" s="7"/>
      <c r="F1239" s="53"/>
    </row>
    <row r="1240" spans="1:6" ht="18" customHeight="1">
      <c r="A1240" s="7">
        <v>1.2</v>
      </c>
      <c r="B1240" s="52" t="s">
        <v>841</v>
      </c>
      <c r="C1240" s="7"/>
      <c r="D1240" s="53">
        <f>F1219</f>
        <v>53547.804789526235</v>
      </c>
      <c r="E1240" s="56">
        <f>E1198</f>
        <v>4.8000000000000001E-2</v>
      </c>
      <c r="F1240" s="53">
        <f>D1240*E1240</f>
        <v>2570.2946298972593</v>
      </c>
    </row>
    <row r="1241" spans="1:6" ht="18" customHeight="1">
      <c r="A1241" s="7">
        <v>1.3</v>
      </c>
      <c r="B1241" s="52" t="s">
        <v>842</v>
      </c>
      <c r="C1241" s="7"/>
      <c r="D1241" s="53">
        <f>F1219</f>
        <v>53547.804789526235</v>
      </c>
      <c r="E1241" s="56">
        <f>E1199</f>
        <v>0</v>
      </c>
      <c r="F1241" s="53">
        <f>D1241*E1241</f>
        <v>0</v>
      </c>
    </row>
    <row r="1242" spans="1:6" ht="18" customHeight="1">
      <c r="A1242" s="7">
        <v>2</v>
      </c>
      <c r="B1242" s="52" t="s">
        <v>182</v>
      </c>
      <c r="C1242" s="7"/>
      <c r="D1242" s="53">
        <f>F1218</f>
        <v>56118.099419423495</v>
      </c>
      <c r="E1242" s="56">
        <f>E1200</f>
        <v>7.0000000000000007E-2</v>
      </c>
      <c r="F1242" s="53">
        <f>D1242*E1242</f>
        <v>3928.2669593596452</v>
      </c>
    </row>
    <row r="1243" spans="1:6" ht="18" customHeight="1">
      <c r="A1243" s="7">
        <v>3</v>
      </c>
      <c r="B1243" s="52" t="s">
        <v>843</v>
      </c>
      <c r="C1243" s="7"/>
      <c r="D1243" s="53">
        <f>F1242+F1218</f>
        <v>60046.366378783139</v>
      </c>
      <c r="E1243" s="56">
        <f>E1201</f>
        <v>7.0000000000000007E-2</v>
      </c>
      <c r="F1243" s="53">
        <f>D1243*E1243</f>
        <v>4203.2456465148198</v>
      </c>
    </row>
    <row r="1244" spans="1:6" ht="18" customHeight="1">
      <c r="A1244" s="7">
        <v>4</v>
      </c>
      <c r="B1244" s="52" t="s">
        <v>184</v>
      </c>
      <c r="C1244" s="7"/>
      <c r="D1244" s="7"/>
      <c r="E1244" s="56"/>
      <c r="F1244" s="53">
        <f>SUM(F1245:F1250)</f>
        <v>4873.5202215837126</v>
      </c>
    </row>
    <row r="1245" spans="1:6" ht="18" customHeight="1">
      <c r="A1245" s="7"/>
      <c r="B1245" s="52" t="s">
        <v>354</v>
      </c>
      <c r="C1245" s="7" t="s">
        <v>88</v>
      </c>
      <c r="D1245" s="7">
        <f>A2</f>
        <v>116.41515</v>
      </c>
      <c r="E1245" s="66">
        <f>E1229*砼配合!I9</f>
        <v>35.035758999999999</v>
      </c>
      <c r="F1245" s="53">
        <f t="shared" ref="F1245:F1251" si="99">D1245*E1245</f>
        <v>4078.6931393488499</v>
      </c>
    </row>
    <row r="1246" spans="1:6" ht="18" customHeight="1">
      <c r="A1246" s="7"/>
      <c r="B1246" s="52" t="s">
        <v>507</v>
      </c>
      <c r="C1246" s="7" t="s">
        <v>871</v>
      </c>
      <c r="D1246" s="66">
        <f>D2</f>
        <v>4.6598683999999899</v>
      </c>
      <c r="E1246" s="66">
        <f>E1229*砼配合!I10</f>
        <v>54.406660000000002</v>
      </c>
      <c r="F1246" s="53">
        <f t="shared" si="99"/>
        <v>253.52787568354347</v>
      </c>
    </row>
    <row r="1247" spans="1:6" ht="18" customHeight="1">
      <c r="A1247" s="7"/>
      <c r="B1247" s="52" t="s">
        <v>509</v>
      </c>
      <c r="C1247" s="7" t="s">
        <v>871</v>
      </c>
      <c r="D1247" s="66">
        <f>E2</f>
        <v>6.2457299999999902</v>
      </c>
      <c r="E1247" s="66">
        <f>E1229*砼配合!I11</f>
        <v>86.667083999999988</v>
      </c>
      <c r="F1247" s="53">
        <f t="shared" si="99"/>
        <v>541.29920655131912</v>
      </c>
    </row>
    <row r="1248" spans="1:6" ht="18" customHeight="1">
      <c r="A1248" s="7"/>
      <c r="B1248" s="52" t="s">
        <v>506</v>
      </c>
      <c r="C1248" s="7" t="s">
        <v>871</v>
      </c>
      <c r="D1248" s="7">
        <f>C2</f>
        <v>0</v>
      </c>
      <c r="E1248" s="7">
        <f>E1224</f>
        <v>2.7</v>
      </c>
      <c r="F1248" s="53">
        <f t="shared" si="99"/>
        <v>0</v>
      </c>
    </row>
    <row r="1249" spans="1:6" ht="18" customHeight="1">
      <c r="A1249" s="7"/>
      <c r="B1249" s="52" t="s">
        <v>515</v>
      </c>
      <c r="C1249" s="7" t="s">
        <v>844</v>
      </c>
      <c r="D1249" s="7">
        <f>G2</f>
        <v>4.7450000000000001</v>
      </c>
      <c r="E1249" s="7"/>
      <c r="F1249" s="53">
        <f t="shared" si="99"/>
        <v>0</v>
      </c>
    </row>
    <row r="1250" spans="1:6" ht="18" customHeight="1">
      <c r="A1250" s="7"/>
      <c r="B1250" s="52" t="s">
        <v>516</v>
      </c>
      <c r="C1250" s="7" t="s">
        <v>844</v>
      </c>
      <c r="D1250" s="7">
        <f>H2</f>
        <v>3.51</v>
      </c>
      <c r="E1250" s="7"/>
      <c r="F1250" s="53">
        <f t="shared" si="99"/>
        <v>0</v>
      </c>
    </row>
    <row r="1251" spans="1:6" ht="18" customHeight="1">
      <c r="A1251" s="7">
        <v>5</v>
      </c>
      <c r="B1251" s="52" t="s">
        <v>845</v>
      </c>
      <c r="C1251" s="7"/>
      <c r="D1251" s="53">
        <f>F1218+F1242+F1243+F1244</f>
        <v>69123.132246881665</v>
      </c>
      <c r="E1251" s="56">
        <f>E1209</f>
        <v>0.09</v>
      </c>
      <c r="F1251" s="53">
        <f t="shared" si="99"/>
        <v>6221.08190221935</v>
      </c>
    </row>
    <row r="1252" spans="1:6" ht="18" customHeight="1">
      <c r="A1252" s="7">
        <v>6</v>
      </c>
      <c r="B1252" s="52" t="s">
        <v>7</v>
      </c>
      <c r="C1252" s="52"/>
      <c r="D1252" s="7"/>
      <c r="E1252" s="7"/>
      <c r="F1252" s="53">
        <f>D1251+F1251</f>
        <v>75344.214149101012</v>
      </c>
    </row>
    <row r="1253" spans="1:6" ht="18" customHeight="1">
      <c r="A1253" s="7"/>
      <c r="B1253" s="52" t="s">
        <v>846</v>
      </c>
      <c r="C1253" s="52"/>
      <c r="D1253" s="53">
        <f>F1252</f>
        <v>75344.214149101012</v>
      </c>
      <c r="E1253" s="56">
        <f>E1211</f>
        <v>0.03</v>
      </c>
      <c r="F1253" s="53">
        <f>E1253*D1253</f>
        <v>2260.3264244730303</v>
      </c>
    </row>
    <row r="1254" spans="1:6" ht="18" customHeight="1">
      <c r="A1254" s="7"/>
      <c r="B1254" s="52" t="s">
        <v>44</v>
      </c>
      <c r="C1254" s="52"/>
      <c r="D1254" s="7"/>
      <c r="E1254" s="7"/>
      <c r="F1254" s="53">
        <f>SUM(F1252:F1253)</f>
        <v>77604.540573574035</v>
      </c>
    </row>
    <row r="1255" spans="1:6" ht="20.25" customHeight="1">
      <c r="A1255" s="461" t="s">
        <v>813</v>
      </c>
      <c r="B1255" s="461"/>
      <c r="C1255" s="461"/>
      <c r="D1255" s="461"/>
      <c r="E1255" s="461"/>
      <c r="F1255" s="461"/>
    </row>
    <row r="1256" spans="1:6" ht="18" customHeight="1">
      <c r="A1256" s="462" t="s">
        <v>927</v>
      </c>
      <c r="B1256" s="462"/>
      <c r="C1256" s="462"/>
      <c r="D1256" s="462"/>
      <c r="E1256" s="462"/>
      <c r="F1256" s="462"/>
    </row>
    <row r="1257" spans="1:6" ht="18" customHeight="1">
      <c r="A1257" s="47" t="s">
        <v>815</v>
      </c>
      <c r="B1257" s="49">
        <v>4130</v>
      </c>
      <c r="D1257" s="46"/>
      <c r="E1257" s="47" t="s">
        <v>169</v>
      </c>
      <c r="F1257" s="49" t="s">
        <v>869</v>
      </c>
    </row>
    <row r="1258" spans="1:6" ht="18" customHeight="1">
      <c r="A1258" s="50" t="s">
        <v>817</v>
      </c>
      <c r="B1258" s="458"/>
      <c r="C1258" s="459"/>
      <c r="D1258" s="459"/>
      <c r="E1258" s="459"/>
      <c r="F1258" s="460"/>
    </row>
    <row r="1259" spans="1:6" ht="18" customHeight="1">
      <c r="A1259" s="7" t="s">
        <v>1</v>
      </c>
      <c r="B1259" s="52" t="s">
        <v>344</v>
      </c>
      <c r="C1259" s="7" t="s">
        <v>818</v>
      </c>
      <c r="D1259" s="7" t="s">
        <v>819</v>
      </c>
      <c r="E1259" s="7" t="s">
        <v>820</v>
      </c>
      <c r="F1259" s="7" t="s">
        <v>821</v>
      </c>
    </row>
    <row r="1260" spans="1:6" ht="18" customHeight="1">
      <c r="A1260" s="7">
        <v>1</v>
      </c>
      <c r="B1260" s="52" t="s">
        <v>822</v>
      </c>
      <c r="C1260" s="7"/>
      <c r="D1260" s="7"/>
      <c r="E1260" s="7"/>
      <c r="F1260" s="53">
        <f>F1261+F1282+F1283</f>
        <v>56220.403987218699</v>
      </c>
    </row>
    <row r="1261" spans="1:6" ht="18" customHeight="1">
      <c r="A1261" s="7">
        <v>1.1000000000000001</v>
      </c>
      <c r="B1261" s="52" t="s">
        <v>823</v>
      </c>
      <c r="C1261" s="7"/>
      <c r="D1261" s="7"/>
      <c r="E1261" s="7"/>
      <c r="F1261" s="53">
        <f>F1262+F1265+F1274+F1279+F1280+F1281</f>
        <v>53645.423651926241</v>
      </c>
    </row>
    <row r="1262" spans="1:6" ht="18" customHeight="1">
      <c r="A1262" s="7" t="s">
        <v>47</v>
      </c>
      <c r="B1262" s="52" t="s">
        <v>176</v>
      </c>
      <c r="C1262" s="7"/>
      <c r="D1262" s="7"/>
      <c r="E1262" s="7"/>
      <c r="F1262" s="53">
        <f>F1263+F1264</f>
        <v>20520.776000000002</v>
      </c>
    </row>
    <row r="1263" spans="1:6" ht="18" customHeight="1">
      <c r="A1263" s="7"/>
      <c r="B1263" s="52" t="s">
        <v>824</v>
      </c>
      <c r="C1263" s="7" t="s">
        <v>825</v>
      </c>
      <c r="D1263" s="7">
        <v>8.1</v>
      </c>
      <c r="E1263" s="7">
        <v>1940.9</v>
      </c>
      <c r="F1263" s="53">
        <f>D1263*E1263</f>
        <v>15721.29</v>
      </c>
    </row>
    <row r="1264" spans="1:6" ht="18" customHeight="1">
      <c r="A1264" s="7"/>
      <c r="B1264" s="52" t="s">
        <v>826</v>
      </c>
      <c r="C1264" s="7" t="s">
        <v>825</v>
      </c>
      <c r="D1264" s="7">
        <v>5.77</v>
      </c>
      <c r="E1264" s="7">
        <v>831.8</v>
      </c>
      <c r="F1264" s="53">
        <f>D1264*E1264</f>
        <v>4799.4859999999999</v>
      </c>
    </row>
    <row r="1265" spans="1:6" ht="18" customHeight="1">
      <c r="A1265" s="7" t="s">
        <v>57</v>
      </c>
      <c r="B1265" s="52" t="s">
        <v>177</v>
      </c>
      <c r="C1265" s="7"/>
      <c r="D1265" s="7"/>
      <c r="E1265" s="7"/>
      <c r="F1265" s="53">
        <f>SUM(F1266:F1273)</f>
        <v>31183.203960670002</v>
      </c>
    </row>
    <row r="1266" spans="1:6" ht="18" customHeight="1">
      <c r="A1266" s="7"/>
      <c r="B1266" s="52" t="s">
        <v>870</v>
      </c>
      <c r="C1266" s="7" t="s">
        <v>871</v>
      </c>
      <c r="D1266" s="7">
        <f>材料预算价格表!L8</f>
        <v>1874.0778</v>
      </c>
      <c r="E1266" s="7">
        <v>3.5</v>
      </c>
      <c r="F1266" s="53">
        <f t="shared" ref="F1266:F1272" si="100">D1266*E1266</f>
        <v>6559.2723000000005</v>
      </c>
    </row>
    <row r="1267" spans="1:6" ht="18" customHeight="1">
      <c r="A1267" s="7"/>
      <c r="B1267" s="52" t="s">
        <v>375</v>
      </c>
      <c r="C1267" s="7" t="s">
        <v>844</v>
      </c>
      <c r="D1267" s="7">
        <f>次要材料汇总!$F$9</f>
        <v>6</v>
      </c>
      <c r="E1267" s="7">
        <v>156.5</v>
      </c>
      <c r="F1267" s="53">
        <f t="shared" si="100"/>
        <v>939</v>
      </c>
    </row>
    <row r="1268" spans="1:6" ht="18" customHeight="1">
      <c r="A1268" s="7"/>
      <c r="B1268" s="52" t="s">
        <v>873</v>
      </c>
      <c r="C1268" s="7" t="s">
        <v>844</v>
      </c>
      <c r="D1268" s="7">
        <f>次要材料汇总!$F$10</f>
        <v>5.5</v>
      </c>
      <c r="E1268" s="7">
        <v>293.39999999999998</v>
      </c>
      <c r="F1268" s="53">
        <f t="shared" si="100"/>
        <v>1613.6999999999998</v>
      </c>
    </row>
    <row r="1269" spans="1:6" ht="18" customHeight="1">
      <c r="A1269" s="7"/>
      <c r="B1269" s="52" t="s">
        <v>874</v>
      </c>
      <c r="C1269" s="7" t="s">
        <v>844</v>
      </c>
      <c r="D1269" s="7">
        <f>次要材料汇总!$F$11</f>
        <v>6.5</v>
      </c>
      <c r="E1269" s="7">
        <v>236.1</v>
      </c>
      <c r="F1269" s="53">
        <f t="shared" si="100"/>
        <v>1534.6499999999999</v>
      </c>
    </row>
    <row r="1270" spans="1:6" ht="18" customHeight="1">
      <c r="A1270" s="7"/>
      <c r="B1270" s="52" t="s">
        <v>875</v>
      </c>
      <c r="C1270" s="7" t="s">
        <v>844</v>
      </c>
      <c r="D1270" s="7">
        <f>次要材料汇总!$F$5</f>
        <v>8</v>
      </c>
      <c r="E1270" s="7">
        <v>120</v>
      </c>
      <c r="F1270" s="53">
        <f t="shared" si="100"/>
        <v>960</v>
      </c>
    </row>
    <row r="1271" spans="1:6" ht="18" customHeight="1">
      <c r="A1271" s="7"/>
      <c r="B1271" s="52" t="s">
        <v>877</v>
      </c>
      <c r="C1271" s="7" t="s">
        <v>871</v>
      </c>
      <c r="D1271" s="66">
        <f>砼配合!J8</f>
        <v>183.29938899999999</v>
      </c>
      <c r="E1271" s="7">
        <v>103</v>
      </c>
      <c r="F1271" s="53">
        <f t="shared" si="100"/>
        <v>18879.837067</v>
      </c>
    </row>
    <row r="1272" spans="1:6" ht="18" customHeight="1">
      <c r="A1272" s="7"/>
      <c r="B1272" s="52" t="s">
        <v>806</v>
      </c>
      <c r="C1272" s="7" t="s">
        <v>871</v>
      </c>
      <c r="D1272" s="7">
        <f>材料预算价格表!K15</f>
        <v>3.88</v>
      </c>
      <c r="E1272" s="7">
        <v>100</v>
      </c>
      <c r="F1272" s="53">
        <f t="shared" si="100"/>
        <v>388</v>
      </c>
    </row>
    <row r="1273" spans="1:6" ht="18" customHeight="1">
      <c r="A1273" s="7"/>
      <c r="B1273" s="52" t="s">
        <v>833</v>
      </c>
      <c r="C1273" s="7" t="s">
        <v>834</v>
      </c>
      <c r="D1273" s="66">
        <f>SUM(F1266:F1272)</f>
        <v>30874.459367000003</v>
      </c>
      <c r="E1273" s="7">
        <v>1</v>
      </c>
      <c r="F1273" s="53">
        <f>D1273*E1273/100</f>
        <v>308.74459367000003</v>
      </c>
    </row>
    <row r="1274" spans="1:6" ht="18" customHeight="1">
      <c r="A1274" s="7" t="s">
        <v>835</v>
      </c>
      <c r="B1274" s="52" t="s">
        <v>836</v>
      </c>
      <c r="C1274" s="7"/>
      <c r="D1274" s="7"/>
      <c r="E1274" s="7"/>
      <c r="F1274" s="53">
        <f>SUM(F1275:F1278)</f>
        <v>816.23295061261274</v>
      </c>
    </row>
    <row r="1275" spans="1:6" ht="18" customHeight="1">
      <c r="A1275" s="7"/>
      <c r="B1275" s="52" t="s">
        <v>882</v>
      </c>
      <c r="C1275" s="7" t="s">
        <v>863</v>
      </c>
      <c r="D1275" s="66">
        <f>施工机械台时汇总!$C$21</f>
        <v>28.129680376028197</v>
      </c>
      <c r="E1275" s="7">
        <v>18.54</v>
      </c>
      <c r="F1275" s="53">
        <f>D1275*E1275</f>
        <v>521.52427417156275</v>
      </c>
    </row>
    <row r="1276" spans="1:6" ht="18" customHeight="1">
      <c r="A1276" s="7"/>
      <c r="B1276" s="52" t="s">
        <v>883</v>
      </c>
      <c r="C1276" s="7" t="s">
        <v>863</v>
      </c>
      <c r="D1276" s="66">
        <f>施工机械台时汇总!$C$24</f>
        <v>2.2013599686643204</v>
      </c>
      <c r="E1276" s="7">
        <v>37.200000000000003</v>
      </c>
      <c r="F1276" s="53">
        <f>D1276*E1276</f>
        <v>81.890590834312718</v>
      </c>
    </row>
    <row r="1277" spans="1:6" ht="18" customHeight="1">
      <c r="A1277" s="7"/>
      <c r="B1277" s="52" t="s">
        <v>407</v>
      </c>
      <c r="C1277" s="7" t="s">
        <v>863</v>
      </c>
      <c r="D1277" s="7">
        <f>施工机械台时汇总!$C$19</f>
        <v>0.80266353309831595</v>
      </c>
      <c r="E1277" s="7">
        <v>132.5</v>
      </c>
      <c r="F1277" s="53">
        <f>D1277*E1277</f>
        <v>106.35291813552686</v>
      </c>
    </row>
    <row r="1278" spans="1:6" ht="18" customHeight="1">
      <c r="A1278" s="7"/>
      <c r="B1278" s="52" t="s">
        <v>840</v>
      </c>
      <c r="C1278" s="7" t="s">
        <v>834</v>
      </c>
      <c r="D1278" s="66">
        <f>SUM(F1275:F1277)</f>
        <v>709.76778314140233</v>
      </c>
      <c r="E1278" s="7">
        <v>15</v>
      </c>
      <c r="F1278" s="53">
        <f>D1278*E1278/100</f>
        <v>106.46516747121035</v>
      </c>
    </row>
    <row r="1279" spans="1:6" ht="18" customHeight="1">
      <c r="A1279" s="7" t="s">
        <v>884</v>
      </c>
      <c r="B1279" s="52" t="s">
        <v>885</v>
      </c>
      <c r="C1279" s="7" t="s">
        <v>871</v>
      </c>
      <c r="D1279" s="66">
        <f>砼配合!J52/100</f>
        <v>5.0269138732471603</v>
      </c>
      <c r="E1279" s="7">
        <v>103</v>
      </c>
      <c r="F1279" s="53">
        <f>D1279*E1279</f>
        <v>517.77212894445756</v>
      </c>
    </row>
    <row r="1280" spans="1:6" ht="18" customHeight="1">
      <c r="A1280" s="7" t="s">
        <v>886</v>
      </c>
      <c r="B1280" s="52" t="s">
        <v>887</v>
      </c>
      <c r="C1280" s="7" t="s">
        <v>871</v>
      </c>
      <c r="D1280" s="66">
        <f>砼配合!J65/100</f>
        <v>5.8974622495064617</v>
      </c>
      <c r="E1280" s="7">
        <v>103</v>
      </c>
      <c r="F1280" s="53">
        <f>D1280*E1280</f>
        <v>607.43861169916556</v>
      </c>
    </row>
    <row r="1281" spans="1:6" ht="18" customHeight="1">
      <c r="A1281" s="7"/>
      <c r="B1281" s="52"/>
      <c r="C1281" s="7"/>
      <c r="D1281" s="7"/>
      <c r="E1281" s="7"/>
      <c r="F1281" s="53"/>
    </row>
    <row r="1282" spans="1:6" ht="18" customHeight="1">
      <c r="A1282" s="7">
        <v>1.2</v>
      </c>
      <c r="B1282" s="52" t="s">
        <v>841</v>
      </c>
      <c r="C1282" s="7"/>
      <c r="D1282" s="53">
        <f>F1261</f>
        <v>53645.423651926241</v>
      </c>
      <c r="E1282" s="56">
        <f>E1240</f>
        <v>4.8000000000000001E-2</v>
      </c>
      <c r="F1282" s="53">
        <f>D1282*E1282</f>
        <v>2574.9803352924596</v>
      </c>
    </row>
    <row r="1283" spans="1:6" ht="18" customHeight="1">
      <c r="A1283" s="7">
        <v>1.3</v>
      </c>
      <c r="B1283" s="52" t="s">
        <v>842</v>
      </c>
      <c r="C1283" s="7"/>
      <c r="D1283" s="53">
        <f>F1261</f>
        <v>53645.423651926241</v>
      </c>
      <c r="E1283" s="56">
        <f>E1241</f>
        <v>0</v>
      </c>
      <c r="F1283" s="53">
        <f>D1283*E1283</f>
        <v>0</v>
      </c>
    </row>
    <row r="1284" spans="1:6" ht="18" customHeight="1">
      <c r="A1284" s="7">
        <v>2</v>
      </c>
      <c r="B1284" s="52" t="s">
        <v>182</v>
      </c>
      <c r="C1284" s="7"/>
      <c r="D1284" s="53">
        <f>F1260</f>
        <v>56220.403987218699</v>
      </c>
      <c r="E1284" s="56">
        <f>E1242</f>
        <v>7.0000000000000007E-2</v>
      </c>
      <c r="F1284" s="53">
        <f>D1284*E1284</f>
        <v>3935.4282791053092</v>
      </c>
    </row>
    <row r="1285" spans="1:6" ht="18" customHeight="1">
      <c r="A1285" s="7">
        <v>3</v>
      </c>
      <c r="B1285" s="52" t="s">
        <v>843</v>
      </c>
      <c r="C1285" s="7"/>
      <c r="D1285" s="53">
        <f>F1284+F1260</f>
        <v>60155.832266324011</v>
      </c>
      <c r="E1285" s="56">
        <f>E1243</f>
        <v>7.0000000000000007E-2</v>
      </c>
      <c r="F1285" s="53">
        <f>D1285*E1285</f>
        <v>4210.9082586426812</v>
      </c>
    </row>
    <row r="1286" spans="1:6" ht="18" customHeight="1">
      <c r="A1286" s="7">
        <v>4</v>
      </c>
      <c r="B1286" s="52" t="s">
        <v>184</v>
      </c>
      <c r="C1286" s="7"/>
      <c r="D1286" s="7"/>
      <c r="E1286" s="7"/>
      <c r="F1286" s="53">
        <f>SUM(F1287:F1292)</f>
        <v>4873.5202215837126</v>
      </c>
    </row>
    <row r="1287" spans="1:6" ht="18" customHeight="1">
      <c r="A1287" s="7"/>
      <c r="B1287" s="52" t="s">
        <v>354</v>
      </c>
      <c r="C1287" s="7" t="s">
        <v>88</v>
      </c>
      <c r="D1287" s="7">
        <f>A2</f>
        <v>116.41515</v>
      </c>
      <c r="E1287" s="66">
        <f>E1271*砼配合!I9</f>
        <v>35.035758999999999</v>
      </c>
      <c r="F1287" s="53">
        <f t="shared" ref="F1287:F1293" si="101">D1287*E1287</f>
        <v>4078.6931393488499</v>
      </c>
    </row>
    <row r="1288" spans="1:6" ht="18" customHeight="1">
      <c r="A1288" s="7"/>
      <c r="B1288" s="52" t="s">
        <v>507</v>
      </c>
      <c r="C1288" s="7" t="s">
        <v>871</v>
      </c>
      <c r="D1288" s="66">
        <f>D2</f>
        <v>4.6598683999999899</v>
      </c>
      <c r="E1288" s="66">
        <f>E1271*砼配合!I10</f>
        <v>54.406660000000002</v>
      </c>
      <c r="F1288" s="53">
        <f t="shared" si="101"/>
        <v>253.52787568354347</v>
      </c>
    </row>
    <row r="1289" spans="1:6" ht="18" customHeight="1">
      <c r="A1289" s="7"/>
      <c r="B1289" s="52" t="s">
        <v>509</v>
      </c>
      <c r="C1289" s="7" t="s">
        <v>871</v>
      </c>
      <c r="D1289" s="66">
        <f>E2</f>
        <v>6.2457299999999902</v>
      </c>
      <c r="E1289" s="66">
        <f>E1271*砼配合!I11</f>
        <v>86.667083999999988</v>
      </c>
      <c r="F1289" s="53">
        <f t="shared" si="101"/>
        <v>541.29920655131912</v>
      </c>
    </row>
    <row r="1290" spans="1:6" ht="18" customHeight="1">
      <c r="A1290" s="7"/>
      <c r="B1290" s="52" t="s">
        <v>506</v>
      </c>
      <c r="C1290" s="7" t="s">
        <v>871</v>
      </c>
      <c r="D1290" s="7">
        <f>C2</f>
        <v>0</v>
      </c>
      <c r="E1290" s="7">
        <f>E1266</f>
        <v>3.5</v>
      </c>
      <c r="F1290" s="53">
        <f t="shared" si="101"/>
        <v>0</v>
      </c>
    </row>
    <row r="1291" spans="1:6" ht="18" customHeight="1">
      <c r="A1291" s="7"/>
      <c r="B1291" s="52" t="s">
        <v>515</v>
      </c>
      <c r="C1291" s="7" t="s">
        <v>844</v>
      </c>
      <c r="D1291" s="7">
        <f>G2</f>
        <v>4.7450000000000001</v>
      </c>
      <c r="E1291" s="7"/>
      <c r="F1291" s="53">
        <f t="shared" si="101"/>
        <v>0</v>
      </c>
    </row>
    <row r="1292" spans="1:6" ht="18" customHeight="1">
      <c r="A1292" s="7"/>
      <c r="B1292" s="52" t="s">
        <v>516</v>
      </c>
      <c r="C1292" s="7" t="s">
        <v>844</v>
      </c>
      <c r="D1292" s="7">
        <f>H2</f>
        <v>3.51</v>
      </c>
      <c r="E1292" s="7"/>
      <c r="F1292" s="53">
        <f t="shared" si="101"/>
        <v>0</v>
      </c>
    </row>
    <row r="1293" spans="1:6" ht="18" customHeight="1">
      <c r="A1293" s="7">
        <v>5</v>
      </c>
      <c r="B1293" s="52" t="s">
        <v>845</v>
      </c>
      <c r="C1293" s="7"/>
      <c r="D1293" s="53">
        <f>F1260+F1284+F1285+F1286</f>
        <v>69240.260746550397</v>
      </c>
      <c r="E1293" s="56">
        <f>E1251</f>
        <v>0.09</v>
      </c>
      <c r="F1293" s="53">
        <f t="shared" si="101"/>
        <v>6231.6234671895354</v>
      </c>
    </row>
    <row r="1294" spans="1:6" ht="18" customHeight="1">
      <c r="A1294" s="7">
        <v>6</v>
      </c>
      <c r="B1294" s="52" t="s">
        <v>7</v>
      </c>
      <c r="C1294" s="52"/>
      <c r="D1294" s="7"/>
      <c r="E1294" s="7"/>
      <c r="F1294" s="53">
        <f>D1293+F1293</f>
        <v>75471.884213739933</v>
      </c>
    </row>
    <row r="1295" spans="1:6" ht="18" customHeight="1">
      <c r="A1295" s="7"/>
      <c r="B1295" s="52" t="s">
        <v>846</v>
      </c>
      <c r="C1295" s="52"/>
      <c r="D1295" s="53">
        <f>F1294</f>
        <v>75471.884213739933</v>
      </c>
      <c r="E1295" s="56">
        <f>E1253</f>
        <v>0.03</v>
      </c>
      <c r="F1295" s="53">
        <f>E1295*D1295</f>
        <v>2264.1565264121978</v>
      </c>
    </row>
    <row r="1296" spans="1:6" ht="18" customHeight="1">
      <c r="A1296" s="7"/>
      <c r="B1296" s="52" t="s">
        <v>44</v>
      </c>
      <c r="C1296" s="52"/>
      <c r="D1296" s="7"/>
      <c r="E1296" s="7"/>
      <c r="F1296" s="53">
        <f>SUM(F1294:F1295)</f>
        <v>77736.040740152137</v>
      </c>
    </row>
    <row r="1297" spans="1:6" ht="22.5" customHeight="1">
      <c r="A1297" s="461" t="s">
        <v>928</v>
      </c>
      <c r="B1297" s="461"/>
      <c r="C1297" s="461"/>
      <c r="D1297" s="461"/>
      <c r="E1297" s="461"/>
      <c r="F1297" s="461"/>
    </row>
    <row r="1298" spans="1:6" ht="18" customHeight="1">
      <c r="A1298" s="462" t="s">
        <v>929</v>
      </c>
      <c r="B1298" s="462"/>
      <c r="C1298" s="462"/>
      <c r="D1298" s="462"/>
      <c r="E1298" s="462"/>
      <c r="F1298" s="462"/>
    </row>
    <row r="1299" spans="1:6" ht="20.25" customHeight="1">
      <c r="A1299" s="47" t="s">
        <v>894</v>
      </c>
      <c r="B1299" s="49">
        <v>6095</v>
      </c>
      <c r="D1299" s="46" t="s">
        <v>852</v>
      </c>
      <c r="E1299" s="47" t="s">
        <v>169</v>
      </c>
      <c r="F1299" s="49" t="s">
        <v>869</v>
      </c>
    </row>
    <row r="1300" spans="1:6" ht="18" customHeight="1">
      <c r="A1300" s="50" t="s">
        <v>817</v>
      </c>
      <c r="B1300" s="458"/>
      <c r="C1300" s="459"/>
      <c r="D1300" s="459"/>
      <c r="E1300" s="459"/>
      <c r="F1300" s="460"/>
    </row>
    <row r="1301" spans="1:6" ht="18" customHeight="1">
      <c r="A1301" s="7" t="s">
        <v>1</v>
      </c>
      <c r="B1301" s="52" t="s">
        <v>344</v>
      </c>
      <c r="C1301" s="7" t="s">
        <v>818</v>
      </c>
      <c r="D1301" s="7" t="s">
        <v>930</v>
      </c>
      <c r="E1301" s="7" t="s">
        <v>820</v>
      </c>
      <c r="F1301" s="7" t="s">
        <v>931</v>
      </c>
    </row>
    <row r="1302" spans="1:6" ht="18" customHeight="1">
      <c r="A1302" s="7">
        <v>1</v>
      </c>
      <c r="B1302" s="52" t="s">
        <v>822</v>
      </c>
      <c r="C1302" s="7"/>
      <c r="D1302" s="7"/>
      <c r="E1302" s="7"/>
      <c r="F1302" s="53">
        <f>F1303+F1319+F1320</f>
        <v>34339.846891794572</v>
      </c>
    </row>
    <row r="1303" spans="1:6" ht="18" customHeight="1">
      <c r="A1303" s="7">
        <v>1.1000000000000001</v>
      </c>
      <c r="B1303" s="52" t="s">
        <v>823</v>
      </c>
      <c r="C1303" s="7"/>
      <c r="D1303" s="7"/>
      <c r="E1303" s="7"/>
      <c r="F1303" s="53">
        <f>F1304+F1307+F1311+F1317+F1318</f>
        <v>32767.029476903219</v>
      </c>
    </row>
    <row r="1304" spans="1:6" ht="18" customHeight="1">
      <c r="A1304" s="7" t="s">
        <v>47</v>
      </c>
      <c r="B1304" s="52" t="s">
        <v>176</v>
      </c>
      <c r="C1304" s="7"/>
      <c r="D1304" s="7"/>
      <c r="E1304" s="7"/>
      <c r="F1304" s="53">
        <f>F1305+F1306</f>
        <v>6464.0789999999997</v>
      </c>
    </row>
    <row r="1305" spans="1:6" ht="18" customHeight="1">
      <c r="A1305" s="7"/>
      <c r="B1305" s="52" t="s">
        <v>824</v>
      </c>
      <c r="C1305" s="7" t="s">
        <v>825</v>
      </c>
      <c r="D1305" s="7">
        <v>8.1</v>
      </c>
      <c r="E1305" s="7">
        <v>385.8</v>
      </c>
      <c r="F1305" s="53">
        <f>D1305*E1305</f>
        <v>3124.98</v>
      </c>
    </row>
    <row r="1306" spans="1:6" ht="18" customHeight="1">
      <c r="A1306" s="7"/>
      <c r="B1306" s="52" t="s">
        <v>826</v>
      </c>
      <c r="C1306" s="7" t="s">
        <v>825</v>
      </c>
      <c r="D1306" s="7">
        <v>5.77</v>
      </c>
      <c r="E1306" s="7">
        <v>578.70000000000005</v>
      </c>
      <c r="F1306" s="53">
        <f>D1306*E1306</f>
        <v>3339.0990000000002</v>
      </c>
    </row>
    <row r="1307" spans="1:6" ht="18" customHeight="1">
      <c r="A1307" s="7" t="s">
        <v>57</v>
      </c>
      <c r="B1307" s="52" t="s">
        <v>177</v>
      </c>
      <c r="C1307" s="7"/>
      <c r="D1307" s="7"/>
      <c r="E1307" s="7"/>
      <c r="F1307" s="53">
        <f>SUM(F1308:F1310)</f>
        <v>23861.002851060002</v>
      </c>
    </row>
    <row r="1308" spans="1:6" ht="18" customHeight="1">
      <c r="A1308" s="7"/>
      <c r="B1308" s="52" t="s">
        <v>877</v>
      </c>
      <c r="C1308" s="7" t="s">
        <v>871</v>
      </c>
      <c r="D1308" s="66">
        <f>砼配合!J8</f>
        <v>183.29938899999999</v>
      </c>
      <c r="E1308" s="7">
        <v>127</v>
      </c>
      <c r="F1308" s="53">
        <f>E1308*D1308</f>
        <v>23279.022402999999</v>
      </c>
    </row>
    <row r="1309" spans="1:6" ht="18" customHeight="1">
      <c r="A1309" s="7"/>
      <c r="B1309" s="52" t="s">
        <v>806</v>
      </c>
      <c r="C1309" s="7" t="s">
        <v>871</v>
      </c>
      <c r="D1309" s="7">
        <f>材料预算价格表!K15</f>
        <v>3.88</v>
      </c>
      <c r="E1309" s="7">
        <v>30</v>
      </c>
      <c r="F1309" s="53">
        <f>E1309*D1309</f>
        <v>116.39999999999999</v>
      </c>
    </row>
    <row r="1310" spans="1:6" ht="18" customHeight="1">
      <c r="A1310" s="7"/>
      <c r="B1310" s="52" t="s">
        <v>833</v>
      </c>
      <c r="C1310" s="7" t="s">
        <v>834</v>
      </c>
      <c r="D1310" s="66">
        <f>F1308</f>
        <v>23279.022402999999</v>
      </c>
      <c r="E1310" s="7">
        <v>2</v>
      </c>
      <c r="F1310" s="53">
        <f>E1310*D1310/100</f>
        <v>465.58044805999998</v>
      </c>
    </row>
    <row r="1311" spans="1:6" ht="18" customHeight="1">
      <c r="A1311" s="7" t="s">
        <v>835</v>
      </c>
      <c r="B1311" s="52" t="s">
        <v>932</v>
      </c>
      <c r="C1311" s="7"/>
      <c r="D1311" s="7"/>
      <c r="E1311" s="7"/>
      <c r="F1311" s="53">
        <f>F1312+F1313+F1314+F1315+F1316</f>
        <v>1720.9388017414801</v>
      </c>
    </row>
    <row r="1312" spans="1:6" ht="18" customHeight="1">
      <c r="A1312" s="7"/>
      <c r="B1312" s="52" t="s">
        <v>933</v>
      </c>
      <c r="C1312" s="7" t="s">
        <v>863</v>
      </c>
      <c r="D1312" s="66">
        <f>施工机械台时汇总!$C$51</f>
        <v>22.344653740697211</v>
      </c>
      <c r="E1312" s="7">
        <v>37</v>
      </c>
      <c r="F1312" s="53">
        <f>D1312*E1312</f>
        <v>826.7521884057968</v>
      </c>
    </row>
    <row r="1313" spans="1:6" ht="18" customHeight="1">
      <c r="A1313" s="7"/>
      <c r="B1313" s="52" t="s">
        <v>934</v>
      </c>
      <c r="C1313" s="7" t="s">
        <v>863</v>
      </c>
      <c r="D1313" s="66">
        <f>施工机械台时汇总!$C$42</f>
        <v>49.210305522914197</v>
      </c>
      <c r="E1313" s="7">
        <v>2.4</v>
      </c>
      <c r="F1313" s="53">
        <f>E1313*D1313</f>
        <v>118.10473325499407</v>
      </c>
    </row>
    <row r="1314" spans="1:6" ht="18" customHeight="1">
      <c r="A1314" s="7"/>
      <c r="B1314" s="52" t="s">
        <v>935</v>
      </c>
      <c r="C1314" s="7" t="s">
        <v>863</v>
      </c>
      <c r="D1314" s="66">
        <f>施工机械台时汇总!$C$21</f>
        <v>28.129680376028197</v>
      </c>
      <c r="E1314" s="7">
        <v>22.8</v>
      </c>
      <c r="F1314" s="53">
        <f>D1314*E1314</f>
        <v>641.35671257344291</v>
      </c>
    </row>
    <row r="1315" spans="1:6" ht="18" customHeight="1">
      <c r="A1315" s="7"/>
      <c r="B1315" s="52" t="s">
        <v>862</v>
      </c>
      <c r="C1315" s="7" t="s">
        <v>863</v>
      </c>
      <c r="D1315" s="7">
        <f>施工机械台时汇总!$C$19</f>
        <v>0.80266353309831595</v>
      </c>
      <c r="E1315" s="7">
        <v>105.4</v>
      </c>
      <c r="F1315" s="53">
        <f>D1315*E1315</f>
        <v>84.60073638856251</v>
      </c>
    </row>
    <row r="1316" spans="1:6" ht="18" customHeight="1">
      <c r="A1316" s="7"/>
      <c r="B1316" s="52" t="s">
        <v>840</v>
      </c>
      <c r="C1316" s="7" t="s">
        <v>834</v>
      </c>
      <c r="D1316" s="66">
        <f>F1312+F1313+F1314+F1315</f>
        <v>1670.8143706227963</v>
      </c>
      <c r="E1316" s="7">
        <v>3</v>
      </c>
      <c r="F1316" s="53">
        <f>D1316*E1316/100</f>
        <v>50.124431118683887</v>
      </c>
    </row>
    <row r="1317" spans="1:6" ht="18" customHeight="1">
      <c r="A1317" s="7" t="s">
        <v>884</v>
      </c>
      <c r="B1317" s="52" t="s">
        <v>936</v>
      </c>
      <c r="C1317" s="7" t="s">
        <v>871</v>
      </c>
      <c r="D1317" s="66">
        <f>(砼配合!J52+砼配合!J65)/100</f>
        <v>10.924376122753621</v>
      </c>
      <c r="E1317" s="7">
        <v>66</v>
      </c>
      <c r="F1317" s="53">
        <f>E1317*D1317</f>
        <v>721.00882410173904</v>
      </c>
    </row>
    <row r="1318" spans="1:6" ht="18" customHeight="1">
      <c r="A1318" s="7"/>
      <c r="B1318" s="52"/>
      <c r="C1318" s="7"/>
      <c r="D1318" s="7"/>
      <c r="E1318" s="7"/>
      <c r="F1318" s="53"/>
    </row>
    <row r="1319" spans="1:6" ht="18" customHeight="1">
      <c r="A1319" s="7">
        <v>1.2</v>
      </c>
      <c r="B1319" s="52" t="s">
        <v>841</v>
      </c>
      <c r="C1319" s="7"/>
      <c r="D1319" s="53">
        <f>F1303</f>
        <v>32767.029476903219</v>
      </c>
      <c r="E1319" s="56">
        <f>E1282</f>
        <v>4.8000000000000001E-2</v>
      </c>
      <c r="F1319" s="53">
        <f>D1319*E1319</f>
        <v>1572.8174148913545</v>
      </c>
    </row>
    <row r="1320" spans="1:6" ht="18" customHeight="1">
      <c r="A1320" s="7">
        <v>1.3</v>
      </c>
      <c r="B1320" s="52" t="s">
        <v>842</v>
      </c>
      <c r="C1320" s="7"/>
      <c r="D1320" s="53">
        <f>F1303</f>
        <v>32767.029476903219</v>
      </c>
      <c r="E1320" s="56">
        <f>E1283</f>
        <v>0</v>
      </c>
      <c r="F1320" s="53">
        <f>D1320*E1320</f>
        <v>0</v>
      </c>
    </row>
    <row r="1321" spans="1:6" ht="18" customHeight="1">
      <c r="A1321" s="7">
        <v>2</v>
      </c>
      <c r="B1321" s="52" t="s">
        <v>182</v>
      </c>
      <c r="C1321" s="7"/>
      <c r="D1321" s="53">
        <f>F1302</f>
        <v>34339.846891794572</v>
      </c>
      <c r="E1321" s="56">
        <f>E1284</f>
        <v>7.0000000000000007E-2</v>
      </c>
      <c r="F1321" s="53">
        <f>D1321*E1321</f>
        <v>2403.7892824256201</v>
      </c>
    </row>
    <row r="1322" spans="1:6" ht="18" customHeight="1">
      <c r="A1322" s="7">
        <v>3</v>
      </c>
      <c r="B1322" s="52" t="s">
        <v>843</v>
      </c>
      <c r="C1322" s="7"/>
      <c r="D1322" s="53">
        <f>F1302+F1321</f>
        <v>36743.636174220192</v>
      </c>
      <c r="E1322" s="56">
        <f>E1285</f>
        <v>7.0000000000000007E-2</v>
      </c>
      <c r="F1322" s="53">
        <f>D1322*E1322</f>
        <v>2572.0545321954137</v>
      </c>
    </row>
    <row r="1323" spans="1:6" ht="18" customHeight="1">
      <c r="A1323" s="7">
        <v>4</v>
      </c>
      <c r="B1323" s="52" t="s">
        <v>184</v>
      </c>
      <c r="C1323" s="7"/>
      <c r="D1323" s="7"/>
      <c r="E1323" s="7"/>
      <c r="F1323" s="53">
        <f>SUM(F1324:F1329)</f>
        <v>6091.0913489430241</v>
      </c>
    </row>
    <row r="1324" spans="1:6" ht="18" customHeight="1">
      <c r="A1324" s="7"/>
      <c r="B1324" s="52" t="s">
        <v>354</v>
      </c>
      <c r="C1324" s="7" t="s">
        <v>88</v>
      </c>
      <c r="D1324" s="7">
        <f>A2</f>
        <v>116.41515</v>
      </c>
      <c r="E1324" s="66">
        <f>E1308*砼配合!I9</f>
        <v>43.199430999999997</v>
      </c>
      <c r="F1324" s="53">
        <f t="shared" ref="F1324:F1330" si="102">D1324*E1324</f>
        <v>5029.06823977965</v>
      </c>
    </row>
    <row r="1325" spans="1:6" ht="18" customHeight="1">
      <c r="A1325" s="7"/>
      <c r="B1325" s="52" t="s">
        <v>507</v>
      </c>
      <c r="C1325" s="7" t="s">
        <v>871</v>
      </c>
      <c r="D1325" s="66">
        <f>D1695</f>
        <v>4.6598683999999899</v>
      </c>
      <c r="E1325" s="66">
        <f>E1308*砼配合!I10</f>
        <v>67.083939999999998</v>
      </c>
      <c r="F1325" s="53">
        <f t="shared" si="102"/>
        <v>312.6023321534953</v>
      </c>
    </row>
    <row r="1326" spans="1:6" ht="18" customHeight="1">
      <c r="A1326" s="7"/>
      <c r="B1326" s="52" t="s">
        <v>509</v>
      </c>
      <c r="C1326" s="7" t="s">
        <v>871</v>
      </c>
      <c r="D1326" s="66">
        <f>D1696</f>
        <v>6.2457299999999902</v>
      </c>
      <c r="E1326" s="66">
        <f>E1308*砼配合!I11</f>
        <v>106.861356</v>
      </c>
      <c r="F1326" s="53">
        <f t="shared" si="102"/>
        <v>667.42717700987896</v>
      </c>
    </row>
    <row r="1327" spans="1:6" ht="18" customHeight="1">
      <c r="A1327" s="7"/>
      <c r="B1327" s="52" t="s">
        <v>506</v>
      </c>
      <c r="C1327" s="7" t="s">
        <v>871</v>
      </c>
      <c r="D1327" s="7">
        <f>D1697</f>
        <v>0</v>
      </c>
      <c r="E1327" s="7"/>
      <c r="F1327" s="53">
        <f t="shared" si="102"/>
        <v>0</v>
      </c>
    </row>
    <row r="1328" spans="1:6" ht="18" customHeight="1">
      <c r="A1328" s="7"/>
      <c r="B1328" s="52" t="s">
        <v>515</v>
      </c>
      <c r="C1328" s="7" t="s">
        <v>844</v>
      </c>
      <c r="D1328" s="7">
        <f>D1698</f>
        <v>4.7450000000000001</v>
      </c>
      <c r="E1328" s="7">
        <f>台时!AK19*砼单价!E1313</f>
        <v>17.28</v>
      </c>
      <c r="F1328" s="53">
        <f t="shared" si="102"/>
        <v>81.993600000000001</v>
      </c>
    </row>
    <row r="1329" spans="1:6" ht="18" customHeight="1">
      <c r="A1329" s="7"/>
      <c r="B1329" s="52" t="s">
        <v>516</v>
      </c>
      <c r="C1329" s="7" t="s">
        <v>844</v>
      </c>
      <c r="D1329" s="7">
        <f>D1699</f>
        <v>3.51</v>
      </c>
      <c r="E1329" s="7"/>
      <c r="F1329" s="53">
        <f t="shared" si="102"/>
        <v>0</v>
      </c>
    </row>
    <row r="1330" spans="1:6" ht="18" customHeight="1">
      <c r="A1330" s="7">
        <v>5</v>
      </c>
      <c r="B1330" s="52" t="s">
        <v>845</v>
      </c>
      <c r="C1330" s="7"/>
      <c r="D1330" s="66">
        <f>F1302+F1321+F1322+F1323</f>
        <v>45406.782055358628</v>
      </c>
      <c r="E1330" s="56">
        <f>E1293</f>
        <v>0.09</v>
      </c>
      <c r="F1330" s="53">
        <f t="shared" si="102"/>
        <v>4086.6103849822762</v>
      </c>
    </row>
    <row r="1331" spans="1:6" ht="18" customHeight="1">
      <c r="A1331" s="7">
        <v>6</v>
      </c>
      <c r="B1331" s="52" t="s">
        <v>7</v>
      </c>
      <c r="C1331" s="7"/>
      <c r="D1331" s="7"/>
      <c r="E1331" s="7"/>
      <c r="F1331" s="53">
        <f>F1330+D1330</f>
        <v>49493.392440340904</v>
      </c>
    </row>
    <row r="1332" spans="1:6" ht="18" customHeight="1">
      <c r="A1332" s="7"/>
      <c r="B1332" s="52" t="s">
        <v>846</v>
      </c>
      <c r="C1332" s="7"/>
      <c r="D1332" s="53">
        <f>F1331</f>
        <v>49493.392440340904</v>
      </c>
      <c r="E1332" s="56">
        <f>E1295</f>
        <v>0.03</v>
      </c>
      <c r="F1332" s="53">
        <f>E1332*D1332</f>
        <v>1484.8017732102271</v>
      </c>
    </row>
    <row r="1333" spans="1:6" ht="18" customHeight="1">
      <c r="A1333" s="7"/>
      <c r="B1333" s="52" t="s">
        <v>44</v>
      </c>
      <c r="C1333" s="7"/>
      <c r="D1333" s="7"/>
      <c r="E1333" s="7"/>
      <c r="F1333" s="53">
        <f>SUM(F1331:F1332)</f>
        <v>50978.194213551134</v>
      </c>
    </row>
    <row r="1334" spans="1:6" ht="22.5" customHeight="1">
      <c r="A1334" s="461" t="s">
        <v>813</v>
      </c>
      <c r="B1334" s="461"/>
      <c r="C1334" s="461"/>
      <c r="D1334" s="461"/>
      <c r="E1334" s="461"/>
      <c r="F1334" s="461"/>
    </row>
    <row r="1335" spans="1:6" ht="18" customHeight="1">
      <c r="A1335" s="462" t="s">
        <v>937</v>
      </c>
      <c r="B1335" s="462"/>
      <c r="C1335" s="462"/>
      <c r="D1335" s="462"/>
      <c r="E1335" s="462"/>
      <c r="F1335" s="462"/>
    </row>
    <row r="1336" spans="1:6" ht="20.25" customHeight="1">
      <c r="A1336" s="47" t="s">
        <v>815</v>
      </c>
      <c r="B1336" s="49">
        <v>4082</v>
      </c>
      <c r="D1336" s="46"/>
      <c r="E1336" s="47" t="s">
        <v>169</v>
      </c>
      <c r="F1336" s="49" t="s">
        <v>869</v>
      </c>
    </row>
    <row r="1337" spans="1:6" ht="18" customHeight="1">
      <c r="A1337" s="50" t="s">
        <v>817</v>
      </c>
      <c r="B1337" s="458"/>
      <c r="C1337" s="459"/>
      <c r="D1337" s="459"/>
      <c r="E1337" s="459"/>
      <c r="F1337" s="460"/>
    </row>
    <row r="1338" spans="1:6" ht="18" customHeight="1">
      <c r="A1338" s="7" t="s">
        <v>1</v>
      </c>
      <c r="B1338" s="52" t="s">
        <v>344</v>
      </c>
      <c r="C1338" s="7" t="s">
        <v>818</v>
      </c>
      <c r="D1338" s="7" t="s">
        <v>819</v>
      </c>
      <c r="E1338" s="7" t="s">
        <v>820</v>
      </c>
      <c r="F1338" s="7" t="s">
        <v>821</v>
      </c>
    </row>
    <row r="1339" spans="1:6" ht="18" customHeight="1">
      <c r="A1339" s="7">
        <v>1</v>
      </c>
      <c r="B1339" s="52" t="s">
        <v>822</v>
      </c>
      <c r="C1339" s="7"/>
      <c r="D1339" s="7"/>
      <c r="E1339" s="7"/>
      <c r="F1339" s="53">
        <f>F1340+F1356+F1357</f>
        <v>24886.868848217822</v>
      </c>
    </row>
    <row r="1340" spans="1:6" ht="18" customHeight="1">
      <c r="A1340" s="7">
        <v>1.1000000000000001</v>
      </c>
      <c r="B1340" s="52" t="s">
        <v>823</v>
      </c>
      <c r="C1340" s="7"/>
      <c r="D1340" s="7"/>
      <c r="E1340" s="7"/>
      <c r="F1340" s="53">
        <f>F1341+F1344+F1348+F1353+F1354+F1355</f>
        <v>23747.01225974983</v>
      </c>
    </row>
    <row r="1341" spans="1:6" ht="18" customHeight="1">
      <c r="A1341" s="7" t="s">
        <v>47</v>
      </c>
      <c r="B1341" s="52" t="s">
        <v>176</v>
      </c>
      <c r="C1341" s="7"/>
      <c r="D1341" s="7"/>
      <c r="E1341" s="7"/>
      <c r="F1341" s="53">
        <f>F1342+F1343</f>
        <v>4075.6840000000002</v>
      </c>
    </row>
    <row r="1342" spans="1:6" ht="18" customHeight="1">
      <c r="A1342" s="7"/>
      <c r="B1342" s="52" t="s">
        <v>824</v>
      </c>
      <c r="C1342" s="7" t="s">
        <v>825</v>
      </c>
      <c r="D1342" s="7">
        <v>8.1</v>
      </c>
      <c r="E1342" s="7">
        <v>287.89999999999998</v>
      </c>
      <c r="F1342" s="53">
        <f>D1342*E1342</f>
        <v>2331.9899999999998</v>
      </c>
    </row>
    <row r="1343" spans="1:6" ht="18" customHeight="1">
      <c r="A1343" s="7"/>
      <c r="B1343" s="52" t="s">
        <v>826</v>
      </c>
      <c r="C1343" s="7" t="s">
        <v>825</v>
      </c>
      <c r="D1343" s="7">
        <v>5.77</v>
      </c>
      <c r="E1343" s="7">
        <v>302.2</v>
      </c>
      <c r="F1343" s="53">
        <f>D1343*E1343</f>
        <v>1743.694</v>
      </c>
    </row>
    <row r="1344" spans="1:6" ht="18" customHeight="1">
      <c r="A1344" s="7" t="s">
        <v>57</v>
      </c>
      <c r="B1344" s="52" t="s">
        <v>177</v>
      </c>
      <c r="C1344" s="7"/>
      <c r="D1344" s="7"/>
      <c r="E1344" s="7"/>
      <c r="F1344" s="53">
        <f>SUM(F1345:F1347)</f>
        <v>17850.727717634996</v>
      </c>
    </row>
    <row r="1345" spans="1:6" ht="18" customHeight="1">
      <c r="A1345" s="7"/>
      <c r="B1345" s="52" t="s">
        <v>877</v>
      </c>
      <c r="C1345" s="7" t="s">
        <v>871</v>
      </c>
      <c r="D1345" s="66">
        <f>砼配合!J14</f>
        <v>171.692409</v>
      </c>
      <c r="E1345" s="7">
        <v>103</v>
      </c>
      <c r="F1345" s="53">
        <f>D1345*E1345</f>
        <v>17684.318126999999</v>
      </c>
    </row>
    <row r="1346" spans="1:6" ht="18" customHeight="1">
      <c r="A1346" s="7"/>
      <c r="B1346" s="52" t="s">
        <v>806</v>
      </c>
      <c r="C1346" s="7" t="s">
        <v>871</v>
      </c>
      <c r="D1346" s="7">
        <f>D1763</f>
        <v>3.88</v>
      </c>
      <c r="E1346" s="7">
        <v>20</v>
      </c>
      <c r="F1346" s="53">
        <f>D1346*E1346</f>
        <v>77.599999999999994</v>
      </c>
    </row>
    <row r="1347" spans="1:6" ht="18" customHeight="1">
      <c r="A1347" s="7"/>
      <c r="B1347" s="52" t="s">
        <v>833</v>
      </c>
      <c r="C1347" s="7" t="s">
        <v>834</v>
      </c>
      <c r="D1347" s="66">
        <f>SUM(F1345:F1346)</f>
        <v>17761.918126999997</v>
      </c>
      <c r="E1347" s="7">
        <v>0.5</v>
      </c>
      <c r="F1347" s="53">
        <f>D1347*E1347/100</f>
        <v>88.809590634999992</v>
      </c>
    </row>
    <row r="1348" spans="1:6" ht="18" customHeight="1">
      <c r="A1348" s="7" t="s">
        <v>835</v>
      </c>
      <c r="B1348" s="52" t="s">
        <v>836</v>
      </c>
      <c r="C1348" s="7"/>
      <c r="D1348" s="7"/>
      <c r="E1348" s="7"/>
      <c r="F1348" s="53">
        <f>SUM(F1349:F1352)</f>
        <v>695.38980147121026</v>
      </c>
    </row>
    <row r="1349" spans="1:6" ht="18" customHeight="1">
      <c r="A1349" s="7"/>
      <c r="B1349" s="52" t="s">
        <v>862</v>
      </c>
      <c r="C1349" s="7" t="s">
        <v>863</v>
      </c>
      <c r="D1349" s="7">
        <f>施工机械台时汇总!$C$19</f>
        <v>0.80266353309831595</v>
      </c>
      <c r="E1349" s="7">
        <v>83</v>
      </c>
      <c r="F1349" s="53">
        <f>D1349*E1349</f>
        <v>66.621073247160226</v>
      </c>
    </row>
    <row r="1350" spans="1:6" ht="18" customHeight="1">
      <c r="A1350" s="7"/>
      <c r="B1350" s="52" t="s">
        <v>882</v>
      </c>
      <c r="C1350" s="7" t="s">
        <v>863</v>
      </c>
      <c r="D1350" s="66">
        <f>施工机械台时汇总!$C$21</f>
        <v>28.129680376028197</v>
      </c>
      <c r="E1350" s="7">
        <v>18.54</v>
      </c>
      <c r="F1350" s="53">
        <f>D1350*E1350</f>
        <v>521.52427417156275</v>
      </c>
    </row>
    <row r="1351" spans="1:6" ht="18" customHeight="1">
      <c r="A1351" s="7"/>
      <c r="B1351" s="52" t="s">
        <v>883</v>
      </c>
      <c r="C1351" s="7" t="s">
        <v>863</v>
      </c>
      <c r="D1351" s="7">
        <f>施工机械台时汇总!$C$24</f>
        <v>2.2013599686643204</v>
      </c>
      <c r="E1351" s="7">
        <v>20</v>
      </c>
      <c r="F1351" s="53">
        <f>D1351*E1351</f>
        <v>44.027199373286408</v>
      </c>
    </row>
    <row r="1352" spans="1:6" ht="18" customHeight="1">
      <c r="A1352" s="7"/>
      <c r="B1352" s="52" t="s">
        <v>840</v>
      </c>
      <c r="C1352" s="7" t="s">
        <v>834</v>
      </c>
      <c r="D1352" s="66">
        <f>SUM(F1349:F1351)</f>
        <v>632.17254679200937</v>
      </c>
      <c r="E1352" s="7">
        <v>10</v>
      </c>
      <c r="F1352" s="53">
        <f>D1352*E1352/100</f>
        <v>63.217254679200941</v>
      </c>
    </row>
    <row r="1353" spans="1:6" ht="18" customHeight="1">
      <c r="A1353" s="7" t="s">
        <v>884</v>
      </c>
      <c r="B1353" s="52" t="s">
        <v>885</v>
      </c>
      <c r="C1353" s="7" t="s">
        <v>871</v>
      </c>
      <c r="D1353" s="66">
        <f>砼配合!J52/100</f>
        <v>5.0269138732471603</v>
      </c>
      <c r="E1353" s="7">
        <v>103</v>
      </c>
      <c r="F1353" s="53">
        <f>D1353*E1353</f>
        <v>517.77212894445756</v>
      </c>
    </row>
    <row r="1354" spans="1:6" ht="18" customHeight="1">
      <c r="A1354" s="7" t="s">
        <v>886</v>
      </c>
      <c r="B1354" s="52" t="s">
        <v>887</v>
      </c>
      <c r="C1354" s="7" t="s">
        <v>871</v>
      </c>
      <c r="D1354" s="66">
        <f>砼配合!J65/100</f>
        <v>5.8974622495064617</v>
      </c>
      <c r="E1354" s="7">
        <v>103</v>
      </c>
      <c r="F1354" s="53">
        <f>D1354*E1354</f>
        <v>607.43861169916556</v>
      </c>
    </row>
    <row r="1355" spans="1:6" ht="18" customHeight="1">
      <c r="A1355" s="7"/>
      <c r="B1355" s="52"/>
      <c r="C1355" s="7"/>
      <c r="D1355" s="7"/>
      <c r="E1355" s="7"/>
      <c r="F1355" s="53"/>
    </row>
    <row r="1356" spans="1:6" ht="18" customHeight="1">
      <c r="A1356" s="7">
        <v>1.2</v>
      </c>
      <c r="B1356" s="52" t="s">
        <v>841</v>
      </c>
      <c r="C1356" s="7"/>
      <c r="D1356" s="53">
        <f>F1340</f>
        <v>23747.01225974983</v>
      </c>
      <c r="E1356" s="56">
        <f>E1319</f>
        <v>4.8000000000000001E-2</v>
      </c>
      <c r="F1356" s="53">
        <f>D1356*E1356</f>
        <v>1139.856588467992</v>
      </c>
    </row>
    <row r="1357" spans="1:6" ht="18" customHeight="1">
      <c r="A1357" s="7">
        <v>1.3</v>
      </c>
      <c r="B1357" s="52" t="s">
        <v>842</v>
      </c>
      <c r="C1357" s="7"/>
      <c r="D1357" s="53">
        <f>F1340</f>
        <v>23747.01225974983</v>
      </c>
      <c r="E1357" s="56">
        <f>E1320</f>
        <v>0</v>
      </c>
      <c r="F1357" s="53">
        <f>D1357*E1357</f>
        <v>0</v>
      </c>
    </row>
    <row r="1358" spans="1:6" ht="18" customHeight="1">
      <c r="A1358" s="7">
        <v>2</v>
      </c>
      <c r="B1358" s="52" t="s">
        <v>182</v>
      </c>
      <c r="C1358" s="7"/>
      <c r="D1358" s="53">
        <f>F1339</f>
        <v>24886.868848217822</v>
      </c>
      <c r="E1358" s="56">
        <f>E1321</f>
        <v>7.0000000000000007E-2</v>
      </c>
      <c r="F1358" s="53">
        <f>D1358*E1358</f>
        <v>1742.0808193752478</v>
      </c>
    </row>
    <row r="1359" spans="1:6" ht="18" customHeight="1">
      <c r="A1359" s="7">
        <v>3</v>
      </c>
      <c r="B1359" s="52" t="s">
        <v>843</v>
      </c>
      <c r="C1359" s="7"/>
      <c r="D1359" s="53">
        <f>F1358+F1339</f>
        <v>26628.949667593071</v>
      </c>
      <c r="E1359" s="56">
        <f>E1322</f>
        <v>7.0000000000000007E-2</v>
      </c>
      <c r="F1359" s="53">
        <f>D1359*E1359</f>
        <v>1864.0264767315152</v>
      </c>
    </row>
    <row r="1360" spans="1:6" ht="18" customHeight="1">
      <c r="A1360" s="7">
        <v>4</v>
      </c>
      <c r="B1360" s="52" t="s">
        <v>184</v>
      </c>
      <c r="C1360" s="7"/>
      <c r="D1360" s="7"/>
      <c r="E1360" s="7"/>
      <c r="F1360" s="53">
        <f>SUM(F1361:F1366)</f>
        <v>4602.7910291611606</v>
      </c>
    </row>
    <row r="1361" spans="1:6" ht="18" customHeight="1">
      <c r="A1361" s="7"/>
      <c r="B1361" s="52" t="s">
        <v>354</v>
      </c>
      <c r="C1361" s="7" t="s">
        <v>88</v>
      </c>
      <c r="D1361" s="7">
        <f>A2</f>
        <v>116.41515</v>
      </c>
      <c r="E1361" s="66">
        <f>E1345*砼配合!I15</f>
        <v>31.641290999999999</v>
      </c>
      <c r="F1361" s="53">
        <f t="shared" ref="F1361:F1367" si="103">D1361*E1361</f>
        <v>3683.5256379586499</v>
      </c>
    </row>
    <row r="1362" spans="1:6" ht="18" customHeight="1">
      <c r="A1362" s="7"/>
      <c r="B1362" s="52" t="s">
        <v>507</v>
      </c>
      <c r="C1362" s="7" t="s">
        <v>871</v>
      </c>
      <c r="D1362" s="66">
        <f>D2</f>
        <v>4.6598683999999899</v>
      </c>
      <c r="E1362" s="66">
        <f>E1345*砼配合!I16</f>
        <v>49.693379999999998</v>
      </c>
      <c r="F1362" s="53">
        <f t="shared" si="103"/>
        <v>231.56461115119149</v>
      </c>
    </row>
    <row r="1363" spans="1:6" ht="18" customHeight="1">
      <c r="A1363" s="7"/>
      <c r="B1363" s="52" t="s">
        <v>509</v>
      </c>
      <c r="C1363" s="7" t="s">
        <v>871</v>
      </c>
      <c r="D1363" s="66">
        <f>E2</f>
        <v>6.2457299999999902</v>
      </c>
      <c r="E1363" s="66">
        <f>E1345*砼配合!I17</f>
        <v>86.667083999999988</v>
      </c>
      <c r="F1363" s="53">
        <f t="shared" si="103"/>
        <v>541.29920655131912</v>
      </c>
    </row>
    <row r="1364" spans="1:6" ht="18" customHeight="1">
      <c r="A1364" s="7"/>
      <c r="B1364" s="52" t="s">
        <v>506</v>
      </c>
      <c r="C1364" s="7" t="s">
        <v>871</v>
      </c>
      <c r="D1364" s="7">
        <f>C2</f>
        <v>0</v>
      </c>
      <c r="E1364" s="66"/>
      <c r="F1364" s="53">
        <f t="shared" si="103"/>
        <v>0</v>
      </c>
    </row>
    <row r="1365" spans="1:6" ht="18" customHeight="1">
      <c r="A1365" s="7"/>
      <c r="B1365" s="52" t="s">
        <v>515</v>
      </c>
      <c r="C1365" s="7" t="s">
        <v>844</v>
      </c>
      <c r="D1365" s="7">
        <f>G2</f>
        <v>4.7450000000000001</v>
      </c>
      <c r="E1365" s="66"/>
      <c r="F1365" s="53">
        <f t="shared" si="103"/>
        <v>0</v>
      </c>
    </row>
    <row r="1366" spans="1:6" ht="18" customHeight="1">
      <c r="A1366" s="7"/>
      <c r="B1366" s="52" t="s">
        <v>516</v>
      </c>
      <c r="C1366" s="7" t="s">
        <v>844</v>
      </c>
      <c r="D1366" s="7">
        <f>H2</f>
        <v>3.51</v>
      </c>
      <c r="E1366" s="66">
        <f>砼配合!I63*台时!AN22*砼单价!E1354/100</f>
        <v>41.709849999999996</v>
      </c>
      <c r="F1366" s="53">
        <f t="shared" si="103"/>
        <v>146.40157349999998</v>
      </c>
    </row>
    <row r="1367" spans="1:6" ht="18" customHeight="1">
      <c r="A1367" s="7">
        <v>5</v>
      </c>
      <c r="B1367" s="52" t="s">
        <v>845</v>
      </c>
      <c r="C1367" s="7"/>
      <c r="D1367" s="53">
        <f>F1339+F1358+F1359+F1360</f>
        <v>33095.76717348575</v>
      </c>
      <c r="E1367" s="56">
        <f>E1330</f>
        <v>0.09</v>
      </c>
      <c r="F1367" s="53">
        <f t="shared" si="103"/>
        <v>2978.6190456137174</v>
      </c>
    </row>
    <row r="1368" spans="1:6" ht="18" customHeight="1">
      <c r="A1368" s="7">
        <v>6</v>
      </c>
      <c r="B1368" s="52" t="s">
        <v>7</v>
      </c>
      <c r="C1368" s="52"/>
      <c r="D1368" s="7"/>
      <c r="E1368" s="7"/>
      <c r="F1368" s="53">
        <f>D1367+F1367</f>
        <v>36074.38621909947</v>
      </c>
    </row>
    <row r="1369" spans="1:6" ht="18" customHeight="1">
      <c r="A1369" s="7"/>
      <c r="B1369" s="52" t="s">
        <v>846</v>
      </c>
      <c r="C1369" s="52"/>
      <c r="D1369" s="53">
        <f>F1368</f>
        <v>36074.38621909947</v>
      </c>
      <c r="E1369" s="56">
        <f>E1332</f>
        <v>0.03</v>
      </c>
      <c r="F1369" s="53">
        <f>E1369*D1369</f>
        <v>1082.231586572984</v>
      </c>
    </row>
    <row r="1370" spans="1:6" ht="18" customHeight="1">
      <c r="A1370" s="7"/>
      <c r="B1370" s="52" t="s">
        <v>44</v>
      </c>
      <c r="C1370" s="52"/>
      <c r="D1370" s="7"/>
      <c r="E1370" s="7"/>
      <c r="F1370" s="53">
        <f>SUM(F1368:F1369)</f>
        <v>37156.617805672453</v>
      </c>
    </row>
    <row r="1371" spans="1:6" ht="22.5" customHeight="1">
      <c r="A1371" s="461" t="s">
        <v>813</v>
      </c>
      <c r="B1371" s="461"/>
      <c r="C1371" s="461"/>
      <c r="D1371" s="461"/>
      <c r="E1371" s="461"/>
      <c r="F1371" s="461"/>
    </row>
    <row r="1372" spans="1:6" ht="18" customHeight="1">
      <c r="A1372" s="481" t="s">
        <v>938</v>
      </c>
      <c r="B1372" s="481"/>
      <c r="C1372" s="481"/>
      <c r="D1372" s="481"/>
      <c r="E1372" s="481"/>
      <c r="F1372" s="481"/>
    </row>
    <row r="1373" spans="1:6" ht="18" customHeight="1">
      <c r="A1373" s="47" t="s">
        <v>815</v>
      </c>
      <c r="B1373" s="49">
        <v>4016</v>
      </c>
      <c r="D1373" s="71"/>
      <c r="E1373" s="47" t="s">
        <v>169</v>
      </c>
      <c r="F1373" s="49" t="s">
        <v>869</v>
      </c>
    </row>
    <row r="1374" spans="1:6" ht="18" customHeight="1">
      <c r="A1374" s="50" t="s">
        <v>817</v>
      </c>
      <c r="B1374" s="482"/>
      <c r="C1374" s="482"/>
      <c r="D1374" s="482"/>
      <c r="E1374" s="482"/>
      <c r="F1374" s="482"/>
    </row>
    <row r="1375" spans="1:6" ht="18" customHeight="1">
      <c r="A1375" s="7" t="s">
        <v>1</v>
      </c>
      <c r="B1375" s="52" t="s">
        <v>344</v>
      </c>
      <c r="C1375" s="7" t="s">
        <v>818</v>
      </c>
      <c r="D1375" s="7" t="s">
        <v>819</v>
      </c>
      <c r="E1375" s="7" t="s">
        <v>820</v>
      </c>
      <c r="F1375" s="7" t="s">
        <v>821</v>
      </c>
    </row>
    <row r="1376" spans="1:6" ht="18" customHeight="1">
      <c r="A1376" s="7">
        <v>1</v>
      </c>
      <c r="B1376" s="52" t="s">
        <v>822</v>
      </c>
      <c r="C1376" s="7"/>
      <c r="D1376" s="7"/>
      <c r="E1376" s="7"/>
      <c r="F1376" s="53">
        <f>F1377+F1404+F1405</f>
        <v>49520.714062388484</v>
      </c>
    </row>
    <row r="1377" spans="1:6" ht="18" customHeight="1">
      <c r="A1377" s="7">
        <v>1.1000000000000001</v>
      </c>
      <c r="B1377" s="52" t="s">
        <v>823</v>
      </c>
      <c r="C1377" s="7"/>
      <c r="D1377" s="7"/>
      <c r="E1377" s="7"/>
      <c r="F1377" s="53">
        <f>F1378+F1381+F1392+F1401+F1402</f>
        <v>47252.589754187487</v>
      </c>
    </row>
    <row r="1378" spans="1:6" ht="18" customHeight="1">
      <c r="A1378" s="7" t="s">
        <v>47</v>
      </c>
      <c r="B1378" s="52" t="s">
        <v>176</v>
      </c>
      <c r="C1378" s="7"/>
      <c r="D1378" s="7"/>
      <c r="E1378" s="7"/>
      <c r="F1378" s="53">
        <f>F1379+F1380</f>
        <v>17382.992999999999</v>
      </c>
    </row>
    <row r="1379" spans="1:6" ht="18" customHeight="1">
      <c r="A1379" s="7"/>
      <c r="B1379" s="52" t="s">
        <v>824</v>
      </c>
      <c r="C1379" s="7" t="s">
        <v>825</v>
      </c>
      <c r="D1379" s="7">
        <v>8.1</v>
      </c>
      <c r="E1379" s="7">
        <v>1660.3</v>
      </c>
      <c r="F1379" s="53">
        <f>D1379*E1379</f>
        <v>13448.43</v>
      </c>
    </row>
    <row r="1380" spans="1:6" ht="18" customHeight="1">
      <c r="A1380" s="7"/>
      <c r="B1380" s="52" t="s">
        <v>826</v>
      </c>
      <c r="C1380" s="7" t="s">
        <v>825</v>
      </c>
      <c r="D1380" s="7">
        <v>5.77</v>
      </c>
      <c r="E1380" s="7">
        <v>681.9</v>
      </c>
      <c r="F1380" s="53">
        <f>D1380*E1380</f>
        <v>3934.5630000000001</v>
      </c>
    </row>
    <row r="1381" spans="1:6" ht="18" customHeight="1">
      <c r="A1381" s="7" t="s">
        <v>57</v>
      </c>
      <c r="B1381" s="52" t="s">
        <v>177</v>
      </c>
      <c r="C1381" s="7"/>
      <c r="D1381" s="7"/>
      <c r="E1381" s="7"/>
      <c r="F1381" s="53">
        <f>SUM(F1382:F1391)</f>
        <v>25135.827282075003</v>
      </c>
    </row>
    <row r="1382" spans="1:6" ht="18" customHeight="1">
      <c r="A1382" s="7"/>
      <c r="B1382" s="52" t="s">
        <v>870</v>
      </c>
      <c r="C1382" s="7" t="s">
        <v>871</v>
      </c>
      <c r="D1382" s="7">
        <f>材料预算价格表!L8</f>
        <v>1874.0778</v>
      </c>
      <c r="E1382" s="7">
        <v>0.66</v>
      </c>
      <c r="F1382" s="53">
        <f t="shared" ref="F1382:F1390" si="104">D1382*E1382</f>
        <v>1236.8913480000001</v>
      </c>
    </row>
    <row r="1383" spans="1:6" ht="18" customHeight="1">
      <c r="A1383" s="7"/>
      <c r="B1383" s="52" t="s">
        <v>375</v>
      </c>
      <c r="C1383" s="7" t="s">
        <v>844</v>
      </c>
      <c r="D1383" s="7">
        <f>次要材料汇总!F9</f>
        <v>6</v>
      </c>
      <c r="E1383" s="7">
        <v>334.17</v>
      </c>
      <c r="F1383" s="53">
        <f t="shared" si="104"/>
        <v>2005.02</v>
      </c>
    </row>
    <row r="1384" spans="1:6" ht="18" customHeight="1">
      <c r="A1384" s="7"/>
      <c r="B1384" s="52" t="s">
        <v>873</v>
      </c>
      <c r="C1384" s="7" t="s">
        <v>844</v>
      </c>
      <c r="D1384" s="7">
        <f>次要材料汇总!F10</f>
        <v>5.5</v>
      </c>
      <c r="E1384" s="7">
        <v>225.97</v>
      </c>
      <c r="F1384" s="53">
        <f t="shared" si="104"/>
        <v>1242.835</v>
      </c>
    </row>
    <row r="1385" spans="1:6" ht="18" customHeight="1">
      <c r="A1385" s="7"/>
      <c r="B1385" s="52" t="s">
        <v>874</v>
      </c>
      <c r="C1385" s="7" t="s">
        <v>844</v>
      </c>
      <c r="D1385" s="7">
        <f>次要材料汇总!F11</f>
        <v>6.5</v>
      </c>
      <c r="E1385" s="7">
        <v>175.66</v>
      </c>
      <c r="F1385" s="53">
        <f t="shared" si="104"/>
        <v>1141.79</v>
      </c>
    </row>
    <row r="1386" spans="1:6" ht="18" customHeight="1">
      <c r="A1386" s="7"/>
      <c r="B1386" s="52" t="s">
        <v>875</v>
      </c>
      <c r="C1386" s="7" t="s">
        <v>844</v>
      </c>
      <c r="D1386" s="7">
        <f>次要材料汇总!F5</f>
        <v>8</v>
      </c>
      <c r="E1386" s="7">
        <v>0</v>
      </c>
      <c r="F1386" s="53">
        <f t="shared" si="104"/>
        <v>0</v>
      </c>
    </row>
    <row r="1387" spans="1:6" ht="18" customHeight="1">
      <c r="A1387" s="7"/>
      <c r="B1387" s="52" t="s">
        <v>372</v>
      </c>
      <c r="C1387" s="7" t="s">
        <v>844</v>
      </c>
      <c r="D1387" s="7">
        <f>次要材料汇总!F6</f>
        <v>7.4</v>
      </c>
      <c r="E1387" s="7">
        <v>0</v>
      </c>
      <c r="F1387" s="53">
        <f t="shared" si="104"/>
        <v>0</v>
      </c>
    </row>
    <row r="1388" spans="1:6" ht="18" customHeight="1">
      <c r="A1388" s="7"/>
      <c r="B1388" s="52" t="s">
        <v>876</v>
      </c>
      <c r="C1388" s="7" t="s">
        <v>844</v>
      </c>
      <c r="D1388" s="7">
        <f>次要材料汇总!F12</f>
        <v>7.5</v>
      </c>
      <c r="E1388" s="7">
        <v>0</v>
      </c>
      <c r="F1388" s="53">
        <f t="shared" si="104"/>
        <v>0</v>
      </c>
    </row>
    <row r="1389" spans="1:6" ht="18" customHeight="1">
      <c r="A1389" s="7"/>
      <c r="B1389" s="52" t="s">
        <v>877</v>
      </c>
      <c r="C1389" s="7" t="s">
        <v>871</v>
      </c>
      <c r="D1389" s="66">
        <f>砼配合!J8</f>
        <v>183.29938899999999</v>
      </c>
      <c r="E1389" s="7">
        <v>103</v>
      </c>
      <c r="F1389" s="53">
        <f t="shared" si="104"/>
        <v>18879.837067</v>
      </c>
    </row>
    <row r="1390" spans="1:6" ht="18" customHeight="1">
      <c r="A1390" s="7"/>
      <c r="B1390" s="52" t="s">
        <v>806</v>
      </c>
      <c r="C1390" s="7" t="s">
        <v>871</v>
      </c>
      <c r="D1390" s="66">
        <f>材料预算价格表!K15</f>
        <v>3.88</v>
      </c>
      <c r="E1390" s="7">
        <v>130</v>
      </c>
      <c r="F1390" s="53">
        <f t="shared" si="104"/>
        <v>504.4</v>
      </c>
    </row>
    <row r="1391" spans="1:6" ht="18" customHeight="1">
      <c r="A1391" s="7"/>
      <c r="B1391" s="52" t="s">
        <v>833</v>
      </c>
      <c r="C1391" s="7" t="s">
        <v>834</v>
      </c>
      <c r="D1391" s="66">
        <f>SUM(F1382:F1390)</f>
        <v>25010.773415000003</v>
      </c>
      <c r="E1391" s="7">
        <v>0.5</v>
      </c>
      <c r="F1391" s="53">
        <f>D1391*E1391/100</f>
        <v>125.05386707500001</v>
      </c>
    </row>
    <row r="1392" spans="1:6" ht="18" customHeight="1">
      <c r="A1392" s="7" t="s">
        <v>835</v>
      </c>
      <c r="B1392" s="52" t="s">
        <v>836</v>
      </c>
      <c r="C1392" s="7"/>
      <c r="D1392" s="7"/>
      <c r="E1392" s="7"/>
      <c r="F1392" s="53">
        <f>SUM(F1393:F1400)</f>
        <v>3608.5587314688601</v>
      </c>
    </row>
    <row r="1393" spans="1:6" ht="18" customHeight="1">
      <c r="A1393" s="7"/>
      <c r="B1393" s="52" t="s">
        <v>939</v>
      </c>
      <c r="C1393" s="7" t="s">
        <v>863</v>
      </c>
      <c r="D1393" s="66">
        <f>施工机械台时汇总!C42</f>
        <v>49.210305522914197</v>
      </c>
      <c r="E1393" s="7">
        <v>1.42</v>
      </c>
      <c r="F1393" s="53">
        <f t="shared" ref="F1393:F1399" si="105">D1393*E1393</f>
        <v>69.87863384253815</v>
      </c>
    </row>
    <row r="1394" spans="1:6" ht="18" customHeight="1">
      <c r="A1394" s="7"/>
      <c r="B1394" s="52" t="s">
        <v>940</v>
      </c>
      <c r="C1394" s="7" t="s">
        <v>863</v>
      </c>
      <c r="D1394" s="66">
        <f>施工机械台时汇总!C57</f>
        <v>62.128971797884901</v>
      </c>
      <c r="E1394" s="7">
        <v>0</v>
      </c>
      <c r="F1394" s="53">
        <f t="shared" si="105"/>
        <v>0</v>
      </c>
    </row>
    <row r="1395" spans="1:6" ht="18" customHeight="1">
      <c r="A1395" s="7"/>
      <c r="B1395" s="52" t="s">
        <v>941</v>
      </c>
      <c r="C1395" s="7" t="s">
        <v>863</v>
      </c>
      <c r="D1395" s="66">
        <f>施工机械台时汇总!C55</f>
        <v>113.9611292596945</v>
      </c>
      <c r="E1395" s="7">
        <v>0</v>
      </c>
      <c r="F1395" s="53">
        <f t="shared" si="105"/>
        <v>0</v>
      </c>
    </row>
    <row r="1396" spans="1:6" ht="18" customHeight="1">
      <c r="A1396" s="7"/>
      <c r="B1396" s="52" t="s">
        <v>942</v>
      </c>
      <c r="C1396" s="7" t="s">
        <v>863</v>
      </c>
      <c r="D1396" s="66">
        <f>施工机械台时汇总!C31</f>
        <v>43.447247943595769</v>
      </c>
      <c r="E1396" s="7">
        <v>50.8</v>
      </c>
      <c r="F1396" s="53">
        <f t="shared" si="105"/>
        <v>2207.1201955346651</v>
      </c>
    </row>
    <row r="1397" spans="1:6" ht="18" customHeight="1">
      <c r="A1397" s="7"/>
      <c r="B1397" s="52" t="s">
        <v>943</v>
      </c>
      <c r="C1397" s="7" t="s">
        <v>863</v>
      </c>
      <c r="D1397" s="66">
        <f>施工机械台时汇总!C21</f>
        <v>28.129680376028197</v>
      </c>
      <c r="E1397" s="7">
        <v>18.54</v>
      </c>
      <c r="F1397" s="53">
        <f t="shared" si="105"/>
        <v>521.52427417156275</v>
      </c>
    </row>
    <row r="1398" spans="1:6" ht="18" customHeight="1">
      <c r="A1398" s="7"/>
      <c r="B1398" s="52" t="s">
        <v>944</v>
      </c>
      <c r="C1398" s="7" t="s">
        <v>863</v>
      </c>
      <c r="D1398" s="66">
        <f>施工机械台时汇总!C24</f>
        <v>2.2013599686643204</v>
      </c>
      <c r="E1398" s="7">
        <v>49.97</v>
      </c>
      <c r="F1398" s="53">
        <f t="shared" si="105"/>
        <v>110.00195763415608</v>
      </c>
    </row>
    <row r="1399" spans="1:6" ht="18" customHeight="1">
      <c r="A1399" s="7"/>
      <c r="B1399" s="52" t="s">
        <v>407</v>
      </c>
      <c r="C1399" s="7" t="s">
        <v>863</v>
      </c>
      <c r="D1399" s="66">
        <f>施工机械台时汇总!C19</f>
        <v>0.80266353309831595</v>
      </c>
      <c r="E1399" s="7">
        <v>122.85</v>
      </c>
      <c r="F1399" s="53">
        <f t="shared" si="105"/>
        <v>98.607215041128114</v>
      </c>
    </row>
    <row r="1400" spans="1:6" ht="18" customHeight="1">
      <c r="A1400" s="7"/>
      <c r="B1400" s="52" t="s">
        <v>840</v>
      </c>
      <c r="C1400" s="7" t="s">
        <v>834</v>
      </c>
      <c r="D1400" s="66">
        <f>SUM(F1393:F1399)</f>
        <v>3007.1322762240502</v>
      </c>
      <c r="E1400" s="7">
        <v>20</v>
      </c>
      <c r="F1400" s="53">
        <f>D1400*E1400/100</f>
        <v>601.42645524481009</v>
      </c>
    </row>
    <row r="1401" spans="1:6" ht="18" customHeight="1">
      <c r="A1401" s="7" t="s">
        <v>884</v>
      </c>
      <c r="B1401" s="52" t="s">
        <v>885</v>
      </c>
      <c r="C1401" s="7" t="s">
        <v>871</v>
      </c>
      <c r="D1401" s="66">
        <f>砼配合!J52/100</f>
        <v>5.0269138732471603</v>
      </c>
      <c r="E1401" s="7">
        <v>103</v>
      </c>
      <c r="F1401" s="53">
        <f>D1401*E1401</f>
        <v>517.77212894445756</v>
      </c>
    </row>
    <row r="1402" spans="1:6" ht="18" customHeight="1">
      <c r="A1402" s="7" t="s">
        <v>886</v>
      </c>
      <c r="B1402" s="52" t="s">
        <v>887</v>
      </c>
      <c r="C1402" s="7" t="s">
        <v>871</v>
      </c>
      <c r="D1402" s="66">
        <f>砼配合!J65/100</f>
        <v>5.8974622495064617</v>
      </c>
      <c r="E1402" s="7">
        <v>103</v>
      </c>
      <c r="F1402" s="53">
        <f>D1402*E1402</f>
        <v>607.43861169916556</v>
      </c>
    </row>
    <row r="1403" spans="1:6" ht="18" customHeight="1">
      <c r="A1403" s="7"/>
      <c r="B1403" s="52"/>
      <c r="C1403" s="7"/>
      <c r="D1403" s="7"/>
      <c r="E1403" s="7"/>
      <c r="F1403" s="53"/>
    </row>
    <row r="1404" spans="1:6" ht="18" customHeight="1">
      <c r="A1404" s="7">
        <v>1.2</v>
      </c>
      <c r="B1404" s="52" t="s">
        <v>841</v>
      </c>
      <c r="C1404" s="7"/>
      <c r="D1404" s="53">
        <f>F1377</f>
        <v>47252.589754187487</v>
      </c>
      <c r="E1404" s="56">
        <f>E1356</f>
        <v>4.8000000000000001E-2</v>
      </c>
      <c r="F1404" s="53">
        <f>D1404*E1404</f>
        <v>2268.1243082009996</v>
      </c>
    </row>
    <row r="1405" spans="1:6" ht="18" customHeight="1">
      <c r="A1405" s="7">
        <v>1.3</v>
      </c>
      <c r="B1405" s="52" t="s">
        <v>842</v>
      </c>
      <c r="C1405" s="7"/>
      <c r="D1405" s="53">
        <f>F1377</f>
        <v>47252.589754187487</v>
      </c>
      <c r="E1405" s="56">
        <f>E1357</f>
        <v>0</v>
      </c>
      <c r="F1405" s="53">
        <f>D1405*E1405</f>
        <v>0</v>
      </c>
    </row>
    <row r="1406" spans="1:6" ht="18" customHeight="1">
      <c r="A1406" s="7">
        <v>2</v>
      </c>
      <c r="B1406" s="52" t="s">
        <v>182</v>
      </c>
      <c r="C1406" s="7"/>
      <c r="D1406" s="53">
        <f>F1376</f>
        <v>49520.714062388484</v>
      </c>
      <c r="E1406" s="56">
        <f>E1358</f>
        <v>7.0000000000000007E-2</v>
      </c>
      <c r="F1406" s="53">
        <f>D1406*E1406</f>
        <v>3466.4499843671942</v>
      </c>
    </row>
    <row r="1407" spans="1:6" ht="18" customHeight="1">
      <c r="A1407" s="7">
        <v>3</v>
      </c>
      <c r="B1407" s="52" t="s">
        <v>843</v>
      </c>
      <c r="C1407" s="7"/>
      <c r="D1407" s="53">
        <f>F1406+F1376</f>
        <v>52987.164046755679</v>
      </c>
      <c r="E1407" s="56">
        <f>E1359</f>
        <v>7.0000000000000007E-2</v>
      </c>
      <c r="F1407" s="53">
        <f>D1407*E1407</f>
        <v>3709.1014832728979</v>
      </c>
    </row>
    <row r="1408" spans="1:6" ht="18" customHeight="1">
      <c r="A1408" s="7">
        <v>4</v>
      </c>
      <c r="B1408" s="52" t="s">
        <v>184</v>
      </c>
      <c r="C1408" s="7"/>
      <c r="D1408" s="7"/>
      <c r="E1408" s="7"/>
      <c r="F1408" s="53">
        <f>SUM(F1409:F1414)</f>
        <v>5068.434675083713</v>
      </c>
    </row>
    <row r="1409" spans="1:6" ht="18" customHeight="1">
      <c r="A1409" s="7"/>
      <c r="B1409" s="52" t="s">
        <v>354</v>
      </c>
      <c r="C1409" s="7" t="s">
        <v>88</v>
      </c>
      <c r="D1409" s="66">
        <f>A2</f>
        <v>116.41515</v>
      </c>
      <c r="E1409" s="66">
        <f>E1389*砼配合!I9</f>
        <v>35.035758999999999</v>
      </c>
      <c r="F1409" s="53">
        <f t="shared" ref="F1409:F1415" si="106">D1409*E1409</f>
        <v>4078.6931393488499</v>
      </c>
    </row>
    <row r="1410" spans="1:6" ht="18" customHeight="1">
      <c r="A1410" s="7"/>
      <c r="B1410" s="52" t="s">
        <v>507</v>
      </c>
      <c r="C1410" s="7" t="s">
        <v>871</v>
      </c>
      <c r="D1410" s="66">
        <f>D2</f>
        <v>4.6598683999999899</v>
      </c>
      <c r="E1410" s="66">
        <f>E1389*砼配合!I10</f>
        <v>54.406660000000002</v>
      </c>
      <c r="F1410" s="53">
        <f t="shared" si="106"/>
        <v>253.52787568354347</v>
      </c>
    </row>
    <row r="1411" spans="1:6" ht="18" customHeight="1">
      <c r="A1411" s="7"/>
      <c r="B1411" s="52" t="s">
        <v>509</v>
      </c>
      <c r="C1411" s="7" t="s">
        <v>871</v>
      </c>
      <c r="D1411" s="66">
        <f>E2</f>
        <v>6.2457299999999902</v>
      </c>
      <c r="E1411" s="66">
        <f>E1389*砼配合!I11</f>
        <v>86.667083999999988</v>
      </c>
      <c r="F1411" s="53">
        <f t="shared" si="106"/>
        <v>541.29920655131912</v>
      </c>
    </row>
    <row r="1412" spans="1:6" ht="18" customHeight="1">
      <c r="A1412" s="7"/>
      <c r="B1412" s="52" t="s">
        <v>506</v>
      </c>
      <c r="C1412" s="7" t="s">
        <v>871</v>
      </c>
      <c r="D1412" s="7">
        <f>C2</f>
        <v>0</v>
      </c>
      <c r="E1412" s="66">
        <f>E1382</f>
        <v>0.66</v>
      </c>
      <c r="F1412" s="53">
        <f t="shared" si="106"/>
        <v>0</v>
      </c>
    </row>
    <row r="1413" spans="1:6" ht="18" customHeight="1">
      <c r="A1413" s="7"/>
      <c r="B1413" s="52" t="s">
        <v>515</v>
      </c>
      <c r="C1413" s="7" t="s">
        <v>844</v>
      </c>
      <c r="D1413" s="7">
        <f>G2</f>
        <v>4.7450000000000001</v>
      </c>
      <c r="E1413" s="66">
        <f>台时!AK19*砼单价!E1393+E1394*台时!AZ19</f>
        <v>10.224</v>
      </c>
      <c r="F1413" s="53">
        <f t="shared" si="106"/>
        <v>48.512880000000003</v>
      </c>
    </row>
    <row r="1414" spans="1:6" ht="18" customHeight="1">
      <c r="A1414" s="7"/>
      <c r="B1414" s="52" t="s">
        <v>516</v>
      </c>
      <c r="C1414" s="7" t="s">
        <v>844</v>
      </c>
      <c r="D1414" s="7">
        <f>H2</f>
        <v>3.51</v>
      </c>
      <c r="E1414" s="66">
        <f>砼配合!I63*台时!AN22*砼单价!E1402/100</f>
        <v>41.709849999999996</v>
      </c>
      <c r="F1414" s="53">
        <f t="shared" si="106"/>
        <v>146.40157349999998</v>
      </c>
    </row>
    <row r="1415" spans="1:6" ht="18" customHeight="1">
      <c r="A1415" s="7">
        <v>5</v>
      </c>
      <c r="B1415" s="52" t="s">
        <v>845</v>
      </c>
      <c r="C1415" s="7"/>
      <c r="D1415" s="53">
        <f>F1376+F1406+F1407+F1408</f>
        <v>61764.700205112291</v>
      </c>
      <c r="E1415" s="56">
        <f>E1367</f>
        <v>0.09</v>
      </c>
      <c r="F1415" s="53">
        <f t="shared" si="106"/>
        <v>5558.8230184601061</v>
      </c>
    </row>
    <row r="1416" spans="1:6" ht="18" customHeight="1">
      <c r="A1416" s="7">
        <v>6</v>
      </c>
      <c r="B1416" s="52" t="s">
        <v>809</v>
      </c>
      <c r="C1416" s="7"/>
      <c r="D1416" s="7"/>
      <c r="E1416" s="75"/>
      <c r="F1416" s="53">
        <f>D1415+F1415</f>
        <v>67323.523223572396</v>
      </c>
    </row>
    <row r="1417" spans="1:6" ht="18" customHeight="1">
      <c r="A1417" s="7"/>
      <c r="B1417" s="52" t="s">
        <v>846</v>
      </c>
      <c r="C1417" s="7"/>
      <c r="D1417" s="66">
        <f>F1416</f>
        <v>67323.523223572396</v>
      </c>
      <c r="E1417" s="56">
        <f>E1369</f>
        <v>0.03</v>
      </c>
      <c r="F1417" s="53">
        <f>D1417*E1417</f>
        <v>2019.7056967071719</v>
      </c>
    </row>
    <row r="1418" spans="1:6" ht="18" customHeight="1">
      <c r="A1418" s="7"/>
      <c r="B1418" s="52" t="s">
        <v>7</v>
      </c>
      <c r="C1418" s="7"/>
      <c r="D1418" s="7"/>
      <c r="E1418" s="7"/>
      <c r="F1418" s="53">
        <f>SUM(F1416:F1417)</f>
        <v>69343.228920279566</v>
      </c>
    </row>
    <row r="1419" spans="1:6" ht="22.5" customHeight="1">
      <c r="A1419" s="461" t="s">
        <v>813</v>
      </c>
      <c r="B1419" s="461"/>
      <c r="C1419" s="461"/>
      <c r="D1419" s="461"/>
      <c r="E1419" s="461"/>
      <c r="F1419" s="461"/>
    </row>
    <row r="1420" spans="1:6" ht="18" customHeight="1">
      <c r="A1420" s="481" t="s">
        <v>945</v>
      </c>
      <c r="B1420" s="481"/>
      <c r="C1420" s="481"/>
      <c r="D1420" s="481"/>
      <c r="E1420" s="481"/>
      <c r="F1420" s="481"/>
    </row>
    <row r="1421" spans="1:6" ht="18" customHeight="1">
      <c r="A1421" s="47" t="s">
        <v>815</v>
      </c>
      <c r="B1421" s="49">
        <v>4008</v>
      </c>
      <c r="D1421" s="71"/>
      <c r="E1421" s="47" t="s">
        <v>169</v>
      </c>
      <c r="F1421" s="49" t="s">
        <v>869</v>
      </c>
    </row>
    <row r="1422" spans="1:6" ht="18" customHeight="1">
      <c r="A1422" s="50" t="s">
        <v>817</v>
      </c>
      <c r="B1422" s="482"/>
      <c r="C1422" s="482"/>
      <c r="D1422" s="482"/>
      <c r="E1422" s="482"/>
      <c r="F1422" s="482"/>
    </row>
    <row r="1423" spans="1:6" ht="18" customHeight="1">
      <c r="A1423" s="7" t="s">
        <v>1</v>
      </c>
      <c r="B1423" s="52" t="s">
        <v>344</v>
      </c>
      <c r="C1423" s="7" t="s">
        <v>818</v>
      </c>
      <c r="D1423" s="7" t="s">
        <v>819</v>
      </c>
      <c r="E1423" s="7" t="s">
        <v>820</v>
      </c>
      <c r="F1423" s="7" t="s">
        <v>821</v>
      </c>
    </row>
    <row r="1424" spans="1:6" ht="18" customHeight="1">
      <c r="A1424" s="7">
        <v>1</v>
      </c>
      <c r="B1424" s="52" t="s">
        <v>822</v>
      </c>
      <c r="C1424" s="7"/>
      <c r="D1424" s="7"/>
      <c r="E1424" s="7"/>
      <c r="F1424" s="53">
        <f>F1425+F1452+F1453</f>
        <v>67534.5968719542</v>
      </c>
    </row>
    <row r="1425" spans="1:6" ht="18" customHeight="1">
      <c r="A1425" s="7">
        <v>1.1000000000000001</v>
      </c>
      <c r="B1425" s="52" t="s">
        <v>823</v>
      </c>
      <c r="C1425" s="7"/>
      <c r="D1425" s="7"/>
      <c r="E1425" s="7"/>
      <c r="F1425" s="53">
        <f>F1426+F1429+F1440+F1449+F1450</f>
        <v>64441.40922896393</v>
      </c>
    </row>
    <row r="1426" spans="1:6" ht="18" customHeight="1">
      <c r="A1426" s="7" t="s">
        <v>47</v>
      </c>
      <c r="B1426" s="52" t="s">
        <v>176</v>
      </c>
      <c r="C1426" s="7"/>
      <c r="D1426" s="7"/>
      <c r="E1426" s="7"/>
      <c r="F1426" s="53">
        <f>F1427+F1428</f>
        <v>24481.832999999999</v>
      </c>
    </row>
    <row r="1427" spans="1:6" ht="18" customHeight="1">
      <c r="A1427" s="7"/>
      <c r="B1427" s="52" t="s">
        <v>824</v>
      </c>
      <c r="C1427" s="7" t="s">
        <v>825</v>
      </c>
      <c r="D1427" s="7">
        <v>8.1</v>
      </c>
      <c r="E1427" s="7">
        <v>2536.6999999999998</v>
      </c>
      <c r="F1427" s="53">
        <f>D1427*E1427</f>
        <v>20547.27</v>
      </c>
    </row>
    <row r="1428" spans="1:6" ht="18" customHeight="1">
      <c r="A1428" s="7"/>
      <c r="B1428" s="52" t="s">
        <v>826</v>
      </c>
      <c r="C1428" s="7" t="s">
        <v>825</v>
      </c>
      <c r="D1428" s="7">
        <v>5.77</v>
      </c>
      <c r="E1428" s="7">
        <v>681.9</v>
      </c>
      <c r="F1428" s="53">
        <f>D1428*E1428</f>
        <v>3934.5630000000001</v>
      </c>
    </row>
    <row r="1429" spans="1:6" ht="18" customHeight="1">
      <c r="A1429" s="7" t="s">
        <v>57</v>
      </c>
      <c r="B1429" s="52" t="s">
        <v>177</v>
      </c>
      <c r="C1429" s="7"/>
      <c r="D1429" s="7"/>
      <c r="E1429" s="7"/>
      <c r="F1429" s="53">
        <f>SUM(F1430:F1439)</f>
        <v>35633.118730664995</v>
      </c>
    </row>
    <row r="1430" spans="1:6" ht="18" customHeight="1">
      <c r="A1430" s="7"/>
      <c r="B1430" s="52" t="s">
        <v>870</v>
      </c>
      <c r="C1430" s="7" t="s">
        <v>871</v>
      </c>
      <c r="D1430" s="7">
        <f>材料预算价格表!L8</f>
        <v>1874.0778</v>
      </c>
      <c r="E1430" s="7">
        <v>0.97</v>
      </c>
      <c r="F1430" s="53">
        <f t="shared" ref="F1430:F1438" si="107">D1430*E1430</f>
        <v>1817.855466</v>
      </c>
    </row>
    <row r="1431" spans="1:6" ht="18" customHeight="1">
      <c r="A1431" s="7"/>
      <c r="B1431" s="52" t="s">
        <v>375</v>
      </c>
      <c r="C1431" s="7" t="s">
        <v>844</v>
      </c>
      <c r="D1431" s="7">
        <f>次要材料汇总!F9</f>
        <v>6</v>
      </c>
      <c r="E1431" s="7">
        <v>348.2</v>
      </c>
      <c r="F1431" s="53">
        <f t="shared" si="107"/>
        <v>2089.1999999999998</v>
      </c>
    </row>
    <row r="1432" spans="1:6" ht="18" customHeight="1">
      <c r="A1432" s="7"/>
      <c r="B1432" s="52" t="s">
        <v>873</v>
      </c>
      <c r="C1432" s="7" t="s">
        <v>844</v>
      </c>
      <c r="D1432" s="7">
        <f>次要材料汇总!F10</f>
        <v>5.5</v>
      </c>
      <c r="E1432" s="7">
        <v>159.47</v>
      </c>
      <c r="F1432" s="53">
        <f t="shared" si="107"/>
        <v>877.08500000000004</v>
      </c>
    </row>
    <row r="1433" spans="1:6" ht="18" customHeight="1">
      <c r="A1433" s="7"/>
      <c r="B1433" s="52" t="s">
        <v>874</v>
      </c>
      <c r="C1433" s="7" t="s">
        <v>844</v>
      </c>
      <c r="D1433" s="7">
        <f>次要材料汇总!F11</f>
        <v>6.5</v>
      </c>
      <c r="E1433" s="7">
        <v>137.19</v>
      </c>
      <c r="F1433" s="53">
        <f t="shared" si="107"/>
        <v>891.73500000000001</v>
      </c>
    </row>
    <row r="1434" spans="1:6" ht="18" customHeight="1">
      <c r="A1434" s="7"/>
      <c r="B1434" s="52" t="s">
        <v>875</v>
      </c>
      <c r="C1434" s="7" t="s">
        <v>844</v>
      </c>
      <c r="D1434" s="7">
        <f>次要材料汇总!F5</f>
        <v>8</v>
      </c>
      <c r="E1434" s="7">
        <v>131.69999999999999</v>
      </c>
      <c r="F1434" s="53">
        <f t="shared" si="107"/>
        <v>1053.5999999999999</v>
      </c>
    </row>
    <row r="1435" spans="1:6" ht="18" customHeight="1">
      <c r="A1435" s="7"/>
      <c r="B1435" s="52" t="s">
        <v>372</v>
      </c>
      <c r="C1435" s="7" t="s">
        <v>844</v>
      </c>
      <c r="D1435" s="7">
        <f>次要材料汇总!F6</f>
        <v>7.4</v>
      </c>
      <c r="E1435" s="7">
        <v>1257.98</v>
      </c>
      <c r="F1435" s="53">
        <f t="shared" si="107"/>
        <v>9309.0519999999997</v>
      </c>
    </row>
    <row r="1436" spans="1:6" ht="18" customHeight="1">
      <c r="A1436" s="7"/>
      <c r="B1436" s="52" t="s">
        <v>876</v>
      </c>
      <c r="C1436" s="7" t="s">
        <v>844</v>
      </c>
      <c r="D1436" s="7">
        <f>次要材料汇总!F12</f>
        <v>7.5</v>
      </c>
      <c r="E1436" s="7">
        <v>4.41</v>
      </c>
      <c r="F1436" s="53">
        <f t="shared" si="107"/>
        <v>33.075000000000003</v>
      </c>
    </row>
    <row r="1437" spans="1:6" ht="18" customHeight="1">
      <c r="A1437" s="7"/>
      <c r="B1437" s="52" t="s">
        <v>877</v>
      </c>
      <c r="C1437" s="7" t="s">
        <v>871</v>
      </c>
      <c r="D1437" s="66">
        <f>砼配合!J8</f>
        <v>183.29938899999999</v>
      </c>
      <c r="E1437" s="7">
        <v>103</v>
      </c>
      <c r="F1437" s="53">
        <f t="shared" si="107"/>
        <v>18879.837067</v>
      </c>
    </row>
    <row r="1438" spans="1:6" ht="18" customHeight="1">
      <c r="A1438" s="7"/>
      <c r="B1438" s="52" t="s">
        <v>806</v>
      </c>
      <c r="C1438" s="7" t="s">
        <v>871</v>
      </c>
      <c r="D1438" s="66">
        <f>材料预算价格表!K15</f>
        <v>3.88</v>
      </c>
      <c r="E1438" s="7">
        <v>130</v>
      </c>
      <c r="F1438" s="53">
        <f t="shared" si="107"/>
        <v>504.4</v>
      </c>
    </row>
    <row r="1439" spans="1:6" ht="18" customHeight="1">
      <c r="A1439" s="7"/>
      <c r="B1439" s="52" t="s">
        <v>833</v>
      </c>
      <c r="C1439" s="7" t="s">
        <v>834</v>
      </c>
      <c r="D1439" s="66">
        <f>SUM(F1430:F1438)</f>
        <v>35455.839532999998</v>
      </c>
      <c r="E1439" s="7">
        <v>0.5</v>
      </c>
      <c r="F1439" s="53">
        <f>D1439*E1439/100</f>
        <v>177.279197665</v>
      </c>
    </row>
    <row r="1440" spans="1:6" ht="18" customHeight="1">
      <c r="A1440" s="7" t="s">
        <v>835</v>
      </c>
      <c r="B1440" s="52" t="s">
        <v>836</v>
      </c>
      <c r="C1440" s="7"/>
      <c r="D1440" s="7"/>
      <c r="E1440" s="7"/>
      <c r="F1440" s="53">
        <f>SUM(F1441:F1448)</f>
        <v>3201.2467576553076</v>
      </c>
    </row>
    <row r="1441" spans="1:6" ht="18" customHeight="1">
      <c r="A1441" s="7"/>
      <c r="B1441" s="52" t="s">
        <v>939</v>
      </c>
      <c r="C1441" s="7" t="s">
        <v>863</v>
      </c>
      <c r="D1441" s="66">
        <f>施工机械台时汇总!C42</f>
        <v>49.210305522914197</v>
      </c>
      <c r="E1441" s="7">
        <v>1.38</v>
      </c>
      <c r="F1441" s="53">
        <f t="shared" ref="F1441:F1447" si="108">D1441*E1441</f>
        <v>67.910221621621588</v>
      </c>
    </row>
    <row r="1442" spans="1:6" ht="18" customHeight="1">
      <c r="A1442" s="7"/>
      <c r="B1442" s="52" t="s">
        <v>940</v>
      </c>
      <c r="C1442" s="7" t="s">
        <v>863</v>
      </c>
      <c r="D1442" s="66">
        <f>施工机械台时汇总!C57</f>
        <v>62.128971797884901</v>
      </c>
      <c r="E1442" s="7">
        <v>0</v>
      </c>
      <c r="F1442" s="53">
        <f t="shared" si="108"/>
        <v>0</v>
      </c>
    </row>
    <row r="1443" spans="1:6" ht="18" customHeight="1">
      <c r="A1443" s="7"/>
      <c r="B1443" s="52" t="s">
        <v>946</v>
      </c>
      <c r="C1443" s="7" t="s">
        <v>863</v>
      </c>
      <c r="D1443" s="66">
        <f>施工机械台时汇总!C40</f>
        <v>15.582226792009401</v>
      </c>
      <c r="E1443" s="7">
        <v>6.6</v>
      </c>
      <c r="F1443" s="53">
        <f t="shared" si="108"/>
        <v>102.84269682726205</v>
      </c>
    </row>
    <row r="1444" spans="1:6" ht="18" customHeight="1">
      <c r="A1444" s="7"/>
      <c r="B1444" s="52" t="s">
        <v>942</v>
      </c>
      <c r="C1444" s="7" t="s">
        <v>863</v>
      </c>
      <c r="D1444" s="66">
        <f>施工机械台时汇总!C31</f>
        <v>43.447247943595769</v>
      </c>
      <c r="E1444" s="7">
        <v>50.8</v>
      </c>
      <c r="F1444" s="53">
        <f t="shared" si="108"/>
        <v>2207.1201955346651</v>
      </c>
    </row>
    <row r="1445" spans="1:6" ht="18" customHeight="1">
      <c r="A1445" s="7"/>
      <c r="B1445" s="52" t="s">
        <v>943</v>
      </c>
      <c r="C1445" s="7" t="s">
        <v>863</v>
      </c>
      <c r="D1445" s="66">
        <f>施工机械台时汇总!C21</f>
        <v>28.129680376028197</v>
      </c>
      <c r="E1445" s="7">
        <v>18.54</v>
      </c>
      <c r="F1445" s="53">
        <f t="shared" si="108"/>
        <v>521.52427417156275</v>
      </c>
    </row>
    <row r="1446" spans="1:6" ht="18" customHeight="1">
      <c r="A1446" s="7"/>
      <c r="B1446" s="52" t="s">
        <v>944</v>
      </c>
      <c r="C1446" s="7" t="s">
        <v>863</v>
      </c>
      <c r="D1446" s="66">
        <f>施工机械台时汇总!C24</f>
        <v>2.2013599686643204</v>
      </c>
      <c r="E1446" s="7">
        <v>49.97</v>
      </c>
      <c r="F1446" s="53">
        <f t="shared" si="108"/>
        <v>110.00195763415608</v>
      </c>
    </row>
    <row r="1447" spans="1:6" ht="18" customHeight="1">
      <c r="A1447" s="7"/>
      <c r="B1447" s="52" t="s">
        <v>407</v>
      </c>
      <c r="C1447" s="7" t="s">
        <v>863</v>
      </c>
      <c r="D1447" s="66">
        <f>施工机械台时汇总!C19</f>
        <v>0.80266353309831595</v>
      </c>
      <c r="E1447" s="7">
        <v>122.85</v>
      </c>
      <c r="F1447" s="53">
        <f t="shared" si="108"/>
        <v>98.607215041128114</v>
      </c>
    </row>
    <row r="1448" spans="1:6" ht="18" customHeight="1">
      <c r="A1448" s="7"/>
      <c r="B1448" s="52" t="s">
        <v>840</v>
      </c>
      <c r="C1448" s="7" t="s">
        <v>834</v>
      </c>
      <c r="D1448" s="66">
        <f>SUM(F1441:F1447)</f>
        <v>3108.0065608303958</v>
      </c>
      <c r="E1448" s="7">
        <v>3</v>
      </c>
      <c r="F1448" s="53">
        <f>D1448*E1448/100</f>
        <v>93.240196824911877</v>
      </c>
    </row>
    <row r="1449" spans="1:6" ht="18" customHeight="1">
      <c r="A1449" s="7" t="s">
        <v>884</v>
      </c>
      <c r="B1449" s="52" t="s">
        <v>885</v>
      </c>
      <c r="C1449" s="7" t="s">
        <v>871</v>
      </c>
      <c r="D1449" s="66">
        <f>砼配合!J52/100</f>
        <v>5.0269138732471603</v>
      </c>
      <c r="E1449" s="7">
        <v>103</v>
      </c>
      <c r="F1449" s="53">
        <f>D1449*E1449</f>
        <v>517.77212894445756</v>
      </c>
    </row>
    <row r="1450" spans="1:6" ht="18" customHeight="1">
      <c r="A1450" s="7" t="s">
        <v>886</v>
      </c>
      <c r="B1450" s="52" t="s">
        <v>887</v>
      </c>
      <c r="C1450" s="7" t="s">
        <v>871</v>
      </c>
      <c r="D1450" s="66">
        <f>砼配合!J65/100</f>
        <v>5.8974622495064617</v>
      </c>
      <c r="E1450" s="7">
        <v>103</v>
      </c>
      <c r="F1450" s="53">
        <f>D1450*E1450</f>
        <v>607.43861169916556</v>
      </c>
    </row>
    <row r="1451" spans="1:6" ht="18" customHeight="1">
      <c r="A1451" s="7"/>
      <c r="B1451" s="52"/>
      <c r="C1451" s="7"/>
      <c r="D1451" s="7"/>
      <c r="E1451" s="7"/>
      <c r="F1451" s="53"/>
    </row>
    <row r="1452" spans="1:6" ht="18" customHeight="1">
      <c r="A1452" s="7">
        <v>1.2</v>
      </c>
      <c r="B1452" s="52" t="s">
        <v>841</v>
      </c>
      <c r="C1452" s="7"/>
      <c r="D1452" s="53">
        <f>F1425</f>
        <v>64441.40922896393</v>
      </c>
      <c r="E1452" s="56">
        <f>E1404</f>
        <v>4.8000000000000001E-2</v>
      </c>
      <c r="F1452" s="53">
        <f>D1452*E1452</f>
        <v>3093.1876429902686</v>
      </c>
    </row>
    <row r="1453" spans="1:6" ht="18" customHeight="1">
      <c r="A1453" s="7">
        <v>1.3</v>
      </c>
      <c r="B1453" s="52" t="s">
        <v>842</v>
      </c>
      <c r="C1453" s="7"/>
      <c r="D1453" s="53">
        <f>F1425</f>
        <v>64441.40922896393</v>
      </c>
      <c r="E1453" s="56">
        <f>E1405</f>
        <v>0</v>
      </c>
      <c r="F1453" s="53">
        <f>D1453*E1453</f>
        <v>0</v>
      </c>
    </row>
    <row r="1454" spans="1:6" ht="18" customHeight="1">
      <c r="A1454" s="7">
        <v>2</v>
      </c>
      <c r="B1454" s="52" t="s">
        <v>182</v>
      </c>
      <c r="C1454" s="7"/>
      <c r="D1454" s="53">
        <f>F1424</f>
        <v>67534.5968719542</v>
      </c>
      <c r="E1454" s="56">
        <f>E1406</f>
        <v>7.0000000000000007E-2</v>
      </c>
      <c r="F1454" s="53">
        <f>D1454*E1454</f>
        <v>4727.4217810367945</v>
      </c>
    </row>
    <row r="1455" spans="1:6" ht="18" customHeight="1">
      <c r="A1455" s="7">
        <v>3</v>
      </c>
      <c r="B1455" s="52" t="s">
        <v>843</v>
      </c>
      <c r="C1455" s="7"/>
      <c r="D1455" s="53">
        <f>F1454+F1424</f>
        <v>72262.018652990999</v>
      </c>
      <c r="E1455" s="56">
        <f>E1407</f>
        <v>7.0000000000000007E-2</v>
      </c>
      <c r="F1455" s="53">
        <f>D1455*E1455</f>
        <v>5058.3413057093703</v>
      </c>
    </row>
    <row r="1456" spans="1:6" ht="18" customHeight="1">
      <c r="A1456" s="7">
        <v>4</v>
      </c>
      <c r="B1456" s="52" t="s">
        <v>184</v>
      </c>
      <c r="C1456" s="7"/>
      <c r="D1456" s="7"/>
      <c r="E1456" s="7"/>
      <c r="F1456" s="53">
        <f>SUM(F1457:F1462)</f>
        <v>5067.0681150837127</v>
      </c>
    </row>
    <row r="1457" spans="1:6" ht="18" customHeight="1">
      <c r="A1457" s="7"/>
      <c r="B1457" s="52" t="s">
        <v>354</v>
      </c>
      <c r="C1457" s="7" t="s">
        <v>88</v>
      </c>
      <c r="D1457" s="66">
        <f>A2</f>
        <v>116.41515</v>
      </c>
      <c r="E1457" s="66">
        <f>E1437*砼配合!I9</f>
        <v>35.035758999999999</v>
      </c>
      <c r="F1457" s="53">
        <f t="shared" ref="F1457:F1463" si="109">D1457*E1457</f>
        <v>4078.6931393488499</v>
      </c>
    </row>
    <row r="1458" spans="1:6" ht="18" customHeight="1">
      <c r="A1458" s="7"/>
      <c r="B1458" s="52" t="s">
        <v>507</v>
      </c>
      <c r="C1458" s="7" t="s">
        <v>871</v>
      </c>
      <c r="D1458" s="66">
        <f>D2</f>
        <v>4.6598683999999899</v>
      </c>
      <c r="E1458" s="66">
        <f>E1437*砼配合!I10</f>
        <v>54.406660000000002</v>
      </c>
      <c r="F1458" s="53">
        <f t="shared" si="109"/>
        <v>253.52787568354347</v>
      </c>
    </row>
    <row r="1459" spans="1:6" ht="18" customHeight="1">
      <c r="A1459" s="7"/>
      <c r="B1459" s="52" t="s">
        <v>509</v>
      </c>
      <c r="C1459" s="7" t="s">
        <v>871</v>
      </c>
      <c r="D1459" s="66">
        <f>E2</f>
        <v>6.2457299999999902</v>
      </c>
      <c r="E1459" s="66">
        <f>E1437*砼配合!I11</f>
        <v>86.667083999999988</v>
      </c>
      <c r="F1459" s="53">
        <f t="shared" si="109"/>
        <v>541.29920655131912</v>
      </c>
    </row>
    <row r="1460" spans="1:6" ht="18" customHeight="1">
      <c r="A1460" s="7"/>
      <c r="B1460" s="52" t="s">
        <v>506</v>
      </c>
      <c r="C1460" s="7" t="s">
        <v>871</v>
      </c>
      <c r="D1460" s="7">
        <f>C2</f>
        <v>0</v>
      </c>
      <c r="E1460" s="66">
        <f>E1430</f>
        <v>0.97</v>
      </c>
      <c r="F1460" s="53">
        <f t="shared" si="109"/>
        <v>0</v>
      </c>
    </row>
    <row r="1461" spans="1:6" ht="18" customHeight="1">
      <c r="A1461" s="7"/>
      <c r="B1461" s="52" t="s">
        <v>515</v>
      </c>
      <c r="C1461" s="7" t="s">
        <v>844</v>
      </c>
      <c r="D1461" s="7">
        <f>G2</f>
        <v>4.7450000000000001</v>
      </c>
      <c r="E1461" s="66">
        <f>台时!AK19*砼单价!E1441+E1442*台时!AZ19</f>
        <v>9.9359999999999999</v>
      </c>
      <c r="F1461" s="53">
        <f t="shared" si="109"/>
        <v>47.146320000000003</v>
      </c>
    </row>
    <row r="1462" spans="1:6" ht="18" customHeight="1">
      <c r="A1462" s="7"/>
      <c r="B1462" s="52" t="s">
        <v>516</v>
      </c>
      <c r="C1462" s="7" t="s">
        <v>844</v>
      </c>
      <c r="D1462" s="7">
        <f>H2</f>
        <v>3.51</v>
      </c>
      <c r="E1462" s="66">
        <f>砼配合!I63*台时!AN22*砼单价!E1450/100</f>
        <v>41.709849999999996</v>
      </c>
      <c r="F1462" s="53">
        <f t="shared" si="109"/>
        <v>146.40157349999998</v>
      </c>
    </row>
    <row r="1463" spans="1:6" ht="18" customHeight="1">
      <c r="A1463" s="7">
        <v>5</v>
      </c>
      <c r="B1463" s="52" t="s">
        <v>845</v>
      </c>
      <c r="C1463" s="7"/>
      <c r="D1463" s="53">
        <f>F1424+F1454+F1455+F1456</f>
        <v>82387.428073784089</v>
      </c>
      <c r="E1463" s="56">
        <f>E1415</f>
        <v>0.09</v>
      </c>
      <c r="F1463" s="53">
        <f t="shared" si="109"/>
        <v>7414.8685266405673</v>
      </c>
    </row>
    <row r="1464" spans="1:6" ht="18" customHeight="1">
      <c r="A1464" s="7">
        <v>6</v>
      </c>
      <c r="B1464" s="52" t="s">
        <v>809</v>
      </c>
      <c r="C1464" s="7"/>
      <c r="D1464" s="7"/>
      <c r="E1464" s="75"/>
      <c r="F1464" s="53">
        <f>D1463+F1463</f>
        <v>89802.296600424655</v>
      </c>
    </row>
    <row r="1465" spans="1:6" ht="18" customHeight="1">
      <c r="A1465" s="7"/>
      <c r="B1465" s="52" t="s">
        <v>846</v>
      </c>
      <c r="C1465" s="7"/>
      <c r="D1465" s="66">
        <f>F1464</f>
        <v>89802.296600424655</v>
      </c>
      <c r="E1465" s="56">
        <f>E1417</f>
        <v>0.03</v>
      </c>
      <c r="F1465" s="53">
        <f>D1465*E1465</f>
        <v>2694.0688980127397</v>
      </c>
    </row>
    <row r="1466" spans="1:6" ht="18" customHeight="1">
      <c r="A1466" s="7"/>
      <c r="B1466" s="52" t="s">
        <v>7</v>
      </c>
      <c r="C1466" s="7"/>
      <c r="D1466" s="7"/>
      <c r="E1466" s="7"/>
      <c r="F1466" s="53">
        <f>SUM(F1464:F1465)</f>
        <v>92496.365498437401</v>
      </c>
    </row>
    <row r="1467" spans="1:6" ht="22.5" customHeight="1">
      <c r="A1467" s="461" t="s">
        <v>813</v>
      </c>
      <c r="B1467" s="461"/>
      <c r="C1467" s="461"/>
      <c r="D1467" s="461"/>
      <c r="E1467" s="461"/>
      <c r="F1467" s="461"/>
    </row>
    <row r="1468" spans="1:6" ht="18" customHeight="1">
      <c r="A1468" s="481" t="s">
        <v>947</v>
      </c>
      <c r="B1468" s="481"/>
      <c r="C1468" s="481"/>
      <c r="D1468" s="481"/>
      <c r="E1468" s="481"/>
      <c r="F1468" s="481"/>
    </row>
    <row r="1469" spans="1:6" ht="18" customHeight="1">
      <c r="A1469" s="47" t="s">
        <v>815</v>
      </c>
      <c r="B1469" s="49">
        <v>4025</v>
      </c>
      <c r="D1469" s="71"/>
      <c r="E1469" s="47" t="s">
        <v>169</v>
      </c>
      <c r="F1469" s="49" t="s">
        <v>869</v>
      </c>
    </row>
    <row r="1470" spans="1:6" ht="18" customHeight="1">
      <c r="A1470" s="50" t="s">
        <v>817</v>
      </c>
      <c r="B1470" s="482"/>
      <c r="C1470" s="482"/>
      <c r="D1470" s="482"/>
      <c r="E1470" s="482"/>
      <c r="F1470" s="482"/>
    </row>
    <row r="1471" spans="1:6" ht="18" customHeight="1">
      <c r="A1471" s="7" t="s">
        <v>1</v>
      </c>
      <c r="B1471" s="52" t="s">
        <v>344</v>
      </c>
      <c r="C1471" s="7" t="s">
        <v>818</v>
      </c>
      <c r="D1471" s="7" t="s">
        <v>819</v>
      </c>
      <c r="E1471" s="7" t="s">
        <v>820</v>
      </c>
      <c r="F1471" s="7" t="s">
        <v>821</v>
      </c>
    </row>
    <row r="1472" spans="1:6" ht="18" customHeight="1">
      <c r="A1472" s="7">
        <v>1</v>
      </c>
      <c r="B1472" s="52" t="s">
        <v>822</v>
      </c>
      <c r="C1472" s="7"/>
      <c r="D1472" s="7"/>
      <c r="E1472" s="7"/>
      <c r="F1472" s="53">
        <f>F1473+F1500+F1501</f>
        <v>40214.589363673753</v>
      </c>
    </row>
    <row r="1473" spans="1:6" ht="18" customHeight="1">
      <c r="A1473" s="7">
        <v>1.1000000000000001</v>
      </c>
      <c r="B1473" s="52" t="s">
        <v>823</v>
      </c>
      <c r="C1473" s="7"/>
      <c r="D1473" s="7"/>
      <c r="E1473" s="7"/>
      <c r="F1473" s="53">
        <f>F1474+F1477+F1488+F1497+F1498</f>
        <v>38372.699774497858</v>
      </c>
    </row>
    <row r="1474" spans="1:6" ht="18" customHeight="1">
      <c r="A1474" s="7" t="s">
        <v>47</v>
      </c>
      <c r="B1474" s="52" t="s">
        <v>176</v>
      </c>
      <c r="C1474" s="7"/>
      <c r="D1474" s="7"/>
      <c r="E1474" s="7"/>
      <c r="F1474" s="53">
        <f>F1475+F1476</f>
        <v>10112.029</v>
      </c>
    </row>
    <row r="1475" spans="1:6" ht="18" customHeight="1">
      <c r="A1475" s="7"/>
      <c r="B1475" s="52" t="s">
        <v>824</v>
      </c>
      <c r="C1475" s="7" t="s">
        <v>825</v>
      </c>
      <c r="D1475" s="7">
        <v>8.1</v>
      </c>
      <c r="E1475" s="7">
        <v>786.3</v>
      </c>
      <c r="F1475" s="53">
        <f>D1475*E1475</f>
        <v>6369.03</v>
      </c>
    </row>
    <row r="1476" spans="1:6" ht="18" customHeight="1">
      <c r="A1476" s="7"/>
      <c r="B1476" s="52" t="s">
        <v>826</v>
      </c>
      <c r="C1476" s="7" t="s">
        <v>825</v>
      </c>
      <c r="D1476" s="7">
        <v>5.77</v>
      </c>
      <c r="E1476" s="7">
        <v>648.70000000000005</v>
      </c>
      <c r="F1476" s="53">
        <f>D1476*E1476</f>
        <v>3742.9989999999998</v>
      </c>
    </row>
    <row r="1477" spans="1:6" ht="18" customHeight="1">
      <c r="A1477" s="7" t="s">
        <v>57</v>
      </c>
      <c r="B1477" s="52" t="s">
        <v>177</v>
      </c>
      <c r="C1477" s="7"/>
      <c r="D1477" s="7"/>
      <c r="E1477" s="7"/>
      <c r="F1477" s="53">
        <f>SUM(F1478:F1487)</f>
        <v>24102.400863104998</v>
      </c>
    </row>
    <row r="1478" spans="1:6" ht="18" customHeight="1">
      <c r="A1478" s="7"/>
      <c r="B1478" s="52" t="s">
        <v>870</v>
      </c>
      <c r="C1478" s="7" t="s">
        <v>871</v>
      </c>
      <c r="D1478" s="7">
        <f>材料预算价格表!L8</f>
        <v>1874.0778</v>
      </c>
      <c r="E1478" s="7">
        <v>0.93</v>
      </c>
      <c r="F1478" s="53">
        <f t="shared" ref="F1478:F1486" si="110">D1478*E1478</f>
        <v>1742.8923540000001</v>
      </c>
    </row>
    <row r="1479" spans="1:6" ht="18" customHeight="1">
      <c r="A1479" s="7"/>
      <c r="B1479" s="52" t="s">
        <v>375</v>
      </c>
      <c r="C1479" s="7" t="s">
        <v>844</v>
      </c>
      <c r="D1479" s="7">
        <f>次要材料汇总!F9</f>
        <v>6</v>
      </c>
      <c r="E1479" s="7">
        <v>168.29</v>
      </c>
      <c r="F1479" s="53">
        <f t="shared" si="110"/>
        <v>1009.74</v>
      </c>
    </row>
    <row r="1480" spans="1:6" ht="18" customHeight="1">
      <c r="A1480" s="7"/>
      <c r="B1480" s="52" t="s">
        <v>873</v>
      </c>
      <c r="C1480" s="7" t="s">
        <v>844</v>
      </c>
      <c r="D1480" s="7">
        <f>次要材料汇总!F10</f>
        <v>5.5</v>
      </c>
      <c r="E1480" s="7">
        <v>0</v>
      </c>
      <c r="F1480" s="53">
        <f t="shared" si="110"/>
        <v>0</v>
      </c>
    </row>
    <row r="1481" spans="1:6" ht="18" customHeight="1">
      <c r="A1481" s="7"/>
      <c r="B1481" s="52" t="s">
        <v>874</v>
      </c>
      <c r="C1481" s="7" t="s">
        <v>844</v>
      </c>
      <c r="D1481" s="7">
        <f>次要材料汇总!F11</f>
        <v>6.5</v>
      </c>
      <c r="E1481" s="7">
        <v>72.22</v>
      </c>
      <c r="F1481" s="53">
        <f t="shared" si="110"/>
        <v>469.43</v>
      </c>
    </row>
    <row r="1482" spans="1:6" ht="18" customHeight="1">
      <c r="A1482" s="7"/>
      <c r="B1482" s="52" t="s">
        <v>875</v>
      </c>
      <c r="C1482" s="7" t="s">
        <v>844</v>
      </c>
      <c r="D1482" s="7">
        <f>次要材料汇总!F5</f>
        <v>8</v>
      </c>
      <c r="E1482" s="7">
        <v>74.739999999999995</v>
      </c>
      <c r="F1482" s="53">
        <f t="shared" si="110"/>
        <v>597.91999999999996</v>
      </c>
    </row>
    <row r="1483" spans="1:6" ht="18" customHeight="1">
      <c r="A1483" s="7"/>
      <c r="B1483" s="52" t="s">
        <v>372</v>
      </c>
      <c r="C1483" s="7" t="s">
        <v>844</v>
      </c>
      <c r="D1483" s="7">
        <f>次要材料汇总!F6</f>
        <v>7.4</v>
      </c>
      <c r="E1483" s="7">
        <v>128.31</v>
      </c>
      <c r="F1483" s="53">
        <f t="shared" si="110"/>
        <v>949.49400000000003</v>
      </c>
    </row>
    <row r="1484" spans="1:6" ht="18" customHeight="1">
      <c r="A1484" s="7"/>
      <c r="B1484" s="52" t="s">
        <v>876</v>
      </c>
      <c r="C1484" s="7" t="s">
        <v>844</v>
      </c>
      <c r="D1484" s="7">
        <f>次要材料汇总!F12</f>
        <v>7.5</v>
      </c>
      <c r="E1484" s="7">
        <v>0.45</v>
      </c>
      <c r="F1484" s="53">
        <f t="shared" si="110"/>
        <v>3.375</v>
      </c>
    </row>
    <row r="1485" spans="1:6" ht="18" customHeight="1">
      <c r="A1485" s="7"/>
      <c r="B1485" s="52" t="s">
        <v>877</v>
      </c>
      <c r="C1485" s="7" t="s">
        <v>871</v>
      </c>
      <c r="D1485" s="66">
        <f>砼配合!J8</f>
        <v>183.29938899999999</v>
      </c>
      <c r="E1485" s="7">
        <v>103</v>
      </c>
      <c r="F1485" s="53">
        <f t="shared" si="110"/>
        <v>18879.837067</v>
      </c>
    </row>
    <row r="1486" spans="1:6" ht="18" customHeight="1">
      <c r="A1486" s="7"/>
      <c r="B1486" s="52" t="s">
        <v>806</v>
      </c>
      <c r="C1486" s="7" t="s">
        <v>871</v>
      </c>
      <c r="D1486" s="66">
        <f>材料预算价格表!K15</f>
        <v>3.88</v>
      </c>
      <c r="E1486" s="7">
        <v>85</v>
      </c>
      <c r="F1486" s="53">
        <f t="shared" si="110"/>
        <v>329.8</v>
      </c>
    </row>
    <row r="1487" spans="1:6" ht="18" customHeight="1">
      <c r="A1487" s="7"/>
      <c r="B1487" s="52" t="s">
        <v>833</v>
      </c>
      <c r="C1487" s="7" t="s">
        <v>834</v>
      </c>
      <c r="D1487" s="66">
        <f>SUM(F1478:F1486)</f>
        <v>23982.488420999998</v>
      </c>
      <c r="E1487" s="7">
        <v>0.5</v>
      </c>
      <c r="F1487" s="53">
        <f>D1487*E1487/100</f>
        <v>119.912442105</v>
      </c>
    </row>
    <row r="1488" spans="1:6" ht="18" customHeight="1">
      <c r="A1488" s="7" t="s">
        <v>835</v>
      </c>
      <c r="B1488" s="52" t="s">
        <v>836</v>
      </c>
      <c r="C1488" s="7"/>
      <c r="D1488" s="7"/>
      <c r="E1488" s="7"/>
      <c r="F1488" s="53">
        <f>SUM(F1489:F1496)</f>
        <v>3033.0591707492358</v>
      </c>
    </row>
    <row r="1489" spans="1:6" ht="18" customHeight="1">
      <c r="A1489" s="7"/>
      <c r="B1489" s="52" t="s">
        <v>939</v>
      </c>
      <c r="C1489" s="7" t="s">
        <v>863</v>
      </c>
      <c r="D1489" s="66">
        <f>施工机械台时汇总!C42</f>
        <v>49.210305522914197</v>
      </c>
      <c r="E1489" s="7">
        <v>0.5</v>
      </c>
      <c r="F1489" s="53">
        <f t="shared" ref="F1489:F1495" si="111">D1489*E1489</f>
        <v>24.605152761457099</v>
      </c>
    </row>
    <row r="1490" spans="1:6" ht="18" customHeight="1">
      <c r="A1490" s="7"/>
      <c r="B1490" s="52" t="s">
        <v>940</v>
      </c>
      <c r="C1490" s="7" t="s">
        <v>863</v>
      </c>
      <c r="D1490" s="66">
        <f>施工机械台时汇总!C57</f>
        <v>62.128971797884901</v>
      </c>
      <c r="E1490" s="7">
        <v>0</v>
      </c>
      <c r="F1490" s="53">
        <f t="shared" si="111"/>
        <v>0</v>
      </c>
    </row>
    <row r="1491" spans="1:6" ht="18" customHeight="1">
      <c r="A1491" s="7"/>
      <c r="B1491" s="52" t="s">
        <v>946</v>
      </c>
      <c r="C1491" s="7" t="s">
        <v>863</v>
      </c>
      <c r="D1491" s="66">
        <f>施工机械台时汇总!C40</f>
        <v>15.582226792009401</v>
      </c>
      <c r="E1491" s="7">
        <v>0.68</v>
      </c>
      <c r="F1491" s="53">
        <f t="shared" si="111"/>
        <v>10.595914218566394</v>
      </c>
    </row>
    <row r="1492" spans="1:6" ht="18" customHeight="1">
      <c r="A1492" s="7"/>
      <c r="B1492" s="52" t="s">
        <v>942</v>
      </c>
      <c r="C1492" s="7" t="s">
        <v>863</v>
      </c>
      <c r="D1492" s="66">
        <f>施工机械台时汇总!C31</f>
        <v>43.447247943595769</v>
      </c>
      <c r="E1492" s="7">
        <v>50.8</v>
      </c>
      <c r="F1492" s="53">
        <f t="shared" si="111"/>
        <v>2207.1201955346651</v>
      </c>
    </row>
    <row r="1493" spans="1:6" ht="18" customHeight="1">
      <c r="A1493" s="7"/>
      <c r="B1493" s="52" t="s">
        <v>943</v>
      </c>
      <c r="C1493" s="7" t="s">
        <v>863</v>
      </c>
      <c r="D1493" s="66">
        <f>施工机械台时汇总!C21</f>
        <v>28.129680376028197</v>
      </c>
      <c r="E1493" s="7">
        <v>18.54</v>
      </c>
      <c r="F1493" s="53">
        <f t="shared" si="111"/>
        <v>521.52427417156275</v>
      </c>
    </row>
    <row r="1494" spans="1:6" ht="18" customHeight="1">
      <c r="A1494" s="7"/>
      <c r="B1494" s="52" t="s">
        <v>944</v>
      </c>
      <c r="C1494" s="7" t="s">
        <v>863</v>
      </c>
      <c r="D1494" s="66">
        <f>施工机械台时汇总!C24</f>
        <v>2.2013599686643204</v>
      </c>
      <c r="E1494" s="7">
        <v>40.049999999999997</v>
      </c>
      <c r="F1494" s="53">
        <f t="shared" si="111"/>
        <v>88.164466745006024</v>
      </c>
    </row>
    <row r="1495" spans="1:6" ht="18" customHeight="1">
      <c r="A1495" s="7"/>
      <c r="B1495" s="52" t="s">
        <v>407</v>
      </c>
      <c r="C1495" s="7" t="s">
        <v>863</v>
      </c>
      <c r="D1495" s="66">
        <f>施工机械台时汇总!C19</f>
        <v>0.80266353309831595</v>
      </c>
      <c r="E1495" s="7">
        <v>115.5</v>
      </c>
      <c r="F1495" s="53">
        <f t="shared" si="111"/>
        <v>92.707638072855488</v>
      </c>
    </row>
    <row r="1496" spans="1:6" ht="18" customHeight="1">
      <c r="A1496" s="7"/>
      <c r="B1496" s="52" t="s">
        <v>840</v>
      </c>
      <c r="C1496" s="7" t="s">
        <v>834</v>
      </c>
      <c r="D1496" s="66">
        <f>SUM(F1489:F1495)</f>
        <v>2944.7176415041126</v>
      </c>
      <c r="E1496" s="7">
        <v>3</v>
      </c>
      <c r="F1496" s="53">
        <f>D1496*E1496/100</f>
        <v>88.341529245123382</v>
      </c>
    </row>
    <row r="1497" spans="1:6" ht="18" customHeight="1">
      <c r="A1497" s="7" t="s">
        <v>884</v>
      </c>
      <c r="B1497" s="52" t="s">
        <v>885</v>
      </c>
      <c r="C1497" s="7" t="s">
        <v>871</v>
      </c>
      <c r="D1497" s="66">
        <f>砼配合!J52/100</f>
        <v>5.0269138732471603</v>
      </c>
      <c r="E1497" s="7">
        <v>103</v>
      </c>
      <c r="F1497" s="53">
        <f>D1497*E1497</f>
        <v>517.77212894445756</v>
      </c>
    </row>
    <row r="1498" spans="1:6" ht="18" customHeight="1">
      <c r="A1498" s="7" t="s">
        <v>886</v>
      </c>
      <c r="B1498" s="52" t="s">
        <v>887</v>
      </c>
      <c r="C1498" s="7" t="s">
        <v>871</v>
      </c>
      <c r="D1498" s="66">
        <f>砼配合!J65/100</f>
        <v>5.8974622495064617</v>
      </c>
      <c r="E1498" s="7">
        <v>103</v>
      </c>
      <c r="F1498" s="53">
        <f>D1498*E1498</f>
        <v>607.43861169916556</v>
      </c>
    </row>
    <row r="1499" spans="1:6" ht="18" customHeight="1">
      <c r="A1499" s="7"/>
      <c r="B1499" s="52"/>
      <c r="C1499" s="7"/>
      <c r="D1499" s="7"/>
      <c r="E1499" s="7"/>
      <c r="F1499" s="53"/>
    </row>
    <row r="1500" spans="1:6" ht="18" customHeight="1">
      <c r="A1500" s="7">
        <v>1.2</v>
      </c>
      <c r="B1500" s="52" t="s">
        <v>841</v>
      </c>
      <c r="C1500" s="7"/>
      <c r="D1500" s="53">
        <f>F1473</f>
        <v>38372.699774497858</v>
      </c>
      <c r="E1500" s="56">
        <f>E1452</f>
        <v>4.8000000000000001E-2</v>
      </c>
      <c r="F1500" s="53">
        <f>D1500*E1500</f>
        <v>1841.8895891758973</v>
      </c>
    </row>
    <row r="1501" spans="1:6" ht="18" customHeight="1">
      <c r="A1501" s="7">
        <v>1.3</v>
      </c>
      <c r="B1501" s="52" t="s">
        <v>842</v>
      </c>
      <c r="C1501" s="7"/>
      <c r="D1501" s="53">
        <f>F1473</f>
        <v>38372.699774497858</v>
      </c>
      <c r="E1501" s="56">
        <f>E1453</f>
        <v>0</v>
      </c>
      <c r="F1501" s="53">
        <f>D1501*E1501</f>
        <v>0</v>
      </c>
    </row>
    <row r="1502" spans="1:6" ht="18" customHeight="1">
      <c r="A1502" s="7">
        <v>2</v>
      </c>
      <c r="B1502" s="52" t="s">
        <v>182</v>
      </c>
      <c r="C1502" s="7"/>
      <c r="D1502" s="53">
        <f>F1472</f>
        <v>40214.589363673753</v>
      </c>
      <c r="E1502" s="56">
        <f>E1454</f>
        <v>7.0000000000000007E-2</v>
      </c>
      <c r="F1502" s="53">
        <f>D1502*E1502</f>
        <v>2815.0212554571631</v>
      </c>
    </row>
    <row r="1503" spans="1:6" ht="18" customHeight="1">
      <c r="A1503" s="7">
        <v>3</v>
      </c>
      <c r="B1503" s="52" t="s">
        <v>843</v>
      </c>
      <c r="C1503" s="7"/>
      <c r="D1503" s="53">
        <f>F1502+F1472</f>
        <v>43029.610619130915</v>
      </c>
      <c r="E1503" s="56">
        <f>E1455</f>
        <v>7.0000000000000007E-2</v>
      </c>
      <c r="F1503" s="53">
        <f>D1503*E1503</f>
        <v>3012.0727433391644</v>
      </c>
    </row>
    <row r="1504" spans="1:6" ht="18" customHeight="1">
      <c r="A1504" s="7">
        <v>4</v>
      </c>
      <c r="B1504" s="52" t="s">
        <v>184</v>
      </c>
      <c r="C1504" s="7"/>
      <c r="D1504" s="7"/>
      <c r="E1504" s="7"/>
      <c r="F1504" s="53">
        <f>SUM(F1505:F1510)</f>
        <v>5037.0037950837132</v>
      </c>
    </row>
    <row r="1505" spans="1:6" ht="18" customHeight="1">
      <c r="A1505" s="7"/>
      <c r="B1505" s="52" t="s">
        <v>354</v>
      </c>
      <c r="C1505" s="7" t="s">
        <v>88</v>
      </c>
      <c r="D1505" s="66">
        <f>A2</f>
        <v>116.41515</v>
      </c>
      <c r="E1505" s="66">
        <f>E1485*砼配合!I9</f>
        <v>35.035758999999999</v>
      </c>
      <c r="F1505" s="53">
        <f t="shared" ref="F1505:F1511" si="112">D1505*E1505</f>
        <v>4078.6931393488499</v>
      </c>
    </row>
    <row r="1506" spans="1:6" ht="18" customHeight="1">
      <c r="A1506" s="7"/>
      <c r="B1506" s="52" t="s">
        <v>507</v>
      </c>
      <c r="C1506" s="7" t="s">
        <v>871</v>
      </c>
      <c r="D1506" s="66">
        <f>D2</f>
        <v>4.6598683999999899</v>
      </c>
      <c r="E1506" s="66">
        <f>E1485*砼配合!I10</f>
        <v>54.406660000000002</v>
      </c>
      <c r="F1506" s="53">
        <f t="shared" si="112"/>
        <v>253.52787568354347</v>
      </c>
    </row>
    <row r="1507" spans="1:6" ht="18" customHeight="1">
      <c r="A1507" s="7"/>
      <c r="B1507" s="52" t="s">
        <v>509</v>
      </c>
      <c r="C1507" s="7" t="s">
        <v>871</v>
      </c>
      <c r="D1507" s="66">
        <f>E2</f>
        <v>6.2457299999999902</v>
      </c>
      <c r="E1507" s="66">
        <f>E1485*砼配合!I11</f>
        <v>86.667083999999988</v>
      </c>
      <c r="F1507" s="53">
        <f t="shared" si="112"/>
        <v>541.29920655131912</v>
      </c>
    </row>
    <row r="1508" spans="1:6" ht="18" customHeight="1">
      <c r="A1508" s="7"/>
      <c r="B1508" s="52" t="s">
        <v>506</v>
      </c>
      <c r="C1508" s="7" t="s">
        <v>871</v>
      </c>
      <c r="D1508" s="7">
        <f>C2</f>
        <v>0</v>
      </c>
      <c r="E1508" s="66">
        <f>E1478</f>
        <v>0.93</v>
      </c>
      <c r="F1508" s="53">
        <f t="shared" si="112"/>
        <v>0</v>
      </c>
    </row>
    <row r="1509" spans="1:6" ht="18" customHeight="1">
      <c r="A1509" s="7"/>
      <c r="B1509" s="52" t="s">
        <v>515</v>
      </c>
      <c r="C1509" s="7" t="s">
        <v>844</v>
      </c>
      <c r="D1509" s="7">
        <f>G2</f>
        <v>4.7450000000000001</v>
      </c>
      <c r="E1509" s="66">
        <f>台时!AK19*砼单价!E1489+E1490*台时!AZ19</f>
        <v>3.6</v>
      </c>
      <c r="F1509" s="53">
        <f t="shared" si="112"/>
        <v>17.082000000000001</v>
      </c>
    </row>
    <row r="1510" spans="1:6" ht="18" customHeight="1">
      <c r="A1510" s="7"/>
      <c r="B1510" s="52" t="s">
        <v>516</v>
      </c>
      <c r="C1510" s="7" t="s">
        <v>844</v>
      </c>
      <c r="D1510" s="7">
        <f>H2</f>
        <v>3.51</v>
      </c>
      <c r="E1510" s="66">
        <f>砼配合!I63*台时!AN22*砼单价!E1498/100</f>
        <v>41.709849999999996</v>
      </c>
      <c r="F1510" s="53">
        <f t="shared" si="112"/>
        <v>146.40157349999998</v>
      </c>
    </row>
    <row r="1511" spans="1:6" ht="18" customHeight="1">
      <c r="A1511" s="7">
        <v>5</v>
      </c>
      <c r="B1511" s="52" t="s">
        <v>845</v>
      </c>
      <c r="C1511" s="7"/>
      <c r="D1511" s="53">
        <f>F1472+F1502+F1503+F1504</f>
        <v>51078.687157553795</v>
      </c>
      <c r="E1511" s="56">
        <f>E1463</f>
        <v>0.09</v>
      </c>
      <c r="F1511" s="53">
        <f t="shared" si="112"/>
        <v>4597.081844179841</v>
      </c>
    </row>
    <row r="1512" spans="1:6" ht="18" customHeight="1">
      <c r="A1512" s="7">
        <v>6</v>
      </c>
      <c r="B1512" s="52" t="s">
        <v>809</v>
      </c>
      <c r="C1512" s="7"/>
      <c r="D1512" s="7"/>
      <c r="E1512" s="75"/>
      <c r="F1512" s="53">
        <f>D1511+F1511</f>
        <v>55675.769001733635</v>
      </c>
    </row>
    <row r="1513" spans="1:6" ht="18" customHeight="1">
      <c r="A1513" s="7"/>
      <c r="B1513" s="52" t="s">
        <v>846</v>
      </c>
      <c r="C1513" s="7"/>
      <c r="D1513" s="66">
        <f>F1512</f>
        <v>55675.769001733635</v>
      </c>
      <c r="E1513" s="56">
        <f>E1465</f>
        <v>0.03</v>
      </c>
      <c r="F1513" s="53">
        <f>D1513*E1513</f>
        <v>1670.273070052009</v>
      </c>
    </row>
    <row r="1514" spans="1:6" ht="18" customHeight="1">
      <c r="A1514" s="7"/>
      <c r="B1514" s="52" t="s">
        <v>7</v>
      </c>
      <c r="C1514" s="7"/>
      <c r="D1514" s="7"/>
      <c r="E1514" s="7"/>
      <c r="F1514" s="53">
        <f>SUM(F1512:F1513)</f>
        <v>57346.042071785647</v>
      </c>
    </row>
    <row r="1515" spans="1:6" ht="20.25" customHeight="1">
      <c r="A1515" s="461" t="s">
        <v>813</v>
      </c>
      <c r="B1515" s="461"/>
      <c r="C1515" s="461"/>
      <c r="D1515" s="461"/>
      <c r="E1515" s="461"/>
      <c r="F1515" s="461"/>
    </row>
    <row r="1516" spans="1:6" ht="18" customHeight="1">
      <c r="A1516" s="462" t="s">
        <v>948</v>
      </c>
      <c r="B1516" s="462"/>
      <c r="C1516" s="462"/>
      <c r="D1516" s="462"/>
      <c r="E1516" s="462"/>
      <c r="F1516" s="462"/>
    </row>
    <row r="1517" spans="1:6" ht="18" customHeight="1">
      <c r="A1517" s="47" t="s">
        <v>815</v>
      </c>
      <c r="B1517" s="49">
        <v>4027</v>
      </c>
      <c r="D1517" s="46"/>
      <c r="E1517" s="47" t="s">
        <v>169</v>
      </c>
      <c r="F1517" s="49" t="s">
        <v>869</v>
      </c>
    </row>
    <row r="1518" spans="1:6" ht="18" customHeight="1">
      <c r="A1518" s="50" t="s">
        <v>817</v>
      </c>
      <c r="B1518" s="458"/>
      <c r="C1518" s="459"/>
      <c r="D1518" s="459"/>
      <c r="E1518" s="459"/>
      <c r="F1518" s="460"/>
    </row>
    <row r="1519" spans="1:6" ht="18" customHeight="1">
      <c r="A1519" s="7" t="s">
        <v>1</v>
      </c>
      <c r="B1519" s="52" t="s">
        <v>344</v>
      </c>
      <c r="C1519" s="7" t="s">
        <v>818</v>
      </c>
      <c r="D1519" s="7" t="s">
        <v>819</v>
      </c>
      <c r="E1519" s="7" t="s">
        <v>820</v>
      </c>
      <c r="F1519" s="7" t="s">
        <v>821</v>
      </c>
    </row>
    <row r="1520" spans="1:6" ht="18" customHeight="1">
      <c r="A1520" s="7">
        <v>1</v>
      </c>
      <c r="B1520" s="52" t="s">
        <v>822</v>
      </c>
      <c r="C1520" s="7"/>
      <c r="D1520" s="7"/>
      <c r="E1520" s="7"/>
      <c r="F1520" s="53">
        <f>F1521+F1544+F1545</f>
        <v>31716.555182422391</v>
      </c>
    </row>
    <row r="1521" spans="1:6" ht="18" customHeight="1">
      <c r="A1521" s="7">
        <v>1.1000000000000001</v>
      </c>
      <c r="B1521" s="52" t="s">
        <v>823</v>
      </c>
      <c r="C1521" s="7"/>
      <c r="D1521" s="7"/>
      <c r="E1521" s="7"/>
      <c r="F1521" s="53">
        <f>F1522+F1525+F1534+F1541+F1542+F1543</f>
        <v>30263.888532845795</v>
      </c>
    </row>
    <row r="1522" spans="1:6" ht="18" customHeight="1">
      <c r="A1522" s="7" t="s">
        <v>47</v>
      </c>
      <c r="B1522" s="52" t="s">
        <v>176</v>
      </c>
      <c r="C1522" s="7"/>
      <c r="D1522" s="7"/>
      <c r="E1522" s="7"/>
      <c r="F1522" s="53">
        <f>F1523+F1524</f>
        <v>8776.2270000000008</v>
      </c>
    </row>
    <row r="1523" spans="1:6" ht="18" customHeight="1">
      <c r="A1523" s="7"/>
      <c r="B1523" s="52" t="s">
        <v>824</v>
      </c>
      <c r="C1523" s="7" t="s">
        <v>825</v>
      </c>
      <c r="D1523" s="7">
        <v>8.1</v>
      </c>
      <c r="E1523" s="7">
        <v>684.5</v>
      </c>
      <c r="F1523" s="53">
        <f>D1523*E1523</f>
        <v>5544.45</v>
      </c>
    </row>
    <row r="1524" spans="1:6" ht="18" customHeight="1">
      <c r="A1524" s="7"/>
      <c r="B1524" s="52" t="s">
        <v>826</v>
      </c>
      <c r="C1524" s="7" t="s">
        <v>825</v>
      </c>
      <c r="D1524" s="7">
        <v>5.77</v>
      </c>
      <c r="E1524" s="7">
        <v>560.1</v>
      </c>
      <c r="F1524" s="53">
        <f>D1524*E1524</f>
        <v>3231.777</v>
      </c>
    </row>
    <row r="1525" spans="1:6" ht="18" customHeight="1">
      <c r="A1525" s="7" t="s">
        <v>57</v>
      </c>
      <c r="B1525" s="52" t="s">
        <v>177</v>
      </c>
      <c r="C1525" s="7"/>
      <c r="D1525" s="7"/>
      <c r="E1525" s="7"/>
      <c r="F1525" s="53">
        <f>SUM(F1526:F1533)</f>
        <v>19601.736817695</v>
      </c>
    </row>
    <row r="1526" spans="1:6" ht="18" customHeight="1">
      <c r="A1526" s="7"/>
      <c r="B1526" s="52" t="s">
        <v>870</v>
      </c>
      <c r="C1526" s="7" t="s">
        <v>871</v>
      </c>
      <c r="D1526" s="7">
        <f>材料预算价格表!L8</f>
        <v>1874.0778</v>
      </c>
      <c r="E1526" s="7">
        <v>0.24</v>
      </c>
      <c r="F1526" s="53">
        <f t="shared" ref="F1526:F1532" si="113">D1526*E1526</f>
        <v>449.77867199999997</v>
      </c>
    </row>
    <row r="1527" spans="1:6" ht="18" customHeight="1">
      <c r="A1527" s="7"/>
      <c r="B1527" s="52" t="s">
        <v>375</v>
      </c>
      <c r="C1527" s="7" t="s">
        <v>844</v>
      </c>
      <c r="D1527" s="7">
        <f>次要材料汇总!$F$9</f>
        <v>6</v>
      </c>
      <c r="E1527" s="7"/>
      <c r="F1527" s="53">
        <f t="shared" si="113"/>
        <v>0</v>
      </c>
    </row>
    <row r="1528" spans="1:6" ht="18" customHeight="1">
      <c r="A1528" s="7"/>
      <c r="B1528" s="52" t="s">
        <v>873</v>
      </c>
      <c r="C1528" s="7" t="s">
        <v>844</v>
      </c>
      <c r="D1528" s="7">
        <f>次要材料汇总!$F$10</f>
        <v>5.5</v>
      </c>
      <c r="E1528" s="7"/>
      <c r="F1528" s="53">
        <f t="shared" si="113"/>
        <v>0</v>
      </c>
    </row>
    <row r="1529" spans="1:6" ht="18" customHeight="1">
      <c r="A1529" s="7"/>
      <c r="B1529" s="52" t="s">
        <v>874</v>
      </c>
      <c r="C1529" s="7" t="s">
        <v>844</v>
      </c>
      <c r="D1529" s="7">
        <f>次要材料汇总!$F$11</f>
        <v>6.5</v>
      </c>
      <c r="E1529" s="7"/>
      <c r="F1529" s="53">
        <f t="shared" si="113"/>
        <v>0</v>
      </c>
    </row>
    <row r="1530" spans="1:6" ht="18" customHeight="1">
      <c r="A1530" s="7"/>
      <c r="B1530" s="52" t="s">
        <v>876</v>
      </c>
      <c r="C1530" s="7" t="s">
        <v>844</v>
      </c>
      <c r="D1530" s="7">
        <v>7.5</v>
      </c>
      <c r="E1530" s="7"/>
      <c r="F1530" s="53">
        <f t="shared" si="113"/>
        <v>0</v>
      </c>
    </row>
    <row r="1531" spans="1:6" ht="18" customHeight="1">
      <c r="A1531" s="7"/>
      <c r="B1531" s="52" t="s">
        <v>877</v>
      </c>
      <c r="C1531" s="7" t="s">
        <v>871</v>
      </c>
      <c r="D1531" s="66">
        <f>砼配合!J8</f>
        <v>183.29938899999999</v>
      </c>
      <c r="E1531" s="7">
        <v>103</v>
      </c>
      <c r="F1531" s="53">
        <f t="shared" si="113"/>
        <v>18879.837067</v>
      </c>
    </row>
    <row r="1532" spans="1:6" ht="18" customHeight="1">
      <c r="A1532" s="7"/>
      <c r="B1532" s="52" t="s">
        <v>806</v>
      </c>
      <c r="C1532" s="7" t="s">
        <v>871</v>
      </c>
      <c r="D1532" s="7">
        <f>材料预算价格表!K15</f>
        <v>3.88</v>
      </c>
      <c r="E1532" s="7">
        <v>45</v>
      </c>
      <c r="F1532" s="53">
        <f t="shared" si="113"/>
        <v>174.6</v>
      </c>
    </row>
    <row r="1533" spans="1:6" ht="18" customHeight="1">
      <c r="A1533" s="7"/>
      <c r="B1533" s="52" t="s">
        <v>833</v>
      </c>
      <c r="C1533" s="7" t="s">
        <v>834</v>
      </c>
      <c r="D1533" s="66">
        <f>SUM(F1526:F1532)</f>
        <v>19504.215738999999</v>
      </c>
      <c r="E1533" s="7">
        <v>0.5</v>
      </c>
      <c r="F1533" s="53">
        <f>D1533*E1533/100</f>
        <v>97.521078695</v>
      </c>
    </row>
    <row r="1534" spans="1:6" ht="18" customHeight="1">
      <c r="A1534" s="7" t="s">
        <v>835</v>
      </c>
      <c r="B1534" s="52" t="s">
        <v>836</v>
      </c>
      <c r="C1534" s="7"/>
      <c r="D1534" s="7"/>
      <c r="E1534" s="7"/>
      <c r="F1534" s="53">
        <f>SUM(F1535:F1540)</f>
        <v>760.71397450716813</v>
      </c>
    </row>
    <row r="1535" spans="1:6" ht="18" customHeight="1">
      <c r="A1535" s="7"/>
      <c r="B1535" s="52" t="s">
        <v>949</v>
      </c>
      <c r="C1535" s="7" t="s">
        <v>863</v>
      </c>
      <c r="D1535" s="66">
        <f>施工机械台时汇总!$C$42</f>
        <v>49.210305522914197</v>
      </c>
      <c r="E1535" s="7">
        <v>0.04</v>
      </c>
      <c r="F1535" s="53">
        <f>D1535*E1535</f>
        <v>1.968412220916568</v>
      </c>
    </row>
    <row r="1536" spans="1:6" ht="18" customHeight="1">
      <c r="A1536" s="7"/>
      <c r="B1536" s="52" t="s">
        <v>946</v>
      </c>
      <c r="C1536" s="7" t="s">
        <v>863</v>
      </c>
      <c r="D1536" s="66">
        <f>施工机械台时汇总!$C$40</f>
        <v>15.582226792009401</v>
      </c>
      <c r="E1536" s="7">
        <v>0</v>
      </c>
      <c r="F1536" s="53">
        <f>D1536*E1536</f>
        <v>0</v>
      </c>
    </row>
    <row r="1537" spans="1:6" ht="18" customHeight="1">
      <c r="A1537" s="7"/>
      <c r="B1537" s="52" t="s">
        <v>882</v>
      </c>
      <c r="C1537" s="7" t="s">
        <v>863</v>
      </c>
      <c r="D1537" s="66">
        <f>施工机械台时汇总!$C$21</f>
        <v>28.129680376028197</v>
      </c>
      <c r="E1537" s="7">
        <v>18.54</v>
      </c>
      <c r="F1537" s="53">
        <f>D1537*E1537</f>
        <v>521.52427417156275</v>
      </c>
    </row>
    <row r="1538" spans="1:6" ht="18" customHeight="1">
      <c r="A1538" s="7"/>
      <c r="B1538" s="52" t="s">
        <v>883</v>
      </c>
      <c r="C1538" s="7" t="s">
        <v>863</v>
      </c>
      <c r="D1538" s="66">
        <f>施工机械台时汇总!$C$24</f>
        <v>2.2013599686643204</v>
      </c>
      <c r="E1538" s="7">
        <v>40.049999999999997</v>
      </c>
      <c r="F1538" s="53">
        <f>D1538*E1538</f>
        <v>88.164466745006024</v>
      </c>
    </row>
    <row r="1539" spans="1:6" ht="18" customHeight="1">
      <c r="A1539" s="7"/>
      <c r="B1539" s="52" t="s">
        <v>407</v>
      </c>
      <c r="C1539" s="7" t="s">
        <v>863</v>
      </c>
      <c r="D1539" s="7">
        <f>施工机械台时汇总!$C$19</f>
        <v>0.80266353309831595</v>
      </c>
      <c r="E1539" s="7">
        <v>115.5</v>
      </c>
      <c r="F1539" s="53">
        <f>D1539*E1539</f>
        <v>92.707638072855488</v>
      </c>
    </row>
    <row r="1540" spans="1:6" ht="18" customHeight="1">
      <c r="A1540" s="7"/>
      <c r="B1540" s="52" t="s">
        <v>840</v>
      </c>
      <c r="C1540" s="7" t="s">
        <v>834</v>
      </c>
      <c r="D1540" s="66">
        <f>SUM(F1535:F1539)</f>
        <v>704.36479121034085</v>
      </c>
      <c r="E1540" s="7">
        <v>8</v>
      </c>
      <c r="F1540" s="53">
        <f>D1540*E1540/100</f>
        <v>56.34918329682727</v>
      </c>
    </row>
    <row r="1541" spans="1:6" ht="18" customHeight="1">
      <c r="A1541" s="7" t="s">
        <v>884</v>
      </c>
      <c r="B1541" s="52" t="s">
        <v>885</v>
      </c>
      <c r="C1541" s="7" t="s">
        <v>871</v>
      </c>
      <c r="D1541" s="66">
        <f>砼配合!J52/100</f>
        <v>5.0269138732471603</v>
      </c>
      <c r="E1541" s="7">
        <v>103</v>
      </c>
      <c r="F1541" s="53">
        <f>D1541*E1541</f>
        <v>517.77212894445756</v>
      </c>
    </row>
    <row r="1542" spans="1:6" ht="18" customHeight="1">
      <c r="A1542" s="7" t="s">
        <v>886</v>
      </c>
      <c r="B1542" s="52" t="s">
        <v>887</v>
      </c>
      <c r="C1542" s="7" t="s">
        <v>871</v>
      </c>
      <c r="D1542" s="66">
        <f>砼配合!J65/100</f>
        <v>5.8974622495064617</v>
      </c>
      <c r="E1542" s="7">
        <v>103</v>
      </c>
      <c r="F1542" s="53">
        <f>D1542*E1542</f>
        <v>607.43861169916556</v>
      </c>
    </row>
    <row r="1543" spans="1:6" ht="18" customHeight="1">
      <c r="A1543" s="7"/>
      <c r="B1543" s="52"/>
      <c r="C1543" s="7"/>
      <c r="D1543" s="7"/>
      <c r="E1543" s="7"/>
      <c r="F1543" s="53"/>
    </row>
    <row r="1544" spans="1:6" ht="18" customHeight="1">
      <c r="A1544" s="7">
        <v>1.2</v>
      </c>
      <c r="B1544" s="52" t="s">
        <v>841</v>
      </c>
      <c r="C1544" s="7"/>
      <c r="D1544" s="53">
        <f>F1521</f>
        <v>30263.888532845795</v>
      </c>
      <c r="E1544" s="56">
        <f>E1356</f>
        <v>4.8000000000000001E-2</v>
      </c>
      <c r="F1544" s="53">
        <f>D1544*E1544</f>
        <v>1452.6666495765983</v>
      </c>
    </row>
    <row r="1545" spans="1:6" ht="18" customHeight="1">
      <c r="A1545" s="7">
        <v>1.3</v>
      </c>
      <c r="B1545" s="52" t="s">
        <v>842</v>
      </c>
      <c r="C1545" s="7"/>
      <c r="D1545" s="53">
        <f>F1521</f>
        <v>30263.888532845795</v>
      </c>
      <c r="E1545" s="56">
        <f>E1357</f>
        <v>0</v>
      </c>
      <c r="F1545" s="53">
        <f>D1545*E1545</f>
        <v>0</v>
      </c>
    </row>
    <row r="1546" spans="1:6" ht="18" customHeight="1">
      <c r="A1546" s="7">
        <v>2</v>
      </c>
      <c r="B1546" s="52" t="s">
        <v>182</v>
      </c>
      <c r="C1546" s="7"/>
      <c r="D1546" s="53">
        <f>F1520</f>
        <v>31716.555182422391</v>
      </c>
      <c r="E1546" s="56">
        <f>E1358</f>
        <v>7.0000000000000007E-2</v>
      </c>
      <c r="F1546" s="53">
        <f>D1546*E1546</f>
        <v>2220.1588627695678</v>
      </c>
    </row>
    <row r="1547" spans="1:6" ht="18" customHeight="1">
      <c r="A1547" s="7">
        <v>3</v>
      </c>
      <c r="B1547" s="52" t="s">
        <v>843</v>
      </c>
      <c r="C1547" s="7"/>
      <c r="D1547" s="53">
        <f>F1546+F1520</f>
        <v>33936.714045191962</v>
      </c>
      <c r="E1547" s="56">
        <f>E1359</f>
        <v>7.0000000000000007E-2</v>
      </c>
      <c r="F1547" s="53">
        <f>D1547*E1547</f>
        <v>2375.5699831634374</v>
      </c>
    </row>
    <row r="1548" spans="1:6" ht="18" customHeight="1">
      <c r="A1548" s="7">
        <v>4</v>
      </c>
      <c r="B1548" s="52" t="s">
        <v>184</v>
      </c>
      <c r="C1548" s="7"/>
      <c r="D1548" s="7"/>
      <c r="E1548" s="7"/>
      <c r="F1548" s="53">
        <f>SUM(F1549:F1554)</f>
        <v>4873.7157155837122</v>
      </c>
    </row>
    <row r="1549" spans="1:6" ht="18" customHeight="1">
      <c r="A1549" s="7"/>
      <c r="B1549" s="52" t="s">
        <v>354</v>
      </c>
      <c r="C1549" s="7" t="s">
        <v>88</v>
      </c>
      <c r="D1549" s="7">
        <f>A2</f>
        <v>116.41515</v>
      </c>
      <c r="E1549" s="66">
        <f>E1531*砼配合!I9</f>
        <v>35.035758999999999</v>
      </c>
      <c r="F1549" s="53">
        <f t="shared" ref="F1549:F1555" si="114">D1549*E1549</f>
        <v>4078.6931393488499</v>
      </c>
    </row>
    <row r="1550" spans="1:6" ht="18" customHeight="1">
      <c r="A1550" s="7"/>
      <c r="B1550" s="52" t="s">
        <v>507</v>
      </c>
      <c r="C1550" s="7" t="s">
        <v>871</v>
      </c>
      <c r="D1550" s="66">
        <f>D2</f>
        <v>4.6598683999999899</v>
      </c>
      <c r="E1550" s="66">
        <f>E1531*砼配合!I10</f>
        <v>54.406660000000002</v>
      </c>
      <c r="F1550" s="53">
        <f t="shared" si="114"/>
        <v>253.52787568354347</v>
      </c>
    </row>
    <row r="1551" spans="1:6" ht="18" customHeight="1">
      <c r="A1551" s="7"/>
      <c r="B1551" s="52" t="s">
        <v>509</v>
      </c>
      <c r="C1551" s="7" t="s">
        <v>871</v>
      </c>
      <c r="D1551" s="66">
        <f>E2</f>
        <v>6.2457299999999902</v>
      </c>
      <c r="E1551" s="66">
        <f>E1531*砼配合!I11</f>
        <v>86.667083999999988</v>
      </c>
      <c r="F1551" s="53">
        <f t="shared" si="114"/>
        <v>541.29920655131912</v>
      </c>
    </row>
    <row r="1552" spans="1:6" ht="18" customHeight="1">
      <c r="A1552" s="7"/>
      <c r="B1552" s="52" t="s">
        <v>506</v>
      </c>
      <c r="C1552" s="7" t="s">
        <v>871</v>
      </c>
      <c r="D1552" s="7">
        <f>C2</f>
        <v>0</v>
      </c>
      <c r="E1552" s="66">
        <f>E1526</f>
        <v>0.24</v>
      </c>
      <c r="F1552" s="53">
        <f t="shared" si="114"/>
        <v>0</v>
      </c>
    </row>
    <row r="1553" spans="1:6" ht="18" customHeight="1">
      <c r="A1553" s="7"/>
      <c r="B1553" s="52" t="s">
        <v>515</v>
      </c>
      <c r="C1553" s="7" t="s">
        <v>844</v>
      </c>
      <c r="D1553" s="7">
        <f>G2</f>
        <v>4.7450000000000001</v>
      </c>
      <c r="E1553" s="66">
        <f>E1535*台时!AK26</f>
        <v>4.1200000000000001E-2</v>
      </c>
      <c r="F1553" s="53">
        <f t="shared" si="114"/>
        <v>0.195494</v>
      </c>
    </row>
    <row r="1554" spans="1:6" ht="18" customHeight="1">
      <c r="A1554" s="7"/>
      <c r="B1554" s="52" t="s">
        <v>516</v>
      </c>
      <c r="C1554" s="7" t="s">
        <v>844</v>
      </c>
      <c r="D1554" s="7">
        <f>H2</f>
        <v>3.51</v>
      </c>
      <c r="E1554" s="7"/>
      <c r="F1554" s="53">
        <f t="shared" si="114"/>
        <v>0</v>
      </c>
    </row>
    <row r="1555" spans="1:6" ht="18" customHeight="1">
      <c r="A1555" s="7">
        <v>5</v>
      </c>
      <c r="B1555" s="52" t="s">
        <v>845</v>
      </c>
      <c r="C1555" s="7"/>
      <c r="D1555" s="53">
        <f>F1520+F1546+F1547+F1548</f>
        <v>41185.999743939108</v>
      </c>
      <c r="E1555" s="56">
        <f>E1367</f>
        <v>0.09</v>
      </c>
      <c r="F1555" s="53">
        <f t="shared" si="114"/>
        <v>3706.7399769545195</v>
      </c>
    </row>
    <row r="1556" spans="1:6" ht="18" customHeight="1">
      <c r="A1556" s="7">
        <v>6</v>
      </c>
      <c r="B1556" s="52" t="s">
        <v>7</v>
      </c>
      <c r="C1556" s="7"/>
      <c r="D1556" s="7"/>
      <c r="E1556" s="7"/>
      <c r="F1556" s="53">
        <f>D1555+F1555</f>
        <v>44892.739720893631</v>
      </c>
    </row>
    <row r="1557" spans="1:6" ht="18" customHeight="1">
      <c r="A1557" s="7"/>
      <c r="B1557" s="52" t="s">
        <v>846</v>
      </c>
      <c r="C1557" s="7"/>
      <c r="D1557" s="53">
        <f>F1556</f>
        <v>44892.739720893631</v>
      </c>
      <c r="E1557" s="56">
        <f>E1369</f>
        <v>0.03</v>
      </c>
      <c r="F1557" s="53">
        <f>E1557*D1557</f>
        <v>1346.782191626809</v>
      </c>
    </row>
    <row r="1558" spans="1:6" ht="18" customHeight="1">
      <c r="A1558" s="7"/>
      <c r="B1558" s="52" t="s">
        <v>44</v>
      </c>
      <c r="C1558" s="7"/>
      <c r="D1558" s="7"/>
      <c r="E1558" s="7"/>
      <c r="F1558" s="53">
        <f>SUM(F1556:F1557)</f>
        <v>46239.521912520438</v>
      </c>
    </row>
    <row r="1559" spans="1:6" ht="20.25" customHeight="1">
      <c r="A1559" s="461" t="s">
        <v>813</v>
      </c>
      <c r="B1559" s="461"/>
      <c r="C1559" s="461"/>
      <c r="D1559" s="461"/>
      <c r="E1559" s="461"/>
      <c r="F1559" s="461"/>
    </row>
    <row r="1560" spans="1:6" ht="18" customHeight="1">
      <c r="A1560" s="462" t="s">
        <v>950</v>
      </c>
      <c r="B1560" s="462"/>
      <c r="C1560" s="462"/>
      <c r="D1560" s="462"/>
      <c r="E1560" s="462"/>
      <c r="F1560" s="462"/>
    </row>
    <row r="1561" spans="1:6" ht="18" customHeight="1">
      <c r="A1561" s="47" t="s">
        <v>815</v>
      </c>
      <c r="B1561" s="49">
        <v>6047</v>
      </c>
      <c r="D1561" s="46"/>
      <c r="E1561" s="47" t="s">
        <v>169</v>
      </c>
      <c r="F1561" s="49" t="s">
        <v>951</v>
      </c>
    </row>
    <row r="1562" spans="1:6" ht="18" customHeight="1">
      <c r="A1562" s="50" t="s">
        <v>817</v>
      </c>
      <c r="B1562" s="458"/>
      <c r="C1562" s="459"/>
      <c r="D1562" s="459"/>
      <c r="E1562" s="459"/>
      <c r="F1562" s="460"/>
    </row>
    <row r="1563" spans="1:6" ht="18" customHeight="1">
      <c r="A1563" s="7" t="s">
        <v>1</v>
      </c>
      <c r="B1563" s="52" t="s">
        <v>344</v>
      </c>
      <c r="C1563" s="7" t="s">
        <v>818</v>
      </c>
      <c r="D1563" s="7" t="s">
        <v>819</v>
      </c>
      <c r="E1563" s="7" t="s">
        <v>820</v>
      </c>
      <c r="F1563" s="7" t="s">
        <v>821</v>
      </c>
    </row>
    <row r="1564" spans="1:6" ht="18" customHeight="1">
      <c r="A1564" s="7">
        <v>1</v>
      </c>
      <c r="B1564" s="52" t="s">
        <v>822</v>
      </c>
      <c r="C1564" s="7"/>
      <c r="D1564" s="7"/>
      <c r="E1564" s="7"/>
      <c r="F1564" s="53">
        <f>F1565+F1584+F1585</f>
        <v>6346.9742211888133</v>
      </c>
    </row>
    <row r="1565" spans="1:6" ht="18" customHeight="1">
      <c r="A1565" s="7">
        <v>1.1000000000000001</v>
      </c>
      <c r="B1565" s="52" t="s">
        <v>823</v>
      </c>
      <c r="C1565" s="7"/>
      <c r="D1565" s="7"/>
      <c r="E1565" s="7"/>
      <c r="F1565" s="53">
        <f>F1566+F1569+F1575+F1581+F1582+F1583</f>
        <v>6056.2731118213869</v>
      </c>
    </row>
    <row r="1566" spans="1:6" ht="18" customHeight="1">
      <c r="A1566" s="7" t="s">
        <v>47</v>
      </c>
      <c r="B1566" s="52" t="s">
        <v>176</v>
      </c>
      <c r="C1566" s="7"/>
      <c r="D1566" s="7"/>
      <c r="E1566" s="7"/>
      <c r="F1566" s="53">
        <f>F1567+F1568</f>
        <v>1225.0999999999999</v>
      </c>
    </row>
    <row r="1567" spans="1:6" ht="18" customHeight="1">
      <c r="A1567" s="7"/>
      <c r="B1567" s="52" t="s">
        <v>824</v>
      </c>
      <c r="C1567" s="7" t="s">
        <v>825</v>
      </c>
      <c r="D1567" s="7">
        <v>8.1</v>
      </c>
      <c r="E1567" s="7">
        <v>79.3</v>
      </c>
      <c r="F1567" s="53">
        <f>D1567*E1567</f>
        <v>642.33000000000004</v>
      </c>
    </row>
    <row r="1568" spans="1:6" ht="18" customHeight="1">
      <c r="A1568" s="7"/>
      <c r="B1568" s="52" t="s">
        <v>826</v>
      </c>
      <c r="C1568" s="7" t="s">
        <v>825</v>
      </c>
      <c r="D1568" s="7">
        <v>5.77</v>
      </c>
      <c r="E1568" s="7">
        <v>101</v>
      </c>
      <c r="F1568" s="53">
        <f>D1568*E1568</f>
        <v>582.77</v>
      </c>
    </row>
    <row r="1569" spans="1:6" ht="18" customHeight="1">
      <c r="A1569" s="7" t="s">
        <v>57</v>
      </c>
      <c r="B1569" s="52" t="s">
        <v>177</v>
      </c>
      <c r="C1569" s="7"/>
      <c r="D1569" s="7"/>
      <c r="E1569" s="7"/>
      <c r="F1569" s="53">
        <f>SUM(F1570:F1574)</f>
        <v>2513.7059999999997</v>
      </c>
    </row>
    <row r="1570" spans="1:6" ht="18" customHeight="1">
      <c r="A1570" s="7"/>
      <c r="B1570" s="52" t="s">
        <v>507</v>
      </c>
      <c r="C1570" s="7" t="s">
        <v>871</v>
      </c>
      <c r="D1570" s="7">
        <f>材料预算价格表!L9</f>
        <v>70</v>
      </c>
      <c r="E1570" s="7">
        <v>1.5</v>
      </c>
      <c r="F1570" s="53">
        <f>D1570*E1570</f>
        <v>105</v>
      </c>
    </row>
    <row r="1571" spans="1:6" ht="18" customHeight="1">
      <c r="A1571" s="7"/>
      <c r="B1571" s="52" t="s">
        <v>354</v>
      </c>
      <c r="C1571" s="7" t="s">
        <v>88</v>
      </c>
      <c r="D1571" s="7">
        <f>材料预算价格表!L5</f>
        <v>255</v>
      </c>
      <c r="E1571" s="7">
        <v>2.2000000000000002</v>
      </c>
      <c r="F1571" s="53">
        <f>D1571*E1571</f>
        <v>561</v>
      </c>
    </row>
    <row r="1572" spans="1:6" ht="18" customHeight="1">
      <c r="A1572" s="7"/>
      <c r="B1572" s="52" t="s">
        <v>806</v>
      </c>
      <c r="C1572" s="7" t="s">
        <v>871</v>
      </c>
      <c r="D1572" s="7">
        <f>材料预算价格表!K15</f>
        <v>3.88</v>
      </c>
      <c r="E1572" s="7">
        <v>40</v>
      </c>
      <c r="F1572" s="53">
        <f>D1572*E1572</f>
        <v>155.19999999999999</v>
      </c>
    </row>
    <row r="1573" spans="1:6" ht="18" customHeight="1">
      <c r="A1573" s="7"/>
      <c r="B1573" s="52" t="s">
        <v>952</v>
      </c>
      <c r="C1573" s="7" t="s">
        <v>953</v>
      </c>
      <c r="D1573" s="7">
        <v>120</v>
      </c>
      <c r="E1573" s="7">
        <v>14</v>
      </c>
      <c r="F1573" s="53">
        <f>D1573*E1573</f>
        <v>1680</v>
      </c>
    </row>
    <row r="1574" spans="1:6" ht="18" customHeight="1">
      <c r="A1574" s="7"/>
      <c r="B1574" s="52" t="s">
        <v>833</v>
      </c>
      <c r="C1574" s="7" t="s">
        <v>834</v>
      </c>
      <c r="D1574" s="7">
        <f>SUM(F1570:F1573)</f>
        <v>2501.1999999999998</v>
      </c>
      <c r="E1574" s="7">
        <v>0.5</v>
      </c>
      <c r="F1574" s="53">
        <f>D1574*E1574/100</f>
        <v>12.505999999999998</v>
      </c>
    </row>
    <row r="1575" spans="1:6" ht="18" customHeight="1">
      <c r="A1575" s="7" t="s">
        <v>835</v>
      </c>
      <c r="B1575" s="52" t="s">
        <v>836</v>
      </c>
      <c r="C1575" s="7"/>
      <c r="D1575" s="7"/>
      <c r="E1575" s="7"/>
      <c r="F1575" s="53">
        <f>SUM(F1576:F1580)</f>
        <v>2317.4671118213869</v>
      </c>
    </row>
    <row r="1576" spans="1:6" ht="18" customHeight="1">
      <c r="A1576" s="7"/>
      <c r="B1576" s="52" t="s">
        <v>949</v>
      </c>
      <c r="C1576" s="7" t="s">
        <v>863</v>
      </c>
      <c r="D1576" s="66">
        <f>施工机械台时汇总!$C$42</f>
        <v>49.210305522914197</v>
      </c>
      <c r="E1576" s="7">
        <v>0.6</v>
      </c>
      <c r="F1576" s="53">
        <f>D1576*E1576</f>
        <v>29.526183313748518</v>
      </c>
    </row>
    <row r="1577" spans="1:6" ht="18" customHeight="1">
      <c r="A1577" s="7"/>
      <c r="B1577" s="52" t="s">
        <v>954</v>
      </c>
      <c r="C1577" s="7" t="s">
        <v>863</v>
      </c>
      <c r="D1577" s="66">
        <f>施工机械台时汇总!C85</f>
        <v>39.873990990991004</v>
      </c>
      <c r="E1577" s="7">
        <v>35</v>
      </c>
      <c r="F1577" s="53">
        <f>D1577*E1577</f>
        <v>1395.5896846846852</v>
      </c>
    </row>
    <row r="1578" spans="1:6" ht="18" customHeight="1">
      <c r="A1578" s="7"/>
      <c r="B1578" s="52" t="s">
        <v>955</v>
      </c>
      <c r="C1578" s="7" t="s">
        <v>863</v>
      </c>
      <c r="D1578" s="66">
        <f>施工机械台时汇总!C87</f>
        <v>19.994793184488827</v>
      </c>
      <c r="E1578" s="7">
        <v>35</v>
      </c>
      <c r="F1578" s="53">
        <f>D1578*E1578</f>
        <v>699.81776145710899</v>
      </c>
    </row>
    <row r="1579" spans="1:6" ht="18" customHeight="1">
      <c r="A1579" s="7"/>
      <c r="B1579" s="52" t="s">
        <v>407</v>
      </c>
      <c r="C1579" s="7" t="s">
        <v>863</v>
      </c>
      <c r="D1579" s="7">
        <f>施工机械台时汇总!$C$19</f>
        <v>0.80266353309831595</v>
      </c>
      <c r="E1579" s="7">
        <v>26</v>
      </c>
      <c r="F1579" s="53">
        <f>D1579*E1579</f>
        <v>20.869251860556215</v>
      </c>
    </row>
    <row r="1580" spans="1:6" ht="18" customHeight="1">
      <c r="A1580" s="7"/>
      <c r="B1580" s="52" t="s">
        <v>840</v>
      </c>
      <c r="C1580" s="7" t="s">
        <v>834</v>
      </c>
      <c r="D1580" s="66">
        <f>SUM(F1576:F1579)</f>
        <v>2145.802881316099</v>
      </c>
      <c r="E1580" s="7">
        <v>8</v>
      </c>
      <c r="F1580" s="53">
        <f>D1580*E1580/100</f>
        <v>171.66423050528792</v>
      </c>
    </row>
    <row r="1581" spans="1:6" ht="18" customHeight="1">
      <c r="A1581" s="7" t="s">
        <v>884</v>
      </c>
      <c r="B1581" s="52" t="s">
        <v>885</v>
      </c>
      <c r="C1581" s="7" t="s">
        <v>871</v>
      </c>
      <c r="D1581" s="7">
        <f>砼配合!J99/100</f>
        <v>0</v>
      </c>
      <c r="E1581" s="7">
        <v>103</v>
      </c>
      <c r="F1581" s="53">
        <f>D1581*E1581</f>
        <v>0</v>
      </c>
    </row>
    <row r="1582" spans="1:6" ht="18" customHeight="1">
      <c r="A1582" s="7" t="s">
        <v>886</v>
      </c>
      <c r="B1582" s="52" t="s">
        <v>887</v>
      </c>
      <c r="C1582" s="7" t="s">
        <v>871</v>
      </c>
      <c r="D1582" s="7">
        <f>砼配合!J112/100</f>
        <v>0</v>
      </c>
      <c r="E1582" s="7">
        <v>103</v>
      </c>
      <c r="F1582" s="53">
        <f>D1582*E1582</f>
        <v>0</v>
      </c>
    </row>
    <row r="1583" spans="1:6" ht="18" customHeight="1">
      <c r="A1583" s="7"/>
      <c r="B1583" s="52"/>
      <c r="C1583" s="7"/>
      <c r="D1583" s="7"/>
      <c r="E1583" s="7"/>
      <c r="F1583" s="53"/>
    </row>
    <row r="1584" spans="1:6" ht="18" customHeight="1">
      <c r="A1584" s="7">
        <v>1.2</v>
      </c>
      <c r="B1584" s="52" t="s">
        <v>841</v>
      </c>
      <c r="C1584" s="7"/>
      <c r="D1584" s="53">
        <f>F1565</f>
        <v>6056.2731118213869</v>
      </c>
      <c r="E1584" s="56">
        <f>取费!C11</f>
        <v>4.8000000000000001E-2</v>
      </c>
      <c r="F1584" s="53">
        <f>D1584*E1584</f>
        <v>290.70110936742657</v>
      </c>
    </row>
    <row r="1585" spans="1:6" ht="18" customHeight="1">
      <c r="A1585" s="7">
        <v>1.3</v>
      </c>
      <c r="B1585" s="52" t="s">
        <v>842</v>
      </c>
      <c r="C1585" s="7"/>
      <c r="D1585" s="53">
        <f>F1565</f>
        <v>6056.2731118213869</v>
      </c>
      <c r="E1585" s="56">
        <f>取费!D11</f>
        <v>0</v>
      </c>
      <c r="F1585" s="53">
        <f>D1585*E1585</f>
        <v>0</v>
      </c>
    </row>
    <row r="1586" spans="1:6" ht="18" customHeight="1">
      <c r="A1586" s="7">
        <v>2</v>
      </c>
      <c r="B1586" s="52" t="s">
        <v>182</v>
      </c>
      <c r="C1586" s="7"/>
      <c r="D1586" s="53">
        <f>F1564</f>
        <v>6346.9742211888133</v>
      </c>
      <c r="E1586" s="56">
        <f>取费!E11</f>
        <v>9.2499999999999999E-2</v>
      </c>
      <c r="F1586" s="53">
        <f>D1586*E1586</f>
        <v>587.0951154599652</v>
      </c>
    </row>
    <row r="1587" spans="1:6" ht="18" customHeight="1">
      <c r="A1587" s="7">
        <v>3</v>
      </c>
      <c r="B1587" s="52" t="s">
        <v>843</v>
      </c>
      <c r="C1587" s="7"/>
      <c r="D1587" s="53">
        <f>F1586+F1564</f>
        <v>6934.0693366487785</v>
      </c>
      <c r="E1587" s="56">
        <f>取费!F11</f>
        <v>7.0000000000000007E-2</v>
      </c>
      <c r="F1587" s="53">
        <f>D1587*E1587</f>
        <v>485.38485356541452</v>
      </c>
    </row>
    <row r="1588" spans="1:6" ht="18" customHeight="1">
      <c r="A1588" s="7">
        <v>4</v>
      </c>
      <c r="B1588" s="52" t="s">
        <v>184</v>
      </c>
      <c r="C1588" s="7"/>
      <c r="D1588" s="7"/>
      <c r="E1588" s="7"/>
      <c r="F1588" s="53">
        <f>SUM(F1589:F1592)</f>
        <v>283.60153259999998</v>
      </c>
    </row>
    <row r="1589" spans="1:6" ht="18" customHeight="1">
      <c r="A1589" s="7"/>
      <c r="B1589" s="52" t="s">
        <v>354</v>
      </c>
      <c r="C1589" s="7" t="s">
        <v>88</v>
      </c>
      <c r="D1589" s="7">
        <f>A2</f>
        <v>116.41515</v>
      </c>
      <c r="E1589" s="7">
        <f>E1571</f>
        <v>2.2000000000000002</v>
      </c>
      <c r="F1589" s="53">
        <f>D1589*E1589</f>
        <v>256.11333000000002</v>
      </c>
    </row>
    <row r="1590" spans="1:6" ht="18" customHeight="1">
      <c r="A1590" s="7"/>
      <c r="B1590" s="52" t="s">
        <v>507</v>
      </c>
      <c r="C1590" s="7" t="s">
        <v>871</v>
      </c>
      <c r="D1590" s="66">
        <f>D2</f>
        <v>4.6598683999999899</v>
      </c>
      <c r="E1590" s="7">
        <f>E1570</f>
        <v>1.5</v>
      </c>
      <c r="F1590" s="53">
        <f>D1590*E1590</f>
        <v>6.9898025999999849</v>
      </c>
    </row>
    <row r="1591" spans="1:6" ht="18" customHeight="1">
      <c r="A1591" s="7"/>
      <c r="B1591" s="52" t="s">
        <v>515</v>
      </c>
      <c r="C1591" s="7" t="s">
        <v>844</v>
      </c>
      <c r="D1591" s="7">
        <f>G2</f>
        <v>4.7450000000000001</v>
      </c>
      <c r="E1591" s="7">
        <f>E1576*台时!AK19</f>
        <v>4.32</v>
      </c>
      <c r="F1591" s="53">
        <f>D1591*E1591</f>
        <v>20.4984</v>
      </c>
    </row>
    <row r="1592" spans="1:6" ht="18" customHeight="1">
      <c r="A1592" s="7"/>
      <c r="B1592" s="52" t="s">
        <v>516</v>
      </c>
      <c r="C1592" s="7" t="s">
        <v>844</v>
      </c>
      <c r="D1592" s="7">
        <f>H2</f>
        <v>3.51</v>
      </c>
      <c r="E1592" s="7"/>
      <c r="F1592" s="53">
        <f>D1592*E1592</f>
        <v>0</v>
      </c>
    </row>
    <row r="1593" spans="1:6" ht="18" customHeight="1">
      <c r="A1593" s="7">
        <v>5</v>
      </c>
      <c r="B1593" s="52" t="s">
        <v>845</v>
      </c>
      <c r="C1593" s="7"/>
      <c r="D1593" s="53">
        <f>F1564+F1586+F1587+F1588</f>
        <v>7703.0557228141924</v>
      </c>
      <c r="E1593" s="56">
        <f>取费!G11</f>
        <v>0.09</v>
      </c>
      <c r="F1593" s="53">
        <f>D1593*E1593</f>
        <v>693.27501505327734</v>
      </c>
    </row>
    <row r="1594" spans="1:6" ht="18" customHeight="1">
      <c r="A1594" s="7">
        <v>6</v>
      </c>
      <c r="B1594" s="52" t="s">
        <v>7</v>
      </c>
      <c r="C1594" s="7"/>
      <c r="D1594" s="7"/>
      <c r="E1594" s="7"/>
      <c r="F1594" s="53">
        <f>D1593+F1593</f>
        <v>8396.330737867469</v>
      </c>
    </row>
    <row r="1595" spans="1:6" ht="18" customHeight="1">
      <c r="A1595" s="7"/>
      <c r="B1595" s="52" t="s">
        <v>846</v>
      </c>
      <c r="C1595" s="7"/>
      <c r="D1595" s="53">
        <f>F1594</f>
        <v>8396.330737867469</v>
      </c>
      <c r="E1595" s="56">
        <f>取费!H6</f>
        <v>0.03</v>
      </c>
      <c r="F1595" s="53">
        <f>E1595*D1595</f>
        <v>251.88992213602407</v>
      </c>
    </row>
    <row r="1596" spans="1:6" ht="18" customHeight="1">
      <c r="A1596" s="7"/>
      <c r="B1596" s="52" t="s">
        <v>44</v>
      </c>
      <c r="C1596" s="52"/>
      <c r="D1596" s="7"/>
      <c r="E1596" s="7"/>
      <c r="F1596" s="53">
        <f>SUM(F1594:F1595)</f>
        <v>8648.2206600034933</v>
      </c>
    </row>
    <row r="1597" spans="1:6" ht="22.5" customHeight="1">
      <c r="A1597" s="461" t="s">
        <v>813</v>
      </c>
      <c r="B1597" s="461"/>
      <c r="C1597" s="461"/>
      <c r="D1597" s="461"/>
      <c r="E1597" s="461"/>
      <c r="F1597" s="461"/>
    </row>
    <row r="1598" spans="1:6" ht="18" customHeight="1">
      <c r="A1598" s="481" t="s">
        <v>956</v>
      </c>
      <c r="B1598" s="481"/>
      <c r="C1598" s="481"/>
      <c r="D1598" s="481"/>
      <c r="E1598" s="481"/>
      <c r="F1598" s="481"/>
    </row>
    <row r="1599" spans="1:6" ht="18" customHeight="1">
      <c r="A1599" s="46" t="s">
        <v>815</v>
      </c>
      <c r="B1599" s="49">
        <v>6042</v>
      </c>
      <c r="D1599" s="71"/>
      <c r="E1599" s="47" t="s">
        <v>169</v>
      </c>
      <c r="F1599" s="49" t="s">
        <v>957</v>
      </c>
    </row>
    <row r="1600" spans="1:6" ht="18" customHeight="1">
      <c r="A1600" s="7" t="s">
        <v>817</v>
      </c>
      <c r="B1600" s="458"/>
      <c r="C1600" s="459"/>
      <c r="D1600" s="459"/>
      <c r="E1600" s="459"/>
      <c r="F1600" s="460"/>
    </row>
    <row r="1601" spans="1:6" ht="18" customHeight="1">
      <c r="A1601" s="7" t="s">
        <v>1</v>
      </c>
      <c r="B1601" s="52" t="s">
        <v>344</v>
      </c>
      <c r="C1601" s="7" t="s">
        <v>818</v>
      </c>
      <c r="D1601" s="7" t="s">
        <v>819</v>
      </c>
      <c r="E1601" s="7" t="s">
        <v>820</v>
      </c>
      <c r="F1601" s="7" t="s">
        <v>821</v>
      </c>
    </row>
    <row r="1602" spans="1:6" ht="18" customHeight="1">
      <c r="A1602" s="7">
        <v>1</v>
      </c>
      <c r="B1602" s="52" t="s">
        <v>822</v>
      </c>
      <c r="C1602" s="7"/>
      <c r="D1602" s="7"/>
      <c r="E1602" s="7"/>
      <c r="F1602" s="53">
        <f>F1603+F1617+F1618</f>
        <v>10862.571801371561</v>
      </c>
    </row>
    <row r="1603" spans="1:6" ht="18" customHeight="1">
      <c r="A1603" s="7">
        <v>1.1000000000000001</v>
      </c>
      <c r="B1603" s="52" t="s">
        <v>823</v>
      </c>
      <c r="C1603" s="7"/>
      <c r="D1603" s="7"/>
      <c r="E1603" s="7"/>
      <c r="F1603" s="53">
        <f>F1604+F1607+F1611</f>
        <v>10365.049428789658</v>
      </c>
    </row>
    <row r="1604" spans="1:6" ht="18" customHeight="1">
      <c r="A1604" s="7" t="s">
        <v>47</v>
      </c>
      <c r="B1604" s="52" t="s">
        <v>176</v>
      </c>
      <c r="C1604" s="7"/>
      <c r="D1604" s="7"/>
      <c r="E1604" s="7"/>
      <c r="F1604" s="53">
        <f>F1605+F1606</f>
        <v>2618.06</v>
      </c>
    </row>
    <row r="1605" spans="1:6" ht="18" customHeight="1">
      <c r="A1605" s="7"/>
      <c r="B1605" s="52" t="s">
        <v>824</v>
      </c>
      <c r="C1605" s="7" t="s">
        <v>825</v>
      </c>
      <c r="D1605" s="7">
        <v>8.1</v>
      </c>
      <c r="E1605" s="7">
        <v>172.2</v>
      </c>
      <c r="F1605" s="53">
        <f>D1605*E1605</f>
        <v>1394.82</v>
      </c>
    </row>
    <row r="1606" spans="1:6" ht="18" customHeight="1">
      <c r="A1606" s="7"/>
      <c r="B1606" s="52" t="s">
        <v>826</v>
      </c>
      <c r="C1606" s="7" t="s">
        <v>825</v>
      </c>
      <c r="D1606" s="7">
        <v>5.77</v>
      </c>
      <c r="E1606" s="7">
        <v>212</v>
      </c>
      <c r="F1606" s="53">
        <f>D1606*E1606</f>
        <v>1223.24</v>
      </c>
    </row>
    <row r="1607" spans="1:6" ht="18" customHeight="1">
      <c r="A1607" s="7" t="s">
        <v>57</v>
      </c>
      <c r="B1607" s="52" t="s">
        <v>177</v>
      </c>
      <c r="C1607" s="7"/>
      <c r="D1607" s="7"/>
      <c r="E1607" s="7"/>
      <c r="F1607" s="53">
        <f>SUM(F1608:F1610)</f>
        <v>3400.3464000000004</v>
      </c>
    </row>
    <row r="1608" spans="1:6" ht="18" customHeight="1">
      <c r="A1608" s="7"/>
      <c r="B1608" s="52" t="s">
        <v>354</v>
      </c>
      <c r="C1608" s="7" t="s">
        <v>88</v>
      </c>
      <c r="D1608" s="7">
        <f>材料预算价格表!L6</f>
        <v>255</v>
      </c>
      <c r="E1608" s="7">
        <v>5.2</v>
      </c>
      <c r="F1608" s="53">
        <f>D1608*E1608</f>
        <v>1326</v>
      </c>
    </row>
    <row r="1609" spans="1:6" ht="18" customHeight="1">
      <c r="A1609" s="7"/>
      <c r="B1609" s="52" t="s">
        <v>806</v>
      </c>
      <c r="C1609" s="7" t="s">
        <v>871</v>
      </c>
      <c r="D1609" s="55">
        <f>材料预算价格表!K15</f>
        <v>3.88</v>
      </c>
      <c r="E1609" s="7">
        <v>427</v>
      </c>
      <c r="F1609" s="53">
        <f>D1609*E1609</f>
        <v>1656.76</v>
      </c>
    </row>
    <row r="1610" spans="1:6" ht="18" customHeight="1">
      <c r="A1610" s="7"/>
      <c r="B1610" s="52" t="s">
        <v>833</v>
      </c>
      <c r="C1610" s="7" t="s">
        <v>834</v>
      </c>
      <c r="D1610" s="7">
        <f>SUM(F1608:F1609)</f>
        <v>2982.76</v>
      </c>
      <c r="E1610" s="7">
        <v>14</v>
      </c>
      <c r="F1610" s="53">
        <f>D1610*E1610/100</f>
        <v>417.58639999999997</v>
      </c>
    </row>
    <row r="1611" spans="1:6" ht="18" customHeight="1">
      <c r="A1611" s="7" t="s">
        <v>835</v>
      </c>
      <c r="B1611" s="52" t="s">
        <v>836</v>
      </c>
      <c r="C1611" s="7"/>
      <c r="D1611" s="7"/>
      <c r="E1611" s="7"/>
      <c r="F1611" s="53">
        <f>SUM(F1612:F1615)</f>
        <v>4346.6430287896583</v>
      </c>
    </row>
    <row r="1612" spans="1:6" ht="18" customHeight="1">
      <c r="A1612" s="7"/>
      <c r="B1612" s="52" t="s">
        <v>954</v>
      </c>
      <c r="C1612" s="7" t="s">
        <v>863</v>
      </c>
      <c r="D1612" s="66">
        <f>施工机械台时汇总!C84</f>
        <v>41.936826478652563</v>
      </c>
      <c r="E1612" s="7">
        <v>66</v>
      </c>
      <c r="F1612" s="53">
        <f>D1612*E1612</f>
        <v>2767.8305475910693</v>
      </c>
    </row>
    <row r="1613" spans="1:6" ht="18" customHeight="1">
      <c r="A1613" s="7"/>
      <c r="B1613" s="52" t="s">
        <v>955</v>
      </c>
      <c r="C1613" s="7" t="s">
        <v>863</v>
      </c>
      <c r="D1613" s="66">
        <f>施工机械台时汇总!C87</f>
        <v>19.994793184488827</v>
      </c>
      <c r="E1613" s="7">
        <v>66</v>
      </c>
      <c r="F1613" s="53">
        <f>D1613*E1613</f>
        <v>1319.6563501762625</v>
      </c>
    </row>
    <row r="1614" spans="1:6" ht="18" customHeight="1">
      <c r="A1614" s="7"/>
      <c r="B1614" s="52" t="s">
        <v>407</v>
      </c>
      <c r="C1614" s="7" t="s">
        <v>863</v>
      </c>
      <c r="D1614" s="66">
        <f>施工机械台时汇总!C19</f>
        <v>0.80266353309831595</v>
      </c>
      <c r="E1614" s="7">
        <v>65</v>
      </c>
      <c r="F1614" s="53">
        <f>D1614*E1614</f>
        <v>52.173129651390539</v>
      </c>
    </row>
    <row r="1615" spans="1:6" ht="18" customHeight="1">
      <c r="A1615" s="7"/>
      <c r="B1615" s="52" t="s">
        <v>840</v>
      </c>
      <c r="C1615" s="7" t="s">
        <v>834</v>
      </c>
      <c r="D1615" s="66">
        <f>SUM(F1612:F1614)</f>
        <v>4139.6600274187222</v>
      </c>
      <c r="E1615" s="7">
        <v>5</v>
      </c>
      <c r="F1615" s="53">
        <f>D1615*E1615/100</f>
        <v>206.98300137093611</v>
      </c>
    </row>
    <row r="1616" spans="1:6" ht="18" customHeight="1">
      <c r="A1616" s="7"/>
      <c r="B1616" s="52"/>
      <c r="C1616" s="7"/>
      <c r="D1616" s="7"/>
      <c r="E1616" s="7"/>
      <c r="F1616" s="53"/>
    </row>
    <row r="1617" spans="1:6" ht="18" customHeight="1">
      <c r="A1617" s="7">
        <v>1.2</v>
      </c>
      <c r="B1617" s="52" t="s">
        <v>841</v>
      </c>
      <c r="C1617" s="7"/>
      <c r="D1617" s="53">
        <f>F1603</f>
        <v>10365.049428789658</v>
      </c>
      <c r="E1617" s="56">
        <f>E1584</f>
        <v>4.8000000000000001E-2</v>
      </c>
      <c r="F1617" s="53">
        <f>D1617*E1617</f>
        <v>497.5223725819036</v>
      </c>
    </row>
    <row r="1618" spans="1:6" ht="18" customHeight="1">
      <c r="A1618" s="7">
        <v>1.3</v>
      </c>
      <c r="B1618" s="52" t="s">
        <v>842</v>
      </c>
      <c r="C1618" s="7"/>
      <c r="D1618" s="53">
        <f>F1603</f>
        <v>10365.049428789658</v>
      </c>
      <c r="E1618" s="56">
        <f>E1585</f>
        <v>0</v>
      </c>
      <c r="F1618" s="53">
        <f>D1618*E1618</f>
        <v>0</v>
      </c>
    </row>
    <row r="1619" spans="1:6" ht="18" customHeight="1">
      <c r="A1619" s="7">
        <v>2</v>
      </c>
      <c r="B1619" s="52" t="s">
        <v>182</v>
      </c>
      <c r="C1619" s="7"/>
      <c r="D1619" s="53">
        <f>F1602</f>
        <v>10862.571801371561</v>
      </c>
      <c r="E1619" s="56">
        <f>E1586</f>
        <v>9.2499999999999999E-2</v>
      </c>
      <c r="F1619" s="53">
        <f>D1619*E1619</f>
        <v>1004.7878916268694</v>
      </c>
    </row>
    <row r="1620" spans="1:6" ht="18" customHeight="1">
      <c r="A1620" s="7">
        <v>3</v>
      </c>
      <c r="B1620" s="52" t="s">
        <v>843</v>
      </c>
      <c r="C1620" s="7"/>
      <c r="D1620" s="53">
        <f>F1619+F1602</f>
        <v>11867.359692998431</v>
      </c>
      <c r="E1620" s="56">
        <f>E1587</f>
        <v>7.0000000000000007E-2</v>
      </c>
      <c r="F1620" s="53">
        <f>D1620*E1620</f>
        <v>830.71517850989017</v>
      </c>
    </row>
    <row r="1621" spans="1:6" ht="18" customHeight="1">
      <c r="A1621" s="7">
        <v>4</v>
      </c>
      <c r="B1621" s="52" t="s">
        <v>184</v>
      </c>
      <c r="C1621" s="7"/>
      <c r="D1621" s="7"/>
      <c r="E1621" s="7"/>
      <c r="F1621" s="53">
        <f>SUM(F1622:F1623)</f>
        <v>605.35878000000002</v>
      </c>
    </row>
    <row r="1622" spans="1:6" ht="18" customHeight="1">
      <c r="A1622" s="7"/>
      <c r="B1622" s="52" t="s">
        <v>354</v>
      </c>
      <c r="C1622" s="7" t="s">
        <v>88</v>
      </c>
      <c r="D1622" s="66">
        <f>A2</f>
        <v>116.41515</v>
      </c>
      <c r="E1622" s="7">
        <f>E1608</f>
        <v>5.2</v>
      </c>
      <c r="F1622" s="53">
        <f>D1622*E1622</f>
        <v>605.35878000000002</v>
      </c>
    </row>
    <row r="1623" spans="1:6" ht="18" customHeight="1">
      <c r="A1623" s="7"/>
      <c r="B1623" s="52" t="s">
        <v>516</v>
      </c>
      <c r="C1623" s="7" t="s">
        <v>871</v>
      </c>
      <c r="D1623" s="7">
        <f>H2</f>
        <v>3.51</v>
      </c>
      <c r="E1623" s="7"/>
      <c r="F1623" s="53">
        <f>D1623*E1623</f>
        <v>0</v>
      </c>
    </row>
    <row r="1624" spans="1:6" ht="18" customHeight="1">
      <c r="A1624" s="7">
        <v>5</v>
      </c>
      <c r="B1624" s="52" t="s">
        <v>845</v>
      </c>
      <c r="C1624" s="7"/>
      <c r="D1624" s="53">
        <f>F1602+F1619+F1620+F1621</f>
        <v>13303.433651508321</v>
      </c>
      <c r="E1624" s="56">
        <f>E1593</f>
        <v>0.09</v>
      </c>
      <c r="F1624" s="53">
        <f>D1624*E1624</f>
        <v>1197.309028635749</v>
      </c>
    </row>
    <row r="1625" spans="1:6" ht="18" customHeight="1">
      <c r="A1625" s="7">
        <v>6</v>
      </c>
      <c r="B1625" s="52" t="s">
        <v>809</v>
      </c>
      <c r="C1625" s="7"/>
      <c r="D1625" s="7"/>
      <c r="E1625" s="7"/>
      <c r="F1625" s="53">
        <f>D1624+F1624</f>
        <v>14500.742680144071</v>
      </c>
    </row>
    <row r="1626" spans="1:6" ht="18" customHeight="1">
      <c r="A1626" s="7"/>
      <c r="B1626" s="52" t="s">
        <v>846</v>
      </c>
      <c r="C1626" s="7"/>
      <c r="D1626" s="53">
        <f>F1625</f>
        <v>14500.742680144071</v>
      </c>
      <c r="E1626" s="56">
        <f>E1595</f>
        <v>0.03</v>
      </c>
      <c r="F1626" s="53">
        <f>D1626*E1626</f>
        <v>435.02228040432209</v>
      </c>
    </row>
    <row r="1627" spans="1:6" ht="18" customHeight="1">
      <c r="A1627" s="7"/>
      <c r="B1627" s="52" t="s">
        <v>7</v>
      </c>
      <c r="C1627" s="7"/>
      <c r="D1627" s="7"/>
      <c r="E1627" s="7"/>
      <c r="F1627" s="53">
        <f>SUM(F1625:F1626)</f>
        <v>14935.764960548393</v>
      </c>
    </row>
    <row r="1628" spans="1:6" ht="22.5" customHeight="1">
      <c r="A1628" s="461" t="s">
        <v>813</v>
      </c>
      <c r="B1628" s="461"/>
      <c r="C1628" s="461"/>
      <c r="D1628" s="461"/>
      <c r="E1628" s="461"/>
      <c r="F1628" s="461"/>
    </row>
    <row r="1629" spans="1:6" ht="18" customHeight="1">
      <c r="A1629" s="462" t="s">
        <v>958</v>
      </c>
      <c r="B1629" s="462"/>
      <c r="C1629" s="462"/>
      <c r="D1629" s="462"/>
      <c r="E1629" s="462"/>
      <c r="F1629" s="462"/>
    </row>
    <row r="1630" spans="1:6" ht="18" customHeight="1">
      <c r="A1630" s="47" t="s">
        <v>894</v>
      </c>
      <c r="B1630" s="49">
        <v>4142</v>
      </c>
      <c r="D1630" s="46"/>
      <c r="E1630" s="47" t="s">
        <v>169</v>
      </c>
      <c r="F1630" s="49" t="s">
        <v>869</v>
      </c>
    </row>
    <row r="1631" spans="1:6" ht="18" customHeight="1">
      <c r="A1631" s="50" t="s">
        <v>817</v>
      </c>
      <c r="B1631" s="458"/>
      <c r="C1631" s="459"/>
      <c r="D1631" s="459"/>
      <c r="E1631" s="459"/>
      <c r="F1631" s="460"/>
    </row>
    <row r="1632" spans="1:6" ht="18" customHeight="1">
      <c r="A1632" s="7" t="s">
        <v>1</v>
      </c>
      <c r="B1632" s="52" t="s">
        <v>344</v>
      </c>
      <c r="C1632" s="7" t="s">
        <v>818</v>
      </c>
      <c r="D1632" s="7" t="s">
        <v>819</v>
      </c>
      <c r="E1632" s="7" t="s">
        <v>820</v>
      </c>
      <c r="F1632" s="7" t="s">
        <v>821</v>
      </c>
    </row>
    <row r="1633" spans="1:6" ht="18" customHeight="1">
      <c r="A1633" s="7">
        <v>1</v>
      </c>
      <c r="B1633" s="52" t="s">
        <v>822</v>
      </c>
      <c r="C1633" s="7"/>
      <c r="D1633" s="7"/>
      <c r="E1633" s="7"/>
      <c r="F1633" s="53">
        <f>F1634+F1651+F1652</f>
        <v>44411.988400425857</v>
      </c>
    </row>
    <row r="1634" spans="1:6" ht="18" customHeight="1">
      <c r="A1634" s="7">
        <v>1.1000000000000001</v>
      </c>
      <c r="B1634" s="52" t="s">
        <v>823</v>
      </c>
      <c r="C1634" s="7"/>
      <c r="D1634" s="7"/>
      <c r="E1634" s="7"/>
      <c r="F1634" s="53">
        <f>F1635+F1638+F1644+F1650</f>
        <v>42377.851527123908</v>
      </c>
    </row>
    <row r="1635" spans="1:6" ht="18" customHeight="1">
      <c r="A1635" s="7" t="s">
        <v>47</v>
      </c>
      <c r="B1635" s="52" t="s">
        <v>176</v>
      </c>
      <c r="C1635" s="7"/>
      <c r="D1635" s="7"/>
      <c r="E1635" s="7"/>
      <c r="F1635" s="53">
        <f>F1636+F1637</f>
        <v>20800.111000000001</v>
      </c>
    </row>
    <row r="1636" spans="1:6" ht="18" customHeight="1">
      <c r="A1636" s="7"/>
      <c r="B1636" s="52" t="s">
        <v>824</v>
      </c>
      <c r="C1636" s="7" t="s">
        <v>825</v>
      </c>
      <c r="D1636" s="7">
        <v>8.1</v>
      </c>
      <c r="E1636" s="7">
        <v>1938.7</v>
      </c>
      <c r="F1636" s="53">
        <f>D1636*E1636</f>
        <v>15703.47</v>
      </c>
    </row>
    <row r="1637" spans="1:6" ht="18" customHeight="1">
      <c r="A1637" s="7"/>
      <c r="B1637" s="52" t="s">
        <v>826</v>
      </c>
      <c r="C1637" s="7" t="s">
        <v>825</v>
      </c>
      <c r="D1637" s="7">
        <v>5.77</v>
      </c>
      <c r="E1637" s="7">
        <v>883.3</v>
      </c>
      <c r="F1637" s="53">
        <f>D1637*E1637</f>
        <v>5096.6409999999996</v>
      </c>
    </row>
    <row r="1638" spans="1:6" ht="18" customHeight="1">
      <c r="A1638" s="7" t="s">
        <v>57</v>
      </c>
      <c r="B1638" s="52" t="s">
        <v>177</v>
      </c>
      <c r="C1638" s="7"/>
      <c r="D1638" s="7"/>
      <c r="E1638" s="7"/>
      <c r="F1638" s="53">
        <f>SUM(F1639:F1643)</f>
        <v>20744.900775180002</v>
      </c>
    </row>
    <row r="1639" spans="1:6" ht="18" customHeight="1">
      <c r="A1639" s="7"/>
      <c r="B1639" s="52" t="s">
        <v>959</v>
      </c>
      <c r="C1639" s="7" t="s">
        <v>844</v>
      </c>
      <c r="D1639" s="7">
        <v>12</v>
      </c>
      <c r="E1639" s="7">
        <v>153.08000000000001</v>
      </c>
      <c r="F1639" s="53">
        <f>D1639*E1639</f>
        <v>1836.96</v>
      </c>
    </row>
    <row r="1640" spans="1:6" ht="18" customHeight="1">
      <c r="A1640" s="7"/>
      <c r="B1640" s="52" t="s">
        <v>875</v>
      </c>
      <c r="C1640" s="7" t="s">
        <v>844</v>
      </c>
      <c r="D1640" s="7">
        <f>次要材料汇总!$F$5</f>
        <v>8</v>
      </c>
      <c r="E1640" s="7">
        <v>32.340000000000003</v>
      </c>
      <c r="F1640" s="53">
        <f>D1640*E1640</f>
        <v>258.72000000000003</v>
      </c>
    </row>
    <row r="1641" spans="1:6" ht="18" customHeight="1">
      <c r="A1641" s="7"/>
      <c r="B1641" s="52" t="s">
        <v>877</v>
      </c>
      <c r="C1641" s="7" t="s">
        <v>871</v>
      </c>
      <c r="D1641" s="66">
        <f>砼配合!J14</f>
        <v>171.692409</v>
      </c>
      <c r="E1641" s="7">
        <v>102</v>
      </c>
      <c r="F1641" s="53">
        <f>D1641*E1641</f>
        <v>17512.625717999999</v>
      </c>
    </row>
    <row r="1642" spans="1:6" ht="18" customHeight="1">
      <c r="A1642" s="7"/>
      <c r="B1642" s="52" t="s">
        <v>806</v>
      </c>
      <c r="C1642" s="7" t="s">
        <v>871</v>
      </c>
      <c r="D1642" s="7">
        <f>材料预算价格表!K15</f>
        <v>3.88</v>
      </c>
      <c r="E1642" s="7">
        <v>240</v>
      </c>
      <c r="F1642" s="53">
        <f>D1642*E1642</f>
        <v>931.19999999999993</v>
      </c>
    </row>
    <row r="1643" spans="1:6" ht="18" customHeight="1">
      <c r="A1643" s="7"/>
      <c r="B1643" s="52" t="s">
        <v>833</v>
      </c>
      <c r="C1643" s="7" t="s">
        <v>834</v>
      </c>
      <c r="D1643" s="66">
        <f>SUM(F1639:F1642)</f>
        <v>20539.505718</v>
      </c>
      <c r="E1643" s="7">
        <v>1</v>
      </c>
      <c r="F1643" s="53">
        <f>D1643*E1643/100</f>
        <v>205.39505718000001</v>
      </c>
    </row>
    <row r="1644" spans="1:6" ht="18" customHeight="1">
      <c r="A1644" s="7" t="s">
        <v>835</v>
      </c>
      <c r="B1644" s="52" t="s">
        <v>836</v>
      </c>
      <c r="C1644" s="7"/>
      <c r="D1644" s="7"/>
      <c r="E1644" s="7"/>
      <c r="F1644" s="53">
        <f>SUM(F1645:F1649)</f>
        <v>832.83975194390916</v>
      </c>
    </row>
    <row r="1645" spans="1:6" ht="18" customHeight="1">
      <c r="A1645" s="7"/>
      <c r="B1645" s="52" t="s">
        <v>878</v>
      </c>
      <c r="C1645" s="7" t="s">
        <v>863</v>
      </c>
      <c r="D1645" s="66">
        <f>施工机械台时汇总!$C$42</f>
        <v>49.210305522914197</v>
      </c>
      <c r="E1645" s="7">
        <v>1.84</v>
      </c>
      <c r="F1645" s="53">
        <f>D1645*E1645</f>
        <v>90.546962162162131</v>
      </c>
    </row>
    <row r="1646" spans="1:6" ht="18" customHeight="1">
      <c r="A1646" s="7"/>
      <c r="B1646" s="52" t="s">
        <v>882</v>
      </c>
      <c r="C1646" s="7" t="s">
        <v>863</v>
      </c>
      <c r="D1646" s="66">
        <f>施工机械台时汇总!$C$21</f>
        <v>28.129680376028197</v>
      </c>
      <c r="E1646" s="7">
        <v>18.36</v>
      </c>
      <c r="F1646" s="53">
        <f>D1646*E1646</f>
        <v>516.46093170387769</v>
      </c>
    </row>
    <row r="1647" spans="1:6" ht="18" customHeight="1">
      <c r="A1647" s="7"/>
      <c r="B1647" s="52" t="s">
        <v>883</v>
      </c>
      <c r="C1647" s="7" t="s">
        <v>863</v>
      </c>
      <c r="D1647" s="66">
        <f>施工机械台时汇总!$C$24</f>
        <v>2.2013599686643204</v>
      </c>
      <c r="E1647" s="7">
        <v>44</v>
      </c>
      <c r="F1647" s="53">
        <f>D1647*E1647</f>
        <v>96.859838621230097</v>
      </c>
    </row>
    <row r="1648" spans="1:6" ht="18" customHeight="1">
      <c r="A1648" s="7"/>
      <c r="B1648" s="52" t="s">
        <v>407</v>
      </c>
      <c r="C1648" s="7" t="s">
        <v>863</v>
      </c>
      <c r="D1648" s="7">
        <f>施工机械台时汇总!$C$19</f>
        <v>0.80266353309831595</v>
      </c>
      <c r="E1648" s="7">
        <v>92.8</v>
      </c>
      <c r="F1648" s="53">
        <f>D1648*E1648</f>
        <v>74.487175871523718</v>
      </c>
    </row>
    <row r="1649" spans="1:6" ht="18" customHeight="1">
      <c r="A1649" s="7"/>
      <c r="B1649" s="52" t="s">
        <v>840</v>
      </c>
      <c r="C1649" s="7" t="s">
        <v>834</v>
      </c>
      <c r="D1649" s="66">
        <f>SUM(F1645:F1648)</f>
        <v>778.35490835879364</v>
      </c>
      <c r="E1649" s="7">
        <v>7</v>
      </c>
      <c r="F1649" s="53">
        <f>D1649*E1649/100</f>
        <v>54.484843585115556</v>
      </c>
    </row>
    <row r="1650" spans="1:6" ht="18" customHeight="1">
      <c r="A1650" s="7"/>
      <c r="B1650" s="52"/>
      <c r="C1650" s="7"/>
      <c r="D1650" s="7"/>
      <c r="E1650" s="7"/>
      <c r="F1650" s="53"/>
    </row>
    <row r="1651" spans="1:6" ht="18" customHeight="1">
      <c r="A1651" s="7">
        <v>1.2</v>
      </c>
      <c r="B1651" s="52" t="s">
        <v>841</v>
      </c>
      <c r="C1651" s="7"/>
      <c r="D1651" s="53">
        <f>F1634</f>
        <v>42377.851527123908</v>
      </c>
      <c r="E1651" s="56">
        <f>取费!C9</f>
        <v>4.8000000000000001E-2</v>
      </c>
      <c r="F1651" s="53">
        <f>D1651*E1651</f>
        <v>2034.1368733019476</v>
      </c>
    </row>
    <row r="1652" spans="1:6" ht="18" customHeight="1">
      <c r="A1652" s="7">
        <v>1.3</v>
      </c>
      <c r="B1652" s="52" t="s">
        <v>842</v>
      </c>
      <c r="C1652" s="7"/>
      <c r="D1652" s="53">
        <f>F1634</f>
        <v>42377.851527123908</v>
      </c>
      <c r="E1652" s="56">
        <f>取费!D9</f>
        <v>0</v>
      </c>
      <c r="F1652" s="53">
        <f>D1652*E1652</f>
        <v>0</v>
      </c>
    </row>
    <row r="1653" spans="1:6" ht="18" customHeight="1">
      <c r="A1653" s="7">
        <v>2</v>
      </c>
      <c r="B1653" s="52" t="s">
        <v>182</v>
      </c>
      <c r="C1653" s="7"/>
      <c r="D1653" s="53">
        <f>F1633</f>
        <v>44411.988400425857</v>
      </c>
      <c r="E1653" s="56">
        <f>取费!E9</f>
        <v>7.0000000000000007E-2</v>
      </c>
      <c r="F1653" s="53">
        <f>D1653*E1653</f>
        <v>3108.8391880298104</v>
      </c>
    </row>
    <row r="1654" spans="1:6" ht="18" customHeight="1">
      <c r="A1654" s="7">
        <v>3</v>
      </c>
      <c r="B1654" s="52" t="s">
        <v>843</v>
      </c>
      <c r="C1654" s="7"/>
      <c r="D1654" s="53">
        <f>F1653+F1633</f>
        <v>47520.827588455664</v>
      </c>
      <c r="E1654" s="56">
        <f>取费!F9</f>
        <v>7.0000000000000007E-2</v>
      </c>
      <c r="F1654" s="53">
        <f>D1654*E1654</f>
        <v>3326.4579311918969</v>
      </c>
    </row>
    <row r="1655" spans="1:6" ht="18" customHeight="1">
      <c r="A1655" s="7">
        <v>4</v>
      </c>
      <c r="B1655" s="52" t="s">
        <v>184</v>
      </c>
      <c r="C1655" s="7"/>
      <c r="D1655" s="7"/>
      <c r="E1655" s="7"/>
      <c r="F1655" s="53">
        <f>SUM(F1656:F1661)</f>
        <v>4475.9852986159058</v>
      </c>
    </row>
    <row r="1656" spans="1:6" ht="18" customHeight="1">
      <c r="A1656" s="7"/>
      <c r="B1656" s="52" t="s">
        <v>354</v>
      </c>
      <c r="C1656" s="7" t="s">
        <v>88</v>
      </c>
      <c r="D1656" s="7">
        <f>A2</f>
        <v>116.41515</v>
      </c>
      <c r="E1656" s="66">
        <f>E1641*砼配合!I15</f>
        <v>31.334094</v>
      </c>
      <c r="F1656" s="53">
        <f t="shared" ref="F1656:F1662" si="115">D1656*E1656</f>
        <v>3647.7632531240997</v>
      </c>
    </row>
    <row r="1657" spans="1:6" ht="18" customHeight="1">
      <c r="A1657" s="7"/>
      <c r="B1657" s="52" t="s">
        <v>507</v>
      </c>
      <c r="C1657" s="7" t="s">
        <v>871</v>
      </c>
      <c r="D1657" s="66">
        <f>D2332</f>
        <v>4.6598683999999899</v>
      </c>
      <c r="E1657" s="66">
        <f>E1641*砼配合!I16</f>
        <v>49.210920000000002</v>
      </c>
      <c r="F1657" s="53">
        <f t="shared" si="115"/>
        <v>229.31641104292751</v>
      </c>
    </row>
    <row r="1658" spans="1:6" ht="18" customHeight="1">
      <c r="A1658" s="7"/>
      <c r="B1658" s="52" t="s">
        <v>509</v>
      </c>
      <c r="C1658" s="7" t="s">
        <v>871</v>
      </c>
      <c r="D1658" s="66">
        <f>D2333</f>
        <v>6.2457299999999902</v>
      </c>
      <c r="E1658" s="66">
        <f>E1641*砼配合!I17</f>
        <v>85.825655999999995</v>
      </c>
      <c r="F1658" s="53">
        <f t="shared" si="115"/>
        <v>536.04387444887914</v>
      </c>
    </row>
    <row r="1659" spans="1:6" ht="18" customHeight="1">
      <c r="A1659" s="7"/>
      <c r="B1659" s="52" t="s">
        <v>506</v>
      </c>
      <c r="C1659" s="7" t="s">
        <v>871</v>
      </c>
      <c r="D1659" s="7">
        <f>D2334</f>
        <v>0</v>
      </c>
      <c r="E1659" s="66"/>
      <c r="F1659" s="53">
        <f t="shared" si="115"/>
        <v>0</v>
      </c>
    </row>
    <row r="1660" spans="1:6" ht="18" customHeight="1">
      <c r="A1660" s="7"/>
      <c r="B1660" s="52" t="s">
        <v>515</v>
      </c>
      <c r="C1660" s="7" t="s">
        <v>844</v>
      </c>
      <c r="D1660" s="7">
        <f>D2335</f>
        <v>4.7450000000000001</v>
      </c>
      <c r="E1660" s="66">
        <f>台时!AK19*砼单价!E1645</f>
        <v>13.248000000000001</v>
      </c>
      <c r="F1660" s="53">
        <f t="shared" si="115"/>
        <v>62.861760000000004</v>
      </c>
    </row>
    <row r="1661" spans="1:6" ht="18" customHeight="1">
      <c r="A1661" s="7"/>
      <c r="B1661" s="52" t="s">
        <v>516</v>
      </c>
      <c r="C1661" s="7" t="s">
        <v>844</v>
      </c>
      <c r="D1661" s="7">
        <f>D2336</f>
        <v>3.51</v>
      </c>
      <c r="E1661" s="7"/>
      <c r="F1661" s="53">
        <f t="shared" si="115"/>
        <v>0</v>
      </c>
    </row>
    <row r="1662" spans="1:6" ht="18" customHeight="1">
      <c r="A1662" s="7">
        <v>5</v>
      </c>
      <c r="B1662" s="52" t="s">
        <v>845</v>
      </c>
      <c r="C1662" s="7"/>
      <c r="D1662" s="53">
        <f>F1633+F1653+F1654+F1655</f>
        <v>55323.270818263467</v>
      </c>
      <c r="E1662" s="56">
        <f>取费!G9</f>
        <v>0.09</v>
      </c>
      <c r="F1662" s="53">
        <f t="shared" si="115"/>
        <v>4979.0943736437121</v>
      </c>
    </row>
    <row r="1663" spans="1:6" ht="18" customHeight="1">
      <c r="A1663" s="7">
        <v>6</v>
      </c>
      <c r="B1663" s="52" t="s">
        <v>7</v>
      </c>
      <c r="C1663" s="52"/>
      <c r="D1663" s="7"/>
      <c r="E1663" s="7"/>
      <c r="F1663" s="53">
        <f>D1662+F1662</f>
        <v>60302.365191907178</v>
      </c>
    </row>
    <row r="1664" spans="1:6" ht="18" customHeight="1">
      <c r="A1664" s="7"/>
      <c r="B1664" s="52" t="s">
        <v>846</v>
      </c>
      <c r="C1664" s="52"/>
      <c r="D1664" s="53">
        <f>F1663</f>
        <v>60302.365191907178</v>
      </c>
      <c r="E1664" s="56">
        <f>取费!H6</f>
        <v>0.03</v>
      </c>
      <c r="F1664" s="53">
        <f>E1664*D1664</f>
        <v>1809.0709557572152</v>
      </c>
    </row>
    <row r="1665" spans="1:6" ht="18" customHeight="1">
      <c r="A1665" s="7"/>
      <c r="B1665" s="52" t="s">
        <v>44</v>
      </c>
      <c r="C1665" s="52"/>
      <c r="D1665" s="7"/>
      <c r="E1665" s="7"/>
      <c r="F1665" s="53">
        <f>SUM(F1663:F1664)</f>
        <v>62111.43614766439</v>
      </c>
    </row>
    <row r="1666" spans="1:6" ht="22.5" customHeight="1">
      <c r="A1666" s="461" t="s">
        <v>813</v>
      </c>
      <c r="B1666" s="461"/>
      <c r="C1666" s="461"/>
      <c r="D1666" s="461"/>
      <c r="E1666" s="461"/>
      <c r="F1666" s="461"/>
    </row>
    <row r="1667" spans="1:6" ht="18" customHeight="1">
      <c r="A1667" s="462" t="s">
        <v>960</v>
      </c>
      <c r="B1667" s="462"/>
      <c r="C1667" s="462"/>
      <c r="D1667" s="462"/>
      <c r="E1667" s="462"/>
      <c r="F1667" s="462"/>
    </row>
    <row r="1668" spans="1:6" ht="18" customHeight="1">
      <c r="A1668" s="47" t="s">
        <v>815</v>
      </c>
      <c r="B1668" s="49">
        <v>4138</v>
      </c>
      <c r="D1668" s="46"/>
      <c r="E1668" s="47" t="s">
        <v>169</v>
      </c>
      <c r="F1668" s="49" t="s">
        <v>869</v>
      </c>
    </row>
    <row r="1669" spans="1:6" ht="18" customHeight="1">
      <c r="A1669" s="50" t="s">
        <v>817</v>
      </c>
      <c r="B1669" s="458"/>
      <c r="C1669" s="459"/>
      <c r="D1669" s="459"/>
      <c r="E1669" s="459"/>
      <c r="F1669" s="460"/>
    </row>
    <row r="1670" spans="1:6" ht="18" customHeight="1">
      <c r="A1670" s="7" t="s">
        <v>1</v>
      </c>
      <c r="B1670" s="52" t="s">
        <v>344</v>
      </c>
      <c r="C1670" s="7" t="s">
        <v>818</v>
      </c>
      <c r="D1670" s="7" t="s">
        <v>819</v>
      </c>
      <c r="E1670" s="7" t="s">
        <v>820</v>
      </c>
      <c r="F1670" s="7" t="s">
        <v>821</v>
      </c>
    </row>
    <row r="1671" spans="1:6" ht="18" customHeight="1">
      <c r="A1671" s="7">
        <v>1</v>
      </c>
      <c r="B1671" s="52" t="s">
        <v>822</v>
      </c>
      <c r="C1671" s="7"/>
      <c r="D1671" s="7"/>
      <c r="E1671" s="7"/>
      <c r="F1671" s="53">
        <f>F1672+F1689+F1690</f>
        <v>36505.157240916786</v>
      </c>
    </row>
    <row r="1672" spans="1:6" ht="18" customHeight="1">
      <c r="A1672" s="7">
        <v>1.1000000000000001</v>
      </c>
      <c r="B1672" s="52" t="s">
        <v>823</v>
      </c>
      <c r="C1672" s="7"/>
      <c r="D1672" s="7"/>
      <c r="E1672" s="7"/>
      <c r="F1672" s="53">
        <f>F1673+F1676+F1682+F1688</f>
        <v>34833.16530621831</v>
      </c>
    </row>
    <row r="1673" spans="1:6" ht="18" customHeight="1">
      <c r="A1673" s="7" t="s">
        <v>47</v>
      </c>
      <c r="B1673" s="52" t="s">
        <v>176</v>
      </c>
      <c r="C1673" s="7"/>
      <c r="D1673" s="7"/>
      <c r="E1673" s="7"/>
      <c r="F1673" s="53">
        <f>F1674+F1675</f>
        <v>13755.267</v>
      </c>
    </row>
    <row r="1674" spans="1:6" ht="18" customHeight="1">
      <c r="A1674" s="7"/>
      <c r="B1674" s="52" t="s">
        <v>824</v>
      </c>
      <c r="C1674" s="7" t="s">
        <v>825</v>
      </c>
      <c r="D1674" s="7">
        <v>8.1</v>
      </c>
      <c r="E1674" s="7">
        <v>1282.0999999999999</v>
      </c>
      <c r="F1674" s="53">
        <f>D1674*E1674</f>
        <v>10385.01</v>
      </c>
    </row>
    <row r="1675" spans="1:6" ht="18" customHeight="1">
      <c r="A1675" s="7"/>
      <c r="B1675" s="52" t="s">
        <v>826</v>
      </c>
      <c r="C1675" s="7" t="s">
        <v>825</v>
      </c>
      <c r="D1675" s="7">
        <v>5.77</v>
      </c>
      <c r="E1675" s="7">
        <v>584.1</v>
      </c>
      <c r="F1675" s="53">
        <f>D1675*E1675</f>
        <v>3370.2570000000001</v>
      </c>
    </row>
    <row r="1676" spans="1:6" ht="18" customHeight="1">
      <c r="A1676" s="7" t="s">
        <v>57</v>
      </c>
      <c r="B1676" s="52" t="s">
        <v>177</v>
      </c>
      <c r="C1676" s="7"/>
      <c r="D1676" s="7"/>
      <c r="E1676" s="7"/>
      <c r="F1676" s="53">
        <f>SUM(F1677:F1681)</f>
        <v>20237.84037518</v>
      </c>
    </row>
    <row r="1677" spans="1:6" ht="18" customHeight="1">
      <c r="A1677" s="7"/>
      <c r="B1677" s="52" t="s">
        <v>959</v>
      </c>
      <c r="C1677" s="7" t="s">
        <v>844</v>
      </c>
      <c r="D1677" s="7">
        <v>12</v>
      </c>
      <c r="E1677" s="7">
        <v>116.41</v>
      </c>
      <c r="F1677" s="53">
        <f>D1677*E1677</f>
        <v>1396.92</v>
      </c>
    </row>
    <row r="1678" spans="1:6" ht="18" customHeight="1">
      <c r="A1678" s="7"/>
      <c r="B1678" s="52" t="s">
        <v>875</v>
      </c>
      <c r="C1678" s="7" t="s">
        <v>844</v>
      </c>
      <c r="D1678" s="7">
        <f>次要材料汇总!$F$5</f>
        <v>8</v>
      </c>
      <c r="E1678" s="7">
        <v>24.59</v>
      </c>
      <c r="F1678" s="53">
        <f>D1678*E1678</f>
        <v>196.72</v>
      </c>
    </row>
    <row r="1679" spans="1:6" ht="18" customHeight="1">
      <c r="A1679" s="7"/>
      <c r="B1679" s="52" t="s">
        <v>877</v>
      </c>
      <c r="C1679" s="7" t="s">
        <v>871</v>
      </c>
      <c r="D1679" s="66">
        <f>砼配合!J14</f>
        <v>171.692409</v>
      </c>
      <c r="E1679" s="7">
        <v>102</v>
      </c>
      <c r="F1679" s="53">
        <f>D1679*E1679</f>
        <v>17512.625717999999</v>
      </c>
    </row>
    <row r="1680" spans="1:6" ht="18" customHeight="1">
      <c r="A1680" s="7"/>
      <c r="B1680" s="52" t="s">
        <v>806</v>
      </c>
      <c r="C1680" s="7" t="s">
        <v>871</v>
      </c>
      <c r="D1680" s="7">
        <f>D923</f>
        <v>3.88</v>
      </c>
      <c r="E1680" s="7">
        <v>240</v>
      </c>
      <c r="F1680" s="53">
        <f>D1680*E1680</f>
        <v>931.19999999999993</v>
      </c>
    </row>
    <row r="1681" spans="1:6" ht="18" customHeight="1">
      <c r="A1681" s="7"/>
      <c r="B1681" s="52" t="s">
        <v>833</v>
      </c>
      <c r="C1681" s="7" t="s">
        <v>834</v>
      </c>
      <c r="D1681" s="66">
        <f>SUM(F1677:F1680)</f>
        <v>20037.465717999999</v>
      </c>
      <c r="E1681" s="7">
        <v>1</v>
      </c>
      <c r="F1681" s="53">
        <f>D1681*E1681/100</f>
        <v>200.37465717999999</v>
      </c>
    </row>
    <row r="1682" spans="1:6" ht="18" customHeight="1">
      <c r="A1682" s="7" t="s">
        <v>835</v>
      </c>
      <c r="B1682" s="52" t="s">
        <v>836</v>
      </c>
      <c r="C1682" s="7"/>
      <c r="D1682" s="7"/>
      <c r="E1682" s="7"/>
      <c r="F1682" s="53">
        <f>SUM(F1683:F1687)</f>
        <v>840.05793103830786</v>
      </c>
    </row>
    <row r="1683" spans="1:6" ht="18" customHeight="1">
      <c r="A1683" s="7"/>
      <c r="B1683" s="52" t="s">
        <v>878</v>
      </c>
      <c r="C1683" s="7" t="s">
        <v>863</v>
      </c>
      <c r="D1683" s="66">
        <f>施工机械台时汇总!$C$42</f>
        <v>49.210305522914197</v>
      </c>
      <c r="E1683" s="7">
        <v>1.6</v>
      </c>
      <c r="F1683" s="53">
        <f>D1683*E1683</f>
        <v>78.736488836662716</v>
      </c>
    </row>
    <row r="1684" spans="1:6" ht="18" customHeight="1">
      <c r="A1684" s="7"/>
      <c r="B1684" s="52" t="s">
        <v>882</v>
      </c>
      <c r="C1684" s="7" t="s">
        <v>863</v>
      </c>
      <c r="D1684" s="66">
        <f>施工机械台时汇总!$C$21</f>
        <v>28.129680376028197</v>
      </c>
      <c r="E1684" s="7">
        <v>18.36</v>
      </c>
      <c r="F1684" s="53">
        <f>D1684*E1684</f>
        <v>516.46093170387769</v>
      </c>
    </row>
    <row r="1685" spans="1:6" ht="18" customHeight="1">
      <c r="A1685" s="7"/>
      <c r="B1685" s="52" t="s">
        <v>914</v>
      </c>
      <c r="C1685" s="7" t="s">
        <v>863</v>
      </c>
      <c r="D1685" s="66">
        <f>施工机械台时汇总!$C$25</f>
        <v>3.2420301605953799</v>
      </c>
      <c r="E1685" s="7">
        <v>35.6</v>
      </c>
      <c r="F1685" s="53">
        <f>D1685*E1685</f>
        <v>115.41627371719552</v>
      </c>
    </row>
    <row r="1686" spans="1:6" ht="18" customHeight="1">
      <c r="A1686" s="7"/>
      <c r="B1686" s="52" t="s">
        <v>407</v>
      </c>
      <c r="C1686" s="7" t="s">
        <v>863</v>
      </c>
      <c r="D1686" s="7">
        <f>施工机械台时汇总!$C$19</f>
        <v>0.80266353309831595</v>
      </c>
      <c r="E1686" s="7">
        <v>92.8</v>
      </c>
      <c r="F1686" s="53">
        <f>D1686*E1686</f>
        <v>74.487175871523718</v>
      </c>
    </row>
    <row r="1687" spans="1:6" ht="18" customHeight="1">
      <c r="A1687" s="7"/>
      <c r="B1687" s="52" t="s">
        <v>840</v>
      </c>
      <c r="C1687" s="7" t="s">
        <v>834</v>
      </c>
      <c r="D1687" s="66">
        <f>SUM(F1683:F1686)</f>
        <v>785.10087012925965</v>
      </c>
      <c r="E1687" s="7">
        <v>7</v>
      </c>
      <c r="F1687" s="53">
        <f>D1687*E1687/100</f>
        <v>54.957060909048181</v>
      </c>
    </row>
    <row r="1688" spans="1:6" ht="18" customHeight="1">
      <c r="A1688" s="7"/>
      <c r="B1688" s="52"/>
      <c r="C1688" s="7"/>
      <c r="D1688" s="7"/>
      <c r="E1688" s="7"/>
      <c r="F1688" s="53"/>
    </row>
    <row r="1689" spans="1:6" ht="18" customHeight="1">
      <c r="A1689" s="7">
        <v>1.2</v>
      </c>
      <c r="B1689" s="52" t="s">
        <v>841</v>
      </c>
      <c r="C1689" s="7"/>
      <c r="D1689" s="53">
        <f>F1672</f>
        <v>34833.16530621831</v>
      </c>
      <c r="E1689" s="56">
        <f>E1651</f>
        <v>4.8000000000000001E-2</v>
      </c>
      <c r="F1689" s="53">
        <f>D1689*E1689</f>
        <v>1671.9919346984789</v>
      </c>
    </row>
    <row r="1690" spans="1:6" ht="18" customHeight="1">
      <c r="A1690" s="7">
        <v>1.3</v>
      </c>
      <c r="B1690" s="52" t="s">
        <v>842</v>
      </c>
      <c r="C1690" s="7"/>
      <c r="D1690" s="53">
        <f>F1672</f>
        <v>34833.16530621831</v>
      </c>
      <c r="E1690" s="56">
        <f>E1652</f>
        <v>0</v>
      </c>
      <c r="F1690" s="53">
        <f>D1690*E1690</f>
        <v>0</v>
      </c>
    </row>
    <row r="1691" spans="1:6" ht="18" customHeight="1">
      <c r="A1691" s="7">
        <v>2</v>
      </c>
      <c r="B1691" s="52" t="s">
        <v>182</v>
      </c>
      <c r="C1691" s="7"/>
      <c r="D1691" s="53">
        <f>F1671</f>
        <v>36505.157240916786</v>
      </c>
      <c r="E1691" s="56">
        <f>E1653</f>
        <v>7.0000000000000007E-2</v>
      </c>
      <c r="F1691" s="53">
        <f>D1691*E1691</f>
        <v>2555.3610068641751</v>
      </c>
    </row>
    <row r="1692" spans="1:6" ht="18" customHeight="1">
      <c r="A1692" s="7">
        <v>3</v>
      </c>
      <c r="B1692" s="52" t="s">
        <v>843</v>
      </c>
      <c r="C1692" s="7"/>
      <c r="D1692" s="53">
        <f>F1691+F1671</f>
        <v>39060.518247780958</v>
      </c>
      <c r="E1692" s="56">
        <f>E1654</f>
        <v>7.0000000000000007E-2</v>
      </c>
      <c r="F1692" s="53">
        <f>D1692*E1692</f>
        <v>2734.2362773446671</v>
      </c>
    </row>
    <row r="1693" spans="1:6" ht="18" customHeight="1">
      <c r="A1693" s="7">
        <v>4</v>
      </c>
      <c r="B1693" s="52" t="s">
        <v>184</v>
      </c>
      <c r="C1693" s="7"/>
      <c r="D1693" s="7"/>
      <c r="E1693" s="7"/>
      <c r="F1693" s="53">
        <f>SUM(F1694:F1699)</f>
        <v>4467.7859386159062</v>
      </c>
    </row>
    <row r="1694" spans="1:6" ht="18" customHeight="1">
      <c r="A1694" s="7"/>
      <c r="B1694" s="52" t="s">
        <v>354</v>
      </c>
      <c r="C1694" s="7" t="s">
        <v>88</v>
      </c>
      <c r="D1694" s="7">
        <f>A2</f>
        <v>116.41515</v>
      </c>
      <c r="E1694" s="66">
        <f>E1679*砼配合!I15</f>
        <v>31.334094</v>
      </c>
      <c r="F1694" s="53">
        <f t="shared" ref="F1694:F1700" si="116">D1694*E1694</f>
        <v>3647.7632531240997</v>
      </c>
    </row>
    <row r="1695" spans="1:6" ht="18" customHeight="1">
      <c r="A1695" s="7"/>
      <c r="B1695" s="52" t="s">
        <v>507</v>
      </c>
      <c r="C1695" s="7" t="s">
        <v>871</v>
      </c>
      <c r="D1695" s="66">
        <f>D941</f>
        <v>4.6598683999999899</v>
      </c>
      <c r="E1695" s="66">
        <f>E1679*砼配合!I16</f>
        <v>49.210920000000002</v>
      </c>
      <c r="F1695" s="53">
        <f t="shared" si="116"/>
        <v>229.31641104292751</v>
      </c>
    </row>
    <row r="1696" spans="1:6" ht="18" customHeight="1">
      <c r="A1696" s="7"/>
      <c r="B1696" s="52" t="s">
        <v>509</v>
      </c>
      <c r="C1696" s="7" t="s">
        <v>871</v>
      </c>
      <c r="D1696" s="66">
        <f>D942</f>
        <v>6.2457299999999902</v>
      </c>
      <c r="E1696" s="66">
        <f>E1679*砼配合!I17</f>
        <v>85.825655999999995</v>
      </c>
      <c r="F1696" s="53">
        <f t="shared" si="116"/>
        <v>536.04387444887914</v>
      </c>
    </row>
    <row r="1697" spans="1:6" ht="18" customHeight="1">
      <c r="A1697" s="7"/>
      <c r="B1697" s="52" t="s">
        <v>506</v>
      </c>
      <c r="C1697" s="7" t="s">
        <v>871</v>
      </c>
      <c r="D1697" s="7">
        <f>D943</f>
        <v>0</v>
      </c>
      <c r="E1697" s="7"/>
      <c r="F1697" s="53">
        <f t="shared" si="116"/>
        <v>0</v>
      </c>
    </row>
    <row r="1698" spans="1:6" ht="18" customHeight="1">
      <c r="A1698" s="7"/>
      <c r="B1698" s="52" t="s">
        <v>515</v>
      </c>
      <c r="C1698" s="7" t="s">
        <v>844</v>
      </c>
      <c r="D1698" s="7">
        <f>D944</f>
        <v>4.7450000000000001</v>
      </c>
      <c r="E1698" s="7">
        <f>台时!AK19*砼单价!E1683</f>
        <v>11.520000000000001</v>
      </c>
      <c r="F1698" s="53">
        <f t="shared" si="116"/>
        <v>54.662400000000005</v>
      </c>
    </row>
    <row r="1699" spans="1:6" ht="18" customHeight="1">
      <c r="A1699" s="7"/>
      <c r="B1699" s="52" t="s">
        <v>516</v>
      </c>
      <c r="C1699" s="7" t="s">
        <v>844</v>
      </c>
      <c r="D1699" s="7">
        <f>D945</f>
        <v>3.51</v>
      </c>
      <c r="E1699" s="7"/>
      <c r="F1699" s="53">
        <f t="shared" si="116"/>
        <v>0</v>
      </c>
    </row>
    <row r="1700" spans="1:6" ht="18" customHeight="1">
      <c r="A1700" s="7">
        <v>5</v>
      </c>
      <c r="B1700" s="52" t="s">
        <v>845</v>
      </c>
      <c r="C1700" s="7"/>
      <c r="D1700" s="53">
        <f>F1671+F1691+F1692+F1693</f>
        <v>46262.540463741527</v>
      </c>
      <c r="E1700" s="56">
        <f>E1662</f>
        <v>0.09</v>
      </c>
      <c r="F1700" s="53">
        <f t="shared" si="116"/>
        <v>4163.6286417367373</v>
      </c>
    </row>
    <row r="1701" spans="1:6" ht="18" customHeight="1">
      <c r="A1701" s="7">
        <v>6</v>
      </c>
      <c r="B1701" s="52" t="s">
        <v>7</v>
      </c>
      <c r="C1701" s="7"/>
      <c r="D1701" s="7"/>
      <c r="E1701" s="7"/>
      <c r="F1701" s="53">
        <f>D1700+F1700</f>
        <v>50426.169105478264</v>
      </c>
    </row>
    <row r="1702" spans="1:6" ht="18" customHeight="1">
      <c r="A1702" s="7"/>
      <c r="B1702" s="52" t="s">
        <v>846</v>
      </c>
      <c r="C1702" s="7"/>
      <c r="D1702" s="53">
        <f>F1701</f>
        <v>50426.169105478264</v>
      </c>
      <c r="E1702" s="56">
        <f>E1664</f>
        <v>0.03</v>
      </c>
      <c r="F1702" s="53">
        <f>E1702*D1702</f>
        <v>1512.785073164348</v>
      </c>
    </row>
    <row r="1703" spans="1:6" ht="18" customHeight="1">
      <c r="A1703" s="7"/>
      <c r="B1703" s="52" t="s">
        <v>44</v>
      </c>
      <c r="C1703" s="52"/>
      <c r="D1703" s="7"/>
      <c r="E1703" s="7"/>
      <c r="F1703" s="53">
        <f>SUM(F1701:F1702)</f>
        <v>51938.954178642613</v>
      </c>
    </row>
    <row r="1704" spans="1:6" ht="22.5" customHeight="1">
      <c r="A1704" s="483" t="s">
        <v>813</v>
      </c>
      <c r="B1704" s="483"/>
      <c r="C1704" s="483"/>
      <c r="D1704" s="483"/>
      <c r="E1704" s="483"/>
      <c r="F1704" s="483"/>
    </row>
    <row r="1705" spans="1:6" ht="18" customHeight="1">
      <c r="A1705" s="462" t="s">
        <v>961</v>
      </c>
      <c r="B1705" s="462"/>
      <c r="C1705" s="462"/>
      <c r="D1705" s="462"/>
      <c r="E1705" s="462"/>
      <c r="F1705" s="462"/>
    </row>
    <row r="1706" spans="1:6" ht="20.25" customHeight="1">
      <c r="A1706" s="47" t="s">
        <v>815</v>
      </c>
      <c r="B1706" s="49">
        <v>4182</v>
      </c>
      <c r="D1706" s="46"/>
      <c r="E1706" s="47" t="s">
        <v>169</v>
      </c>
      <c r="F1706" s="49" t="s">
        <v>869</v>
      </c>
    </row>
    <row r="1707" spans="1:6" ht="18" customHeight="1">
      <c r="A1707" s="50" t="s">
        <v>817</v>
      </c>
      <c r="B1707" s="52"/>
      <c r="C1707" s="52"/>
      <c r="D1707" s="7"/>
      <c r="E1707" s="7"/>
      <c r="F1707" s="7"/>
    </row>
    <row r="1708" spans="1:6" ht="18" customHeight="1">
      <c r="A1708" s="7" t="s">
        <v>1</v>
      </c>
      <c r="B1708" s="52" t="s">
        <v>344</v>
      </c>
      <c r="C1708" s="7" t="s">
        <v>818</v>
      </c>
      <c r="D1708" s="7" t="s">
        <v>819</v>
      </c>
      <c r="E1708" s="7" t="s">
        <v>820</v>
      </c>
      <c r="F1708" s="7" t="s">
        <v>821</v>
      </c>
    </row>
    <row r="1709" spans="1:6" ht="18" customHeight="1">
      <c r="A1709" s="7">
        <v>1</v>
      </c>
      <c r="B1709" s="52" t="s">
        <v>822</v>
      </c>
      <c r="C1709" s="7"/>
      <c r="D1709" s="7"/>
      <c r="E1709" s="7"/>
      <c r="F1709" s="53">
        <f>F1710+F1732+F1733</f>
        <v>44712.863409465092</v>
      </c>
    </row>
    <row r="1710" spans="1:6" ht="18" customHeight="1">
      <c r="A1710" s="7">
        <v>1.1000000000000001</v>
      </c>
      <c r="B1710" s="52" t="s">
        <v>823</v>
      </c>
      <c r="C1710" s="7"/>
      <c r="D1710" s="7"/>
      <c r="E1710" s="7"/>
      <c r="F1710" s="53">
        <f>F1711+F1714+F1724+F1731</f>
        <v>42664.946001397991</v>
      </c>
    </row>
    <row r="1711" spans="1:6" ht="18" customHeight="1">
      <c r="A1711" s="7" t="s">
        <v>47</v>
      </c>
      <c r="B1711" s="52" t="s">
        <v>176</v>
      </c>
      <c r="C1711" s="7"/>
      <c r="D1711" s="7"/>
      <c r="E1711" s="7"/>
      <c r="F1711" s="53">
        <f>F1712+F1713</f>
        <v>18598.395</v>
      </c>
    </row>
    <row r="1712" spans="1:6" ht="18" customHeight="1">
      <c r="A1712" s="7"/>
      <c r="B1712" s="52" t="s">
        <v>824</v>
      </c>
      <c r="C1712" s="7" t="s">
        <v>825</v>
      </c>
      <c r="D1712" s="7">
        <v>8.1</v>
      </c>
      <c r="E1712" s="7">
        <v>1739.4</v>
      </c>
      <c r="F1712" s="53">
        <f>D1712*E1712</f>
        <v>14089.14</v>
      </c>
    </row>
    <row r="1713" spans="1:6" ht="18" customHeight="1">
      <c r="A1713" s="7"/>
      <c r="B1713" s="52" t="s">
        <v>826</v>
      </c>
      <c r="C1713" s="7" t="s">
        <v>825</v>
      </c>
      <c r="D1713" s="7">
        <v>5.77</v>
      </c>
      <c r="E1713" s="7">
        <v>781.5</v>
      </c>
      <c r="F1713" s="53">
        <f>D1713*E1713</f>
        <v>4509.2550000000001</v>
      </c>
    </row>
    <row r="1714" spans="1:6" ht="18" customHeight="1">
      <c r="A1714" s="7" t="s">
        <v>57</v>
      </c>
      <c r="B1714" s="52" t="s">
        <v>177</v>
      </c>
      <c r="C1714" s="7"/>
      <c r="D1714" s="7"/>
      <c r="E1714" s="7"/>
      <c r="F1714" s="53">
        <f>SUM(F1715:F1723)</f>
        <v>23379.809739390003</v>
      </c>
    </row>
    <row r="1715" spans="1:6" ht="18" customHeight="1">
      <c r="A1715" s="7"/>
      <c r="B1715" s="52" t="s">
        <v>870</v>
      </c>
      <c r="C1715" s="7" t="s">
        <v>871</v>
      </c>
      <c r="D1715" s="7">
        <f>D916</f>
        <v>1874.0778</v>
      </c>
      <c r="E1715" s="7">
        <v>0.9</v>
      </c>
      <c r="F1715" s="53">
        <f t="shared" ref="F1715:F1722" si="117">D1715*E1715</f>
        <v>1686.67002</v>
      </c>
    </row>
    <row r="1716" spans="1:6" ht="18" customHeight="1">
      <c r="A1716" s="7"/>
      <c r="B1716" s="52" t="s">
        <v>375</v>
      </c>
      <c r="C1716" s="7" t="s">
        <v>844</v>
      </c>
      <c r="D1716" s="7">
        <f>次要材料汇总!$F$9</f>
        <v>6</v>
      </c>
      <c r="E1716" s="7">
        <v>316.07</v>
      </c>
      <c r="F1716" s="53">
        <f t="shared" si="117"/>
        <v>1896.42</v>
      </c>
    </row>
    <row r="1717" spans="1:6" ht="18" customHeight="1">
      <c r="A1717" s="7"/>
      <c r="B1717" s="52" t="s">
        <v>873</v>
      </c>
      <c r="C1717" s="7" t="s">
        <v>844</v>
      </c>
      <c r="D1717" s="7">
        <f>次要材料汇总!$F$10</f>
        <v>5.5</v>
      </c>
      <c r="E1717" s="7">
        <v>0</v>
      </c>
      <c r="F1717" s="53">
        <f t="shared" si="117"/>
        <v>0</v>
      </c>
    </row>
    <row r="1718" spans="1:6" ht="18" customHeight="1">
      <c r="A1718" s="7"/>
      <c r="B1718" s="52" t="s">
        <v>874</v>
      </c>
      <c r="C1718" s="7" t="s">
        <v>844</v>
      </c>
      <c r="D1718" s="7">
        <f>次要材料汇总!$F$11</f>
        <v>6.5</v>
      </c>
      <c r="E1718" s="7">
        <v>100.6</v>
      </c>
      <c r="F1718" s="53">
        <f t="shared" si="117"/>
        <v>653.9</v>
      </c>
    </row>
    <row r="1719" spans="1:6" ht="18" customHeight="1">
      <c r="A1719" s="7"/>
      <c r="B1719" s="52" t="s">
        <v>875</v>
      </c>
      <c r="C1719" s="7" t="s">
        <v>844</v>
      </c>
      <c r="D1719" s="7">
        <f>次要材料汇总!$F$5</f>
        <v>8</v>
      </c>
      <c r="E1719" s="7">
        <v>71.36</v>
      </c>
      <c r="F1719" s="53">
        <f t="shared" si="117"/>
        <v>570.88</v>
      </c>
    </row>
    <row r="1720" spans="1:6" ht="18" customHeight="1">
      <c r="A1720" s="7"/>
      <c r="B1720" s="52" t="s">
        <v>962</v>
      </c>
      <c r="C1720" s="7" t="s">
        <v>871</v>
      </c>
      <c r="D1720" s="76">
        <f>砼配合!J32+100</f>
        <v>244.59654</v>
      </c>
      <c r="E1720" s="7">
        <v>1</v>
      </c>
      <c r="F1720" s="53">
        <f t="shared" si="117"/>
        <v>244.59654</v>
      </c>
    </row>
    <row r="1721" spans="1:6" ht="18" customHeight="1">
      <c r="A1721" s="7"/>
      <c r="B1721" s="52" t="s">
        <v>877</v>
      </c>
      <c r="C1721" s="7" t="s">
        <v>871</v>
      </c>
      <c r="D1721" s="66">
        <f>砼配合!J14</f>
        <v>171.692409</v>
      </c>
      <c r="E1721" s="7">
        <v>102</v>
      </c>
      <c r="F1721" s="53">
        <f t="shared" si="117"/>
        <v>17512.625717999999</v>
      </c>
    </row>
    <row r="1722" spans="1:6" ht="18" customHeight="1">
      <c r="A1722" s="7"/>
      <c r="B1722" s="52" t="s">
        <v>806</v>
      </c>
      <c r="C1722" s="7" t="s">
        <v>871</v>
      </c>
      <c r="D1722" s="7">
        <f>D1680</f>
        <v>3.88</v>
      </c>
      <c r="E1722" s="7">
        <v>180</v>
      </c>
      <c r="F1722" s="53">
        <f t="shared" si="117"/>
        <v>698.4</v>
      </c>
    </row>
    <row r="1723" spans="1:6" ht="18" customHeight="1">
      <c r="A1723" s="7"/>
      <c r="B1723" s="52" t="s">
        <v>833</v>
      </c>
      <c r="C1723" s="7" t="s">
        <v>834</v>
      </c>
      <c r="D1723" s="66">
        <f>SUM(F1715:F1722)</f>
        <v>23263.492278000002</v>
      </c>
      <c r="E1723" s="7">
        <v>0.5</v>
      </c>
      <c r="F1723" s="53">
        <f>D1723*E1723/100</f>
        <v>116.31746139000001</v>
      </c>
    </row>
    <row r="1724" spans="1:6" ht="18" customHeight="1">
      <c r="A1724" s="7" t="s">
        <v>835</v>
      </c>
      <c r="B1724" s="52" t="s">
        <v>836</v>
      </c>
      <c r="C1724" s="7"/>
      <c r="D1724" s="7"/>
      <c r="E1724" s="7"/>
      <c r="F1724" s="53">
        <f>SUM(F1725:F1730)</f>
        <v>686.74126200799071</v>
      </c>
    </row>
    <row r="1725" spans="1:6" ht="18" customHeight="1">
      <c r="A1725" s="7"/>
      <c r="B1725" s="52" t="s">
        <v>878</v>
      </c>
      <c r="C1725" s="7" t="s">
        <v>863</v>
      </c>
      <c r="D1725" s="66">
        <f>施工机械台时汇总!$C$42</f>
        <v>49.210305522914197</v>
      </c>
      <c r="E1725" s="7">
        <v>0</v>
      </c>
      <c r="F1725" s="53">
        <f>D1725*E1725</f>
        <v>0</v>
      </c>
    </row>
    <row r="1726" spans="1:6" ht="18" customHeight="1">
      <c r="A1726" s="7"/>
      <c r="B1726" s="52" t="s">
        <v>963</v>
      </c>
      <c r="C1726" s="7" t="s">
        <v>863</v>
      </c>
      <c r="D1726" s="66">
        <f>施工机械台时汇总!$C$55</f>
        <v>113.9611292596945</v>
      </c>
      <c r="E1726" s="7">
        <v>0</v>
      </c>
      <c r="F1726" s="53">
        <f>D1726*E1726</f>
        <v>0</v>
      </c>
    </row>
    <row r="1727" spans="1:6" ht="18" customHeight="1">
      <c r="A1727" s="7"/>
      <c r="B1727" s="52" t="s">
        <v>882</v>
      </c>
      <c r="C1727" s="7" t="s">
        <v>863</v>
      </c>
      <c r="D1727" s="66">
        <f>施工机械台时汇总!$C$21</f>
        <v>28.129680376028197</v>
      </c>
      <c r="E1727" s="7">
        <v>18.36</v>
      </c>
      <c r="F1727" s="53">
        <f>D1727*E1727</f>
        <v>516.46093170387769</v>
      </c>
    </row>
    <row r="1728" spans="1:6" ht="18" customHeight="1">
      <c r="A1728" s="7"/>
      <c r="B1728" s="52" t="s">
        <v>883</v>
      </c>
      <c r="C1728" s="7" t="s">
        <v>863</v>
      </c>
      <c r="D1728" s="66">
        <f>施工机械台时汇总!$C$24</f>
        <v>2.2013599686643204</v>
      </c>
      <c r="E1728" s="7">
        <v>44</v>
      </c>
      <c r="F1728" s="53">
        <f>D1728*E1728</f>
        <v>96.859838621230097</v>
      </c>
    </row>
    <row r="1729" spans="1:6" ht="18" customHeight="1">
      <c r="A1729" s="7"/>
      <c r="B1729" s="52" t="s">
        <v>407</v>
      </c>
      <c r="C1729" s="7" t="s">
        <v>863</v>
      </c>
      <c r="D1729" s="7">
        <f>施工机械台时汇总!$C$19</f>
        <v>0.80266353309831595</v>
      </c>
      <c r="E1729" s="7">
        <v>83</v>
      </c>
      <c r="F1729" s="53">
        <f>D1729*E1729</f>
        <v>66.621073247160226</v>
      </c>
    </row>
    <row r="1730" spans="1:6" ht="18" customHeight="1">
      <c r="A1730" s="7"/>
      <c r="B1730" s="52" t="s">
        <v>840</v>
      </c>
      <c r="C1730" s="7" t="s">
        <v>834</v>
      </c>
      <c r="D1730" s="66">
        <f>SUM(F1725:F1729)</f>
        <v>679.941843572268</v>
      </c>
      <c r="E1730" s="7">
        <v>1</v>
      </c>
      <c r="F1730" s="53">
        <f>D1730*E1730/100</f>
        <v>6.7994184357226803</v>
      </c>
    </row>
    <row r="1731" spans="1:6" ht="18" customHeight="1">
      <c r="A1731" s="7"/>
      <c r="B1731" s="52"/>
      <c r="C1731" s="7"/>
      <c r="D1731" s="7"/>
      <c r="E1731" s="7"/>
      <c r="F1731" s="53"/>
    </row>
    <row r="1732" spans="1:6" ht="18" customHeight="1">
      <c r="A1732" s="7">
        <v>1.2</v>
      </c>
      <c r="B1732" s="52" t="s">
        <v>841</v>
      </c>
      <c r="C1732" s="7"/>
      <c r="D1732" s="53">
        <f>F1710</f>
        <v>42664.946001397991</v>
      </c>
      <c r="E1732" s="56">
        <f>E1689</f>
        <v>4.8000000000000001E-2</v>
      </c>
      <c r="F1732" s="53">
        <f>D1732*E1732</f>
        <v>2047.9174080671037</v>
      </c>
    </row>
    <row r="1733" spans="1:6" ht="18" customHeight="1">
      <c r="A1733" s="7">
        <v>1.3</v>
      </c>
      <c r="B1733" s="52" t="s">
        <v>842</v>
      </c>
      <c r="C1733" s="7"/>
      <c r="D1733" s="53">
        <f>F1710</f>
        <v>42664.946001397991</v>
      </c>
      <c r="E1733" s="56">
        <f>E1690</f>
        <v>0</v>
      </c>
      <c r="F1733" s="53">
        <f>D1733*E1733</f>
        <v>0</v>
      </c>
    </row>
    <row r="1734" spans="1:6" ht="18" customHeight="1">
      <c r="A1734" s="7">
        <v>2</v>
      </c>
      <c r="B1734" s="52" t="s">
        <v>182</v>
      </c>
      <c r="C1734" s="7"/>
      <c r="D1734" s="53">
        <f>F1709</f>
        <v>44712.863409465092</v>
      </c>
      <c r="E1734" s="56">
        <f>E1691</f>
        <v>7.0000000000000007E-2</v>
      </c>
      <c r="F1734" s="53">
        <f>D1734*E1734</f>
        <v>3129.9004386625566</v>
      </c>
    </row>
    <row r="1735" spans="1:6" ht="18" customHeight="1">
      <c r="A1735" s="7">
        <v>3</v>
      </c>
      <c r="B1735" s="52" t="s">
        <v>843</v>
      </c>
      <c r="C1735" s="7"/>
      <c r="D1735" s="53">
        <f>F1734+F1709</f>
        <v>47842.763848127652</v>
      </c>
      <c r="E1735" s="56">
        <f>E1692</f>
        <v>7.0000000000000007E-2</v>
      </c>
      <c r="F1735" s="53">
        <f>D1735*E1735/100</f>
        <v>33.489934693689364</v>
      </c>
    </row>
    <row r="1736" spans="1:6" ht="18" customHeight="1">
      <c r="A1736" s="7">
        <v>4</v>
      </c>
      <c r="B1736" s="52" t="s">
        <v>184</v>
      </c>
      <c r="C1736" s="7"/>
      <c r="D1736" s="7"/>
      <c r="E1736" s="7"/>
      <c r="F1736" s="53">
        <f>SUM(F1737:F1742)</f>
        <v>4413.123538615906</v>
      </c>
    </row>
    <row r="1737" spans="1:6" ht="18" customHeight="1">
      <c r="A1737" s="7"/>
      <c r="B1737" s="52" t="s">
        <v>354</v>
      </c>
      <c r="C1737" s="7" t="s">
        <v>88</v>
      </c>
      <c r="D1737" s="7">
        <f t="shared" ref="D1737:D1742" si="118">D1324</f>
        <v>116.41515</v>
      </c>
      <c r="E1737" s="66">
        <f>E1721*砼配合!I15</f>
        <v>31.334094</v>
      </c>
      <c r="F1737" s="53">
        <f t="shared" ref="F1737:F1743" si="119">D1737*E1737</f>
        <v>3647.7632531240997</v>
      </c>
    </row>
    <row r="1738" spans="1:6" ht="18" customHeight="1">
      <c r="A1738" s="7"/>
      <c r="B1738" s="52" t="s">
        <v>507</v>
      </c>
      <c r="C1738" s="7" t="s">
        <v>871</v>
      </c>
      <c r="D1738" s="66">
        <f t="shared" si="118"/>
        <v>4.6598683999999899</v>
      </c>
      <c r="E1738" s="66">
        <f>E1721*砼配合!I16</f>
        <v>49.210920000000002</v>
      </c>
      <c r="F1738" s="53">
        <f t="shared" si="119"/>
        <v>229.31641104292751</v>
      </c>
    </row>
    <row r="1739" spans="1:6" ht="18" customHeight="1">
      <c r="A1739" s="7"/>
      <c r="B1739" s="52" t="s">
        <v>509</v>
      </c>
      <c r="C1739" s="7" t="s">
        <v>871</v>
      </c>
      <c r="D1739" s="66">
        <f t="shared" si="118"/>
        <v>6.2457299999999902</v>
      </c>
      <c r="E1739" s="66">
        <f>E1721*砼配合!I17</f>
        <v>85.825655999999995</v>
      </c>
      <c r="F1739" s="53">
        <f t="shared" si="119"/>
        <v>536.04387444887914</v>
      </c>
    </row>
    <row r="1740" spans="1:6" ht="18" customHeight="1">
      <c r="A1740" s="7"/>
      <c r="B1740" s="52" t="s">
        <v>506</v>
      </c>
      <c r="C1740" s="7" t="s">
        <v>871</v>
      </c>
      <c r="D1740" s="7">
        <f t="shared" si="118"/>
        <v>0</v>
      </c>
      <c r="E1740" s="66">
        <f>E1715</f>
        <v>0.9</v>
      </c>
      <c r="F1740" s="53">
        <f t="shared" si="119"/>
        <v>0</v>
      </c>
    </row>
    <row r="1741" spans="1:6" ht="18" customHeight="1">
      <c r="A1741" s="7"/>
      <c r="B1741" s="52" t="s">
        <v>515</v>
      </c>
      <c r="C1741" s="7" t="s">
        <v>844</v>
      </c>
      <c r="D1741" s="7">
        <f t="shared" si="118"/>
        <v>4.7450000000000001</v>
      </c>
      <c r="E1741" s="66">
        <f>台时!AK19*砼单价!E1725</f>
        <v>0</v>
      </c>
      <c r="F1741" s="53">
        <f t="shared" si="119"/>
        <v>0</v>
      </c>
    </row>
    <row r="1742" spans="1:6" ht="18" customHeight="1">
      <c r="A1742" s="7"/>
      <c r="B1742" s="52" t="s">
        <v>516</v>
      </c>
      <c r="C1742" s="7" t="s">
        <v>844</v>
      </c>
      <c r="D1742" s="7">
        <f t="shared" si="118"/>
        <v>3.51</v>
      </c>
      <c r="E1742" s="7"/>
      <c r="F1742" s="53">
        <f t="shared" si="119"/>
        <v>0</v>
      </c>
    </row>
    <row r="1743" spans="1:6" ht="18" customHeight="1">
      <c r="A1743" s="7">
        <v>5</v>
      </c>
      <c r="B1743" s="52" t="s">
        <v>845</v>
      </c>
      <c r="C1743" s="7"/>
      <c r="D1743" s="53">
        <f>F1709+F1734+F1735+F1736</f>
        <v>52289.377321437249</v>
      </c>
      <c r="E1743" s="56">
        <f>E1700</f>
        <v>0.09</v>
      </c>
      <c r="F1743" s="53">
        <f t="shared" si="119"/>
        <v>4706.0439589293519</v>
      </c>
    </row>
    <row r="1744" spans="1:6" ht="18" customHeight="1">
      <c r="A1744" s="7">
        <v>6</v>
      </c>
      <c r="B1744" s="52" t="s">
        <v>7</v>
      </c>
      <c r="C1744" s="7"/>
      <c r="D1744" s="7"/>
      <c r="E1744" s="7"/>
      <c r="F1744" s="53">
        <f>D1743+F1743</f>
        <v>56995.421280366601</v>
      </c>
    </row>
    <row r="1745" spans="1:6" ht="18" customHeight="1">
      <c r="A1745" s="7"/>
      <c r="B1745" s="52" t="s">
        <v>846</v>
      </c>
      <c r="C1745" s="7"/>
      <c r="D1745" s="53">
        <f>F1744</f>
        <v>56995.421280366601</v>
      </c>
      <c r="E1745" s="56">
        <f>E1702</f>
        <v>0.03</v>
      </c>
      <c r="F1745" s="53">
        <f>E1745*D1745</f>
        <v>1709.862638410998</v>
      </c>
    </row>
    <row r="1746" spans="1:6" ht="18" customHeight="1">
      <c r="A1746" s="7"/>
      <c r="B1746" s="52" t="s">
        <v>44</v>
      </c>
      <c r="C1746" s="7"/>
      <c r="D1746" s="7"/>
      <c r="E1746" s="7"/>
      <c r="F1746" s="53">
        <f>SUM(F1744:F1745)</f>
        <v>58705.283918777597</v>
      </c>
    </row>
    <row r="1747" spans="1:6" ht="22.5" customHeight="1">
      <c r="A1747" s="461" t="s">
        <v>813</v>
      </c>
      <c r="B1747" s="461"/>
      <c r="C1747" s="461"/>
      <c r="D1747" s="461"/>
      <c r="E1747" s="461"/>
      <c r="F1747" s="461"/>
    </row>
    <row r="1748" spans="1:6" ht="18" customHeight="1">
      <c r="A1748" s="462" t="s">
        <v>964</v>
      </c>
      <c r="B1748" s="462"/>
      <c r="C1748" s="462"/>
      <c r="D1748" s="462"/>
      <c r="E1748" s="462"/>
      <c r="F1748" s="462"/>
    </row>
    <row r="1749" spans="1:6" ht="20.25" customHeight="1">
      <c r="A1749" s="47" t="s">
        <v>815</v>
      </c>
      <c r="B1749" s="49">
        <v>4147</v>
      </c>
      <c r="D1749" s="46"/>
      <c r="E1749" s="47" t="s">
        <v>169</v>
      </c>
      <c r="F1749" s="49" t="s">
        <v>869</v>
      </c>
    </row>
    <row r="1750" spans="1:6" ht="18" customHeight="1">
      <c r="A1750" s="50" t="s">
        <v>817</v>
      </c>
      <c r="B1750" s="52"/>
      <c r="C1750" s="52"/>
      <c r="D1750" s="7"/>
      <c r="E1750" s="7"/>
      <c r="F1750" s="7"/>
    </row>
    <row r="1751" spans="1:6" ht="18" customHeight="1">
      <c r="A1751" s="7" t="s">
        <v>1</v>
      </c>
      <c r="B1751" s="52" t="s">
        <v>344</v>
      </c>
      <c r="C1751" s="7" t="s">
        <v>818</v>
      </c>
      <c r="D1751" s="7" t="s">
        <v>819</v>
      </c>
      <c r="E1751" s="7" t="s">
        <v>820</v>
      </c>
      <c r="F1751" s="7" t="s">
        <v>821</v>
      </c>
    </row>
    <row r="1752" spans="1:6" ht="18" customHeight="1">
      <c r="A1752" s="7">
        <v>1</v>
      </c>
      <c r="B1752" s="52" t="s">
        <v>822</v>
      </c>
      <c r="C1752" s="7"/>
      <c r="D1752" s="7"/>
      <c r="E1752" s="7"/>
      <c r="F1752" s="53">
        <f>F1753+F1774+F1775</f>
        <v>82095.647806768378</v>
      </c>
    </row>
    <row r="1753" spans="1:6" ht="18" customHeight="1">
      <c r="A1753" s="7">
        <v>1.1000000000000001</v>
      </c>
      <c r="B1753" s="52" t="s">
        <v>823</v>
      </c>
      <c r="C1753" s="7"/>
      <c r="D1753" s="7"/>
      <c r="E1753" s="7"/>
      <c r="F1753" s="53">
        <f>F1754+F1757+F1765+F1771+F1772+F1773</f>
        <v>78335.541800351508</v>
      </c>
    </row>
    <row r="1754" spans="1:6" ht="18" customHeight="1">
      <c r="A1754" s="7" t="s">
        <v>47</v>
      </c>
      <c r="B1754" s="52" t="s">
        <v>176</v>
      </c>
      <c r="C1754" s="7"/>
      <c r="D1754" s="7"/>
      <c r="E1754" s="7"/>
      <c r="F1754" s="53">
        <f>F1755+F1756</f>
        <v>19340.559000000001</v>
      </c>
    </row>
    <row r="1755" spans="1:6" ht="18" customHeight="1">
      <c r="A1755" s="7"/>
      <c r="B1755" s="52" t="s">
        <v>824</v>
      </c>
      <c r="C1755" s="7" t="s">
        <v>825</v>
      </c>
      <c r="D1755" s="7">
        <v>8.1</v>
      </c>
      <c r="E1755" s="7">
        <v>1808.8</v>
      </c>
      <c r="F1755" s="53">
        <f>D1755*E1755</f>
        <v>14651.28</v>
      </c>
    </row>
    <row r="1756" spans="1:6" ht="18" customHeight="1">
      <c r="A1756" s="7"/>
      <c r="B1756" s="52" t="s">
        <v>826</v>
      </c>
      <c r="C1756" s="7" t="s">
        <v>825</v>
      </c>
      <c r="D1756" s="7">
        <v>5.77</v>
      </c>
      <c r="E1756" s="7">
        <v>812.7</v>
      </c>
      <c r="F1756" s="53">
        <f>D1756*E1756</f>
        <v>4689.2790000000005</v>
      </c>
    </row>
    <row r="1757" spans="1:6" ht="18" customHeight="1">
      <c r="A1757" s="7" t="s">
        <v>57</v>
      </c>
      <c r="B1757" s="52" t="s">
        <v>177</v>
      </c>
      <c r="C1757" s="7"/>
      <c r="D1757" s="7"/>
      <c r="E1757" s="7"/>
      <c r="F1757" s="53">
        <f>SUM(F1758:F1764)</f>
        <v>54831.648523200005</v>
      </c>
    </row>
    <row r="1758" spans="1:6" ht="18" customHeight="1">
      <c r="A1758" s="7"/>
      <c r="B1758" s="52" t="s">
        <v>870</v>
      </c>
      <c r="C1758" s="7" t="s">
        <v>871</v>
      </c>
      <c r="D1758" s="7">
        <f>D1715</f>
        <v>1874.0778</v>
      </c>
      <c r="E1758" s="7">
        <v>6.69</v>
      </c>
      <c r="F1758" s="53">
        <f t="shared" ref="F1758:F1763" si="120">D1758*E1758</f>
        <v>12537.580482000001</v>
      </c>
    </row>
    <row r="1759" spans="1:6" ht="18" customHeight="1">
      <c r="A1759" s="7"/>
      <c r="B1759" s="52" t="s">
        <v>965</v>
      </c>
      <c r="C1759" s="7" t="s">
        <v>844</v>
      </c>
      <c r="D1759" s="7">
        <v>2</v>
      </c>
      <c r="E1759" s="7">
        <v>62</v>
      </c>
      <c r="F1759" s="53">
        <f t="shared" si="120"/>
        <v>124</v>
      </c>
    </row>
    <row r="1760" spans="1:6" ht="18" customHeight="1">
      <c r="A1760" s="7"/>
      <c r="B1760" s="52" t="s">
        <v>966</v>
      </c>
      <c r="C1760" s="7" t="s">
        <v>844</v>
      </c>
      <c r="D1760" s="7">
        <v>8.5</v>
      </c>
      <c r="E1760" s="7">
        <v>40</v>
      </c>
      <c r="F1760" s="53">
        <f t="shared" si="120"/>
        <v>340</v>
      </c>
    </row>
    <row r="1761" spans="1:6" ht="18" customHeight="1">
      <c r="A1761" s="7"/>
      <c r="B1761" s="52" t="s">
        <v>875</v>
      </c>
      <c r="C1761" s="7" t="s">
        <v>844</v>
      </c>
      <c r="D1761" s="7">
        <f>次要材料汇总!$F$5</f>
        <v>8</v>
      </c>
      <c r="E1761" s="7">
        <v>2670</v>
      </c>
      <c r="F1761" s="53">
        <f t="shared" si="120"/>
        <v>21360</v>
      </c>
    </row>
    <row r="1762" spans="1:6" ht="18" customHeight="1">
      <c r="A1762" s="7"/>
      <c r="B1762" s="52" t="s">
        <v>877</v>
      </c>
      <c r="C1762" s="7" t="s">
        <v>871</v>
      </c>
      <c r="D1762" s="7">
        <f>砼配合!J8</f>
        <v>183.29938899999999</v>
      </c>
      <c r="E1762" s="7">
        <v>102</v>
      </c>
      <c r="F1762" s="53">
        <f t="shared" si="120"/>
        <v>18696.537678000001</v>
      </c>
    </row>
    <row r="1763" spans="1:6" ht="18" customHeight="1">
      <c r="A1763" s="7"/>
      <c r="B1763" s="52" t="s">
        <v>806</v>
      </c>
      <c r="C1763" s="7" t="s">
        <v>871</v>
      </c>
      <c r="D1763" s="7">
        <f>D1722</f>
        <v>3.88</v>
      </c>
      <c r="E1763" s="7">
        <v>180</v>
      </c>
      <c r="F1763" s="53">
        <f t="shared" si="120"/>
        <v>698.4</v>
      </c>
    </row>
    <row r="1764" spans="1:6" ht="18" customHeight="1">
      <c r="A1764" s="7"/>
      <c r="B1764" s="52" t="s">
        <v>833</v>
      </c>
      <c r="C1764" s="7" t="s">
        <v>834</v>
      </c>
      <c r="D1764" s="66">
        <f>SUM(F1758:F1763)</f>
        <v>53756.518160000007</v>
      </c>
      <c r="E1764" s="7">
        <v>2</v>
      </c>
      <c r="F1764" s="53">
        <f>D1764*E1764/100</f>
        <v>1075.1303632000001</v>
      </c>
    </row>
    <row r="1765" spans="1:6" ht="18" customHeight="1">
      <c r="A1765" s="7" t="s">
        <v>835</v>
      </c>
      <c r="B1765" s="52" t="s">
        <v>836</v>
      </c>
      <c r="C1765" s="7"/>
      <c r="D1765" s="7"/>
      <c r="E1765" s="7"/>
      <c r="F1765" s="53">
        <f>SUM(F1766:F1770)</f>
        <v>3049.0479126306309</v>
      </c>
    </row>
    <row r="1766" spans="1:6" ht="18" customHeight="1">
      <c r="A1766" s="7"/>
      <c r="B1766" s="52" t="s">
        <v>878</v>
      </c>
      <c r="C1766" s="7" t="s">
        <v>863</v>
      </c>
      <c r="D1766" s="66">
        <f>施工机械台时汇总!$C$42</f>
        <v>49.210305522914197</v>
      </c>
      <c r="E1766" s="7">
        <v>15.01</v>
      </c>
      <c r="F1766" s="53">
        <f>D1766*E1766</f>
        <v>738.64668589894211</v>
      </c>
    </row>
    <row r="1767" spans="1:6" ht="18" customHeight="1">
      <c r="A1767" s="7"/>
      <c r="B1767" s="52" t="s">
        <v>967</v>
      </c>
      <c r="C1767" s="7" t="s">
        <v>863</v>
      </c>
      <c r="D1767" s="66">
        <f>施工机械台时汇总!$C$54</f>
        <v>73.41121778300041</v>
      </c>
      <c r="E1767" s="7">
        <v>17.7</v>
      </c>
      <c r="F1767" s="53">
        <f>D1767*E1767</f>
        <v>1299.3785547591071</v>
      </c>
    </row>
    <row r="1768" spans="1:6" ht="18" customHeight="1">
      <c r="A1768" s="7"/>
      <c r="B1768" s="52" t="s">
        <v>882</v>
      </c>
      <c r="C1768" s="7" t="s">
        <v>863</v>
      </c>
      <c r="D1768" s="66">
        <f>施工机械台时汇总!$C$21</f>
        <v>28.129680376028197</v>
      </c>
      <c r="E1768" s="7">
        <v>18.36</v>
      </c>
      <c r="F1768" s="53">
        <f>D1768*E1768</f>
        <v>516.46093170387769</v>
      </c>
    </row>
    <row r="1769" spans="1:6" ht="18" customHeight="1">
      <c r="A1769" s="7"/>
      <c r="B1769" s="52" t="s">
        <v>883</v>
      </c>
      <c r="C1769" s="7" t="s">
        <v>863</v>
      </c>
      <c r="D1769" s="66">
        <f>施工机械台时汇总!$C$24</f>
        <v>2.2013599686643204</v>
      </c>
      <c r="E1769" s="7">
        <v>44</v>
      </c>
      <c r="F1769" s="53">
        <f>D1769*E1769</f>
        <v>96.859838621230097</v>
      </c>
    </row>
    <row r="1770" spans="1:6" ht="18" customHeight="1">
      <c r="A1770" s="7"/>
      <c r="B1770" s="52" t="s">
        <v>840</v>
      </c>
      <c r="C1770" s="7" t="s">
        <v>834</v>
      </c>
      <c r="D1770" s="66">
        <f>SUM(F1766:F1769)</f>
        <v>2651.3460109831572</v>
      </c>
      <c r="E1770" s="7">
        <v>15</v>
      </c>
      <c r="F1770" s="53">
        <f>D1770*E1770/100</f>
        <v>397.70190164747356</v>
      </c>
    </row>
    <row r="1771" spans="1:6" ht="18" customHeight="1">
      <c r="A1771" s="7" t="s">
        <v>884</v>
      </c>
      <c r="B1771" s="52" t="s">
        <v>885</v>
      </c>
      <c r="C1771" s="7" t="s">
        <v>871</v>
      </c>
      <c r="D1771" s="66">
        <f>砼配合!J52/100</f>
        <v>5.0269138732471603</v>
      </c>
      <c r="E1771" s="7">
        <v>102</v>
      </c>
      <c r="F1771" s="53">
        <f>D1771*E1771</f>
        <v>512.7452150712104</v>
      </c>
    </row>
    <row r="1772" spans="1:6" ht="18" customHeight="1">
      <c r="A1772" s="7" t="s">
        <v>886</v>
      </c>
      <c r="B1772" s="52" t="s">
        <v>887</v>
      </c>
      <c r="C1772" s="7" t="s">
        <v>871</v>
      </c>
      <c r="D1772" s="66">
        <f>砼配合!J65/100</f>
        <v>5.8974622495064617</v>
      </c>
      <c r="E1772" s="7">
        <v>102</v>
      </c>
      <c r="F1772" s="53">
        <f>D1772*E1772</f>
        <v>601.54114944965909</v>
      </c>
    </row>
    <row r="1773" spans="1:6" ht="18" customHeight="1">
      <c r="A1773" s="7"/>
      <c r="B1773" s="52"/>
      <c r="C1773" s="7"/>
      <c r="D1773" s="7"/>
      <c r="E1773" s="7"/>
      <c r="F1773" s="53"/>
    </row>
    <row r="1774" spans="1:6" ht="18" customHeight="1">
      <c r="A1774" s="7">
        <v>1.2</v>
      </c>
      <c r="B1774" s="52" t="s">
        <v>841</v>
      </c>
      <c r="C1774" s="7"/>
      <c r="D1774" s="53">
        <f>F1753</f>
        <v>78335.541800351508</v>
      </c>
      <c r="E1774" s="56">
        <f>E1732</f>
        <v>4.8000000000000001E-2</v>
      </c>
      <c r="F1774" s="53">
        <f>D1774*E1774</f>
        <v>3760.1060064168723</v>
      </c>
    </row>
    <row r="1775" spans="1:6" ht="18" customHeight="1">
      <c r="A1775" s="7">
        <v>1.3</v>
      </c>
      <c r="B1775" s="52" t="s">
        <v>842</v>
      </c>
      <c r="C1775" s="7"/>
      <c r="D1775" s="53">
        <f>F1753</f>
        <v>78335.541800351508</v>
      </c>
      <c r="E1775" s="56">
        <f>E1733</f>
        <v>0</v>
      </c>
      <c r="F1775" s="53">
        <f>D1775*E1775</f>
        <v>0</v>
      </c>
    </row>
    <row r="1776" spans="1:6" ht="18" customHeight="1">
      <c r="A1776" s="7">
        <v>2</v>
      </c>
      <c r="B1776" s="52" t="s">
        <v>182</v>
      </c>
      <c r="C1776" s="7"/>
      <c r="D1776" s="53">
        <f>F1752</f>
        <v>82095.647806768378</v>
      </c>
      <c r="E1776" s="56">
        <f>E1734</f>
        <v>7.0000000000000007E-2</v>
      </c>
      <c r="F1776" s="53">
        <f>D1776*E1776</f>
        <v>5746.6953464737871</v>
      </c>
    </row>
    <row r="1777" spans="1:6" ht="18" customHeight="1">
      <c r="A1777" s="7">
        <v>3</v>
      </c>
      <c r="B1777" s="52" t="s">
        <v>843</v>
      </c>
      <c r="C1777" s="7"/>
      <c r="D1777" s="53">
        <f>F1776+F1752</f>
        <v>87842.343153242167</v>
      </c>
      <c r="E1777" s="56">
        <f>E1735</f>
        <v>7.0000000000000007E-2</v>
      </c>
      <c r="F1777" s="53">
        <f>D1777*E1777</f>
        <v>6148.9640207269522</v>
      </c>
    </row>
    <row r="1778" spans="1:6" ht="18" customHeight="1">
      <c r="A1778" s="7">
        <v>4</v>
      </c>
      <c r="B1778" s="52" t="s">
        <v>184</v>
      </c>
      <c r="C1778" s="7"/>
      <c r="D1778" s="7"/>
      <c r="E1778" s="7"/>
      <c r="F1778" s="53">
        <f>SUM(F1779:F1784)</f>
        <v>5483.9863302770736</v>
      </c>
    </row>
    <row r="1779" spans="1:6" ht="18" customHeight="1">
      <c r="A1779" s="7"/>
      <c r="B1779" s="52" t="s">
        <v>354</v>
      </c>
      <c r="C1779" s="7" t="s">
        <v>88</v>
      </c>
      <c r="D1779" s="7">
        <f t="shared" ref="D1779:D1784" si="121">D1737</f>
        <v>116.41515</v>
      </c>
      <c r="E1779" s="66">
        <f>E1762*砼配合!I9</f>
        <v>34.695605999999998</v>
      </c>
      <c r="F1779" s="53">
        <f t="shared" ref="F1779:F1785" si="122">D1779*E1779</f>
        <v>4039.0941768308999</v>
      </c>
    </row>
    <row r="1780" spans="1:6" ht="18" customHeight="1">
      <c r="A1780" s="7"/>
      <c r="B1780" s="52" t="s">
        <v>507</v>
      </c>
      <c r="C1780" s="7" t="s">
        <v>871</v>
      </c>
      <c r="D1780" s="66">
        <f t="shared" si="121"/>
        <v>4.6598683999999899</v>
      </c>
      <c r="E1780" s="66">
        <f>E1762*砼配合!I10</f>
        <v>53.878440000000005</v>
      </c>
      <c r="F1780" s="53">
        <f t="shared" si="122"/>
        <v>251.06643999729548</v>
      </c>
    </row>
    <row r="1781" spans="1:6" ht="18" customHeight="1">
      <c r="A1781" s="7"/>
      <c r="B1781" s="52" t="s">
        <v>509</v>
      </c>
      <c r="C1781" s="7" t="s">
        <v>871</v>
      </c>
      <c r="D1781" s="66">
        <f t="shared" si="121"/>
        <v>6.2457299999999902</v>
      </c>
      <c r="E1781" s="66">
        <f>E1762*砼配合!I11</f>
        <v>85.825655999999995</v>
      </c>
      <c r="F1781" s="53">
        <f t="shared" si="122"/>
        <v>536.04387444887914</v>
      </c>
    </row>
    <row r="1782" spans="1:6" ht="18" customHeight="1">
      <c r="A1782" s="7"/>
      <c r="B1782" s="52" t="s">
        <v>506</v>
      </c>
      <c r="C1782" s="7" t="s">
        <v>871</v>
      </c>
      <c r="D1782" s="7">
        <f t="shared" si="121"/>
        <v>0</v>
      </c>
      <c r="E1782" s="66">
        <f>E1758</f>
        <v>6.69</v>
      </c>
      <c r="F1782" s="53">
        <f t="shared" si="122"/>
        <v>0</v>
      </c>
    </row>
    <row r="1783" spans="1:6" ht="18" customHeight="1">
      <c r="A1783" s="7"/>
      <c r="B1783" s="52" t="s">
        <v>515</v>
      </c>
      <c r="C1783" s="7" t="s">
        <v>844</v>
      </c>
      <c r="D1783" s="7">
        <f t="shared" si="121"/>
        <v>4.7450000000000001</v>
      </c>
      <c r="E1783" s="66">
        <f>台时!AK19*砼单价!E1766</f>
        <v>108.072</v>
      </c>
      <c r="F1783" s="53">
        <f t="shared" si="122"/>
        <v>512.80164000000002</v>
      </c>
    </row>
    <row r="1784" spans="1:6" ht="18" customHeight="1">
      <c r="A1784" s="7"/>
      <c r="B1784" s="52" t="s">
        <v>516</v>
      </c>
      <c r="C1784" s="7" t="s">
        <v>844</v>
      </c>
      <c r="D1784" s="7">
        <f t="shared" si="121"/>
        <v>3.51</v>
      </c>
      <c r="E1784" s="66">
        <f>砼配合!I63*台时!AN22*砼单价!E1772/100</f>
        <v>41.304899999999996</v>
      </c>
      <c r="F1784" s="53">
        <f t="shared" si="122"/>
        <v>144.98019899999997</v>
      </c>
    </row>
    <row r="1785" spans="1:6" ht="18" customHeight="1">
      <c r="A1785" s="7">
        <v>5</v>
      </c>
      <c r="B1785" s="52" t="s">
        <v>845</v>
      </c>
      <c r="C1785" s="7"/>
      <c r="D1785" s="53">
        <f>F1752+F1776+F1777+F1778</f>
        <v>99475.29350424619</v>
      </c>
      <c r="E1785" s="56">
        <f>E1743</f>
        <v>0.09</v>
      </c>
      <c r="F1785" s="53">
        <f t="shared" si="122"/>
        <v>8952.7764153821572</v>
      </c>
    </row>
    <row r="1786" spans="1:6" ht="18" customHeight="1">
      <c r="A1786" s="7">
        <v>6</v>
      </c>
      <c r="B1786" s="52" t="s">
        <v>7</v>
      </c>
      <c r="C1786" s="7"/>
      <c r="D1786" s="53"/>
      <c r="E1786" s="7"/>
      <c r="F1786" s="53">
        <f>D1785+F1785</f>
        <v>108428.06991962835</v>
      </c>
    </row>
    <row r="1787" spans="1:6" ht="18" customHeight="1">
      <c r="A1787" s="7"/>
      <c r="B1787" s="52" t="s">
        <v>846</v>
      </c>
      <c r="C1787" s="7"/>
      <c r="D1787" s="53">
        <f>F1786</f>
        <v>108428.06991962835</v>
      </c>
      <c r="E1787" s="56">
        <f>E1745</f>
        <v>0.03</v>
      </c>
      <c r="F1787" s="53">
        <f>E1787*D1787</f>
        <v>3252.8420975888503</v>
      </c>
    </row>
    <row r="1788" spans="1:6" ht="18" customHeight="1">
      <c r="A1788" s="7"/>
      <c r="B1788" s="52" t="s">
        <v>44</v>
      </c>
      <c r="C1788" s="52"/>
      <c r="D1788" s="7"/>
      <c r="E1788" s="7"/>
      <c r="F1788" s="53">
        <f>SUM(F1786:F1787)</f>
        <v>111680.9120172172</v>
      </c>
    </row>
    <row r="1789" spans="1:6" ht="22.5" customHeight="1">
      <c r="A1789" s="461" t="s">
        <v>813</v>
      </c>
      <c r="B1789" s="461"/>
      <c r="C1789" s="461"/>
      <c r="D1789" s="461"/>
      <c r="E1789" s="461"/>
      <c r="F1789" s="461"/>
    </row>
    <row r="1790" spans="1:6" ht="18" customHeight="1">
      <c r="A1790" s="481" t="s">
        <v>968</v>
      </c>
      <c r="B1790" s="481"/>
      <c r="C1790" s="481"/>
      <c r="D1790" s="481"/>
      <c r="E1790" s="481"/>
      <c r="F1790" s="481"/>
    </row>
    <row r="1791" spans="1:6" ht="20.25" customHeight="1">
      <c r="A1791" s="47" t="s">
        <v>815</v>
      </c>
      <c r="B1791" s="49">
        <v>4144</v>
      </c>
      <c r="D1791" s="46"/>
      <c r="E1791" s="47" t="s">
        <v>169</v>
      </c>
      <c r="F1791" s="49" t="s">
        <v>869</v>
      </c>
    </row>
    <row r="1792" spans="1:6" ht="18" customHeight="1">
      <c r="A1792" s="50" t="s">
        <v>817</v>
      </c>
      <c r="B1792" s="52"/>
      <c r="C1792" s="52"/>
      <c r="D1792" s="7"/>
      <c r="E1792" s="7"/>
      <c r="F1792" s="7"/>
    </row>
    <row r="1793" spans="1:6" ht="18" customHeight="1">
      <c r="A1793" s="7" t="s">
        <v>1</v>
      </c>
      <c r="B1793" s="52" t="s">
        <v>344</v>
      </c>
      <c r="C1793" s="7" t="s">
        <v>818</v>
      </c>
      <c r="D1793" s="7" t="s">
        <v>819</v>
      </c>
      <c r="E1793" s="7" t="s">
        <v>820</v>
      </c>
      <c r="F1793" s="7" t="s">
        <v>821</v>
      </c>
    </row>
    <row r="1794" spans="1:6" ht="18" customHeight="1">
      <c r="A1794" s="7">
        <v>1</v>
      </c>
      <c r="B1794" s="52" t="s">
        <v>822</v>
      </c>
      <c r="C1794" s="7"/>
      <c r="D1794" s="7"/>
      <c r="E1794" s="7"/>
      <c r="F1794" s="53">
        <f>F1795+F1816+F1817</f>
        <v>53619.364649860538</v>
      </c>
    </row>
    <row r="1795" spans="1:6" ht="18" customHeight="1">
      <c r="A1795" s="7">
        <v>1.1000000000000001</v>
      </c>
      <c r="B1795" s="52" t="s">
        <v>823</v>
      </c>
      <c r="C1795" s="7"/>
      <c r="D1795" s="7"/>
      <c r="E1795" s="7"/>
      <c r="F1795" s="53">
        <f>F1796+F1799+F1807+F1813+F1814+F1815</f>
        <v>51163.515887271504</v>
      </c>
    </row>
    <row r="1796" spans="1:6" ht="18" customHeight="1">
      <c r="A1796" s="7" t="s">
        <v>47</v>
      </c>
      <c r="B1796" s="52" t="s">
        <v>176</v>
      </c>
      <c r="C1796" s="7"/>
      <c r="D1796" s="7"/>
      <c r="E1796" s="7"/>
      <c r="F1796" s="53">
        <f>F1797+F1798</f>
        <v>17388.592000000001</v>
      </c>
    </row>
    <row r="1797" spans="1:6" ht="18" customHeight="1">
      <c r="A1797" s="7"/>
      <c r="B1797" s="52" t="s">
        <v>824</v>
      </c>
      <c r="C1797" s="7" t="s">
        <v>825</v>
      </c>
      <c r="D1797" s="7">
        <v>8.1</v>
      </c>
      <c r="E1797" s="7">
        <v>1626.3</v>
      </c>
      <c r="F1797" s="53">
        <f>D1797*E1797</f>
        <v>13173.03</v>
      </c>
    </row>
    <row r="1798" spans="1:6" ht="18" customHeight="1">
      <c r="A1798" s="7"/>
      <c r="B1798" s="52" t="s">
        <v>826</v>
      </c>
      <c r="C1798" s="7" t="s">
        <v>825</v>
      </c>
      <c r="D1798" s="7">
        <v>5.77</v>
      </c>
      <c r="E1798" s="7">
        <v>730.6</v>
      </c>
      <c r="F1798" s="53">
        <f>D1798*E1798</f>
        <v>4215.5619999999999</v>
      </c>
    </row>
    <row r="1799" spans="1:6" ht="18" customHeight="1">
      <c r="A1799" s="7" t="s">
        <v>57</v>
      </c>
      <c r="B1799" s="52" t="s">
        <v>177</v>
      </c>
      <c r="C1799" s="7"/>
      <c r="D1799" s="7"/>
      <c r="E1799" s="7"/>
      <c r="F1799" s="53">
        <f>SUM(F1800:F1806)</f>
        <v>29611.589610120001</v>
      </c>
    </row>
    <row r="1800" spans="1:6" ht="18" customHeight="1">
      <c r="A1800" s="7"/>
      <c r="B1800" s="52" t="s">
        <v>870</v>
      </c>
      <c r="C1800" s="7" t="s">
        <v>871</v>
      </c>
      <c r="D1800" s="7">
        <f>D1758</f>
        <v>1874.0778</v>
      </c>
      <c r="E1800" s="7">
        <v>3.76</v>
      </c>
      <c r="F1800" s="53">
        <f t="shared" ref="F1800:F1805" si="123">D1800*E1800</f>
        <v>7046.5325279999997</v>
      </c>
    </row>
    <row r="1801" spans="1:6" ht="18" customHeight="1">
      <c r="A1801" s="7"/>
      <c r="B1801" s="52" t="s">
        <v>965</v>
      </c>
      <c r="C1801" s="7" t="s">
        <v>844</v>
      </c>
      <c r="D1801" s="7">
        <v>2</v>
      </c>
      <c r="E1801" s="7">
        <v>90</v>
      </c>
      <c r="F1801" s="53">
        <f t="shared" si="123"/>
        <v>180</v>
      </c>
    </row>
    <row r="1802" spans="1:6" ht="18" customHeight="1">
      <c r="A1802" s="7"/>
      <c r="B1802" s="52" t="s">
        <v>966</v>
      </c>
      <c r="C1802" s="7" t="s">
        <v>844</v>
      </c>
      <c r="D1802" s="7">
        <v>8.5</v>
      </c>
      <c r="E1802" s="7">
        <v>51</v>
      </c>
      <c r="F1802" s="53">
        <f t="shared" si="123"/>
        <v>433.5</v>
      </c>
    </row>
    <row r="1803" spans="1:6" ht="18" customHeight="1">
      <c r="A1803" s="7"/>
      <c r="B1803" s="52" t="s">
        <v>875</v>
      </c>
      <c r="C1803" s="7" t="s">
        <v>844</v>
      </c>
      <c r="D1803" s="7">
        <f>次要材料汇总!$F$5</f>
        <v>8</v>
      </c>
      <c r="E1803" s="7">
        <v>247</v>
      </c>
      <c r="F1803" s="53">
        <f t="shared" si="123"/>
        <v>1976</v>
      </c>
    </row>
    <row r="1804" spans="1:6" ht="18" customHeight="1">
      <c r="A1804" s="7"/>
      <c r="B1804" s="52" t="s">
        <v>877</v>
      </c>
      <c r="C1804" s="7" t="s">
        <v>871</v>
      </c>
      <c r="D1804" s="55">
        <f>砼配合!J8</f>
        <v>183.29938899999999</v>
      </c>
      <c r="E1804" s="7">
        <v>102</v>
      </c>
      <c r="F1804" s="53">
        <f t="shared" si="123"/>
        <v>18696.537678000001</v>
      </c>
    </row>
    <row r="1805" spans="1:6" ht="18" customHeight="1">
      <c r="A1805" s="7"/>
      <c r="B1805" s="52" t="s">
        <v>806</v>
      </c>
      <c r="C1805" s="7" t="s">
        <v>871</v>
      </c>
      <c r="D1805" s="54">
        <f>D1763</f>
        <v>3.88</v>
      </c>
      <c r="E1805" s="7">
        <v>180</v>
      </c>
      <c r="F1805" s="53">
        <f t="shared" si="123"/>
        <v>698.4</v>
      </c>
    </row>
    <row r="1806" spans="1:6" ht="18" customHeight="1">
      <c r="A1806" s="7"/>
      <c r="B1806" s="52" t="s">
        <v>833</v>
      </c>
      <c r="C1806" s="7" t="s">
        <v>834</v>
      </c>
      <c r="D1806" s="54">
        <f>SUM(F1800:F1805)</f>
        <v>29030.970206000002</v>
      </c>
      <c r="E1806" s="7">
        <v>2</v>
      </c>
      <c r="F1806" s="53">
        <f>D1806*E1806/100</f>
        <v>580.61940412000001</v>
      </c>
    </row>
    <row r="1807" spans="1:6" ht="18" customHeight="1">
      <c r="A1807" s="7" t="s">
        <v>835</v>
      </c>
      <c r="B1807" s="52" t="s">
        <v>836</v>
      </c>
      <c r="C1807" s="7"/>
      <c r="D1807" s="7"/>
      <c r="E1807" s="7"/>
      <c r="F1807" s="53">
        <f>SUM(F1808:F1812)</f>
        <v>3049.0479126306309</v>
      </c>
    </row>
    <row r="1808" spans="1:6" ht="18" customHeight="1">
      <c r="A1808" s="7"/>
      <c r="B1808" s="52" t="s">
        <v>878</v>
      </c>
      <c r="C1808" s="7" t="s">
        <v>863</v>
      </c>
      <c r="D1808" s="66">
        <f>施工机械台时汇总!$C$42</f>
        <v>49.210305522914197</v>
      </c>
      <c r="E1808" s="7">
        <v>15.01</v>
      </c>
      <c r="F1808" s="53">
        <f>D1808*E1808</f>
        <v>738.64668589894211</v>
      </c>
    </row>
    <row r="1809" spans="1:6" ht="18" customHeight="1">
      <c r="A1809" s="7"/>
      <c r="B1809" s="52" t="s">
        <v>967</v>
      </c>
      <c r="C1809" s="7" t="s">
        <v>863</v>
      </c>
      <c r="D1809" s="66">
        <f>施工机械台时汇总!$C$54</f>
        <v>73.41121778300041</v>
      </c>
      <c r="E1809" s="7">
        <v>17.7</v>
      </c>
      <c r="F1809" s="53">
        <f>D1809*E1809</f>
        <v>1299.3785547591071</v>
      </c>
    </row>
    <row r="1810" spans="1:6" ht="18" customHeight="1">
      <c r="A1810" s="7"/>
      <c r="B1810" s="52" t="s">
        <v>882</v>
      </c>
      <c r="C1810" s="7" t="s">
        <v>863</v>
      </c>
      <c r="D1810" s="66">
        <f>施工机械台时汇总!$C$21</f>
        <v>28.129680376028197</v>
      </c>
      <c r="E1810" s="7">
        <v>18.36</v>
      </c>
      <c r="F1810" s="53">
        <f>D1810*E1810</f>
        <v>516.46093170387769</v>
      </c>
    </row>
    <row r="1811" spans="1:6" ht="18" customHeight="1">
      <c r="A1811" s="7"/>
      <c r="B1811" s="52" t="s">
        <v>883</v>
      </c>
      <c r="C1811" s="7" t="s">
        <v>863</v>
      </c>
      <c r="D1811" s="66">
        <f>施工机械台时汇总!$C$24</f>
        <v>2.2013599686643204</v>
      </c>
      <c r="E1811" s="7">
        <v>44</v>
      </c>
      <c r="F1811" s="53">
        <f>D1811*E1811</f>
        <v>96.859838621230097</v>
      </c>
    </row>
    <row r="1812" spans="1:6" ht="18" customHeight="1">
      <c r="A1812" s="7"/>
      <c r="B1812" s="52" t="s">
        <v>840</v>
      </c>
      <c r="C1812" s="7" t="s">
        <v>834</v>
      </c>
      <c r="D1812" s="66">
        <f>SUM(F1808:F1811)</f>
        <v>2651.3460109831572</v>
      </c>
      <c r="E1812" s="7">
        <v>15</v>
      </c>
      <c r="F1812" s="53">
        <f>D1812*E1812/100</f>
        <v>397.70190164747356</v>
      </c>
    </row>
    <row r="1813" spans="1:6" ht="18" customHeight="1">
      <c r="A1813" s="7" t="s">
        <v>884</v>
      </c>
      <c r="B1813" s="52" t="s">
        <v>885</v>
      </c>
      <c r="C1813" s="7" t="s">
        <v>871</v>
      </c>
      <c r="D1813" s="66">
        <f>砼配合!J52/100</f>
        <v>5.0269138732471603</v>
      </c>
      <c r="E1813" s="7">
        <v>102</v>
      </c>
      <c r="F1813" s="53">
        <f>D1813*E1813</f>
        <v>512.7452150712104</v>
      </c>
    </row>
    <row r="1814" spans="1:6" ht="18" customHeight="1">
      <c r="A1814" s="7" t="s">
        <v>886</v>
      </c>
      <c r="B1814" s="52" t="s">
        <v>887</v>
      </c>
      <c r="C1814" s="7" t="s">
        <v>871</v>
      </c>
      <c r="D1814" s="66">
        <f>砼配合!J65/100</f>
        <v>5.8974622495064617</v>
      </c>
      <c r="E1814" s="7">
        <v>102</v>
      </c>
      <c r="F1814" s="53">
        <f>D1814*E1814</f>
        <v>601.54114944965909</v>
      </c>
    </row>
    <row r="1815" spans="1:6" ht="18" customHeight="1">
      <c r="A1815" s="7"/>
      <c r="B1815" s="52"/>
      <c r="C1815" s="7"/>
      <c r="D1815" s="7"/>
      <c r="E1815" s="7"/>
      <c r="F1815" s="53"/>
    </row>
    <row r="1816" spans="1:6" ht="18" customHeight="1">
      <c r="A1816" s="7">
        <v>1.2</v>
      </c>
      <c r="B1816" s="52" t="s">
        <v>841</v>
      </c>
      <c r="C1816" s="7"/>
      <c r="D1816" s="53">
        <f>F1795</f>
        <v>51163.515887271504</v>
      </c>
      <c r="E1816" s="56">
        <f>E1774</f>
        <v>4.8000000000000001E-2</v>
      </c>
      <c r="F1816" s="53">
        <f>D1816*E1816</f>
        <v>2455.848762589032</v>
      </c>
    </row>
    <row r="1817" spans="1:6" ht="18" customHeight="1">
      <c r="A1817" s="7">
        <v>1.3</v>
      </c>
      <c r="B1817" s="52" t="s">
        <v>842</v>
      </c>
      <c r="C1817" s="7"/>
      <c r="D1817" s="53">
        <f>F1795</f>
        <v>51163.515887271504</v>
      </c>
      <c r="E1817" s="56">
        <f>E1775</f>
        <v>0</v>
      </c>
      <c r="F1817" s="53">
        <f>D1817*E1817</f>
        <v>0</v>
      </c>
    </row>
    <row r="1818" spans="1:6" ht="18" customHeight="1">
      <c r="A1818" s="7">
        <v>2</v>
      </c>
      <c r="B1818" s="52" t="s">
        <v>182</v>
      </c>
      <c r="C1818" s="7"/>
      <c r="D1818" s="53">
        <f>F1794</f>
        <v>53619.364649860538</v>
      </c>
      <c r="E1818" s="56">
        <f>E1776</f>
        <v>7.0000000000000007E-2</v>
      </c>
      <c r="F1818" s="53">
        <f>D1818*E1818</f>
        <v>3753.3555254902381</v>
      </c>
    </row>
    <row r="1819" spans="1:6" ht="18" customHeight="1">
      <c r="A1819" s="7">
        <v>3</v>
      </c>
      <c r="B1819" s="52" t="s">
        <v>843</v>
      </c>
      <c r="C1819" s="7"/>
      <c r="D1819" s="53">
        <f>F1818+F1794</f>
        <v>57372.720175350776</v>
      </c>
      <c r="E1819" s="56">
        <f>E1777</f>
        <v>7.0000000000000007E-2</v>
      </c>
      <c r="F1819" s="53">
        <f>D1819*E1819</f>
        <v>4016.0904122745546</v>
      </c>
    </row>
    <row r="1820" spans="1:6" ht="18" customHeight="1">
      <c r="A1820" s="7">
        <v>4</v>
      </c>
      <c r="B1820" s="52" t="s">
        <v>184</v>
      </c>
      <c r="C1820" s="7"/>
      <c r="D1820" s="7"/>
      <c r="E1820" s="7"/>
      <c r="F1820" s="53">
        <f>SUM(F1821:F1826)</f>
        <v>5483.9863302770736</v>
      </c>
    </row>
    <row r="1821" spans="1:6" ht="18" customHeight="1">
      <c r="A1821" s="7"/>
      <c r="B1821" s="52" t="s">
        <v>354</v>
      </c>
      <c r="C1821" s="7" t="s">
        <v>88</v>
      </c>
      <c r="D1821" s="7">
        <f t="shared" ref="D1821:D1826" si="124">D1779</f>
        <v>116.41515</v>
      </c>
      <c r="E1821" s="66">
        <f>E1804*砼配合!I9</f>
        <v>34.695605999999998</v>
      </c>
      <c r="F1821" s="53">
        <f t="shared" ref="F1821:F1827" si="125">D1821*E1821</f>
        <v>4039.0941768308999</v>
      </c>
    </row>
    <row r="1822" spans="1:6" ht="18" customHeight="1">
      <c r="A1822" s="7"/>
      <c r="B1822" s="52" t="s">
        <v>507</v>
      </c>
      <c r="C1822" s="7" t="s">
        <v>871</v>
      </c>
      <c r="D1822" s="66">
        <f t="shared" si="124"/>
        <v>4.6598683999999899</v>
      </c>
      <c r="E1822" s="66">
        <f>E1804*砼配合!I10</f>
        <v>53.878440000000005</v>
      </c>
      <c r="F1822" s="53">
        <f t="shared" si="125"/>
        <v>251.06643999729548</v>
      </c>
    </row>
    <row r="1823" spans="1:6" ht="18" customHeight="1">
      <c r="A1823" s="7"/>
      <c r="B1823" s="52" t="s">
        <v>509</v>
      </c>
      <c r="C1823" s="7" t="s">
        <v>871</v>
      </c>
      <c r="D1823" s="66">
        <f t="shared" si="124"/>
        <v>6.2457299999999902</v>
      </c>
      <c r="E1823" s="66">
        <f>E1804*砼配合!I11</f>
        <v>85.825655999999995</v>
      </c>
      <c r="F1823" s="53">
        <f t="shared" si="125"/>
        <v>536.04387444887914</v>
      </c>
    </row>
    <row r="1824" spans="1:6" ht="18" customHeight="1">
      <c r="A1824" s="7"/>
      <c r="B1824" s="52" t="s">
        <v>506</v>
      </c>
      <c r="C1824" s="7" t="s">
        <v>871</v>
      </c>
      <c r="D1824" s="7">
        <f t="shared" si="124"/>
        <v>0</v>
      </c>
      <c r="E1824" s="66">
        <f>E1800</f>
        <v>3.76</v>
      </c>
      <c r="F1824" s="53">
        <f t="shared" si="125"/>
        <v>0</v>
      </c>
    </row>
    <row r="1825" spans="1:6" ht="18" customHeight="1">
      <c r="A1825" s="7"/>
      <c r="B1825" s="52" t="s">
        <v>515</v>
      </c>
      <c r="C1825" s="7" t="s">
        <v>844</v>
      </c>
      <c r="D1825" s="7">
        <f t="shared" si="124"/>
        <v>4.7450000000000001</v>
      </c>
      <c r="E1825" s="66">
        <f>台时!AK19*砼单价!E1808</f>
        <v>108.072</v>
      </c>
      <c r="F1825" s="53">
        <f t="shared" si="125"/>
        <v>512.80164000000002</v>
      </c>
    </row>
    <row r="1826" spans="1:6" ht="18" customHeight="1">
      <c r="A1826" s="7"/>
      <c r="B1826" s="52" t="s">
        <v>516</v>
      </c>
      <c r="C1826" s="7" t="s">
        <v>844</v>
      </c>
      <c r="D1826" s="7">
        <f t="shared" si="124"/>
        <v>3.51</v>
      </c>
      <c r="E1826" s="66">
        <f>砼配合!I63*台时!AN22*砼单价!E1814/100</f>
        <v>41.304899999999996</v>
      </c>
      <c r="F1826" s="53">
        <f t="shared" si="125"/>
        <v>144.98019899999997</v>
      </c>
    </row>
    <row r="1827" spans="1:6" ht="18" customHeight="1">
      <c r="A1827" s="7">
        <v>5</v>
      </c>
      <c r="B1827" s="52" t="s">
        <v>845</v>
      </c>
      <c r="C1827" s="7"/>
      <c r="D1827" s="53">
        <f>F1794+F1818+F1819+F1820</f>
        <v>66872.796917902408</v>
      </c>
      <c r="E1827" s="56">
        <f>E1785</f>
        <v>0.09</v>
      </c>
      <c r="F1827" s="53">
        <f t="shared" si="125"/>
        <v>6018.5517226112161</v>
      </c>
    </row>
    <row r="1828" spans="1:6" ht="18" customHeight="1">
      <c r="A1828" s="7">
        <v>6</v>
      </c>
      <c r="B1828" s="52" t="s">
        <v>7</v>
      </c>
      <c r="C1828" s="7"/>
      <c r="D1828" s="53"/>
      <c r="E1828" s="7"/>
      <c r="F1828" s="53">
        <f>D1827+F1827</f>
        <v>72891.348640513621</v>
      </c>
    </row>
    <row r="1829" spans="1:6" ht="18" customHeight="1">
      <c r="A1829" s="7"/>
      <c r="B1829" s="52" t="s">
        <v>846</v>
      </c>
      <c r="C1829" s="7"/>
      <c r="D1829" s="53">
        <f>F1828</f>
        <v>72891.348640513621</v>
      </c>
      <c r="E1829" s="56">
        <f>E1787</f>
        <v>0.03</v>
      </c>
      <c r="F1829" s="53">
        <f>E1829*D1829</f>
        <v>2186.7404592154085</v>
      </c>
    </row>
    <row r="1830" spans="1:6" ht="18" customHeight="1">
      <c r="A1830" s="7"/>
      <c r="B1830" s="52" t="s">
        <v>44</v>
      </c>
      <c r="C1830" s="52"/>
      <c r="D1830" s="7"/>
      <c r="E1830" s="7"/>
      <c r="F1830" s="53">
        <f>SUM(F1828:F1829)</f>
        <v>75078.089099729026</v>
      </c>
    </row>
    <row r="1831" spans="1:6" ht="22.5" customHeight="1">
      <c r="A1831" s="461" t="s">
        <v>813</v>
      </c>
      <c r="B1831" s="461"/>
      <c r="C1831" s="461"/>
      <c r="D1831" s="461"/>
      <c r="E1831" s="461"/>
      <c r="F1831" s="461"/>
    </row>
    <row r="1832" spans="1:6" ht="18" customHeight="1">
      <c r="A1832" s="481" t="s">
        <v>969</v>
      </c>
      <c r="B1832" s="481"/>
      <c r="C1832" s="481"/>
      <c r="D1832" s="481"/>
      <c r="E1832" s="481"/>
      <c r="F1832" s="481"/>
    </row>
    <row r="1833" spans="1:6" ht="20.25" customHeight="1">
      <c r="A1833" s="47" t="s">
        <v>815</v>
      </c>
      <c r="B1833" s="49">
        <v>4163</v>
      </c>
      <c r="D1833" s="46"/>
      <c r="E1833" s="47" t="s">
        <v>169</v>
      </c>
      <c r="F1833" s="49" t="s">
        <v>869</v>
      </c>
    </row>
    <row r="1834" spans="1:6" ht="18" customHeight="1">
      <c r="A1834" s="50" t="s">
        <v>817</v>
      </c>
      <c r="B1834" s="52"/>
      <c r="C1834" s="52"/>
      <c r="D1834" s="7"/>
      <c r="E1834" s="7"/>
      <c r="F1834" s="7"/>
    </row>
    <row r="1835" spans="1:6" ht="18" customHeight="1">
      <c r="A1835" s="7" t="s">
        <v>1</v>
      </c>
      <c r="B1835" s="52" t="s">
        <v>344</v>
      </c>
      <c r="C1835" s="7" t="s">
        <v>818</v>
      </c>
      <c r="D1835" s="7" t="s">
        <v>819</v>
      </c>
      <c r="E1835" s="7" t="s">
        <v>820</v>
      </c>
      <c r="F1835" s="7" t="s">
        <v>821</v>
      </c>
    </row>
    <row r="1836" spans="1:6" ht="18" customHeight="1">
      <c r="A1836" s="7">
        <v>1</v>
      </c>
      <c r="B1836" s="52" t="s">
        <v>822</v>
      </c>
      <c r="C1836" s="7"/>
      <c r="D1836" s="7"/>
      <c r="E1836" s="7"/>
      <c r="F1836" s="53">
        <f>F1837+F1858+F1859</f>
        <v>46016.680648489855</v>
      </c>
    </row>
    <row r="1837" spans="1:6" ht="18" customHeight="1">
      <c r="A1837" s="7">
        <v>1.1000000000000001</v>
      </c>
      <c r="B1837" s="52" t="s">
        <v>823</v>
      </c>
      <c r="C1837" s="7"/>
      <c r="D1837" s="7"/>
      <c r="E1837" s="7"/>
      <c r="F1837" s="53">
        <f>F1838+F1841+F1849+F1855+F1856+F1857</f>
        <v>43909.046420314749</v>
      </c>
    </row>
    <row r="1838" spans="1:6" ht="18" customHeight="1">
      <c r="A1838" s="7" t="s">
        <v>47</v>
      </c>
      <c r="B1838" s="52" t="s">
        <v>176</v>
      </c>
      <c r="C1838" s="7"/>
      <c r="D1838" s="7"/>
      <c r="E1838" s="7"/>
      <c r="F1838" s="53">
        <f>F1839+F1840</f>
        <v>16572.418000000001</v>
      </c>
    </row>
    <row r="1839" spans="1:6" ht="18" customHeight="1">
      <c r="A1839" s="7"/>
      <c r="B1839" s="52" t="s">
        <v>824</v>
      </c>
      <c r="C1839" s="7" t="s">
        <v>825</v>
      </c>
      <c r="D1839" s="7">
        <v>8.1</v>
      </c>
      <c r="E1839" s="7">
        <v>1549.9</v>
      </c>
      <c r="F1839" s="53">
        <f>D1839*E1839</f>
        <v>12554.19</v>
      </c>
    </row>
    <row r="1840" spans="1:6" ht="18" customHeight="1">
      <c r="A1840" s="7"/>
      <c r="B1840" s="52" t="s">
        <v>826</v>
      </c>
      <c r="C1840" s="7" t="s">
        <v>825</v>
      </c>
      <c r="D1840" s="7">
        <v>5.77</v>
      </c>
      <c r="E1840" s="7">
        <v>696.4</v>
      </c>
      <c r="F1840" s="53">
        <f>D1840*E1840</f>
        <v>4018.2280000000001</v>
      </c>
    </row>
    <row r="1841" spans="1:6" ht="18" customHeight="1">
      <c r="A1841" s="7" t="s">
        <v>57</v>
      </c>
      <c r="B1841" s="52" t="s">
        <v>177</v>
      </c>
      <c r="C1841" s="7"/>
      <c r="D1841" s="7"/>
      <c r="E1841" s="7"/>
      <c r="F1841" s="53">
        <f>SUM(F1842:F1848)</f>
        <v>23937.85005492</v>
      </c>
    </row>
    <row r="1842" spans="1:6" ht="18" customHeight="1">
      <c r="A1842" s="7"/>
      <c r="B1842" s="52" t="s">
        <v>870</v>
      </c>
      <c r="C1842" s="7" t="s">
        <v>871</v>
      </c>
      <c r="D1842" s="7">
        <f>D1800</f>
        <v>1874.0778</v>
      </c>
      <c r="E1842" s="7">
        <v>2.76</v>
      </c>
      <c r="F1842" s="53">
        <f t="shared" ref="F1842:F1847" si="126">D1842*E1842</f>
        <v>5172.4547279999997</v>
      </c>
    </row>
    <row r="1843" spans="1:6" ht="18" customHeight="1">
      <c r="A1843" s="7"/>
      <c r="B1843" s="52" t="s">
        <v>965</v>
      </c>
      <c r="C1843" s="7" t="s">
        <v>844</v>
      </c>
      <c r="D1843" s="7">
        <v>2</v>
      </c>
      <c r="E1843" s="7">
        <v>0</v>
      </c>
      <c r="F1843" s="53">
        <f t="shared" si="126"/>
        <v>0</v>
      </c>
    </row>
    <row r="1844" spans="1:6" ht="18" customHeight="1">
      <c r="A1844" s="7"/>
      <c r="B1844" s="52" t="s">
        <v>966</v>
      </c>
      <c r="C1844" s="7" t="s">
        <v>844</v>
      </c>
      <c r="D1844" s="7">
        <v>8.5</v>
      </c>
      <c r="E1844" s="7">
        <v>10</v>
      </c>
      <c r="F1844" s="53">
        <f t="shared" si="126"/>
        <v>85</v>
      </c>
    </row>
    <row r="1845" spans="1:6" ht="18" customHeight="1">
      <c r="A1845" s="7"/>
      <c r="B1845" s="52" t="s">
        <v>875</v>
      </c>
      <c r="C1845" s="7" t="s">
        <v>844</v>
      </c>
      <c r="D1845" s="7">
        <f>次要材料汇总!$F$5</f>
        <v>8</v>
      </c>
      <c r="E1845" s="7">
        <v>0</v>
      </c>
      <c r="F1845" s="53">
        <f t="shared" si="126"/>
        <v>0</v>
      </c>
    </row>
    <row r="1846" spans="1:6" ht="18" customHeight="1">
      <c r="A1846" s="7"/>
      <c r="B1846" s="52" t="s">
        <v>877</v>
      </c>
      <c r="C1846" s="7" t="s">
        <v>871</v>
      </c>
      <c r="D1846" s="55">
        <f>砼配合!J14</f>
        <v>171.692409</v>
      </c>
      <c r="E1846" s="7">
        <v>102</v>
      </c>
      <c r="F1846" s="53">
        <f t="shared" si="126"/>
        <v>17512.625717999999</v>
      </c>
    </row>
    <row r="1847" spans="1:6" ht="18" customHeight="1">
      <c r="A1847" s="7"/>
      <c r="B1847" s="52" t="s">
        <v>806</v>
      </c>
      <c r="C1847" s="7" t="s">
        <v>871</v>
      </c>
      <c r="D1847" s="54">
        <f>D1805</f>
        <v>3.88</v>
      </c>
      <c r="E1847" s="7">
        <v>180</v>
      </c>
      <c r="F1847" s="53">
        <f t="shared" si="126"/>
        <v>698.4</v>
      </c>
    </row>
    <row r="1848" spans="1:6" ht="18" customHeight="1">
      <c r="A1848" s="7"/>
      <c r="B1848" s="52" t="s">
        <v>833</v>
      </c>
      <c r="C1848" s="7" t="s">
        <v>834</v>
      </c>
      <c r="D1848" s="54">
        <f>SUM(F1842:F1847)</f>
        <v>23468.480446000001</v>
      </c>
      <c r="E1848" s="7">
        <v>2</v>
      </c>
      <c r="F1848" s="53">
        <f>D1848*E1848/100</f>
        <v>469.36960892000002</v>
      </c>
    </row>
    <row r="1849" spans="1:6" ht="18" customHeight="1">
      <c r="A1849" s="7" t="s">
        <v>835</v>
      </c>
      <c r="B1849" s="52" t="s">
        <v>836</v>
      </c>
      <c r="C1849" s="7"/>
      <c r="D1849" s="7"/>
      <c r="E1849" s="7"/>
      <c r="F1849" s="53">
        <f>SUM(F1850:F1854)</f>
        <v>2284.4920008738745</v>
      </c>
    </row>
    <row r="1850" spans="1:6" ht="18" customHeight="1">
      <c r="A1850" s="7"/>
      <c r="B1850" s="52" t="s">
        <v>878</v>
      </c>
      <c r="C1850" s="7" t="s">
        <v>863</v>
      </c>
      <c r="D1850" s="66">
        <f>施工机械台时汇总!$C$42</f>
        <v>49.210305522914197</v>
      </c>
      <c r="E1850" s="7">
        <v>1.5</v>
      </c>
      <c r="F1850" s="53">
        <f>D1850*E1850</f>
        <v>73.815458284371289</v>
      </c>
    </row>
    <row r="1851" spans="1:6" ht="18" customHeight="1">
      <c r="A1851" s="7"/>
      <c r="B1851" s="52" t="s">
        <v>967</v>
      </c>
      <c r="C1851" s="7" t="s">
        <v>863</v>
      </c>
      <c r="D1851" s="66">
        <f>施工机械台时汇总!$C$54</f>
        <v>73.41121778300041</v>
      </c>
      <c r="E1851" s="7">
        <v>17.7</v>
      </c>
      <c r="F1851" s="53">
        <f>D1851*E1851</f>
        <v>1299.3785547591071</v>
      </c>
    </row>
    <row r="1852" spans="1:6" ht="18" customHeight="1">
      <c r="A1852" s="7"/>
      <c r="B1852" s="52" t="s">
        <v>882</v>
      </c>
      <c r="C1852" s="7" t="s">
        <v>863</v>
      </c>
      <c r="D1852" s="66">
        <f>施工机械台时汇总!$C$21</f>
        <v>28.129680376028197</v>
      </c>
      <c r="E1852" s="7">
        <v>18.36</v>
      </c>
      <c r="F1852" s="53">
        <f>D1852*E1852</f>
        <v>516.46093170387769</v>
      </c>
    </row>
    <row r="1853" spans="1:6" ht="18" customHeight="1">
      <c r="A1853" s="7"/>
      <c r="B1853" s="52" t="s">
        <v>883</v>
      </c>
      <c r="C1853" s="7" t="s">
        <v>863</v>
      </c>
      <c r="D1853" s="66">
        <f>施工机械台时汇总!$C$24</f>
        <v>2.2013599686643204</v>
      </c>
      <c r="E1853" s="7">
        <v>44</v>
      </c>
      <c r="F1853" s="53">
        <f>D1853*E1853</f>
        <v>96.859838621230097</v>
      </c>
    </row>
    <row r="1854" spans="1:6" ht="18" customHeight="1">
      <c r="A1854" s="7"/>
      <c r="B1854" s="52" t="s">
        <v>840</v>
      </c>
      <c r="C1854" s="7" t="s">
        <v>834</v>
      </c>
      <c r="D1854" s="66">
        <f>SUM(F1850:F1853)</f>
        <v>1986.5147833685864</v>
      </c>
      <c r="E1854" s="7">
        <v>15</v>
      </c>
      <c r="F1854" s="53">
        <f>D1854*E1854/100</f>
        <v>297.97721750528797</v>
      </c>
    </row>
    <row r="1855" spans="1:6" ht="18" customHeight="1">
      <c r="A1855" s="7" t="s">
        <v>884</v>
      </c>
      <c r="B1855" s="52" t="s">
        <v>885</v>
      </c>
      <c r="C1855" s="7" t="s">
        <v>871</v>
      </c>
      <c r="D1855" s="66">
        <f>砼配合!J52/100</f>
        <v>5.0269138732471603</v>
      </c>
      <c r="E1855" s="7">
        <v>102</v>
      </c>
      <c r="F1855" s="53">
        <f>D1855*E1855</f>
        <v>512.7452150712104</v>
      </c>
    </row>
    <row r="1856" spans="1:6" ht="18" customHeight="1">
      <c r="A1856" s="7" t="s">
        <v>886</v>
      </c>
      <c r="B1856" s="52" t="s">
        <v>887</v>
      </c>
      <c r="C1856" s="7" t="s">
        <v>871</v>
      </c>
      <c r="D1856" s="66">
        <f>砼配合!J65/100</f>
        <v>5.8974622495064617</v>
      </c>
      <c r="E1856" s="7">
        <v>102</v>
      </c>
      <c r="F1856" s="53">
        <f>D1856*E1856</f>
        <v>601.54114944965909</v>
      </c>
    </row>
    <row r="1857" spans="1:6" ht="18" customHeight="1">
      <c r="A1857" s="7"/>
      <c r="B1857" s="52"/>
      <c r="C1857" s="7"/>
      <c r="D1857" s="7"/>
      <c r="E1857" s="7"/>
      <c r="F1857" s="53"/>
    </row>
    <row r="1858" spans="1:6" ht="18" customHeight="1">
      <c r="A1858" s="7">
        <v>1.2</v>
      </c>
      <c r="B1858" s="52" t="s">
        <v>841</v>
      </c>
      <c r="C1858" s="7"/>
      <c r="D1858" s="53">
        <f>F1837</f>
        <v>43909.046420314749</v>
      </c>
      <c r="E1858" s="56">
        <f>E1816</f>
        <v>4.8000000000000001E-2</v>
      </c>
      <c r="F1858" s="53">
        <f>D1858*E1858</f>
        <v>2107.6342281751081</v>
      </c>
    </row>
    <row r="1859" spans="1:6" ht="18" customHeight="1">
      <c r="A1859" s="7">
        <v>1.3</v>
      </c>
      <c r="B1859" s="52" t="s">
        <v>842</v>
      </c>
      <c r="C1859" s="7"/>
      <c r="D1859" s="53">
        <f>F1837</f>
        <v>43909.046420314749</v>
      </c>
      <c r="E1859" s="56">
        <f>E1817</f>
        <v>0</v>
      </c>
      <c r="F1859" s="53">
        <f>D1859*E1859</f>
        <v>0</v>
      </c>
    </row>
    <row r="1860" spans="1:6" ht="18" customHeight="1">
      <c r="A1860" s="7">
        <v>2</v>
      </c>
      <c r="B1860" s="52" t="s">
        <v>182</v>
      </c>
      <c r="C1860" s="7"/>
      <c r="D1860" s="53">
        <f>F1836</f>
        <v>46016.680648489855</v>
      </c>
      <c r="E1860" s="56">
        <f>E1818</f>
        <v>7.0000000000000007E-2</v>
      </c>
      <c r="F1860" s="53">
        <f>D1860*E1860</f>
        <v>3221.16764539429</v>
      </c>
    </row>
    <row r="1861" spans="1:6" ht="18" customHeight="1">
      <c r="A1861" s="7">
        <v>3</v>
      </c>
      <c r="B1861" s="52" t="s">
        <v>843</v>
      </c>
      <c r="C1861" s="7"/>
      <c r="D1861" s="53">
        <f>F1860+F1836</f>
        <v>49237.848293884148</v>
      </c>
      <c r="E1861" s="56">
        <f>E1819</f>
        <v>7.0000000000000007E-2</v>
      </c>
      <c r="F1861" s="53">
        <f>D1861*E1861</f>
        <v>3446.6493805718906</v>
      </c>
    </row>
    <row r="1862" spans="1:6" ht="18" customHeight="1">
      <c r="A1862" s="7">
        <v>4</v>
      </c>
      <c r="B1862" s="52" t="s">
        <v>184</v>
      </c>
      <c r="C1862" s="7"/>
      <c r="D1862" s="7"/>
      <c r="E1862" s="7"/>
      <c r="F1862" s="53">
        <f>SUM(F1863:F1868)</f>
        <v>4609.3497376159057</v>
      </c>
    </row>
    <row r="1863" spans="1:6" ht="18" customHeight="1">
      <c r="A1863" s="7"/>
      <c r="B1863" s="52" t="s">
        <v>354</v>
      </c>
      <c r="C1863" s="7" t="s">
        <v>88</v>
      </c>
      <c r="D1863" s="7">
        <f t="shared" ref="D1863:D1868" si="127">D1821</f>
        <v>116.41515</v>
      </c>
      <c r="E1863" s="66">
        <f>E1846*砼配合!I15</f>
        <v>31.334094</v>
      </c>
      <c r="F1863" s="53">
        <f t="shared" ref="F1863:F1869" si="128">D1863*E1863</f>
        <v>3647.7632531240997</v>
      </c>
    </row>
    <row r="1864" spans="1:6" ht="18" customHeight="1">
      <c r="A1864" s="7"/>
      <c r="B1864" s="52" t="s">
        <v>507</v>
      </c>
      <c r="C1864" s="7" t="s">
        <v>871</v>
      </c>
      <c r="D1864" s="66">
        <f t="shared" si="127"/>
        <v>4.6598683999999899</v>
      </c>
      <c r="E1864" s="66">
        <f>E1846*砼配合!I16</f>
        <v>49.210920000000002</v>
      </c>
      <c r="F1864" s="53">
        <f t="shared" si="128"/>
        <v>229.31641104292751</v>
      </c>
    </row>
    <row r="1865" spans="1:6" ht="18" customHeight="1">
      <c r="A1865" s="7"/>
      <c r="B1865" s="52" t="s">
        <v>509</v>
      </c>
      <c r="C1865" s="7" t="s">
        <v>871</v>
      </c>
      <c r="D1865" s="66">
        <f t="shared" si="127"/>
        <v>6.2457299999999902</v>
      </c>
      <c r="E1865" s="66">
        <f>E1846*砼配合!I17</f>
        <v>85.825655999999995</v>
      </c>
      <c r="F1865" s="53">
        <f t="shared" si="128"/>
        <v>536.04387444887914</v>
      </c>
    </row>
    <row r="1866" spans="1:6" ht="18" customHeight="1">
      <c r="A1866" s="7"/>
      <c r="B1866" s="52" t="s">
        <v>506</v>
      </c>
      <c r="C1866" s="7" t="s">
        <v>871</v>
      </c>
      <c r="D1866" s="7">
        <f t="shared" si="127"/>
        <v>0</v>
      </c>
      <c r="E1866" s="66">
        <f>E1842</f>
        <v>2.76</v>
      </c>
      <c r="F1866" s="53">
        <f t="shared" si="128"/>
        <v>0</v>
      </c>
    </row>
    <row r="1867" spans="1:6" ht="18" customHeight="1">
      <c r="A1867" s="7"/>
      <c r="B1867" s="52" t="s">
        <v>515</v>
      </c>
      <c r="C1867" s="7" t="s">
        <v>844</v>
      </c>
      <c r="D1867" s="7">
        <f t="shared" si="127"/>
        <v>4.7450000000000001</v>
      </c>
      <c r="E1867" s="66">
        <f>台时!AK19*砼单价!E1850</f>
        <v>10.8</v>
      </c>
      <c r="F1867" s="53">
        <f t="shared" si="128"/>
        <v>51.246000000000002</v>
      </c>
    </row>
    <row r="1868" spans="1:6" ht="18" customHeight="1">
      <c r="A1868" s="7"/>
      <c r="B1868" s="52" t="s">
        <v>516</v>
      </c>
      <c r="C1868" s="7" t="s">
        <v>844</v>
      </c>
      <c r="D1868" s="7">
        <f t="shared" si="127"/>
        <v>3.51</v>
      </c>
      <c r="E1868" s="66">
        <f>砼配合!I63*台时!AN22*砼单价!E1856/100</f>
        <v>41.304899999999996</v>
      </c>
      <c r="F1868" s="53">
        <f t="shared" si="128"/>
        <v>144.98019899999997</v>
      </c>
    </row>
    <row r="1869" spans="1:6" ht="18" customHeight="1">
      <c r="A1869" s="7">
        <v>5</v>
      </c>
      <c r="B1869" s="52" t="s">
        <v>845</v>
      </c>
      <c r="C1869" s="7"/>
      <c r="D1869" s="53">
        <f>F1836+F1860+F1861+F1862</f>
        <v>57293.847412071947</v>
      </c>
      <c r="E1869" s="56">
        <f>E1827</f>
        <v>0.09</v>
      </c>
      <c r="F1869" s="53">
        <f t="shared" si="128"/>
        <v>5156.446267086475</v>
      </c>
    </row>
    <row r="1870" spans="1:6" ht="18" customHeight="1">
      <c r="A1870" s="7">
        <v>6</v>
      </c>
      <c r="B1870" s="52" t="s">
        <v>7</v>
      </c>
      <c r="C1870" s="7"/>
      <c r="D1870" s="53"/>
      <c r="E1870" s="7"/>
      <c r="F1870" s="53">
        <f>D1869+F1869</f>
        <v>62450.293679158422</v>
      </c>
    </row>
    <row r="1871" spans="1:6" ht="18" customHeight="1">
      <c r="A1871" s="7"/>
      <c r="B1871" s="52" t="s">
        <v>846</v>
      </c>
      <c r="C1871" s="7"/>
      <c r="D1871" s="53">
        <f>F1870</f>
        <v>62450.293679158422</v>
      </c>
      <c r="E1871" s="56">
        <f>E1829</f>
        <v>0.03</v>
      </c>
      <c r="F1871" s="53">
        <f>E1871*D1871</f>
        <v>1873.5088103747526</v>
      </c>
    </row>
    <row r="1872" spans="1:6" ht="18" customHeight="1">
      <c r="A1872" s="7"/>
      <c r="B1872" s="52" t="s">
        <v>44</v>
      </c>
      <c r="C1872" s="52"/>
      <c r="D1872" s="7"/>
      <c r="E1872" s="7"/>
      <c r="F1872" s="53">
        <f>SUM(F1870:F1871)</f>
        <v>64323.802489533176</v>
      </c>
    </row>
    <row r="1873" spans="1:6" ht="22.5" customHeight="1">
      <c r="A1873" s="461" t="s">
        <v>813</v>
      </c>
      <c r="B1873" s="461"/>
      <c r="C1873" s="461"/>
      <c r="D1873" s="461"/>
      <c r="E1873" s="461"/>
      <c r="F1873" s="461"/>
    </row>
    <row r="1874" spans="1:6" ht="18" customHeight="1">
      <c r="A1874" s="462" t="s">
        <v>970</v>
      </c>
      <c r="B1874" s="462"/>
      <c r="C1874" s="462"/>
      <c r="D1874" s="462"/>
      <c r="E1874" s="462"/>
      <c r="F1874" s="462"/>
    </row>
    <row r="1875" spans="1:6" ht="20.25" customHeight="1">
      <c r="A1875" s="47" t="s">
        <v>815</v>
      </c>
      <c r="B1875" s="49">
        <v>4183</v>
      </c>
      <c r="D1875" s="46"/>
      <c r="E1875" s="47" t="s">
        <v>169</v>
      </c>
      <c r="F1875" s="49" t="s">
        <v>869</v>
      </c>
    </row>
    <row r="1876" spans="1:6" ht="18" customHeight="1">
      <c r="A1876" s="50" t="s">
        <v>817</v>
      </c>
      <c r="B1876" s="458"/>
      <c r="C1876" s="459"/>
      <c r="D1876" s="459"/>
      <c r="E1876" s="459"/>
      <c r="F1876" s="460"/>
    </row>
    <row r="1877" spans="1:6" ht="18" customHeight="1">
      <c r="A1877" s="7" t="s">
        <v>1</v>
      </c>
      <c r="B1877" s="52" t="s">
        <v>344</v>
      </c>
      <c r="C1877" s="7" t="s">
        <v>818</v>
      </c>
      <c r="D1877" s="7" t="s">
        <v>819</v>
      </c>
      <c r="E1877" s="7" t="s">
        <v>820</v>
      </c>
      <c r="F1877" s="7" t="s">
        <v>821</v>
      </c>
    </row>
    <row r="1878" spans="1:6" ht="18" customHeight="1">
      <c r="A1878" s="7">
        <v>1</v>
      </c>
      <c r="B1878" s="52" t="s">
        <v>822</v>
      </c>
      <c r="C1878" s="7"/>
      <c r="D1878" s="7"/>
      <c r="E1878" s="7"/>
      <c r="F1878" s="53">
        <f>F1879+F1898+F1899</f>
        <v>17192.72291551757</v>
      </c>
    </row>
    <row r="1879" spans="1:6" ht="18" customHeight="1">
      <c r="A1879" s="7">
        <v>1.1000000000000001</v>
      </c>
      <c r="B1879" s="52" t="s">
        <v>823</v>
      </c>
      <c r="C1879" s="7"/>
      <c r="D1879" s="7"/>
      <c r="E1879" s="7"/>
      <c r="F1879" s="53">
        <f>F1880+F1883+F1890+F1896+F1897</f>
        <v>16405.269957554934</v>
      </c>
    </row>
    <row r="1880" spans="1:6" ht="18" customHeight="1">
      <c r="A1880" s="7" t="s">
        <v>47</v>
      </c>
      <c r="B1880" s="52" t="s">
        <v>176</v>
      </c>
      <c r="C1880" s="7"/>
      <c r="D1880" s="7"/>
      <c r="E1880" s="7"/>
      <c r="F1880" s="53">
        <f>F1881+F1882</f>
        <v>5708.88</v>
      </c>
    </row>
    <row r="1881" spans="1:6" ht="18" customHeight="1">
      <c r="A1881" s="7"/>
      <c r="B1881" s="52" t="s">
        <v>824</v>
      </c>
      <c r="C1881" s="7" t="s">
        <v>825</v>
      </c>
      <c r="D1881" s="7">
        <v>8.1</v>
      </c>
      <c r="E1881" s="7">
        <v>704.8</v>
      </c>
      <c r="F1881" s="53">
        <f>D1881*E1881</f>
        <v>5708.88</v>
      </c>
    </row>
    <row r="1882" spans="1:6" ht="18" customHeight="1">
      <c r="A1882" s="7"/>
      <c r="B1882" s="52" t="s">
        <v>826</v>
      </c>
      <c r="C1882" s="7" t="s">
        <v>825</v>
      </c>
      <c r="D1882" s="7">
        <v>5.77</v>
      </c>
      <c r="E1882" s="7"/>
      <c r="F1882" s="53">
        <f>D1882*E1882</f>
        <v>0</v>
      </c>
    </row>
    <row r="1883" spans="1:6" ht="18" customHeight="1">
      <c r="A1883" s="7" t="s">
        <v>57</v>
      </c>
      <c r="B1883" s="52" t="s">
        <v>177</v>
      </c>
      <c r="C1883" s="7"/>
      <c r="D1883" s="7"/>
      <c r="E1883" s="7"/>
      <c r="F1883" s="53">
        <f>SUM(F1884:F1889)</f>
        <v>6521.7704067389986</v>
      </c>
    </row>
    <row r="1884" spans="1:6" ht="18" customHeight="1">
      <c r="A1884" s="7"/>
      <c r="B1884" s="52" t="s">
        <v>870</v>
      </c>
      <c r="C1884" s="7" t="s">
        <v>871</v>
      </c>
      <c r="D1884" s="7">
        <f>D1758</f>
        <v>1874.0778</v>
      </c>
      <c r="E1884" s="7">
        <v>0.9</v>
      </c>
      <c r="F1884" s="53">
        <f>D1884*E1884</f>
        <v>1686.67002</v>
      </c>
    </row>
    <row r="1885" spans="1:6" ht="18" customHeight="1">
      <c r="A1885" s="7"/>
      <c r="B1885" s="52" t="s">
        <v>971</v>
      </c>
      <c r="C1885" s="7" t="s">
        <v>844</v>
      </c>
      <c r="D1885" s="7">
        <v>8</v>
      </c>
      <c r="E1885" s="7">
        <v>98</v>
      </c>
      <c r="F1885" s="53">
        <f>D1885*E1885</f>
        <v>784</v>
      </c>
    </row>
    <row r="1886" spans="1:6" ht="18" customHeight="1">
      <c r="A1886" s="7"/>
      <c r="B1886" s="52" t="s">
        <v>972</v>
      </c>
      <c r="C1886" s="7" t="s">
        <v>844</v>
      </c>
      <c r="D1886" s="7">
        <v>8</v>
      </c>
      <c r="E1886" s="7">
        <v>8</v>
      </c>
      <c r="F1886" s="53">
        <f>D1886*E1886</f>
        <v>64</v>
      </c>
    </row>
    <row r="1887" spans="1:6" ht="18" customHeight="1">
      <c r="A1887" s="7"/>
      <c r="B1887" s="52" t="s">
        <v>876</v>
      </c>
      <c r="C1887" s="7" t="s">
        <v>844</v>
      </c>
      <c r="D1887" s="7">
        <v>7.5</v>
      </c>
      <c r="E1887" s="7">
        <v>278</v>
      </c>
      <c r="F1887" s="53">
        <f>D1887*E1887</f>
        <v>2085</v>
      </c>
    </row>
    <row r="1888" spans="1:6" ht="18" customHeight="1">
      <c r="A1888" s="7"/>
      <c r="B1888" s="52" t="s">
        <v>877</v>
      </c>
      <c r="C1888" s="7" t="s">
        <v>871</v>
      </c>
      <c r="D1888" s="66">
        <f>砼配合!J8</f>
        <v>183.29938899999999</v>
      </c>
      <c r="E1888" s="7">
        <v>10.199999999999999</v>
      </c>
      <c r="F1888" s="53">
        <f>D1888*E1888</f>
        <v>1869.6537677999997</v>
      </c>
    </row>
    <row r="1889" spans="1:6" ht="18" customHeight="1">
      <c r="A1889" s="7"/>
      <c r="B1889" s="52" t="s">
        <v>833</v>
      </c>
      <c r="C1889" s="7" t="s">
        <v>834</v>
      </c>
      <c r="D1889" s="66">
        <f>SUM(F1884:F1888)</f>
        <v>6489.3237877999991</v>
      </c>
      <c r="E1889" s="7">
        <v>0.5</v>
      </c>
      <c r="F1889" s="53">
        <f>D1889*E1889/100</f>
        <v>32.446618938999997</v>
      </c>
    </row>
    <row r="1890" spans="1:6" ht="18" customHeight="1">
      <c r="A1890" s="7" t="s">
        <v>835</v>
      </c>
      <c r="B1890" s="52" t="s">
        <v>836</v>
      </c>
      <c r="C1890" s="7"/>
      <c r="D1890" s="7"/>
      <c r="E1890" s="7"/>
      <c r="F1890" s="53">
        <f>SUM(F1891:F1895)</f>
        <v>4123.3450293088135</v>
      </c>
    </row>
    <row r="1891" spans="1:6" ht="18" customHeight="1">
      <c r="A1891" s="7"/>
      <c r="B1891" s="52" t="s">
        <v>881</v>
      </c>
      <c r="C1891" s="7" t="s">
        <v>863</v>
      </c>
      <c r="D1891" s="66">
        <f>施工机械台时汇总!$C$40</f>
        <v>15.582226792009401</v>
      </c>
      <c r="E1891" s="7">
        <v>178.85</v>
      </c>
      <c r="F1891" s="53">
        <f>D1891*E1891</f>
        <v>2786.8812617508811</v>
      </c>
    </row>
    <row r="1892" spans="1:6" ht="18" customHeight="1">
      <c r="A1892" s="7"/>
      <c r="B1892" s="52" t="s">
        <v>973</v>
      </c>
      <c r="C1892" s="7" t="s">
        <v>863</v>
      </c>
      <c r="D1892" s="66">
        <f>施工机械台时汇总!$C$58</f>
        <v>111.3486200548375</v>
      </c>
      <c r="E1892" s="7">
        <v>11.09</v>
      </c>
      <c r="F1892" s="53">
        <f>D1892*E1892</f>
        <v>1234.8561964081478</v>
      </c>
    </row>
    <row r="1893" spans="1:6" ht="18" customHeight="1">
      <c r="A1893" s="7"/>
      <c r="B1893" s="52" t="s">
        <v>882</v>
      </c>
      <c r="C1893" s="7" t="s">
        <v>863</v>
      </c>
      <c r="D1893" s="66">
        <f>施工机械台时汇总!$C$21</f>
        <v>28.129680376028197</v>
      </c>
      <c r="E1893" s="7">
        <v>1.89</v>
      </c>
      <c r="F1893" s="53">
        <f>D1893*E1893</f>
        <v>53.165095910693289</v>
      </c>
    </row>
    <row r="1894" spans="1:6" ht="18" customHeight="1">
      <c r="A1894" s="7"/>
      <c r="B1894" s="52" t="s">
        <v>407</v>
      </c>
      <c r="C1894" s="7" t="s">
        <v>863</v>
      </c>
      <c r="D1894" s="7">
        <f>施工机械台时汇总!$C$19</f>
        <v>0.80266353309831595</v>
      </c>
      <c r="E1894" s="7">
        <v>9.49</v>
      </c>
      <c r="F1894" s="53">
        <f>D1894*E1894</f>
        <v>7.6172769291030189</v>
      </c>
    </row>
    <row r="1895" spans="1:6" ht="18" customHeight="1">
      <c r="A1895" s="7"/>
      <c r="B1895" s="52" t="s">
        <v>840</v>
      </c>
      <c r="C1895" s="7" t="s">
        <v>834</v>
      </c>
      <c r="D1895" s="66">
        <f>SUM(F1891:F1894)</f>
        <v>4082.519830998825</v>
      </c>
      <c r="E1895" s="7">
        <v>1</v>
      </c>
      <c r="F1895" s="53">
        <f>D1895*E1895/100</f>
        <v>40.825198309988252</v>
      </c>
    </row>
    <row r="1896" spans="1:6" ht="18" customHeight="1">
      <c r="A1896" s="7" t="s">
        <v>884</v>
      </c>
      <c r="B1896" s="52" t="s">
        <v>885</v>
      </c>
      <c r="C1896" s="7" t="s">
        <v>871</v>
      </c>
      <c r="D1896" s="66">
        <f>砼配合!J52/100</f>
        <v>5.0269138732471603</v>
      </c>
      <c r="E1896" s="7">
        <v>10.199999999999999</v>
      </c>
      <c r="F1896" s="53">
        <f>D1896*E1896</f>
        <v>51.27452150712103</v>
      </c>
    </row>
    <row r="1897" spans="1:6" ht="18" customHeight="1">
      <c r="A1897" s="7"/>
      <c r="B1897" s="52"/>
      <c r="C1897" s="7"/>
      <c r="D1897" s="7"/>
      <c r="E1897" s="7"/>
      <c r="F1897" s="53"/>
    </row>
    <row r="1898" spans="1:6" ht="18" customHeight="1">
      <c r="A1898" s="7">
        <v>1.2</v>
      </c>
      <c r="B1898" s="52" t="s">
        <v>841</v>
      </c>
      <c r="C1898" s="7"/>
      <c r="D1898" s="53">
        <f>F1879</f>
        <v>16405.269957554934</v>
      </c>
      <c r="E1898" s="56">
        <f>E1774</f>
        <v>4.8000000000000001E-2</v>
      </c>
      <c r="F1898" s="53">
        <f>D1898*E1898</f>
        <v>787.4529579626369</v>
      </c>
    </row>
    <row r="1899" spans="1:6" ht="18" customHeight="1">
      <c r="A1899" s="7">
        <v>1.3</v>
      </c>
      <c r="B1899" s="52" t="s">
        <v>842</v>
      </c>
      <c r="C1899" s="7"/>
      <c r="D1899" s="53">
        <f>F1879</f>
        <v>16405.269957554934</v>
      </c>
      <c r="E1899" s="56">
        <f>E1775</f>
        <v>0</v>
      </c>
      <c r="F1899" s="53">
        <f>D1899*E1899</f>
        <v>0</v>
      </c>
    </row>
    <row r="1900" spans="1:6" ht="18" customHeight="1">
      <c r="A1900" s="7">
        <v>2</v>
      </c>
      <c r="B1900" s="52" t="s">
        <v>182</v>
      </c>
      <c r="C1900" s="7"/>
      <c r="D1900" s="53">
        <f>F1878</f>
        <v>17192.72291551757</v>
      </c>
      <c r="E1900" s="56">
        <f>E1776</f>
        <v>7.0000000000000007E-2</v>
      </c>
      <c r="F1900" s="53">
        <f>D1900*E1900</f>
        <v>1203.49060408623</v>
      </c>
    </row>
    <row r="1901" spans="1:6" ht="18" customHeight="1">
      <c r="A1901" s="7">
        <v>3</v>
      </c>
      <c r="B1901" s="52" t="s">
        <v>843</v>
      </c>
      <c r="C1901" s="7"/>
      <c r="D1901" s="53">
        <f>F1900+F1878</f>
        <v>18396.2135196038</v>
      </c>
      <c r="E1901" s="56">
        <f>E1777</f>
        <v>7.0000000000000007E-2</v>
      </c>
      <c r="F1901" s="53">
        <f>D1901*E1901</f>
        <v>1287.734946372266</v>
      </c>
    </row>
    <row r="1902" spans="1:6" ht="18" customHeight="1">
      <c r="A1902" s="7">
        <v>4</v>
      </c>
      <c r="B1902" s="52" t="s">
        <v>184</v>
      </c>
      <c r="C1902" s="7"/>
      <c r="D1902" s="7"/>
      <c r="E1902" s="7"/>
      <c r="F1902" s="53">
        <f>SUM(F1903:F1908)</f>
        <v>914.69793912770729</v>
      </c>
    </row>
    <row r="1903" spans="1:6" ht="18" customHeight="1">
      <c r="A1903" s="7"/>
      <c r="B1903" s="52" t="s">
        <v>354</v>
      </c>
      <c r="C1903" s="7" t="s">
        <v>88</v>
      </c>
      <c r="D1903" s="7">
        <f t="shared" ref="D1903:D1908" si="129">D1779</f>
        <v>116.41515</v>
      </c>
      <c r="E1903" s="66">
        <f>E1888*砼配合!I9</f>
        <v>3.4695605999999994</v>
      </c>
      <c r="F1903" s="53">
        <f t="shared" ref="F1903:F1909" si="130">D1903*E1903</f>
        <v>403.90941768308994</v>
      </c>
    </row>
    <row r="1904" spans="1:6" ht="18" customHeight="1">
      <c r="A1904" s="7"/>
      <c r="B1904" s="52" t="s">
        <v>507</v>
      </c>
      <c r="C1904" s="7" t="s">
        <v>871</v>
      </c>
      <c r="D1904" s="66">
        <f t="shared" si="129"/>
        <v>4.6598683999999899</v>
      </c>
      <c r="E1904" s="66">
        <f>E1888*砼配合!I10</f>
        <v>5.3878440000000003</v>
      </c>
      <c r="F1904" s="53">
        <f t="shared" si="130"/>
        <v>25.106643999729545</v>
      </c>
    </row>
    <row r="1905" spans="1:6" ht="18" customHeight="1">
      <c r="A1905" s="7"/>
      <c r="B1905" s="52" t="s">
        <v>509</v>
      </c>
      <c r="C1905" s="7" t="s">
        <v>871</v>
      </c>
      <c r="D1905" s="66">
        <f t="shared" si="129"/>
        <v>6.2457299999999902</v>
      </c>
      <c r="E1905" s="66">
        <f>E1888*砼配合!I11</f>
        <v>8.5825655999999988</v>
      </c>
      <c r="F1905" s="53">
        <f t="shared" si="130"/>
        <v>53.604387444887905</v>
      </c>
    </row>
    <row r="1906" spans="1:6" ht="18" customHeight="1">
      <c r="A1906" s="7"/>
      <c r="B1906" s="52" t="s">
        <v>506</v>
      </c>
      <c r="C1906" s="7" t="s">
        <v>871</v>
      </c>
      <c r="D1906" s="7">
        <f t="shared" si="129"/>
        <v>0</v>
      </c>
      <c r="E1906" s="66">
        <f>E1884</f>
        <v>0.9</v>
      </c>
      <c r="F1906" s="53">
        <f t="shared" si="130"/>
        <v>0</v>
      </c>
    </row>
    <row r="1907" spans="1:6" ht="18" customHeight="1">
      <c r="A1907" s="7"/>
      <c r="B1907" s="52" t="s">
        <v>515</v>
      </c>
      <c r="C1907" s="7" t="s">
        <v>844</v>
      </c>
      <c r="D1907" s="7">
        <f t="shared" si="129"/>
        <v>4.7450000000000001</v>
      </c>
      <c r="E1907" s="66">
        <f>台时!AK64*砼单价!E1891</f>
        <v>0</v>
      </c>
      <c r="F1907" s="53">
        <f t="shared" si="130"/>
        <v>0</v>
      </c>
    </row>
    <row r="1908" spans="1:6" ht="18" customHeight="1">
      <c r="A1908" s="7"/>
      <c r="B1908" s="52" t="s">
        <v>516</v>
      </c>
      <c r="C1908" s="7" t="s">
        <v>844</v>
      </c>
      <c r="D1908" s="7">
        <f t="shared" si="129"/>
        <v>3.51</v>
      </c>
      <c r="E1908" s="66">
        <f>E1892*台时!BA22</f>
        <v>123.09899999999999</v>
      </c>
      <c r="F1908" s="53">
        <f t="shared" si="130"/>
        <v>432.07748999999995</v>
      </c>
    </row>
    <row r="1909" spans="1:6" ht="18" customHeight="1">
      <c r="A1909" s="7">
        <v>5</v>
      </c>
      <c r="B1909" s="52" t="s">
        <v>845</v>
      </c>
      <c r="C1909" s="7"/>
      <c r="D1909" s="53">
        <f>F1878+F1900+F1901+F1902</f>
        <v>20598.646405103776</v>
      </c>
      <c r="E1909" s="56">
        <f>E1785</f>
        <v>0.09</v>
      </c>
      <c r="F1909" s="53">
        <f t="shared" si="130"/>
        <v>1853.8781764593398</v>
      </c>
    </row>
    <row r="1910" spans="1:6" ht="18" customHeight="1">
      <c r="A1910" s="7">
        <v>6</v>
      </c>
      <c r="B1910" s="52" t="s">
        <v>7</v>
      </c>
      <c r="C1910" s="52"/>
      <c r="D1910" s="7"/>
      <c r="E1910" s="7"/>
      <c r="F1910" s="53">
        <f>D1909+F1909</f>
        <v>22452.524581563117</v>
      </c>
    </row>
    <row r="1911" spans="1:6" ht="18" customHeight="1">
      <c r="A1911" s="7"/>
      <c r="B1911" s="52" t="s">
        <v>846</v>
      </c>
      <c r="C1911" s="52"/>
      <c r="D1911" s="53">
        <f>F1910</f>
        <v>22452.524581563117</v>
      </c>
      <c r="E1911" s="56">
        <f>E1787</f>
        <v>0.03</v>
      </c>
      <c r="F1911" s="53">
        <f>E1911*D1911</f>
        <v>673.57573744689353</v>
      </c>
    </row>
    <row r="1912" spans="1:6" ht="18" customHeight="1">
      <c r="A1912" s="7"/>
      <c r="B1912" s="52" t="s">
        <v>44</v>
      </c>
      <c r="C1912" s="52"/>
      <c r="D1912" s="7"/>
      <c r="E1912" s="7"/>
      <c r="F1912" s="53">
        <f>SUM(F1910:F1911)</f>
        <v>23126.100319010009</v>
      </c>
    </row>
    <row r="1913" spans="1:6" ht="22.5" customHeight="1">
      <c r="A1913" s="461" t="s">
        <v>813</v>
      </c>
      <c r="B1913" s="461"/>
      <c r="C1913" s="461"/>
      <c r="D1913" s="461"/>
      <c r="E1913" s="461"/>
      <c r="F1913" s="461"/>
    </row>
    <row r="1914" spans="1:6" ht="18" customHeight="1">
      <c r="A1914" s="462" t="s">
        <v>974</v>
      </c>
      <c r="B1914" s="462"/>
      <c r="C1914" s="462"/>
      <c r="D1914" s="462"/>
      <c r="E1914" s="462"/>
      <c r="F1914" s="462"/>
    </row>
    <row r="1915" spans="1:6" ht="18" customHeight="1">
      <c r="A1915" s="46" t="s">
        <v>815</v>
      </c>
      <c r="B1915" s="49">
        <v>4190</v>
      </c>
      <c r="D1915" s="46"/>
      <c r="E1915" s="47" t="s">
        <v>169</v>
      </c>
      <c r="F1915" s="49" t="s">
        <v>869</v>
      </c>
    </row>
    <row r="1916" spans="1:6" ht="18" customHeight="1">
      <c r="A1916" s="7" t="s">
        <v>817</v>
      </c>
      <c r="B1916" s="458"/>
      <c r="C1916" s="459"/>
      <c r="D1916" s="459"/>
      <c r="E1916" s="459"/>
      <c r="F1916" s="460"/>
    </row>
    <row r="1917" spans="1:6" ht="18" customHeight="1">
      <c r="A1917" s="7" t="s">
        <v>1</v>
      </c>
      <c r="B1917" s="52" t="s">
        <v>344</v>
      </c>
      <c r="C1917" s="7" t="s">
        <v>818</v>
      </c>
      <c r="D1917" s="7" t="s">
        <v>819</v>
      </c>
      <c r="E1917" s="7" t="s">
        <v>820</v>
      </c>
      <c r="F1917" s="7" t="s">
        <v>821</v>
      </c>
    </row>
    <row r="1918" spans="1:6" ht="18" customHeight="1">
      <c r="A1918" s="7">
        <v>1</v>
      </c>
      <c r="B1918" s="52" t="s">
        <v>822</v>
      </c>
      <c r="C1918" s="7"/>
      <c r="D1918" s="7"/>
      <c r="E1918" s="7"/>
      <c r="F1918" s="53">
        <f>F1919+F1939+F1940</f>
        <v>11781.299145477353</v>
      </c>
    </row>
    <row r="1919" spans="1:6" ht="18" customHeight="1">
      <c r="A1919" s="7">
        <v>1.1000000000000001</v>
      </c>
      <c r="B1919" s="52" t="s">
        <v>823</v>
      </c>
      <c r="C1919" s="7"/>
      <c r="D1919" s="7"/>
      <c r="E1919" s="7"/>
      <c r="F1919" s="53">
        <f>F1920+F1923+F1931+F1937+F1938</f>
        <v>11241.697657898238</v>
      </c>
    </row>
    <row r="1920" spans="1:6" ht="18" customHeight="1">
      <c r="A1920" s="7" t="s">
        <v>47</v>
      </c>
      <c r="B1920" s="52" t="s">
        <v>176</v>
      </c>
      <c r="C1920" s="7"/>
      <c r="D1920" s="7"/>
      <c r="E1920" s="7"/>
      <c r="F1920" s="53">
        <f>F1921+F1922</f>
        <v>4654.26</v>
      </c>
    </row>
    <row r="1921" spans="1:6" ht="18" customHeight="1">
      <c r="A1921" s="7"/>
      <c r="B1921" s="52" t="s">
        <v>824</v>
      </c>
      <c r="C1921" s="7" t="s">
        <v>825</v>
      </c>
      <c r="D1921" s="7">
        <v>8.1</v>
      </c>
      <c r="E1921" s="7">
        <v>574.6</v>
      </c>
      <c r="F1921" s="53">
        <f>D1921*E1921</f>
        <v>4654.26</v>
      </c>
    </row>
    <row r="1922" spans="1:6" ht="18" customHeight="1">
      <c r="A1922" s="7"/>
      <c r="B1922" s="52" t="s">
        <v>826</v>
      </c>
      <c r="C1922" s="7" t="s">
        <v>825</v>
      </c>
      <c r="D1922" s="7">
        <v>5.77</v>
      </c>
      <c r="E1922" s="7"/>
      <c r="F1922" s="53">
        <f>D1922*E1922</f>
        <v>0</v>
      </c>
    </row>
    <row r="1923" spans="1:6" ht="18" customHeight="1">
      <c r="A1923" s="7" t="s">
        <v>57</v>
      </c>
      <c r="B1923" s="52" t="s">
        <v>177</v>
      </c>
      <c r="C1923" s="7"/>
      <c r="D1923" s="7"/>
      <c r="E1923" s="7"/>
      <c r="F1923" s="53">
        <f>SUM(F1924:F1930)</f>
        <v>4116.6049330574997</v>
      </c>
    </row>
    <row r="1924" spans="1:6" ht="18" customHeight="1">
      <c r="A1924" s="7"/>
      <c r="B1924" s="52" t="s">
        <v>870</v>
      </c>
      <c r="C1924" s="7" t="s">
        <v>871</v>
      </c>
      <c r="D1924" s="7">
        <f>D1884</f>
        <v>1874.0778</v>
      </c>
      <c r="E1924" s="7">
        <v>0.81</v>
      </c>
      <c r="F1924" s="53">
        <f t="shared" ref="F1924:F1929" si="131">D1924*E1924</f>
        <v>1518.0030180000001</v>
      </c>
    </row>
    <row r="1925" spans="1:6" ht="18" customHeight="1">
      <c r="A1925" s="7"/>
      <c r="B1925" s="52" t="s">
        <v>971</v>
      </c>
      <c r="C1925" s="7" t="s">
        <v>844</v>
      </c>
      <c r="D1925" s="7">
        <v>8</v>
      </c>
      <c r="E1925" s="7">
        <v>0</v>
      </c>
      <c r="F1925" s="53">
        <f t="shared" si="131"/>
        <v>0</v>
      </c>
    </row>
    <row r="1926" spans="1:6" ht="18" customHeight="1">
      <c r="A1926" s="7"/>
      <c r="B1926" s="52" t="s">
        <v>972</v>
      </c>
      <c r="C1926" s="7" t="s">
        <v>844</v>
      </c>
      <c r="D1926" s="7">
        <v>8</v>
      </c>
      <c r="E1926" s="7">
        <v>0</v>
      </c>
      <c r="F1926" s="53">
        <f t="shared" si="131"/>
        <v>0</v>
      </c>
    </row>
    <row r="1927" spans="1:6" ht="18" customHeight="1">
      <c r="A1927" s="7"/>
      <c r="B1927" s="52" t="s">
        <v>876</v>
      </c>
      <c r="C1927" s="7" t="s">
        <v>844</v>
      </c>
      <c r="D1927" s="7">
        <v>7.5</v>
      </c>
      <c r="E1927" s="7">
        <v>0</v>
      </c>
      <c r="F1927" s="53">
        <f t="shared" si="131"/>
        <v>0</v>
      </c>
    </row>
    <row r="1928" spans="1:6" ht="18" customHeight="1">
      <c r="A1928" s="7"/>
      <c r="B1928" s="52" t="s">
        <v>877</v>
      </c>
      <c r="C1928" s="7" t="s">
        <v>871</v>
      </c>
      <c r="D1928" s="66">
        <f>砼配合!J14</f>
        <v>171.692409</v>
      </c>
      <c r="E1928" s="7">
        <v>13.5</v>
      </c>
      <c r="F1928" s="53">
        <f t="shared" si="131"/>
        <v>2317.8475214999999</v>
      </c>
    </row>
    <row r="1929" spans="1:6" ht="18" customHeight="1">
      <c r="A1929" s="7"/>
      <c r="B1929" s="52" t="s">
        <v>975</v>
      </c>
      <c r="C1929" s="7" t="s">
        <v>871</v>
      </c>
      <c r="D1929" s="66">
        <f>砼配合!J32</f>
        <v>144.59654</v>
      </c>
      <c r="E1929" s="7">
        <v>1.8</v>
      </c>
      <c r="F1929" s="53">
        <f t="shared" si="131"/>
        <v>260.27377200000001</v>
      </c>
    </row>
    <row r="1930" spans="1:6" ht="18" customHeight="1">
      <c r="A1930" s="7"/>
      <c r="B1930" s="52" t="s">
        <v>833</v>
      </c>
      <c r="C1930" s="7" t="s">
        <v>834</v>
      </c>
      <c r="D1930" s="66">
        <f>SUM(F1924:F1929)</f>
        <v>4096.1243114999997</v>
      </c>
      <c r="E1930" s="7">
        <v>0.5</v>
      </c>
      <c r="F1930" s="53">
        <f>D1930*E1930/100</f>
        <v>20.480621557499997</v>
      </c>
    </row>
    <row r="1931" spans="1:6" ht="18" customHeight="1">
      <c r="A1931" s="7" t="s">
        <v>835</v>
      </c>
      <c r="B1931" s="52" t="s">
        <v>836</v>
      </c>
      <c r="C1931" s="7"/>
      <c r="D1931" s="7"/>
      <c r="E1931" s="7"/>
      <c r="F1931" s="53">
        <f>SUM(F1932:F1936)</f>
        <v>2402.9693875519019</v>
      </c>
    </row>
    <row r="1932" spans="1:6" ht="18" customHeight="1">
      <c r="A1932" s="7"/>
      <c r="B1932" s="52" t="s">
        <v>881</v>
      </c>
      <c r="C1932" s="7" t="s">
        <v>863</v>
      </c>
      <c r="D1932" s="66">
        <f>施工机械台时汇总!$C$40</f>
        <v>15.582226792009401</v>
      </c>
      <c r="E1932" s="7"/>
      <c r="F1932" s="53">
        <f>D1932*E1932</f>
        <v>0</v>
      </c>
    </row>
    <row r="1933" spans="1:6" ht="18" customHeight="1">
      <c r="A1933" s="7"/>
      <c r="B1933" s="52" t="s">
        <v>976</v>
      </c>
      <c r="C1933" s="7" t="s">
        <v>863</v>
      </c>
      <c r="D1933" s="66">
        <f>施工机械台时汇总!$C$57</f>
        <v>62.128971797884901</v>
      </c>
      <c r="E1933" s="7">
        <v>37</v>
      </c>
      <c r="F1933" s="53">
        <f>D1933*E1933</f>
        <v>2298.7719565217412</v>
      </c>
    </row>
    <row r="1934" spans="1:6" ht="18" customHeight="1">
      <c r="A1934" s="7"/>
      <c r="B1934" s="52" t="s">
        <v>882</v>
      </c>
      <c r="C1934" s="7" t="s">
        <v>863</v>
      </c>
      <c r="D1934" s="66">
        <f>施工机械台时汇总!$C$21</f>
        <v>28.129680376028197</v>
      </c>
      <c r="E1934" s="7">
        <v>2.5</v>
      </c>
      <c r="F1934" s="53">
        <f>D1934*E1934</f>
        <v>70.324200940070497</v>
      </c>
    </row>
    <row r="1935" spans="1:6" ht="18" customHeight="1">
      <c r="A1935" s="7"/>
      <c r="B1935" s="52" t="s">
        <v>407</v>
      </c>
      <c r="C1935" s="7" t="s">
        <v>863</v>
      </c>
      <c r="D1935" s="7">
        <f>施工机械台时汇总!$C$19</f>
        <v>0.80266353309831595</v>
      </c>
      <c r="E1935" s="7">
        <v>12.56</v>
      </c>
      <c r="F1935" s="53">
        <f>D1935*E1935</f>
        <v>10.081453975714849</v>
      </c>
    </row>
    <row r="1936" spans="1:6" ht="18" customHeight="1">
      <c r="A1936" s="7"/>
      <c r="B1936" s="52" t="s">
        <v>840</v>
      </c>
      <c r="C1936" s="7" t="s">
        <v>834</v>
      </c>
      <c r="D1936" s="66">
        <f>SUM(F1932:F1935)</f>
        <v>2379.1776114375266</v>
      </c>
      <c r="E1936" s="7">
        <v>1</v>
      </c>
      <c r="F1936" s="53">
        <f>D1936*E1936/100</f>
        <v>23.791776114375267</v>
      </c>
    </row>
    <row r="1937" spans="1:6" ht="18" customHeight="1">
      <c r="A1937" s="7" t="s">
        <v>884</v>
      </c>
      <c r="B1937" s="52" t="s">
        <v>885</v>
      </c>
      <c r="C1937" s="7" t="s">
        <v>871</v>
      </c>
      <c r="D1937" s="66">
        <f>砼配合!J52/100</f>
        <v>5.0269138732471603</v>
      </c>
      <c r="E1937" s="7">
        <v>13.5</v>
      </c>
      <c r="F1937" s="53">
        <f>D1937*E1937</f>
        <v>67.863337288836661</v>
      </c>
    </row>
    <row r="1938" spans="1:6" ht="18" customHeight="1">
      <c r="A1938" s="7"/>
      <c r="B1938" s="52"/>
      <c r="C1938" s="7"/>
      <c r="D1938" s="7"/>
      <c r="E1938" s="7"/>
      <c r="F1938" s="53"/>
    </row>
    <row r="1939" spans="1:6" ht="18" customHeight="1">
      <c r="A1939" s="7">
        <v>1.2</v>
      </c>
      <c r="B1939" s="52" t="s">
        <v>841</v>
      </c>
      <c r="C1939" s="7"/>
      <c r="D1939" s="53">
        <f>F1919</f>
        <v>11241.697657898238</v>
      </c>
      <c r="E1939" s="56">
        <f>E1898</f>
        <v>4.8000000000000001E-2</v>
      </c>
      <c r="F1939" s="53">
        <f>D1939*E1939</f>
        <v>539.60148757911543</v>
      </c>
    </row>
    <row r="1940" spans="1:6" ht="18" customHeight="1">
      <c r="A1940" s="7">
        <v>1.3</v>
      </c>
      <c r="B1940" s="52" t="s">
        <v>842</v>
      </c>
      <c r="C1940" s="7"/>
      <c r="D1940" s="53">
        <f>F1919</f>
        <v>11241.697657898238</v>
      </c>
      <c r="E1940" s="56">
        <f>E1899</f>
        <v>0</v>
      </c>
      <c r="F1940" s="53">
        <f>D1940*E1940</f>
        <v>0</v>
      </c>
    </row>
    <row r="1941" spans="1:6" ht="18" customHeight="1">
      <c r="A1941" s="7">
        <v>2</v>
      </c>
      <c r="B1941" s="52" t="s">
        <v>182</v>
      </c>
      <c r="C1941" s="7"/>
      <c r="D1941" s="53">
        <f>F1918</f>
        <v>11781.299145477353</v>
      </c>
      <c r="E1941" s="56">
        <f>E1900</f>
        <v>7.0000000000000007E-2</v>
      </c>
      <c r="F1941" s="53">
        <f>D1941*E1941</f>
        <v>824.6909401834148</v>
      </c>
    </row>
    <row r="1942" spans="1:6" ht="18" customHeight="1">
      <c r="A1942" s="7">
        <v>3</v>
      </c>
      <c r="B1942" s="52" t="s">
        <v>843</v>
      </c>
      <c r="C1942" s="7"/>
      <c r="D1942" s="53">
        <f>F1941+F1918</f>
        <v>12605.990085660767</v>
      </c>
      <c r="E1942" s="56">
        <f>E1901</f>
        <v>7.0000000000000007E-2</v>
      </c>
      <c r="F1942" s="53">
        <f>D1942*E1942</f>
        <v>882.4193059962538</v>
      </c>
    </row>
    <row r="1943" spans="1:6" ht="18" customHeight="1">
      <c r="A1943" s="7">
        <v>4</v>
      </c>
      <c r="B1943" s="52" t="s">
        <v>184</v>
      </c>
      <c r="C1943" s="7"/>
      <c r="D1943" s="7"/>
      <c r="E1943" s="7"/>
      <c r="F1943" s="53">
        <f>SUM(F1944:F1949)</f>
        <v>1666.5576684639288</v>
      </c>
    </row>
    <row r="1944" spans="1:6" ht="18" customHeight="1">
      <c r="A1944" s="7"/>
      <c r="B1944" s="52" t="s">
        <v>354</v>
      </c>
      <c r="C1944" s="7" t="s">
        <v>88</v>
      </c>
      <c r="D1944" s="7">
        <f t="shared" ref="D1944:D1949" si="132">D1903</f>
        <v>116.41515</v>
      </c>
      <c r="E1944" s="77">
        <f>E1928*砼配合!I15+砼配合!I33*砼单价!E1929</f>
        <v>4.6192994999999994</v>
      </c>
      <c r="F1944" s="53">
        <f t="shared" ref="F1944:F1950" si="133">D1944*E1944</f>
        <v>537.7564441874249</v>
      </c>
    </row>
    <row r="1945" spans="1:6" ht="18" customHeight="1">
      <c r="A1945" s="7"/>
      <c r="B1945" s="52" t="s">
        <v>507</v>
      </c>
      <c r="C1945" s="7" t="s">
        <v>871</v>
      </c>
      <c r="D1945" s="66">
        <f t="shared" si="132"/>
        <v>4.6598683999999899</v>
      </c>
      <c r="E1945" s="77">
        <f>E1928*砼配合!I16+砼配合!I34*砼单价!E1929</f>
        <v>8.4932099999999995</v>
      </c>
      <c r="F1945" s="53">
        <f t="shared" si="133"/>
        <v>39.577240893563911</v>
      </c>
    </row>
    <row r="1946" spans="1:6" ht="18" customHeight="1">
      <c r="A1946" s="7"/>
      <c r="B1946" s="52" t="s">
        <v>509</v>
      </c>
      <c r="C1946" s="7" t="s">
        <v>871</v>
      </c>
      <c r="D1946" s="66">
        <f t="shared" si="132"/>
        <v>6.2457299999999902</v>
      </c>
      <c r="E1946" s="77">
        <f>E1928*砼配合!I17</f>
        <v>11.359278</v>
      </c>
      <c r="F1946" s="53">
        <f t="shared" si="133"/>
        <v>70.946983382939891</v>
      </c>
    </row>
    <row r="1947" spans="1:6" ht="18" customHeight="1">
      <c r="A1947" s="7"/>
      <c r="B1947" s="52" t="s">
        <v>506</v>
      </c>
      <c r="C1947" s="7" t="s">
        <v>871</v>
      </c>
      <c r="D1947" s="7">
        <f t="shared" si="132"/>
        <v>0</v>
      </c>
      <c r="E1947" s="77">
        <f>E1924</f>
        <v>0.81</v>
      </c>
      <c r="F1947" s="53">
        <f t="shared" si="133"/>
        <v>0</v>
      </c>
    </row>
    <row r="1948" spans="1:6" ht="18" customHeight="1">
      <c r="A1948" s="7"/>
      <c r="B1948" s="52" t="s">
        <v>515</v>
      </c>
      <c r="C1948" s="7" t="s">
        <v>844</v>
      </c>
      <c r="D1948" s="7">
        <f t="shared" si="132"/>
        <v>4.7450000000000001</v>
      </c>
      <c r="E1948" s="77">
        <f>E1933*台时!AZ19</f>
        <v>214.6</v>
      </c>
      <c r="F1948" s="53">
        <f t="shared" si="133"/>
        <v>1018.277</v>
      </c>
    </row>
    <row r="1949" spans="1:6" ht="18" customHeight="1">
      <c r="A1949" s="7"/>
      <c r="B1949" s="52" t="s">
        <v>516</v>
      </c>
      <c r="C1949" s="7" t="s">
        <v>844</v>
      </c>
      <c r="D1949" s="7">
        <f t="shared" si="132"/>
        <v>3.51</v>
      </c>
      <c r="E1949" s="7">
        <v>0</v>
      </c>
      <c r="F1949" s="53">
        <f t="shared" si="133"/>
        <v>0</v>
      </c>
    </row>
    <row r="1950" spans="1:6" ht="18" customHeight="1">
      <c r="A1950" s="7">
        <v>5</v>
      </c>
      <c r="B1950" s="52" t="s">
        <v>845</v>
      </c>
      <c r="C1950" s="7"/>
      <c r="D1950" s="53">
        <f>F1918+F1941+F1942+F1943</f>
        <v>15154.967060120951</v>
      </c>
      <c r="E1950" s="56">
        <f>E1909</f>
        <v>0.09</v>
      </c>
      <c r="F1950" s="53">
        <f t="shared" si="133"/>
        <v>1363.9470354108855</v>
      </c>
    </row>
    <row r="1951" spans="1:6" ht="18" customHeight="1">
      <c r="A1951" s="7">
        <v>6</v>
      </c>
      <c r="B1951" s="52" t="s">
        <v>7</v>
      </c>
      <c r="C1951" s="52"/>
      <c r="D1951" s="7"/>
      <c r="E1951" s="7"/>
      <c r="F1951" s="53">
        <f>D1950+F1950</f>
        <v>16518.914095531836</v>
      </c>
    </row>
    <row r="1952" spans="1:6" ht="18" customHeight="1">
      <c r="A1952" s="7"/>
      <c r="B1952" s="52" t="s">
        <v>846</v>
      </c>
      <c r="C1952" s="52"/>
      <c r="D1952" s="53">
        <f>F1951</f>
        <v>16518.914095531836</v>
      </c>
      <c r="E1952" s="56">
        <f>E1911</f>
        <v>0.03</v>
      </c>
      <c r="F1952" s="53">
        <f>E1952*D1952</f>
        <v>495.56742286595505</v>
      </c>
    </row>
    <row r="1953" spans="1:33" ht="18" customHeight="1">
      <c r="A1953" s="7"/>
      <c r="B1953" s="52" t="s">
        <v>44</v>
      </c>
      <c r="C1953" s="52"/>
      <c r="D1953" s="7"/>
      <c r="E1953" s="7"/>
      <c r="F1953" s="53">
        <f>SUM(F1951:F1952)</f>
        <v>17014.481518397792</v>
      </c>
    </row>
    <row r="1954" spans="1:33" ht="22.5" customHeight="1">
      <c r="A1954" s="461" t="s">
        <v>813</v>
      </c>
      <c r="B1954" s="461"/>
      <c r="C1954" s="461"/>
      <c r="D1954" s="461"/>
      <c r="E1954" s="461"/>
      <c r="F1954" s="461"/>
      <c r="H1954" s="461" t="s">
        <v>813</v>
      </c>
      <c r="I1954" s="461"/>
      <c r="J1954" s="461"/>
      <c r="K1954" s="461"/>
      <c r="L1954" s="461"/>
      <c r="M1954" s="461"/>
      <c r="O1954" s="461" t="s">
        <v>813</v>
      </c>
      <c r="P1954" s="461"/>
      <c r="Q1954" s="461"/>
      <c r="R1954" s="461"/>
      <c r="S1954" s="461"/>
      <c r="T1954" s="461"/>
      <c r="V1954" s="461" t="s">
        <v>813</v>
      </c>
      <c r="W1954" s="461"/>
      <c r="X1954" s="461"/>
      <c r="Y1954" s="461"/>
      <c r="Z1954" s="461"/>
      <c r="AA1954" s="461"/>
      <c r="AB1954" t="s">
        <v>977</v>
      </c>
    </row>
    <row r="1955" spans="1:33" ht="18" customHeight="1">
      <c r="A1955" s="481" t="s">
        <v>978</v>
      </c>
      <c r="B1955" s="481"/>
      <c r="C1955" s="481"/>
      <c r="D1955" s="481"/>
      <c r="E1955" s="481"/>
      <c r="F1955" s="481"/>
      <c r="H1955" s="481" t="s">
        <v>979</v>
      </c>
      <c r="I1955" s="481"/>
      <c r="J1955" s="481"/>
      <c r="K1955" s="481"/>
      <c r="L1955" s="481"/>
      <c r="M1955" s="481"/>
      <c r="O1955" s="481" t="s">
        <v>980</v>
      </c>
      <c r="P1955" s="481"/>
      <c r="Q1955" s="481"/>
      <c r="R1955" s="481"/>
      <c r="S1955" s="481"/>
      <c r="T1955" s="481"/>
      <c r="V1955" s="481" t="s">
        <v>981</v>
      </c>
      <c r="W1955" s="481"/>
      <c r="X1955" s="481"/>
      <c r="Y1955" s="481"/>
      <c r="Z1955" s="481"/>
      <c r="AA1955" s="481"/>
      <c r="AB1955" t="s">
        <v>981</v>
      </c>
    </row>
    <row r="1956" spans="1:33" ht="18" customHeight="1">
      <c r="A1956" s="46" t="s">
        <v>815</v>
      </c>
      <c r="B1956" s="49">
        <v>3053</v>
      </c>
      <c r="D1956" s="46"/>
      <c r="E1956" s="47" t="s">
        <v>169</v>
      </c>
      <c r="F1956" s="49" t="s">
        <v>869</v>
      </c>
      <c r="H1956" s="46" t="s">
        <v>815</v>
      </c>
      <c r="I1956" s="49">
        <v>3052</v>
      </c>
      <c r="K1956" s="46"/>
      <c r="L1956" s="47" t="s">
        <v>169</v>
      </c>
      <c r="M1956" s="49" t="s">
        <v>869</v>
      </c>
      <c r="O1956" s="46" t="s">
        <v>815</v>
      </c>
      <c r="P1956" s="49" t="s">
        <v>982</v>
      </c>
      <c r="R1956" s="46"/>
      <c r="S1956" s="47" t="s">
        <v>169</v>
      </c>
      <c r="T1956" s="49" t="s">
        <v>869</v>
      </c>
      <c r="V1956" s="46" t="s">
        <v>815</v>
      </c>
      <c r="W1956" s="49" t="s">
        <v>983</v>
      </c>
      <c r="Y1956" s="46"/>
      <c r="Z1956" s="47" t="s">
        <v>169</v>
      </c>
      <c r="AA1956" s="49" t="s">
        <v>869</v>
      </c>
      <c r="AB1956" t="s">
        <v>902</v>
      </c>
      <c r="AC1956" t="s">
        <v>983</v>
      </c>
      <c r="AF1956" t="s">
        <v>169</v>
      </c>
      <c r="AG1956" t="s">
        <v>984</v>
      </c>
    </row>
    <row r="1957" spans="1:33" ht="18" customHeight="1">
      <c r="A1957" s="7" t="s">
        <v>817</v>
      </c>
      <c r="B1957" s="458"/>
      <c r="C1957" s="459"/>
      <c r="D1957" s="459"/>
      <c r="E1957" s="459"/>
      <c r="F1957" s="460"/>
      <c r="H1957" s="7" t="s">
        <v>817</v>
      </c>
      <c r="I1957" s="458"/>
      <c r="J1957" s="459"/>
      <c r="K1957" s="459"/>
      <c r="L1957" s="459"/>
      <c r="M1957" s="460"/>
      <c r="O1957" s="7" t="s">
        <v>817</v>
      </c>
      <c r="P1957" s="458"/>
      <c r="Q1957" s="459"/>
      <c r="R1957" s="459"/>
      <c r="S1957" s="459"/>
      <c r="T1957" s="460"/>
      <c r="V1957" s="7" t="s">
        <v>817</v>
      </c>
      <c r="W1957" s="458"/>
      <c r="X1957" s="459"/>
      <c r="Y1957" s="459"/>
      <c r="Z1957" s="459"/>
      <c r="AA1957" s="460"/>
      <c r="AB1957" t="s">
        <v>817</v>
      </c>
    </row>
    <row r="1958" spans="1:33" ht="18" customHeight="1">
      <c r="A1958" s="7" t="s">
        <v>1</v>
      </c>
      <c r="B1958" s="52" t="s">
        <v>344</v>
      </c>
      <c r="C1958" s="7" t="s">
        <v>818</v>
      </c>
      <c r="D1958" s="7" t="s">
        <v>819</v>
      </c>
      <c r="E1958" s="7" t="s">
        <v>820</v>
      </c>
      <c r="F1958" s="7" t="s">
        <v>821</v>
      </c>
      <c r="H1958" s="7" t="s">
        <v>1</v>
      </c>
      <c r="I1958" s="52" t="s">
        <v>344</v>
      </c>
      <c r="J1958" s="7" t="s">
        <v>818</v>
      </c>
      <c r="K1958" s="7" t="s">
        <v>819</v>
      </c>
      <c r="L1958" s="7" t="s">
        <v>820</v>
      </c>
      <c r="M1958" s="7" t="s">
        <v>821</v>
      </c>
      <c r="O1958" s="7" t="s">
        <v>1</v>
      </c>
      <c r="P1958" s="52" t="s">
        <v>344</v>
      </c>
      <c r="Q1958" s="7" t="s">
        <v>818</v>
      </c>
      <c r="R1958" s="7" t="s">
        <v>819</v>
      </c>
      <c r="S1958" s="7" t="s">
        <v>820</v>
      </c>
      <c r="T1958" s="7" t="s">
        <v>821</v>
      </c>
      <c r="V1958" s="7" t="s">
        <v>1</v>
      </c>
      <c r="W1958" s="52" t="s">
        <v>344</v>
      </c>
      <c r="X1958" s="7" t="s">
        <v>818</v>
      </c>
      <c r="Y1958" s="7" t="s">
        <v>819</v>
      </c>
      <c r="Z1958" s="7" t="s">
        <v>820</v>
      </c>
      <c r="AA1958" s="7" t="s">
        <v>821</v>
      </c>
      <c r="AB1958" t="s">
        <v>1</v>
      </c>
      <c r="AC1958" t="s">
        <v>344</v>
      </c>
      <c r="AD1958" t="s">
        <v>818</v>
      </c>
      <c r="AE1958" t="s">
        <v>819</v>
      </c>
      <c r="AF1958" t="s">
        <v>820</v>
      </c>
      <c r="AG1958" t="s">
        <v>821</v>
      </c>
    </row>
    <row r="1959" spans="1:33" ht="18" customHeight="1">
      <c r="A1959" s="7">
        <v>1</v>
      </c>
      <c r="B1959" s="52" t="s">
        <v>822</v>
      </c>
      <c r="C1959" s="7"/>
      <c r="D1959" s="7"/>
      <c r="E1959" s="7"/>
      <c r="F1959" s="53">
        <f>F1960+F1980+F1981</f>
        <v>59831.207693418117</v>
      </c>
      <c r="H1959" s="7">
        <v>1</v>
      </c>
      <c r="I1959" s="52" t="s">
        <v>822</v>
      </c>
      <c r="J1959" s="7"/>
      <c r="K1959" s="7"/>
      <c r="L1959" s="7"/>
      <c r="M1959" s="53">
        <f>M1960+M1980+M1981</f>
        <v>60613.266816773656</v>
      </c>
      <c r="O1959" s="7">
        <v>1</v>
      </c>
      <c r="P1959" s="52" t="s">
        <v>822</v>
      </c>
      <c r="Q1959" s="7"/>
      <c r="R1959" s="7"/>
      <c r="S1959" s="7"/>
      <c r="T1959" s="53">
        <f>T1960+T1980+T1981</f>
        <v>60417.752035934769</v>
      </c>
      <c r="V1959" s="7">
        <v>1</v>
      </c>
      <c r="W1959" s="52" t="s">
        <v>822</v>
      </c>
      <c r="X1959" s="7"/>
      <c r="Y1959" s="7"/>
      <c r="Z1959" s="7"/>
      <c r="AA1959" s="53">
        <f>AA1960+AA1980+AA1981</f>
        <v>58851.288294318227</v>
      </c>
      <c r="AB1959">
        <v>1</v>
      </c>
      <c r="AC1959" t="s">
        <v>822</v>
      </c>
      <c r="AG1959">
        <v>58851.288294318198</v>
      </c>
    </row>
    <row r="1960" spans="1:33" ht="18" customHeight="1">
      <c r="A1960" s="7">
        <v>1.1000000000000001</v>
      </c>
      <c r="B1960" s="52" t="s">
        <v>823</v>
      </c>
      <c r="C1960" s="7"/>
      <c r="D1960" s="7"/>
      <c r="E1960" s="7"/>
      <c r="F1960" s="53">
        <f>F1961+F1964+F1972+F1978+F1979</f>
        <v>57090.847035704312</v>
      </c>
      <c r="H1960" s="7">
        <v>1.1000000000000001</v>
      </c>
      <c r="I1960" s="52" t="s">
        <v>823</v>
      </c>
      <c r="J1960" s="7"/>
      <c r="K1960" s="7"/>
      <c r="L1960" s="7"/>
      <c r="M1960" s="53">
        <f>M1961+M1964+M1972+M1978+M1979</f>
        <v>57837.08665722677</v>
      </c>
      <c r="O1960" s="7">
        <v>1.1000000000000001</v>
      </c>
      <c r="P1960" s="52" t="s">
        <v>823</v>
      </c>
      <c r="Q1960" s="7"/>
      <c r="R1960" s="7"/>
      <c r="S1960" s="7"/>
      <c r="T1960" s="53">
        <f>T1961+T1964+T1972+T1978+T1979</f>
        <v>57650.526751846155</v>
      </c>
      <c r="V1960" s="7">
        <v>1.1000000000000001</v>
      </c>
      <c r="W1960" s="52" t="s">
        <v>823</v>
      </c>
      <c r="X1960" s="7"/>
      <c r="Y1960" s="7"/>
      <c r="Z1960" s="7"/>
      <c r="AA1960" s="53">
        <f>AA1961+AA1964+AA1972+AA1978+AA1979</f>
        <v>56155.809441143349</v>
      </c>
      <c r="AB1960">
        <v>1.1000000000000001</v>
      </c>
      <c r="AC1960" t="s">
        <v>823</v>
      </c>
      <c r="AG1960">
        <v>56155.809441143298</v>
      </c>
    </row>
    <row r="1961" spans="1:33" ht="18" customHeight="1">
      <c r="A1961" s="7" t="s">
        <v>47</v>
      </c>
      <c r="B1961" s="52" t="s">
        <v>176</v>
      </c>
      <c r="C1961" s="7"/>
      <c r="D1961" s="7"/>
      <c r="E1961" s="7"/>
      <c r="F1961" s="53">
        <f>F1962+F1963</f>
        <v>9046.2189999999991</v>
      </c>
      <c r="H1961" s="7" t="s">
        <v>47</v>
      </c>
      <c r="I1961" s="52" t="s">
        <v>176</v>
      </c>
      <c r="J1961" s="7"/>
      <c r="K1961" s="7"/>
      <c r="L1961" s="7"/>
      <c r="M1961" s="53">
        <f>M1962+M1963</f>
        <v>9176.43</v>
      </c>
      <c r="O1961" s="7" t="s">
        <v>47</v>
      </c>
      <c r="P1961" s="52" t="s">
        <v>176</v>
      </c>
      <c r="Q1961" s="7"/>
      <c r="R1961" s="7"/>
      <c r="S1961" s="7"/>
      <c r="T1961" s="53">
        <f>T1962+T1963</f>
        <v>9143.8772499999995</v>
      </c>
      <c r="V1961" s="7" t="s">
        <v>47</v>
      </c>
      <c r="W1961" s="52" t="s">
        <v>176</v>
      </c>
      <c r="X1961" s="7"/>
      <c r="Y1961" s="7"/>
      <c r="Z1961" s="7"/>
      <c r="AA1961" s="53">
        <f>AA1962+AA1963</f>
        <v>8877.7634285714303</v>
      </c>
      <c r="AB1961" t="s">
        <v>47</v>
      </c>
      <c r="AC1961" t="s">
        <v>176</v>
      </c>
      <c r="AG1961">
        <v>8877.7634285714303</v>
      </c>
    </row>
    <row r="1962" spans="1:33" ht="18" customHeight="1">
      <c r="A1962" s="7"/>
      <c r="B1962" s="52" t="s">
        <v>824</v>
      </c>
      <c r="C1962" s="7" t="s">
        <v>825</v>
      </c>
      <c r="D1962" s="7">
        <v>8.1</v>
      </c>
      <c r="E1962" s="7">
        <v>855.6</v>
      </c>
      <c r="F1962" s="53">
        <f>D1962*E1962</f>
        <v>6930.36</v>
      </c>
      <c r="H1962" s="7"/>
      <c r="I1962" s="52" t="s">
        <v>824</v>
      </c>
      <c r="J1962" s="7" t="s">
        <v>825</v>
      </c>
      <c r="K1962" s="7">
        <v>8.1</v>
      </c>
      <c r="L1962" s="7">
        <v>867.9</v>
      </c>
      <c r="M1962" s="53">
        <f>K1962*L1962</f>
        <v>7029.99</v>
      </c>
      <c r="O1962" s="7"/>
      <c r="P1962" s="52" t="s">
        <v>824</v>
      </c>
      <c r="Q1962" s="7" t="s">
        <v>825</v>
      </c>
      <c r="R1962" s="7">
        <v>8.1</v>
      </c>
      <c r="S1962" s="66">
        <v>864.82500000000005</v>
      </c>
      <c r="T1962" s="53">
        <f>R1962*S1962</f>
        <v>7005.0825000000004</v>
      </c>
      <c r="V1962" s="7"/>
      <c r="W1962" s="52" t="s">
        <v>824</v>
      </c>
      <c r="X1962" s="7" t="s">
        <v>825</v>
      </c>
      <c r="Y1962" s="7">
        <v>8.1</v>
      </c>
      <c r="Z1962" s="66">
        <v>839.65714285714296</v>
      </c>
      <c r="AA1962" s="53">
        <f>Y1962*Z1962</f>
        <v>6801.2228571428604</v>
      </c>
      <c r="AC1962" t="s">
        <v>824</v>
      </c>
      <c r="AD1962" t="s">
        <v>825</v>
      </c>
      <c r="AE1962">
        <v>8.1</v>
      </c>
      <c r="AF1962">
        <v>839.65714285714296</v>
      </c>
      <c r="AG1962">
        <v>6801.2228571428604</v>
      </c>
    </row>
    <row r="1963" spans="1:33" ht="18" customHeight="1">
      <c r="A1963" s="7"/>
      <c r="B1963" s="52" t="s">
        <v>826</v>
      </c>
      <c r="C1963" s="7" t="s">
        <v>825</v>
      </c>
      <c r="D1963" s="7">
        <v>5.77</v>
      </c>
      <c r="E1963" s="7">
        <v>366.7</v>
      </c>
      <c r="F1963" s="53">
        <f>D1963*E1963</f>
        <v>2115.8589999999999</v>
      </c>
      <c r="H1963" s="7"/>
      <c r="I1963" s="52" t="s">
        <v>826</v>
      </c>
      <c r="J1963" s="7" t="s">
        <v>825</v>
      </c>
      <c r="K1963" s="7">
        <v>5.77</v>
      </c>
      <c r="L1963" s="7">
        <v>372</v>
      </c>
      <c r="M1963" s="53">
        <f>K1963*L1963</f>
        <v>2146.44</v>
      </c>
      <c r="O1963" s="7"/>
      <c r="P1963" s="52" t="s">
        <v>826</v>
      </c>
      <c r="Q1963" s="7" t="s">
        <v>825</v>
      </c>
      <c r="R1963" s="7">
        <v>5.77</v>
      </c>
      <c r="S1963" s="66">
        <v>370.67500000000001</v>
      </c>
      <c r="T1963" s="53">
        <f>R1963*S1963</f>
        <v>2138.79475</v>
      </c>
      <c r="V1963" s="7"/>
      <c r="W1963" s="52" t="s">
        <v>826</v>
      </c>
      <c r="X1963" s="7" t="s">
        <v>825</v>
      </c>
      <c r="Y1963" s="7">
        <v>5.77</v>
      </c>
      <c r="Z1963" s="66">
        <v>359.88571428571402</v>
      </c>
      <c r="AA1963" s="53">
        <f>Y1963*Z1963</f>
        <v>2076.5405714285698</v>
      </c>
      <c r="AC1963" t="s">
        <v>826</v>
      </c>
      <c r="AD1963" t="s">
        <v>825</v>
      </c>
      <c r="AE1963">
        <v>5.77</v>
      </c>
      <c r="AF1963">
        <v>359.88571428571402</v>
      </c>
      <c r="AG1963">
        <v>2076.5405714285698</v>
      </c>
    </row>
    <row r="1964" spans="1:33" ht="18" customHeight="1">
      <c r="A1964" s="7" t="s">
        <v>57</v>
      </c>
      <c r="B1964" s="52" t="s">
        <v>177</v>
      </c>
      <c r="C1964" s="7"/>
      <c r="D1964" s="7"/>
      <c r="E1964" s="7"/>
      <c r="F1964" s="53">
        <f>SUM(F1965:F1971)</f>
        <v>42420.22235005007</v>
      </c>
      <c r="H1964" s="7" t="s">
        <v>57</v>
      </c>
      <c r="I1964" s="52" t="s">
        <v>177</v>
      </c>
      <c r="J1964" s="7"/>
      <c r="K1964" s="7"/>
      <c r="L1964" s="7"/>
      <c r="M1964" s="53">
        <f>SUM(M1965:M1971)</f>
        <v>42926.915423655264</v>
      </c>
      <c r="O1964" s="7" t="s">
        <v>57</v>
      </c>
      <c r="P1964" s="52" t="s">
        <v>177</v>
      </c>
      <c r="Q1964" s="7"/>
      <c r="R1964" s="7"/>
      <c r="S1964" s="7"/>
      <c r="T1964" s="53">
        <f>SUM(T1965:T1971)</f>
        <v>42800.242155253967</v>
      </c>
      <c r="V1964" s="7" t="s">
        <v>57</v>
      </c>
      <c r="W1964" s="52" t="s">
        <v>177</v>
      </c>
      <c r="X1964" s="7"/>
      <c r="Y1964" s="7"/>
      <c r="Z1964" s="66"/>
      <c r="AA1964" s="53">
        <f>SUM(AA1965:AA1971)</f>
        <v>41801.332953003701</v>
      </c>
      <c r="AB1964" t="s">
        <v>57</v>
      </c>
      <c r="AC1964" t="s">
        <v>177</v>
      </c>
      <c r="AG1964">
        <v>41801.332953003701</v>
      </c>
    </row>
    <row r="1965" spans="1:33" ht="18" customHeight="1">
      <c r="A1965" s="7"/>
      <c r="B1965" s="52" t="s">
        <v>985</v>
      </c>
      <c r="C1965" s="7" t="s">
        <v>871</v>
      </c>
      <c r="D1965" s="66">
        <f>F1634/100</f>
        <v>423.77851527123909</v>
      </c>
      <c r="E1965" s="7">
        <v>90</v>
      </c>
      <c r="F1965" s="53">
        <f t="shared" ref="F1965:F1970" si="134">D1965*E1965</f>
        <v>38140.066374411515</v>
      </c>
      <c r="H1965" s="7"/>
      <c r="I1965" s="52" t="s">
        <v>985</v>
      </c>
      <c r="J1965" s="7" t="s">
        <v>871</v>
      </c>
      <c r="K1965" s="66">
        <f>D1965</f>
        <v>423.77851527123909</v>
      </c>
      <c r="L1965" s="7">
        <v>92</v>
      </c>
      <c r="M1965" s="53">
        <f t="shared" ref="M1965:M1970" si="135">K1965*L1965</f>
        <v>38987.623404953993</v>
      </c>
      <c r="O1965" s="7"/>
      <c r="P1965" s="52" t="s">
        <v>985</v>
      </c>
      <c r="Q1965" s="7" t="s">
        <v>871</v>
      </c>
      <c r="R1965" s="66">
        <f>K1965</f>
        <v>423.77851527123909</v>
      </c>
      <c r="S1965" s="66">
        <v>91.5</v>
      </c>
      <c r="T1965" s="53">
        <f t="shared" ref="T1965:T1970" si="136">R1965*S1965</f>
        <v>38775.734147318377</v>
      </c>
      <c r="V1965" s="7"/>
      <c r="W1965" s="52" t="s">
        <v>985</v>
      </c>
      <c r="X1965" s="7" t="s">
        <v>871</v>
      </c>
      <c r="Y1965" s="66">
        <f>R1965</f>
        <v>423.77851527123909</v>
      </c>
      <c r="Z1965" s="66">
        <v>87.557142857142793</v>
      </c>
      <c r="AA1965" s="53">
        <f t="shared" ref="AA1965:AA1970" si="137">Y1965*Z1965</f>
        <v>37104.836001391748</v>
      </c>
      <c r="AC1965" t="s">
        <v>985</v>
      </c>
      <c r="AD1965" t="s">
        <v>986</v>
      </c>
      <c r="AE1965">
        <v>423.77851527123897</v>
      </c>
      <c r="AF1965">
        <v>87.557142857142793</v>
      </c>
      <c r="AG1965">
        <v>37104.836001391697</v>
      </c>
    </row>
    <row r="1966" spans="1:33" ht="18" customHeight="1">
      <c r="A1966" s="7"/>
      <c r="B1966" s="52" t="s">
        <v>971</v>
      </c>
      <c r="C1966" s="7" t="s">
        <v>844</v>
      </c>
      <c r="D1966" s="7">
        <v>8</v>
      </c>
      <c r="E1966" s="7">
        <v>0</v>
      </c>
      <c r="F1966" s="53">
        <f t="shared" si="134"/>
        <v>0</v>
      </c>
      <c r="H1966" s="7"/>
      <c r="I1966" s="52" t="s">
        <v>971</v>
      </c>
      <c r="J1966" s="7" t="s">
        <v>844</v>
      </c>
      <c r="K1966" s="7">
        <v>8</v>
      </c>
      <c r="L1966" s="7">
        <v>0</v>
      </c>
      <c r="M1966" s="53">
        <f t="shared" si="135"/>
        <v>0</v>
      </c>
      <c r="O1966" s="7"/>
      <c r="P1966" s="52" t="s">
        <v>971</v>
      </c>
      <c r="Q1966" s="7" t="s">
        <v>844</v>
      </c>
      <c r="R1966" s="7">
        <v>8</v>
      </c>
      <c r="S1966" s="66">
        <v>0</v>
      </c>
      <c r="T1966" s="53">
        <f t="shared" si="136"/>
        <v>0</v>
      </c>
      <c r="V1966" s="7"/>
      <c r="W1966" s="52" t="s">
        <v>971</v>
      </c>
      <c r="X1966" s="7" t="s">
        <v>844</v>
      </c>
      <c r="Y1966" s="7">
        <v>8</v>
      </c>
      <c r="Z1966" s="66">
        <v>0</v>
      </c>
      <c r="AA1966" s="53">
        <f t="shared" si="137"/>
        <v>0</v>
      </c>
      <c r="AC1966" t="s">
        <v>971</v>
      </c>
      <c r="AD1966" t="s">
        <v>844</v>
      </c>
      <c r="AE1966">
        <v>8</v>
      </c>
      <c r="AF1966">
        <v>0</v>
      </c>
      <c r="AG1966">
        <v>0</v>
      </c>
    </row>
    <row r="1967" spans="1:33" ht="18" customHeight="1">
      <c r="A1967" s="7"/>
      <c r="B1967" s="52" t="s">
        <v>972</v>
      </c>
      <c r="C1967" s="7" t="s">
        <v>844</v>
      </c>
      <c r="D1967" s="7">
        <v>8</v>
      </c>
      <c r="E1967" s="7">
        <v>0</v>
      </c>
      <c r="F1967" s="53">
        <f t="shared" si="134"/>
        <v>0</v>
      </c>
      <c r="H1967" s="7"/>
      <c r="I1967" s="52" t="s">
        <v>972</v>
      </c>
      <c r="J1967" s="7" t="s">
        <v>844</v>
      </c>
      <c r="K1967" s="7">
        <v>8</v>
      </c>
      <c r="L1967" s="7">
        <v>0</v>
      </c>
      <c r="M1967" s="53">
        <f t="shared" si="135"/>
        <v>0</v>
      </c>
      <c r="O1967" s="7"/>
      <c r="P1967" s="52" t="s">
        <v>972</v>
      </c>
      <c r="Q1967" s="7" t="s">
        <v>844</v>
      </c>
      <c r="R1967" s="7">
        <v>8</v>
      </c>
      <c r="S1967" s="66">
        <v>0</v>
      </c>
      <c r="T1967" s="53">
        <f t="shared" si="136"/>
        <v>0</v>
      </c>
      <c r="V1967" s="7"/>
      <c r="W1967" s="52" t="s">
        <v>972</v>
      </c>
      <c r="X1967" s="7" t="s">
        <v>844</v>
      </c>
      <c r="Y1967" s="7">
        <v>8</v>
      </c>
      <c r="Z1967" s="66">
        <v>0</v>
      </c>
      <c r="AA1967" s="53">
        <f t="shared" si="137"/>
        <v>0</v>
      </c>
      <c r="AC1967" t="s">
        <v>972</v>
      </c>
      <c r="AD1967" t="s">
        <v>844</v>
      </c>
      <c r="AE1967">
        <v>8</v>
      </c>
      <c r="AF1967">
        <v>0</v>
      </c>
      <c r="AG1967">
        <v>0</v>
      </c>
    </row>
    <row r="1968" spans="1:33" ht="18" customHeight="1">
      <c r="A1968" s="7"/>
      <c r="B1968" s="52" t="s">
        <v>876</v>
      </c>
      <c r="C1968" s="7" t="s">
        <v>844</v>
      </c>
      <c r="D1968" s="7">
        <v>7.5</v>
      </c>
      <c r="E1968" s="7">
        <v>0</v>
      </c>
      <c r="F1968" s="53">
        <f t="shared" si="134"/>
        <v>0</v>
      </c>
      <c r="H1968" s="7"/>
      <c r="I1968" s="52" t="s">
        <v>876</v>
      </c>
      <c r="J1968" s="7" t="s">
        <v>844</v>
      </c>
      <c r="K1968" s="7">
        <v>7.5</v>
      </c>
      <c r="L1968" s="7">
        <v>0</v>
      </c>
      <c r="M1968" s="53">
        <f t="shared" si="135"/>
        <v>0</v>
      </c>
      <c r="O1968" s="7"/>
      <c r="P1968" s="52" t="s">
        <v>876</v>
      </c>
      <c r="Q1968" s="7" t="s">
        <v>844</v>
      </c>
      <c r="R1968" s="7">
        <v>7.5</v>
      </c>
      <c r="S1968" s="66">
        <v>0</v>
      </c>
      <c r="T1968" s="53">
        <f t="shared" si="136"/>
        <v>0</v>
      </c>
      <c r="V1968" s="7"/>
      <c r="W1968" s="52" t="s">
        <v>876</v>
      </c>
      <c r="X1968" s="7" t="s">
        <v>844</v>
      </c>
      <c r="Y1968" s="7">
        <v>7.5</v>
      </c>
      <c r="Z1968" s="66">
        <v>0</v>
      </c>
      <c r="AA1968" s="53">
        <f t="shared" si="137"/>
        <v>0</v>
      </c>
      <c r="AC1968" t="s">
        <v>876</v>
      </c>
      <c r="AD1968" t="s">
        <v>844</v>
      </c>
      <c r="AE1968">
        <v>7.5</v>
      </c>
      <c r="AF1968">
        <v>0</v>
      </c>
      <c r="AG1968">
        <v>0</v>
      </c>
    </row>
    <row r="1969" spans="1:33" ht="18" customHeight="1">
      <c r="A1969" s="7"/>
      <c r="B1969" s="52" t="s">
        <v>987</v>
      </c>
      <c r="C1969" s="7" t="s">
        <v>871</v>
      </c>
      <c r="D1969" s="66">
        <f>砼配合!J14</f>
        <v>171.692409</v>
      </c>
      <c r="E1969" s="7">
        <v>23.7</v>
      </c>
      <c r="F1969" s="53">
        <f t="shared" si="134"/>
        <v>4069.1100932999998</v>
      </c>
      <c r="H1969" s="7"/>
      <c r="I1969" s="52" t="s">
        <v>987</v>
      </c>
      <c r="J1969" s="7" t="s">
        <v>871</v>
      </c>
      <c r="K1969" s="66">
        <f>D1969</f>
        <v>171.692409</v>
      </c>
      <c r="L1969" s="7">
        <v>21.7</v>
      </c>
      <c r="M1969" s="53">
        <f t="shared" si="135"/>
        <v>3725.7252752999998</v>
      </c>
      <c r="O1969" s="7"/>
      <c r="P1969" s="52" t="s">
        <v>987</v>
      </c>
      <c r="Q1969" s="7" t="s">
        <v>871</v>
      </c>
      <c r="R1969" s="66">
        <f>K1969</f>
        <v>171.692409</v>
      </c>
      <c r="S1969" s="66">
        <v>22.2</v>
      </c>
      <c r="T1969" s="53">
        <f t="shared" si="136"/>
        <v>3811.5714797999999</v>
      </c>
      <c r="V1969" s="7"/>
      <c r="W1969" s="52" t="s">
        <v>987</v>
      </c>
      <c r="X1969" s="7" t="s">
        <v>871</v>
      </c>
      <c r="Y1969" s="66">
        <f>R1969</f>
        <v>171.692409</v>
      </c>
      <c r="Z1969" s="66">
        <v>26.1428571428571</v>
      </c>
      <c r="AA1969" s="53">
        <f t="shared" si="137"/>
        <v>4488.5301209999925</v>
      </c>
      <c r="AC1969" t="s">
        <v>987</v>
      </c>
      <c r="AD1969" t="s">
        <v>986</v>
      </c>
      <c r="AE1969">
        <v>171.692409</v>
      </c>
      <c r="AF1969">
        <v>26.1428571428571</v>
      </c>
      <c r="AG1969">
        <v>4488.5301209999898</v>
      </c>
    </row>
    <row r="1970" spans="1:33" ht="18" customHeight="1">
      <c r="A1970" s="7"/>
      <c r="B1970" s="52" t="s">
        <v>975</v>
      </c>
      <c r="C1970" s="7" t="s">
        <v>871</v>
      </c>
      <c r="D1970" s="66">
        <f>砼配合!J32</f>
        <v>144.59654</v>
      </c>
      <c r="E1970" s="7">
        <v>0</v>
      </c>
      <c r="F1970" s="53">
        <f t="shared" si="134"/>
        <v>0</v>
      </c>
      <c r="H1970" s="7"/>
      <c r="I1970" s="52" t="s">
        <v>975</v>
      </c>
      <c r="J1970" s="7" t="s">
        <v>871</v>
      </c>
      <c r="K1970" s="66">
        <f>D1970</f>
        <v>144.59654</v>
      </c>
      <c r="L1970" s="7">
        <v>0</v>
      </c>
      <c r="M1970" s="53">
        <f t="shared" si="135"/>
        <v>0</v>
      </c>
      <c r="O1970" s="7"/>
      <c r="P1970" s="52" t="s">
        <v>975</v>
      </c>
      <c r="Q1970" s="7" t="s">
        <v>871</v>
      </c>
      <c r="R1970" s="66">
        <f>K1970</f>
        <v>144.59654</v>
      </c>
      <c r="S1970" s="66">
        <v>0</v>
      </c>
      <c r="T1970" s="53">
        <f t="shared" si="136"/>
        <v>0</v>
      </c>
      <c r="V1970" s="7"/>
      <c r="W1970" s="52" t="s">
        <v>975</v>
      </c>
      <c r="X1970" s="7" t="s">
        <v>871</v>
      </c>
      <c r="Y1970" s="66">
        <f>R1970</f>
        <v>144.59654</v>
      </c>
      <c r="Z1970" s="66">
        <v>0</v>
      </c>
      <c r="AA1970" s="53">
        <f t="shared" si="137"/>
        <v>0</v>
      </c>
      <c r="AC1970" t="s">
        <v>975</v>
      </c>
      <c r="AD1970" t="s">
        <v>986</v>
      </c>
      <c r="AE1970">
        <v>144.59654</v>
      </c>
      <c r="AF1970">
        <v>0</v>
      </c>
      <c r="AG1970">
        <v>0</v>
      </c>
    </row>
    <row r="1971" spans="1:33" ht="18" customHeight="1">
      <c r="A1971" s="7"/>
      <c r="B1971" s="52" t="s">
        <v>833</v>
      </c>
      <c r="C1971" s="7" t="s">
        <v>834</v>
      </c>
      <c r="D1971" s="66">
        <f>SUM(F1965:F1970)</f>
        <v>42209.176467711513</v>
      </c>
      <c r="E1971" s="7">
        <v>0.5</v>
      </c>
      <c r="F1971" s="53">
        <f>D1971*E1971/100</f>
        <v>211.04588233855756</v>
      </c>
      <c r="H1971" s="7"/>
      <c r="I1971" s="52" t="s">
        <v>833</v>
      </c>
      <c r="J1971" s="7" t="s">
        <v>834</v>
      </c>
      <c r="K1971" s="66">
        <f>SUM(M1965:M1970)</f>
        <v>42713.348680253992</v>
      </c>
      <c r="L1971" s="7">
        <v>0.5</v>
      </c>
      <c r="M1971" s="53">
        <f>K1971*L1971/100</f>
        <v>213.56674340126995</v>
      </c>
      <c r="O1971" s="7"/>
      <c r="P1971" s="52" t="s">
        <v>833</v>
      </c>
      <c r="Q1971" s="7" t="s">
        <v>834</v>
      </c>
      <c r="R1971" s="66">
        <f>SUM(T1965:T1970)</f>
        <v>42587.305627118374</v>
      </c>
      <c r="S1971" s="66">
        <v>0.5</v>
      </c>
      <c r="T1971" s="53">
        <f>R1971*S1971/100</f>
        <v>212.93652813559186</v>
      </c>
      <c r="V1971" s="7"/>
      <c r="W1971" s="52" t="s">
        <v>833</v>
      </c>
      <c r="X1971" s="7" t="s">
        <v>834</v>
      </c>
      <c r="Y1971" s="66">
        <f>SUM(AA1965:AA1970)</f>
        <v>41593.366122391744</v>
      </c>
      <c r="Z1971" s="66">
        <v>0.5</v>
      </c>
      <c r="AA1971" s="53">
        <f>Y1971*Z1971/100</f>
        <v>207.96683061195873</v>
      </c>
      <c r="AC1971" t="s">
        <v>833</v>
      </c>
      <c r="AD1971" t="s">
        <v>834</v>
      </c>
      <c r="AE1971">
        <v>41593.366122391701</v>
      </c>
      <c r="AF1971">
        <v>0.5</v>
      </c>
      <c r="AG1971">
        <v>207.96683061195901</v>
      </c>
    </row>
    <row r="1972" spans="1:33" ht="18" customHeight="1">
      <c r="A1972" s="7" t="s">
        <v>835</v>
      </c>
      <c r="B1972" s="52" t="s">
        <v>836</v>
      </c>
      <c r="C1972" s="7"/>
      <c r="D1972" s="7"/>
      <c r="E1972" s="7"/>
      <c r="F1972" s="53">
        <f>SUM(F1973:F1977)</f>
        <v>179.56706004700357</v>
      </c>
      <c r="H1972" s="7" t="s">
        <v>835</v>
      </c>
      <c r="I1972" s="52" t="s">
        <v>836</v>
      </c>
      <c r="J1972" s="7"/>
      <c r="K1972" s="7"/>
      <c r="L1972" s="7"/>
      <c r="M1972" s="53">
        <f>SUM(M1973:M1977)</f>
        <v>167.90619406188802</v>
      </c>
      <c r="O1972" s="7" t="s">
        <v>835</v>
      </c>
      <c r="P1972" s="52" t="s">
        <v>836</v>
      </c>
      <c r="Q1972" s="7"/>
      <c r="R1972" s="7"/>
      <c r="S1972" s="7"/>
      <c r="T1972" s="53">
        <f>SUM(T1973:T1977)</f>
        <v>170.82141055816689</v>
      </c>
      <c r="V1972" s="7" t="s">
        <v>835</v>
      </c>
      <c r="W1972" s="52" t="s">
        <v>836</v>
      </c>
      <c r="X1972" s="7"/>
      <c r="Y1972" s="7"/>
      <c r="Z1972" s="7"/>
      <c r="AA1972" s="53">
        <f>SUM(AA1973:AA1977)</f>
        <v>179.66291094174932</v>
      </c>
      <c r="AB1972" t="s">
        <v>835</v>
      </c>
      <c r="AC1972" t="s">
        <v>836</v>
      </c>
      <c r="AG1972">
        <v>179.662910941749</v>
      </c>
    </row>
    <row r="1973" spans="1:33" ht="18" customHeight="1">
      <c r="A1973" s="7"/>
      <c r="B1973" s="52" t="s">
        <v>881</v>
      </c>
      <c r="C1973" s="7" t="s">
        <v>863</v>
      </c>
      <c r="D1973" s="66">
        <f>施工机械台时汇总!$C$40</f>
        <v>15.582226792009401</v>
      </c>
      <c r="E1973" s="7">
        <v>0</v>
      </c>
      <c r="F1973" s="53">
        <f>D1973*E1973</f>
        <v>0</v>
      </c>
      <c r="H1973" s="7"/>
      <c r="I1973" s="52" t="s">
        <v>881</v>
      </c>
      <c r="J1973" s="7" t="s">
        <v>863</v>
      </c>
      <c r="K1973" s="66">
        <f>施工机械台时汇总!$C$40</f>
        <v>15.582226792009401</v>
      </c>
      <c r="L1973" s="7">
        <v>0</v>
      </c>
      <c r="M1973" s="53">
        <f>K1973*L1973</f>
        <v>0</v>
      </c>
      <c r="O1973" s="7"/>
      <c r="P1973" s="52" t="s">
        <v>881</v>
      </c>
      <c r="Q1973" s="7" t="s">
        <v>863</v>
      </c>
      <c r="R1973" s="66">
        <f>施工机械台时汇总!$C$40</f>
        <v>15.582226792009401</v>
      </c>
      <c r="S1973" s="66">
        <v>0</v>
      </c>
      <c r="T1973" s="53">
        <f>R1973*S1973</f>
        <v>0</v>
      </c>
      <c r="V1973" s="7"/>
      <c r="W1973" s="52" t="s">
        <v>881</v>
      </c>
      <c r="X1973" s="7" t="s">
        <v>863</v>
      </c>
      <c r="Y1973" s="66">
        <f>施工机械台时汇总!$C$40</f>
        <v>15.582226792009401</v>
      </c>
      <c r="Z1973" s="66">
        <v>0</v>
      </c>
      <c r="AA1973" s="53">
        <f>Y1973*Z1973</f>
        <v>0</v>
      </c>
      <c r="AC1973" t="s">
        <v>918</v>
      </c>
      <c r="AD1973" t="s">
        <v>863</v>
      </c>
      <c r="AE1973">
        <v>15.582226792009401</v>
      </c>
      <c r="AF1973">
        <v>0</v>
      </c>
      <c r="AG1973">
        <v>0</v>
      </c>
    </row>
    <row r="1974" spans="1:33" ht="18" customHeight="1">
      <c r="A1974" s="7"/>
      <c r="B1974" s="52" t="s">
        <v>976</v>
      </c>
      <c r="C1974" s="7" t="s">
        <v>863</v>
      </c>
      <c r="D1974" s="66">
        <f>施工机械台时汇总!$C$57</f>
        <v>62.128971797884901</v>
      </c>
      <c r="E1974" s="7">
        <v>0</v>
      </c>
      <c r="F1974" s="53">
        <f>D1974*E1974</f>
        <v>0</v>
      </c>
      <c r="H1974" s="7"/>
      <c r="I1974" s="52" t="s">
        <v>976</v>
      </c>
      <c r="J1974" s="7" t="s">
        <v>863</v>
      </c>
      <c r="K1974" s="66">
        <f>施工机械台时汇总!$C$57</f>
        <v>62.128971797884901</v>
      </c>
      <c r="L1974" s="7">
        <v>0</v>
      </c>
      <c r="M1974" s="53">
        <f>K1974*L1974</f>
        <v>0</v>
      </c>
      <c r="O1974" s="7"/>
      <c r="P1974" s="52" t="s">
        <v>976</v>
      </c>
      <c r="Q1974" s="7" t="s">
        <v>863</v>
      </c>
      <c r="R1974" s="66">
        <f>施工机械台时汇总!$C$57</f>
        <v>62.128971797884901</v>
      </c>
      <c r="S1974" s="66">
        <v>0</v>
      </c>
      <c r="T1974" s="53">
        <f>R1974*S1974</f>
        <v>0</v>
      </c>
      <c r="V1974" s="7"/>
      <c r="W1974" s="52" t="s">
        <v>976</v>
      </c>
      <c r="X1974" s="7" t="s">
        <v>863</v>
      </c>
      <c r="Y1974" s="66">
        <f>施工机械台时汇总!$C$57</f>
        <v>62.128971797884901</v>
      </c>
      <c r="Z1974" s="66">
        <v>0</v>
      </c>
      <c r="AA1974" s="53">
        <f>Y1974*Z1974</f>
        <v>0</v>
      </c>
      <c r="AC1974" t="s">
        <v>976</v>
      </c>
      <c r="AD1974" t="s">
        <v>863</v>
      </c>
      <c r="AE1974">
        <v>62.128971797884901</v>
      </c>
      <c r="AF1974">
        <v>0</v>
      </c>
      <c r="AG1974">
        <v>0</v>
      </c>
    </row>
    <row r="1975" spans="1:33" ht="18" customHeight="1">
      <c r="A1975" s="7"/>
      <c r="B1975" s="52" t="s">
        <v>882</v>
      </c>
      <c r="C1975" s="7" t="s">
        <v>863</v>
      </c>
      <c r="D1975" s="66">
        <f>施工机械台时汇总!$C$21</f>
        <v>28.129680376028197</v>
      </c>
      <c r="E1975" s="7">
        <v>2.95</v>
      </c>
      <c r="F1975" s="53">
        <f>D1975*E1975</f>
        <v>82.982557109283192</v>
      </c>
      <c r="H1975" s="7"/>
      <c r="I1975" s="52" t="s">
        <v>882</v>
      </c>
      <c r="J1975" s="7" t="s">
        <v>863</v>
      </c>
      <c r="K1975" s="66">
        <f>施工机械台时汇总!$C$21</f>
        <v>28.129680376028197</v>
      </c>
      <c r="L1975" s="7">
        <v>2.56</v>
      </c>
      <c r="M1975" s="53">
        <f>K1975*L1975</f>
        <v>72.011981762632189</v>
      </c>
      <c r="O1975" s="7"/>
      <c r="P1975" s="52" t="s">
        <v>882</v>
      </c>
      <c r="Q1975" s="7" t="s">
        <v>863</v>
      </c>
      <c r="R1975" s="66">
        <f>施工机械台时汇总!$C$21</f>
        <v>28.129680376028197</v>
      </c>
      <c r="S1975" s="66">
        <v>2.6575000000000002</v>
      </c>
      <c r="T1975" s="53">
        <f>R1975*S1975</f>
        <v>74.75462559929494</v>
      </c>
      <c r="V1975" s="7"/>
      <c r="W1975" s="52" t="s">
        <v>882</v>
      </c>
      <c r="X1975" s="7" t="s">
        <v>863</v>
      </c>
      <c r="Y1975" s="66">
        <f>施工机械台时汇总!$C$21</f>
        <v>28.129680376028197</v>
      </c>
      <c r="Z1975" s="66">
        <v>2.9371428571428599</v>
      </c>
      <c r="AA1975" s="53">
        <f>Y1975*Z1975</f>
        <v>82.620889790162906</v>
      </c>
      <c r="AC1975" t="s">
        <v>943</v>
      </c>
      <c r="AD1975" t="s">
        <v>863</v>
      </c>
      <c r="AE1975">
        <v>28.129680376028201</v>
      </c>
      <c r="AF1975">
        <v>2.9371428571428599</v>
      </c>
      <c r="AG1975">
        <v>82.620889790162906</v>
      </c>
    </row>
    <row r="1976" spans="1:33" ht="18" customHeight="1">
      <c r="A1976" s="7"/>
      <c r="B1976" s="52" t="s">
        <v>407</v>
      </c>
      <c r="C1976" s="7" t="s">
        <v>863</v>
      </c>
      <c r="D1976" s="7">
        <f>施工机械台时汇总!$C$19</f>
        <v>0.80266353309831595</v>
      </c>
      <c r="E1976" s="7">
        <v>120.33</v>
      </c>
      <c r="F1976" s="53">
        <f>D1976*E1976</f>
        <v>96.584502937720359</v>
      </c>
      <c r="H1976" s="7"/>
      <c r="I1976" s="52" t="s">
        <v>407</v>
      </c>
      <c r="J1976" s="7" t="s">
        <v>863</v>
      </c>
      <c r="K1976" s="7">
        <f>施工机械台时汇总!$C$19</f>
        <v>0.80266353309831595</v>
      </c>
      <c r="L1976" s="7">
        <v>119.47</v>
      </c>
      <c r="M1976" s="53">
        <f>K1976*L1976</f>
        <v>95.894212299255813</v>
      </c>
      <c r="O1976" s="7"/>
      <c r="P1976" s="52" t="s">
        <v>407</v>
      </c>
      <c r="Q1976" s="7" t="s">
        <v>863</v>
      </c>
      <c r="R1976" s="7">
        <f>施工机械台时汇总!$C$19</f>
        <v>0.80266353309831595</v>
      </c>
      <c r="S1976" s="66">
        <v>119.685</v>
      </c>
      <c r="T1976" s="53">
        <f>R1976*S1976</f>
        <v>96.066784958871949</v>
      </c>
      <c r="V1976" s="7"/>
      <c r="W1976" s="52" t="s">
        <v>407</v>
      </c>
      <c r="X1976" s="7" t="s">
        <v>863</v>
      </c>
      <c r="Y1976" s="7">
        <f>施工机械台时汇总!$C$19</f>
        <v>0.80266353309831595</v>
      </c>
      <c r="Z1976" s="66">
        <v>120.9</v>
      </c>
      <c r="AA1976" s="53">
        <f>Y1976*Z1976</f>
        <v>97.042021151586397</v>
      </c>
      <c r="AC1976" t="s">
        <v>407</v>
      </c>
      <c r="AD1976" t="s">
        <v>863</v>
      </c>
      <c r="AE1976">
        <v>0.80266353309831595</v>
      </c>
      <c r="AF1976">
        <v>120.9</v>
      </c>
      <c r="AG1976">
        <v>97.042021151586397</v>
      </c>
    </row>
    <row r="1977" spans="1:33" ht="18" customHeight="1">
      <c r="A1977" s="7"/>
      <c r="B1977" s="52" t="s">
        <v>840</v>
      </c>
      <c r="C1977" s="7" t="s">
        <v>834</v>
      </c>
      <c r="D1977" s="66">
        <f>SUM(F1973:F1976)</f>
        <v>179.56706004700357</v>
      </c>
      <c r="E1977" s="7">
        <v>0</v>
      </c>
      <c r="F1977" s="53">
        <f>D1977*E1977/100</f>
        <v>0</v>
      </c>
      <c r="H1977" s="7"/>
      <c r="I1977" s="52" t="s">
        <v>840</v>
      </c>
      <c r="J1977" s="7" t="s">
        <v>834</v>
      </c>
      <c r="K1977" s="66">
        <f>SUM(M1973:M1976)</f>
        <v>167.90619406188802</v>
      </c>
      <c r="L1977" s="7">
        <v>0</v>
      </c>
      <c r="M1977" s="53">
        <f>K1977*L1977/100</f>
        <v>0</v>
      </c>
      <c r="O1977" s="7"/>
      <c r="P1977" s="52" t="s">
        <v>840</v>
      </c>
      <c r="Q1977" s="7" t="s">
        <v>834</v>
      </c>
      <c r="R1977" s="66">
        <f>SUM(T1973:T1976)</f>
        <v>170.82141055816689</v>
      </c>
      <c r="S1977" s="66">
        <v>0</v>
      </c>
      <c r="T1977" s="53">
        <f>R1977*S1977/100</f>
        <v>0</v>
      </c>
      <c r="V1977" s="7"/>
      <c r="W1977" s="52" t="s">
        <v>840</v>
      </c>
      <c r="X1977" s="7" t="s">
        <v>834</v>
      </c>
      <c r="Y1977" s="66">
        <f>SUM(AA1973:AA1976)</f>
        <v>179.66291094174932</v>
      </c>
      <c r="Z1977" s="66">
        <v>0</v>
      </c>
      <c r="AA1977" s="53">
        <f>Y1977*Z1977/100</f>
        <v>0</v>
      </c>
      <c r="AC1977" t="s">
        <v>840</v>
      </c>
      <c r="AD1977" t="s">
        <v>834</v>
      </c>
      <c r="AE1977">
        <v>179.662910941749</v>
      </c>
      <c r="AF1977">
        <v>0</v>
      </c>
      <c r="AG1977">
        <v>0</v>
      </c>
    </row>
    <row r="1978" spans="1:33" ht="18" customHeight="1">
      <c r="A1978" s="7" t="s">
        <v>884</v>
      </c>
      <c r="B1978" s="52" t="s">
        <v>988</v>
      </c>
      <c r="C1978" s="7" t="s">
        <v>871</v>
      </c>
      <c r="D1978" s="66">
        <f>F2085/100</f>
        <v>60.498206951191548</v>
      </c>
      <c r="E1978" s="7">
        <f>E1965</f>
        <v>90</v>
      </c>
      <c r="F1978" s="53">
        <f>D1978*E1978</f>
        <v>5444.838625607239</v>
      </c>
      <c r="H1978" s="7" t="s">
        <v>884</v>
      </c>
      <c r="I1978" s="52" t="s">
        <v>988</v>
      </c>
      <c r="J1978" s="7" t="s">
        <v>871</v>
      </c>
      <c r="K1978" s="66">
        <f>D1978</f>
        <v>60.498206951191548</v>
      </c>
      <c r="L1978" s="7">
        <f>L1965</f>
        <v>92</v>
      </c>
      <c r="M1978" s="53">
        <f>K1978*L1978</f>
        <v>5565.8350395096222</v>
      </c>
      <c r="O1978" s="7" t="s">
        <v>884</v>
      </c>
      <c r="P1978" s="52" t="s">
        <v>988</v>
      </c>
      <c r="Q1978" s="7" t="s">
        <v>871</v>
      </c>
      <c r="R1978" s="66">
        <f>K1978</f>
        <v>60.498206951191548</v>
      </c>
      <c r="S1978" s="66">
        <v>91.5</v>
      </c>
      <c r="T1978" s="53">
        <f>R1978*S1978</f>
        <v>5535.5859360340264</v>
      </c>
      <c r="V1978" s="7" t="s">
        <v>884</v>
      </c>
      <c r="W1978" s="52" t="s">
        <v>988</v>
      </c>
      <c r="X1978" s="7" t="s">
        <v>871</v>
      </c>
      <c r="Y1978" s="66">
        <f>R1978</f>
        <v>60.498206951191548</v>
      </c>
      <c r="Z1978" s="66">
        <f>Z1965</f>
        <v>87.557142857142793</v>
      </c>
      <c r="AA1978" s="53">
        <f>Y1978*Z1978</f>
        <v>5297.0501486264675</v>
      </c>
      <c r="AB1978" t="s">
        <v>884</v>
      </c>
      <c r="AC1978" t="s">
        <v>988</v>
      </c>
      <c r="AD1978" t="s">
        <v>986</v>
      </c>
      <c r="AE1978">
        <v>60.498206951191499</v>
      </c>
      <c r="AF1978">
        <v>87.557142857142793</v>
      </c>
      <c r="AG1978">
        <v>5297.0501486264702</v>
      </c>
    </row>
    <row r="1979" spans="1:33" ht="18" customHeight="1">
      <c r="A1979" s="7"/>
      <c r="B1979" s="52"/>
      <c r="C1979" s="7"/>
      <c r="D1979" s="7"/>
      <c r="E1979" s="7"/>
      <c r="F1979" s="53"/>
      <c r="H1979" s="7"/>
      <c r="I1979" s="52"/>
      <c r="J1979" s="7"/>
      <c r="K1979" s="7"/>
      <c r="L1979" s="7"/>
      <c r="M1979" s="53"/>
      <c r="O1979" s="7"/>
      <c r="P1979" s="52"/>
      <c r="Q1979" s="7"/>
      <c r="R1979" s="7"/>
      <c r="S1979" s="7"/>
      <c r="T1979" s="53"/>
      <c r="V1979" s="7"/>
      <c r="W1979" s="52"/>
      <c r="X1979" s="7"/>
      <c r="Y1979" s="7"/>
      <c r="Z1979" s="7"/>
      <c r="AA1979" s="53"/>
    </row>
    <row r="1980" spans="1:33" ht="18" customHeight="1">
      <c r="A1980" s="7">
        <v>1.2</v>
      </c>
      <c r="B1980" s="52" t="s">
        <v>841</v>
      </c>
      <c r="C1980" s="7"/>
      <c r="D1980" s="53">
        <f>F1960</f>
        <v>57090.847035704312</v>
      </c>
      <c r="E1980" s="56">
        <f>E1939</f>
        <v>4.8000000000000001E-2</v>
      </c>
      <c r="F1980" s="53">
        <f>D1980*E1980</f>
        <v>2740.3606577138071</v>
      </c>
      <c r="H1980" s="7">
        <v>1.2</v>
      </c>
      <c r="I1980" s="52" t="s">
        <v>841</v>
      </c>
      <c r="J1980" s="7"/>
      <c r="K1980" s="53">
        <f>M1960</f>
        <v>57837.08665722677</v>
      </c>
      <c r="L1980" s="56">
        <f>E1980</f>
        <v>4.8000000000000001E-2</v>
      </c>
      <c r="M1980" s="53">
        <f>K1980*L1980</f>
        <v>2776.1801595468851</v>
      </c>
      <c r="O1980" s="7">
        <v>1.2</v>
      </c>
      <c r="P1980" s="52" t="s">
        <v>841</v>
      </c>
      <c r="Q1980" s="7"/>
      <c r="R1980" s="53">
        <f>T1960</f>
        <v>57650.526751846155</v>
      </c>
      <c r="S1980" s="56">
        <f>L1980</f>
        <v>4.8000000000000001E-2</v>
      </c>
      <c r="T1980" s="53">
        <f>R1980*S1980</f>
        <v>2767.2252840886154</v>
      </c>
      <c r="V1980" s="7">
        <v>1.2</v>
      </c>
      <c r="W1980" s="52" t="s">
        <v>841</v>
      </c>
      <c r="X1980" s="7"/>
      <c r="Y1980" s="53">
        <f>AA1960</f>
        <v>56155.809441143349</v>
      </c>
      <c r="Z1980" s="56">
        <f>S1980</f>
        <v>4.8000000000000001E-2</v>
      </c>
      <c r="AA1980" s="53">
        <f>Y1980*Z1980</f>
        <v>2695.4788531748809</v>
      </c>
      <c r="AB1980">
        <v>1.2</v>
      </c>
      <c r="AC1980" t="s">
        <v>841</v>
      </c>
      <c r="AE1980">
        <v>56155.809441143298</v>
      </c>
      <c r="AF1980">
        <v>4.8000000000000001E-2</v>
      </c>
      <c r="AG1980">
        <v>2695.47885317488</v>
      </c>
    </row>
    <row r="1981" spans="1:33" ht="18" customHeight="1">
      <c r="A1981" s="7">
        <v>1.3</v>
      </c>
      <c r="B1981" s="52" t="s">
        <v>842</v>
      </c>
      <c r="C1981" s="7"/>
      <c r="D1981" s="53">
        <f>F1960</f>
        <v>57090.847035704312</v>
      </c>
      <c r="E1981" s="56">
        <f>E1940</f>
        <v>0</v>
      </c>
      <c r="F1981" s="53">
        <f>D1981*E1981</f>
        <v>0</v>
      </c>
      <c r="H1981" s="7">
        <v>1.3</v>
      </c>
      <c r="I1981" s="52" t="s">
        <v>842</v>
      </c>
      <c r="J1981" s="7"/>
      <c r="K1981" s="53">
        <f>M1960</f>
        <v>57837.08665722677</v>
      </c>
      <c r="L1981" s="56">
        <f t="shared" ref="L1981:L1983" si="138">E1981</f>
        <v>0</v>
      </c>
      <c r="M1981" s="53">
        <f>K1981*L1981</f>
        <v>0</v>
      </c>
      <c r="O1981" s="7">
        <v>1.3</v>
      </c>
      <c r="P1981" s="52" t="s">
        <v>842</v>
      </c>
      <c r="Q1981" s="7"/>
      <c r="R1981" s="53">
        <f>T1960</f>
        <v>57650.526751846155</v>
      </c>
      <c r="S1981" s="56">
        <f t="shared" ref="S1981:S1983" si="139">L1981</f>
        <v>0</v>
      </c>
      <c r="T1981" s="53">
        <f>R1981*S1981</f>
        <v>0</v>
      </c>
      <c r="V1981" s="7">
        <v>1.3</v>
      </c>
      <c r="W1981" s="52" t="s">
        <v>842</v>
      </c>
      <c r="X1981" s="7"/>
      <c r="Y1981" s="53">
        <f>AA1960</f>
        <v>56155.809441143349</v>
      </c>
      <c r="Z1981" s="56">
        <f t="shared" ref="Z1981:Z1983" si="140">S1981</f>
        <v>0</v>
      </c>
      <c r="AA1981" s="53">
        <f>Y1981*Z1981</f>
        <v>0</v>
      </c>
      <c r="AB1981">
        <v>1.3</v>
      </c>
      <c r="AC1981" t="s">
        <v>842</v>
      </c>
      <c r="AE1981">
        <v>56155.809441143298</v>
      </c>
      <c r="AF1981">
        <v>0</v>
      </c>
      <c r="AG1981">
        <v>0</v>
      </c>
    </row>
    <row r="1982" spans="1:33" ht="18" customHeight="1">
      <c r="A1982" s="7">
        <v>2</v>
      </c>
      <c r="B1982" s="52" t="s">
        <v>182</v>
      </c>
      <c r="C1982" s="7"/>
      <c r="D1982" s="53">
        <f>F1959</f>
        <v>59831.207693418117</v>
      </c>
      <c r="E1982" s="56">
        <f>E1941</f>
        <v>7.0000000000000007E-2</v>
      </c>
      <c r="F1982" s="53">
        <f>D1982*E1982</f>
        <v>4188.1845385392689</v>
      </c>
      <c r="H1982" s="7">
        <v>2</v>
      </c>
      <c r="I1982" s="52" t="s">
        <v>182</v>
      </c>
      <c r="J1982" s="7"/>
      <c r="K1982" s="53">
        <f>M1959</f>
        <v>60613.266816773656</v>
      </c>
      <c r="L1982" s="56">
        <f t="shared" si="138"/>
        <v>7.0000000000000007E-2</v>
      </c>
      <c r="M1982" s="53">
        <f>K1982*L1982</f>
        <v>4242.9286771741563</v>
      </c>
      <c r="O1982" s="7">
        <v>2</v>
      </c>
      <c r="P1982" s="52" t="s">
        <v>182</v>
      </c>
      <c r="Q1982" s="7"/>
      <c r="R1982" s="53">
        <f>T1959</f>
        <v>60417.752035934769</v>
      </c>
      <c r="S1982" s="56">
        <f t="shared" si="139"/>
        <v>7.0000000000000007E-2</v>
      </c>
      <c r="T1982" s="53">
        <f>R1982*S1982</f>
        <v>4229.2426425154345</v>
      </c>
      <c r="V1982" s="7">
        <v>2</v>
      </c>
      <c r="W1982" s="52" t="s">
        <v>182</v>
      </c>
      <c r="X1982" s="7"/>
      <c r="Y1982" s="53">
        <f>AA1959</f>
        <v>58851.288294318227</v>
      </c>
      <c r="Z1982" s="56">
        <f t="shared" si="140"/>
        <v>7.0000000000000007E-2</v>
      </c>
      <c r="AA1982" s="53">
        <f>Y1982*Z1982</f>
        <v>4119.5901806022766</v>
      </c>
      <c r="AB1982">
        <v>2</v>
      </c>
      <c r="AC1982" t="s">
        <v>182</v>
      </c>
      <c r="AE1982">
        <v>58851.288294318198</v>
      </c>
      <c r="AF1982">
        <v>7.0000000000000007E-2</v>
      </c>
      <c r="AG1982">
        <v>4119.5901806022803</v>
      </c>
    </row>
    <row r="1983" spans="1:33" ht="18" customHeight="1">
      <c r="A1983" s="7">
        <v>3</v>
      </c>
      <c r="B1983" s="52" t="s">
        <v>843</v>
      </c>
      <c r="C1983" s="7"/>
      <c r="D1983" s="53">
        <f>F1982+F1959</f>
        <v>64019.392231957383</v>
      </c>
      <c r="E1983" s="56">
        <f>E1942</f>
        <v>7.0000000000000007E-2</v>
      </c>
      <c r="F1983" s="53">
        <f>D1983*E1983</f>
        <v>4481.3574562370177</v>
      </c>
      <c r="H1983" s="7">
        <v>3</v>
      </c>
      <c r="I1983" s="52" t="s">
        <v>843</v>
      </c>
      <c r="J1983" s="7"/>
      <c r="K1983" s="53">
        <f>M1982+M1959</f>
        <v>64856.195493947809</v>
      </c>
      <c r="L1983" s="56">
        <f t="shared" si="138"/>
        <v>7.0000000000000007E-2</v>
      </c>
      <c r="M1983" s="53">
        <f>K1983*L1983</f>
        <v>4539.9336845763473</v>
      </c>
      <c r="O1983" s="7">
        <v>3</v>
      </c>
      <c r="P1983" s="52" t="s">
        <v>843</v>
      </c>
      <c r="Q1983" s="7"/>
      <c r="R1983" s="53">
        <f>T1982+T1959</f>
        <v>64646.994678450203</v>
      </c>
      <c r="S1983" s="56">
        <f t="shared" si="139"/>
        <v>7.0000000000000007E-2</v>
      </c>
      <c r="T1983" s="53">
        <f>R1983*S1983</f>
        <v>4525.2896274915147</v>
      </c>
      <c r="V1983" s="7">
        <v>3</v>
      </c>
      <c r="W1983" s="52" t="s">
        <v>843</v>
      </c>
      <c r="X1983" s="7"/>
      <c r="Y1983" s="53">
        <f>AA1982+AA1959</f>
        <v>62970.878474920501</v>
      </c>
      <c r="Z1983" s="56">
        <f t="shared" si="140"/>
        <v>7.0000000000000007E-2</v>
      </c>
      <c r="AA1983" s="53">
        <f>Y1983*Z1983</f>
        <v>4407.9614932444356</v>
      </c>
      <c r="AB1983">
        <v>3</v>
      </c>
      <c r="AC1983" t="s">
        <v>843</v>
      </c>
      <c r="AE1983">
        <v>62970.878474920501</v>
      </c>
      <c r="AF1983">
        <v>7.0000000000000007E-2</v>
      </c>
      <c r="AG1983">
        <v>4407.9614932444401</v>
      </c>
    </row>
    <row r="1984" spans="1:33" ht="18" customHeight="1">
      <c r="A1984" s="7">
        <v>4</v>
      </c>
      <c r="B1984" s="52" t="s">
        <v>184</v>
      </c>
      <c r="C1984" s="7"/>
      <c r="D1984" s="7"/>
      <c r="E1984" s="7"/>
      <c r="F1984" s="53">
        <f>SUM(F1985:F1990)</f>
        <v>6695.8119307268353</v>
      </c>
      <c r="H1984" s="7">
        <v>4</v>
      </c>
      <c r="I1984" s="52" t="s">
        <v>184</v>
      </c>
      <c r="J1984" s="7"/>
      <c r="K1984" s="7"/>
      <c r="L1984" s="7"/>
      <c r="M1984" s="53">
        <f>SUM(M1985:M1990)</f>
        <v>6655.6799136453774</v>
      </c>
      <c r="O1984" s="7">
        <v>4</v>
      </c>
      <c r="P1984" s="52" t="s">
        <v>184</v>
      </c>
      <c r="Q1984" s="7"/>
      <c r="R1984" s="7"/>
      <c r="S1984" s="7"/>
      <c r="T1984" s="53">
        <f>SUM(T1985:T1990)</f>
        <v>6646.2432552453774</v>
      </c>
      <c r="V1984" s="7">
        <v>4</v>
      </c>
      <c r="W1984" s="52" t="s">
        <v>184</v>
      </c>
      <c r="X1984" s="7"/>
      <c r="Y1984" s="7"/>
      <c r="Z1984" s="7"/>
      <c r="AA1984" s="53">
        <f>SUM(AA1985:AA1990)</f>
        <v>6571.8284632910854</v>
      </c>
      <c r="AB1984">
        <v>4</v>
      </c>
      <c r="AC1984" t="s">
        <v>184</v>
      </c>
      <c r="AG1984">
        <v>6571.82846329109</v>
      </c>
    </row>
    <row r="1985" spans="1:33" ht="18" customHeight="1">
      <c r="A1985" s="7"/>
      <c r="B1985" s="52" t="s">
        <v>354</v>
      </c>
      <c r="C1985" s="7" t="s">
        <v>88</v>
      </c>
      <c r="D1985" s="7">
        <f>D1944</f>
        <v>116.41515</v>
      </c>
      <c r="E1985" s="77">
        <f>E1965*1.02*砼配合!I15+砼单价!E1969*砼配合!I15</f>
        <v>35.481253500000001</v>
      </c>
      <c r="F1985" s="53">
        <f t="shared" ref="F1985:F1991" si="141">D1985*E1985</f>
        <v>4130.5554483905253</v>
      </c>
      <c r="H1985" s="7"/>
      <c r="I1985" s="52" t="s">
        <v>354</v>
      </c>
      <c r="J1985" s="7" t="s">
        <v>88</v>
      </c>
      <c r="K1985" s="7">
        <f>D1985</f>
        <v>116.41515</v>
      </c>
      <c r="L1985" s="77">
        <f>L1965*砼配合!I15+L1969*砼配合!I15</f>
        <v>34.928298900000001</v>
      </c>
      <c r="M1985" s="53">
        <f t="shared" ref="M1985:M1991" si="142">K1985*L1985</f>
        <v>4066.1831556883349</v>
      </c>
      <c r="O1985" s="7"/>
      <c r="P1985" s="52" t="s">
        <v>354</v>
      </c>
      <c r="Q1985" s="7" t="s">
        <v>88</v>
      </c>
      <c r="R1985" s="7">
        <f>K1985</f>
        <v>116.41515</v>
      </c>
      <c r="S1985" s="77">
        <f>S1965*砼配合!I15+S1969*砼配合!I15</f>
        <v>34.928298900000001</v>
      </c>
      <c r="T1985" s="53">
        <f t="shared" ref="T1985:T1991" si="143">R1985*S1985</f>
        <v>4066.1831556883349</v>
      </c>
      <c r="V1985" s="7"/>
      <c r="W1985" s="52" t="s">
        <v>354</v>
      </c>
      <c r="X1985" s="7" t="s">
        <v>88</v>
      </c>
      <c r="Y1985" s="7">
        <f>R1985</f>
        <v>116.41515</v>
      </c>
      <c r="Z1985" s="77">
        <f>($Z$1965+$Z$1969)*砼配合!I15</f>
        <v>34.928298899999966</v>
      </c>
      <c r="AA1985" s="53">
        <f t="shared" ref="AA1985:AA1991" si="144">Y1985*Z1985</f>
        <v>4066.1831556883308</v>
      </c>
      <c r="AC1985" t="s">
        <v>354</v>
      </c>
      <c r="AD1985" t="s">
        <v>88</v>
      </c>
      <c r="AE1985">
        <v>116.41515</v>
      </c>
      <c r="AF1985">
        <v>34.928298900000001</v>
      </c>
      <c r="AG1985">
        <v>4066.1831556883299</v>
      </c>
    </row>
    <row r="1986" spans="1:33" ht="18" customHeight="1">
      <c r="A1986" s="7"/>
      <c r="B1986" s="52" t="s">
        <v>507</v>
      </c>
      <c r="C1986" s="7" t="s">
        <v>871</v>
      </c>
      <c r="D1986" s="66">
        <f t="shared" ref="D1986:D1990" si="145">D1945</f>
        <v>4.6598683999999899</v>
      </c>
      <c r="E1986" s="77">
        <f>E1965*1.02*砼配合!I16+砼单价!E1969*砼配合!I16</f>
        <v>55.724130000000002</v>
      </c>
      <c r="F1986" s="53">
        <f t="shared" si="141"/>
        <v>259.66711250449146</v>
      </c>
      <c r="H1986" s="7"/>
      <c r="I1986" s="52" t="s">
        <v>507</v>
      </c>
      <c r="J1986" s="7" t="s">
        <v>871</v>
      </c>
      <c r="K1986" s="7">
        <f t="shared" ref="K1986:K1990" si="146">D1986</f>
        <v>4.6598683999999899</v>
      </c>
      <c r="L1986" s="77">
        <f>L1965*砼配合!I16+L1969*砼配合!I16</f>
        <v>54.855701999999994</v>
      </c>
      <c r="M1986" s="53">
        <f t="shared" si="142"/>
        <v>255.62035230961621</v>
      </c>
      <c r="O1986" s="7"/>
      <c r="P1986" s="52" t="s">
        <v>507</v>
      </c>
      <c r="Q1986" s="7" t="s">
        <v>871</v>
      </c>
      <c r="R1986" s="7">
        <f t="shared" ref="R1986:R1990" si="147">K1986</f>
        <v>4.6598683999999899</v>
      </c>
      <c r="S1986" s="77">
        <f>S1965*砼配合!I16+S1969*砼配合!I16</f>
        <v>54.855702000000001</v>
      </c>
      <c r="T1986" s="53">
        <f t="shared" si="143"/>
        <v>255.62035230961624</v>
      </c>
      <c r="V1986" s="7"/>
      <c r="W1986" s="52" t="s">
        <v>507</v>
      </c>
      <c r="X1986" s="7" t="s">
        <v>871</v>
      </c>
      <c r="Y1986" s="7">
        <f t="shared" ref="Y1986:Y1990" si="148">R1986</f>
        <v>4.6598683999999899</v>
      </c>
      <c r="Z1986" s="77">
        <f>($Z$1965+$Z$1969)*砼配合!I16</f>
        <v>54.855701999999944</v>
      </c>
      <c r="AA1986" s="53">
        <f t="shared" si="144"/>
        <v>255.62035230961598</v>
      </c>
      <c r="AC1986" t="s">
        <v>507</v>
      </c>
      <c r="AD1986" t="s">
        <v>986</v>
      </c>
      <c r="AE1986">
        <v>4.6598683999999899</v>
      </c>
      <c r="AF1986">
        <v>54.855702000000001</v>
      </c>
      <c r="AG1986">
        <v>255.62035230961601</v>
      </c>
    </row>
    <row r="1987" spans="1:33" ht="18" customHeight="1">
      <c r="A1987" s="7"/>
      <c r="B1987" s="52" t="s">
        <v>509</v>
      </c>
      <c r="C1987" s="7" t="s">
        <v>871</v>
      </c>
      <c r="D1987" s="66">
        <f t="shared" si="145"/>
        <v>6.2457299999999902</v>
      </c>
      <c r="E1987" s="77">
        <f>E1965*1.02*砼配合!I17+砼单价!E1969*砼配合!I17</f>
        <v>97.184933999999998</v>
      </c>
      <c r="F1987" s="53">
        <f t="shared" si="141"/>
        <v>606.99085783181908</v>
      </c>
      <c r="H1987" s="7"/>
      <c r="I1987" s="52" t="s">
        <v>509</v>
      </c>
      <c r="J1987" s="7" t="s">
        <v>871</v>
      </c>
      <c r="K1987" s="7">
        <f t="shared" si="146"/>
        <v>6.2457299999999902</v>
      </c>
      <c r="L1987" s="77">
        <f>L1965*砼配合!I17+L1969*砼配合!I17</f>
        <v>95.670363599999988</v>
      </c>
      <c r="M1987" s="53">
        <f t="shared" si="142"/>
        <v>597.53126004742694</v>
      </c>
      <c r="O1987" s="7"/>
      <c r="P1987" s="52" t="s">
        <v>509</v>
      </c>
      <c r="Q1987" s="7" t="s">
        <v>871</v>
      </c>
      <c r="R1987" s="7">
        <f t="shared" si="147"/>
        <v>6.2457299999999902</v>
      </c>
      <c r="S1987" s="77">
        <f>S1965*砼配合!I17+S1969*砼配合!I17</f>
        <v>95.670363600000002</v>
      </c>
      <c r="T1987" s="53">
        <f t="shared" si="143"/>
        <v>597.53126004742705</v>
      </c>
      <c r="V1987" s="7"/>
      <c r="W1987" s="52" t="s">
        <v>509</v>
      </c>
      <c r="X1987" s="7" t="s">
        <v>871</v>
      </c>
      <c r="Y1987" s="7">
        <f t="shared" si="148"/>
        <v>6.2457299999999902</v>
      </c>
      <c r="Z1987" s="77">
        <f>($Z$1965+$Z$1969)*砼配合!I17</f>
        <v>95.670363599999902</v>
      </c>
      <c r="AA1987" s="53">
        <f t="shared" si="144"/>
        <v>597.53126004742649</v>
      </c>
      <c r="AC1987" t="s">
        <v>509</v>
      </c>
      <c r="AD1987" t="s">
        <v>986</v>
      </c>
      <c r="AE1987">
        <v>6.2457299999999902</v>
      </c>
      <c r="AF1987">
        <v>95.670363599999902</v>
      </c>
      <c r="AG1987">
        <v>597.53126004742705</v>
      </c>
    </row>
    <row r="1988" spans="1:33" ht="18" customHeight="1">
      <c r="A1988" s="7"/>
      <c r="B1988" s="52" t="s">
        <v>506</v>
      </c>
      <c r="C1988" s="7" t="s">
        <v>871</v>
      </c>
      <c r="D1988" s="7">
        <f t="shared" si="145"/>
        <v>0</v>
      </c>
      <c r="E1988" s="77">
        <v>0</v>
      </c>
      <c r="F1988" s="53">
        <f t="shared" si="141"/>
        <v>0</v>
      </c>
      <c r="H1988" s="7"/>
      <c r="I1988" s="52" t="s">
        <v>506</v>
      </c>
      <c r="J1988" s="7" t="s">
        <v>871</v>
      </c>
      <c r="K1988" s="7">
        <f t="shared" si="146"/>
        <v>0</v>
      </c>
      <c r="L1988" s="77">
        <v>0</v>
      </c>
      <c r="M1988" s="53">
        <f t="shared" si="142"/>
        <v>0</v>
      </c>
      <c r="O1988" s="7"/>
      <c r="P1988" s="52" t="s">
        <v>506</v>
      </c>
      <c r="Q1988" s="7" t="s">
        <v>871</v>
      </c>
      <c r="R1988" s="7">
        <f t="shared" si="147"/>
        <v>0</v>
      </c>
      <c r="S1988" s="77">
        <v>0</v>
      </c>
      <c r="T1988" s="53">
        <f t="shared" si="143"/>
        <v>0</v>
      </c>
      <c r="V1988" s="7"/>
      <c r="W1988" s="52" t="s">
        <v>506</v>
      </c>
      <c r="X1988" s="7" t="s">
        <v>871</v>
      </c>
      <c r="Y1988" s="7">
        <f t="shared" si="148"/>
        <v>0</v>
      </c>
      <c r="Z1988" s="77">
        <v>0</v>
      </c>
      <c r="AA1988" s="53">
        <f t="shared" si="144"/>
        <v>0</v>
      </c>
      <c r="AC1988" t="s">
        <v>506</v>
      </c>
      <c r="AD1988" t="s">
        <v>986</v>
      </c>
      <c r="AE1988">
        <v>0</v>
      </c>
      <c r="AF1988">
        <v>0</v>
      </c>
      <c r="AG1988">
        <v>0</v>
      </c>
    </row>
    <row r="1989" spans="1:33" ht="18" customHeight="1">
      <c r="A1989" s="7"/>
      <c r="B1989" s="52" t="s">
        <v>515</v>
      </c>
      <c r="C1989" s="7" t="s">
        <v>844</v>
      </c>
      <c r="D1989" s="7">
        <f t="shared" si="145"/>
        <v>4.7450000000000001</v>
      </c>
      <c r="E1989" s="77">
        <f>E1660*0.9</f>
        <v>11.923200000000001</v>
      </c>
      <c r="F1989" s="53">
        <f t="shared" si="141"/>
        <v>56.575584000000006</v>
      </c>
      <c r="H1989" s="7"/>
      <c r="I1989" s="52" t="s">
        <v>515</v>
      </c>
      <c r="J1989" s="7" t="s">
        <v>844</v>
      </c>
      <c r="K1989" s="7">
        <f t="shared" si="146"/>
        <v>4.7450000000000001</v>
      </c>
      <c r="L1989" s="77">
        <f>E1660*0.92</f>
        <v>12.188160000000002</v>
      </c>
      <c r="M1989" s="53">
        <f t="shared" si="142"/>
        <v>57.83281920000001</v>
      </c>
      <c r="O1989" s="7"/>
      <c r="P1989" s="52" t="s">
        <v>515</v>
      </c>
      <c r="Q1989" s="7" t="s">
        <v>844</v>
      </c>
      <c r="R1989" s="7">
        <f t="shared" si="147"/>
        <v>4.7450000000000001</v>
      </c>
      <c r="S1989" s="77">
        <f>E1660*S1965/100</f>
        <v>12.121919999999999</v>
      </c>
      <c r="T1989" s="53">
        <f t="shared" si="143"/>
        <v>57.518510399999997</v>
      </c>
      <c r="V1989" s="7"/>
      <c r="W1989" s="52" t="s">
        <v>515</v>
      </c>
      <c r="X1989" s="7" t="s">
        <v>844</v>
      </c>
      <c r="Y1989" s="7">
        <f t="shared" si="148"/>
        <v>4.7450000000000001</v>
      </c>
      <c r="Z1989" s="77">
        <f>E1660*Z1965/100</f>
        <v>11.599570285714279</v>
      </c>
      <c r="AA1989" s="53">
        <f t="shared" si="144"/>
        <v>55.039961005714254</v>
      </c>
      <c r="AC1989" t="s">
        <v>515</v>
      </c>
      <c r="AD1989" t="s">
        <v>844</v>
      </c>
      <c r="AE1989">
        <v>4.7450000000000001</v>
      </c>
      <c r="AF1989">
        <v>11.5995702857143</v>
      </c>
      <c r="AG1989">
        <v>55.039961005714297</v>
      </c>
    </row>
    <row r="1990" spans="1:33" ht="18" customHeight="1">
      <c r="A1990" s="7"/>
      <c r="B1990" s="52" t="s">
        <v>516</v>
      </c>
      <c r="C1990" s="7" t="s">
        <v>844</v>
      </c>
      <c r="D1990" s="7">
        <f t="shared" si="145"/>
        <v>3.51</v>
      </c>
      <c r="E1990" s="66">
        <f>E2103*0.9</f>
        <v>467.81279999999992</v>
      </c>
      <c r="F1990" s="53">
        <f t="shared" si="141"/>
        <v>1642.0229279999996</v>
      </c>
      <c r="H1990" s="7"/>
      <c r="I1990" s="52" t="s">
        <v>516</v>
      </c>
      <c r="J1990" s="7" t="s">
        <v>844</v>
      </c>
      <c r="K1990" s="7">
        <f t="shared" si="146"/>
        <v>3.51</v>
      </c>
      <c r="L1990" s="66">
        <f>E2103*0.92</f>
        <v>478.20863999999995</v>
      </c>
      <c r="M1990" s="53">
        <f t="shared" si="142"/>
        <v>1678.5123263999997</v>
      </c>
      <c r="O1990" s="7"/>
      <c r="P1990" s="52" t="s">
        <v>516</v>
      </c>
      <c r="Q1990" s="7" t="s">
        <v>844</v>
      </c>
      <c r="R1990" s="7">
        <f t="shared" si="147"/>
        <v>3.51</v>
      </c>
      <c r="S1990" s="77">
        <f>E2103*S1965/100</f>
        <v>475.60967999999991</v>
      </c>
      <c r="T1990" s="53">
        <f t="shared" si="143"/>
        <v>1669.3899767999997</v>
      </c>
      <c r="V1990" s="7"/>
      <c r="W1990" s="52" t="s">
        <v>516</v>
      </c>
      <c r="X1990" s="7" t="s">
        <v>844</v>
      </c>
      <c r="Y1990" s="7">
        <f t="shared" si="148"/>
        <v>3.51</v>
      </c>
      <c r="Z1990" s="77">
        <f>E2103*Z1965/100</f>
        <v>455.11502399999961</v>
      </c>
      <c r="AA1990" s="53">
        <f t="shared" si="144"/>
        <v>1597.4537342399985</v>
      </c>
      <c r="AC1990" t="s">
        <v>516</v>
      </c>
      <c r="AD1990" t="s">
        <v>844</v>
      </c>
      <c r="AE1990">
        <v>3.51</v>
      </c>
      <c r="AF1990">
        <v>455.11502400000001</v>
      </c>
      <c r="AG1990">
        <v>1597.4537342399999</v>
      </c>
    </row>
    <row r="1991" spans="1:33" ht="18" customHeight="1">
      <c r="A1991" s="7">
        <v>5</v>
      </c>
      <c r="B1991" s="52" t="s">
        <v>845</v>
      </c>
      <c r="C1991" s="7"/>
      <c r="D1991" s="53">
        <f>F1959+F1982+F1983+F1984</f>
        <v>75196.561618921231</v>
      </c>
      <c r="E1991" s="56">
        <f>E1950</f>
        <v>0.09</v>
      </c>
      <c r="F1991" s="53">
        <f t="shared" si="141"/>
        <v>6767.6905457029106</v>
      </c>
      <c r="H1991" s="7">
        <v>5</v>
      </c>
      <c r="I1991" s="52" t="s">
        <v>845</v>
      </c>
      <c r="J1991" s="7"/>
      <c r="K1991" s="53">
        <f>M1959+M1982+M1983+M1984</f>
        <v>76051.80909216954</v>
      </c>
      <c r="L1991" s="56">
        <f>E1991</f>
        <v>0.09</v>
      </c>
      <c r="M1991" s="53">
        <f t="shared" si="142"/>
        <v>6844.6628182952581</v>
      </c>
      <c r="O1991" s="7">
        <v>5</v>
      </c>
      <c r="P1991" s="52" t="s">
        <v>845</v>
      </c>
      <c r="Q1991" s="7"/>
      <c r="R1991" s="53">
        <f>T1959+T1982+T1983+T1984</f>
        <v>75818.527561187104</v>
      </c>
      <c r="S1991" s="56">
        <f>L1991</f>
        <v>0.09</v>
      </c>
      <c r="T1991" s="53">
        <f t="shared" si="143"/>
        <v>6823.6674805068387</v>
      </c>
      <c r="V1991" s="7">
        <v>5</v>
      </c>
      <c r="W1991" s="52" t="s">
        <v>845</v>
      </c>
      <c r="X1991" s="7"/>
      <c r="Y1991" s="53">
        <f>AA1959+AA1982+AA1983+AA1984</f>
        <v>73950.668431456012</v>
      </c>
      <c r="Z1991" s="56">
        <f>S1991</f>
        <v>0.09</v>
      </c>
      <c r="AA1991" s="53">
        <f t="shared" si="144"/>
        <v>6655.560158831041</v>
      </c>
      <c r="AB1991">
        <v>5</v>
      </c>
      <c r="AC1991" t="s">
        <v>845</v>
      </c>
      <c r="AE1991">
        <v>73950.668431455997</v>
      </c>
      <c r="AF1991">
        <v>0.09</v>
      </c>
      <c r="AG1991">
        <v>6655.5601588310401</v>
      </c>
    </row>
    <row r="1992" spans="1:33" ht="18" customHeight="1">
      <c r="A1992" s="7">
        <v>6</v>
      </c>
      <c r="B1992" s="52" t="s">
        <v>7</v>
      </c>
      <c r="C1992" s="52"/>
      <c r="D1992" s="7"/>
      <c r="E1992" s="7"/>
      <c r="F1992" s="53">
        <f>D1991+F1991</f>
        <v>81964.252164624137</v>
      </c>
      <c r="H1992" s="7">
        <v>6</v>
      </c>
      <c r="I1992" s="52" t="s">
        <v>7</v>
      </c>
      <c r="J1992" s="52"/>
      <c r="K1992" s="7"/>
      <c r="L1992" s="7"/>
      <c r="M1992" s="53">
        <f>K1991+M1991</f>
        <v>82896.471910464796</v>
      </c>
      <c r="O1992" s="7">
        <v>6</v>
      </c>
      <c r="P1992" s="52" t="s">
        <v>7</v>
      </c>
      <c r="Q1992" s="52"/>
      <c r="R1992" s="7"/>
      <c r="S1992" s="7"/>
      <c r="T1992" s="53">
        <f>R1991+T1991</f>
        <v>82642.195041693936</v>
      </c>
      <c r="V1992" s="7">
        <v>6</v>
      </c>
      <c r="W1992" s="52" t="s">
        <v>7</v>
      </c>
      <c r="X1992" s="52"/>
      <c r="Y1992" s="7"/>
      <c r="Z1992" s="7"/>
      <c r="AA1992" s="53">
        <f>Y1991+AA1991</f>
        <v>80606.22859028705</v>
      </c>
      <c r="AB1992">
        <v>6</v>
      </c>
      <c r="AC1992" t="s">
        <v>7</v>
      </c>
      <c r="AG1992">
        <v>80606.228590287094</v>
      </c>
    </row>
    <row r="1993" spans="1:33" ht="18" customHeight="1">
      <c r="A1993" s="7"/>
      <c r="B1993" s="52" t="s">
        <v>846</v>
      </c>
      <c r="C1993" s="52"/>
      <c r="D1993" s="53">
        <f>F1992</f>
        <v>81964.252164624137</v>
      </c>
      <c r="E1993" s="56">
        <f>E1952</f>
        <v>0.03</v>
      </c>
      <c r="F1993" s="53">
        <f>E1993*D1993</f>
        <v>2458.9275649387241</v>
      </c>
      <c r="H1993" s="7"/>
      <c r="I1993" s="52" t="s">
        <v>846</v>
      </c>
      <c r="J1993" s="52"/>
      <c r="K1993" s="53">
        <f>M1992</f>
        <v>82896.471910464796</v>
      </c>
      <c r="L1993" s="56">
        <f>E1993</f>
        <v>0.03</v>
      </c>
      <c r="M1993" s="53">
        <f>L1993*K1993</f>
        <v>2486.8941573139437</v>
      </c>
      <c r="O1993" s="7"/>
      <c r="P1993" s="52" t="s">
        <v>846</v>
      </c>
      <c r="Q1993" s="52"/>
      <c r="R1993" s="53">
        <f>T1992</f>
        <v>82642.195041693936</v>
      </c>
      <c r="S1993" s="56">
        <f>L1993</f>
        <v>0.03</v>
      </c>
      <c r="T1993" s="53">
        <f>S1993*R1993</f>
        <v>2479.2658512508178</v>
      </c>
      <c r="V1993" s="7"/>
      <c r="W1993" s="52" t="s">
        <v>846</v>
      </c>
      <c r="X1993" s="52"/>
      <c r="Y1993" s="53">
        <f>AA1992</f>
        <v>80606.22859028705</v>
      </c>
      <c r="Z1993" s="56">
        <f>S1993</f>
        <v>0.03</v>
      </c>
      <c r="AA1993" s="53">
        <f>Z1993*Y1993</f>
        <v>2418.1868577086116</v>
      </c>
      <c r="AC1993" t="s">
        <v>846</v>
      </c>
      <c r="AE1993">
        <v>80606.228590287094</v>
      </c>
      <c r="AF1993">
        <v>0.03</v>
      </c>
      <c r="AG1993">
        <v>2418.1868577086102</v>
      </c>
    </row>
    <row r="1994" spans="1:33" ht="18" customHeight="1">
      <c r="A1994" s="7"/>
      <c r="B1994" s="52" t="s">
        <v>44</v>
      </c>
      <c r="C1994" s="52"/>
      <c r="D1994" s="7"/>
      <c r="E1994" s="7"/>
      <c r="F1994" s="53">
        <f>SUM(F1992:F1993)</f>
        <v>84423.179729562864</v>
      </c>
      <c r="H1994" s="7"/>
      <c r="I1994" s="52" t="s">
        <v>44</v>
      </c>
      <c r="J1994" s="52"/>
      <c r="K1994" s="7"/>
      <c r="L1994" s="7"/>
      <c r="M1994" s="53">
        <f>SUM(M1992:M1993)</f>
        <v>85383.366067778741</v>
      </c>
      <c r="O1994" s="7"/>
      <c r="P1994" s="52" t="s">
        <v>44</v>
      </c>
      <c r="Q1994" s="52"/>
      <c r="R1994" s="7"/>
      <c r="S1994" s="7"/>
      <c r="T1994" s="53">
        <f>SUM(T1992:T1993)</f>
        <v>85121.460892944757</v>
      </c>
      <c r="V1994" s="7"/>
      <c r="W1994" s="52" t="s">
        <v>44</v>
      </c>
      <c r="X1994" s="52"/>
      <c r="Y1994" s="7"/>
      <c r="Z1994" s="7"/>
      <c r="AA1994" s="53">
        <f>SUM(AA1992:AA1993)</f>
        <v>83024.415447995663</v>
      </c>
      <c r="AC1994" t="s">
        <v>44</v>
      </c>
      <c r="AG1994">
        <v>83024.415447995707</v>
      </c>
    </row>
    <row r="1995" spans="1:33" ht="22.5" customHeight="1">
      <c r="A1995" s="461" t="s">
        <v>813</v>
      </c>
      <c r="B1995" s="461"/>
      <c r="C1995" s="461"/>
      <c r="D1995" s="461"/>
      <c r="E1995" s="461"/>
      <c r="F1995" s="461"/>
    </row>
    <row r="1996" spans="1:33" ht="18" customHeight="1">
      <c r="A1996" s="481" t="s">
        <v>989</v>
      </c>
      <c r="B1996" s="481"/>
      <c r="C1996" s="481"/>
      <c r="D1996" s="481"/>
      <c r="E1996" s="481"/>
      <c r="F1996" s="481"/>
    </row>
    <row r="1997" spans="1:33" ht="18" customHeight="1">
      <c r="A1997" s="46" t="s">
        <v>815</v>
      </c>
      <c r="B1997" s="49">
        <v>3053</v>
      </c>
      <c r="D1997" s="46"/>
      <c r="E1997" s="47" t="s">
        <v>169</v>
      </c>
      <c r="F1997" s="49" t="s">
        <v>869</v>
      </c>
    </row>
    <row r="1998" spans="1:33" ht="18" customHeight="1">
      <c r="A1998" s="7" t="s">
        <v>817</v>
      </c>
      <c r="B1998" s="458"/>
      <c r="C1998" s="459"/>
      <c r="D1998" s="459"/>
      <c r="E1998" s="459"/>
      <c r="F1998" s="460"/>
    </row>
    <row r="1999" spans="1:33" ht="18" customHeight="1">
      <c r="A1999" s="7" t="s">
        <v>1</v>
      </c>
      <c r="B1999" s="52" t="s">
        <v>344</v>
      </c>
      <c r="C1999" s="7" t="s">
        <v>818</v>
      </c>
      <c r="D1999" s="7" t="s">
        <v>819</v>
      </c>
      <c r="E1999" s="7" t="s">
        <v>820</v>
      </c>
      <c r="F1999" s="7" t="s">
        <v>821</v>
      </c>
    </row>
    <row r="2000" spans="1:33" ht="18" customHeight="1">
      <c r="A2000" s="7">
        <v>1</v>
      </c>
      <c r="B2000" s="52" t="s">
        <v>822</v>
      </c>
      <c r="C2000" s="7"/>
      <c r="D2000" s="7"/>
      <c r="E2000" s="7"/>
      <c r="F2000" s="53">
        <f>F2001+F2021+F2022</f>
        <v>52679.478909642174</v>
      </c>
    </row>
    <row r="2001" spans="1:6" ht="18" customHeight="1">
      <c r="A2001" s="7">
        <v>1.1000000000000001</v>
      </c>
      <c r="B2001" s="52" t="s">
        <v>823</v>
      </c>
      <c r="C2001" s="7"/>
      <c r="D2001" s="7"/>
      <c r="E2001" s="7"/>
      <c r="F2001" s="53">
        <f>F2002+F2005+F2013+F2019+F2020</f>
        <v>50266.678348895206</v>
      </c>
    </row>
    <row r="2002" spans="1:6" ht="18" customHeight="1">
      <c r="A2002" s="7" t="s">
        <v>47</v>
      </c>
      <c r="B2002" s="52" t="s">
        <v>176</v>
      </c>
      <c r="C2002" s="7"/>
      <c r="D2002" s="7"/>
      <c r="E2002" s="7"/>
      <c r="F2002" s="53">
        <f>F2003+F2004</f>
        <v>9046.2189999999991</v>
      </c>
    </row>
    <row r="2003" spans="1:6" ht="18" customHeight="1">
      <c r="A2003" s="7"/>
      <c r="B2003" s="52" t="s">
        <v>824</v>
      </c>
      <c r="C2003" s="7" t="s">
        <v>825</v>
      </c>
      <c r="D2003" s="7">
        <v>8.1</v>
      </c>
      <c r="E2003" s="7">
        <v>855.6</v>
      </c>
      <c r="F2003" s="53">
        <f>D2003*E2003</f>
        <v>6930.36</v>
      </c>
    </row>
    <row r="2004" spans="1:6" ht="18" customHeight="1">
      <c r="A2004" s="7"/>
      <c r="B2004" s="52" t="s">
        <v>826</v>
      </c>
      <c r="C2004" s="7" t="s">
        <v>825</v>
      </c>
      <c r="D2004" s="7">
        <v>5.77</v>
      </c>
      <c r="E2004" s="7">
        <v>366.7</v>
      </c>
      <c r="F2004" s="53">
        <f>D2004*E2004</f>
        <v>2115.8589999999999</v>
      </c>
    </row>
    <row r="2005" spans="1:6" ht="18" customHeight="1">
      <c r="A2005" s="7" t="s">
        <v>57</v>
      </c>
      <c r="B2005" s="52" t="s">
        <v>177</v>
      </c>
      <c r="C2005" s="7"/>
      <c r="D2005" s="7"/>
      <c r="E2005" s="7"/>
      <c r="F2005" s="53">
        <f>SUM(F2006:F2012)</f>
        <v>35596.053663240964</v>
      </c>
    </row>
    <row r="2006" spans="1:6" ht="18" customHeight="1">
      <c r="A2006" s="7"/>
      <c r="B2006" s="52" t="s">
        <v>985</v>
      </c>
      <c r="C2006" s="7" t="s">
        <v>871</v>
      </c>
      <c r="D2006" s="66">
        <f>F1672/100</f>
        <v>348.33165306218308</v>
      </c>
      <c r="E2006" s="7">
        <v>90</v>
      </c>
      <c r="F2006" s="53">
        <f t="shared" ref="F2006:F2011" si="149">D2006*E2006</f>
        <v>31349.848775596478</v>
      </c>
    </row>
    <row r="2007" spans="1:6" ht="18" customHeight="1">
      <c r="A2007" s="7"/>
      <c r="B2007" s="52" t="s">
        <v>971</v>
      </c>
      <c r="C2007" s="7" t="s">
        <v>844</v>
      </c>
      <c r="D2007" s="7">
        <v>8</v>
      </c>
      <c r="E2007" s="7">
        <v>0</v>
      </c>
      <c r="F2007" s="53">
        <f t="shared" si="149"/>
        <v>0</v>
      </c>
    </row>
    <row r="2008" spans="1:6" ht="18" customHeight="1">
      <c r="A2008" s="7"/>
      <c r="B2008" s="52" t="s">
        <v>972</v>
      </c>
      <c r="C2008" s="7" t="s">
        <v>844</v>
      </c>
      <c r="D2008" s="7">
        <v>8</v>
      </c>
      <c r="E2008" s="7">
        <v>0</v>
      </c>
      <c r="F2008" s="53">
        <f t="shared" si="149"/>
        <v>0</v>
      </c>
    </row>
    <row r="2009" spans="1:6" ht="18" customHeight="1">
      <c r="A2009" s="7"/>
      <c r="B2009" s="52" t="s">
        <v>876</v>
      </c>
      <c r="C2009" s="7" t="s">
        <v>844</v>
      </c>
      <c r="D2009" s="7">
        <v>7.5</v>
      </c>
      <c r="E2009" s="7">
        <v>0</v>
      </c>
      <c r="F2009" s="53">
        <f t="shared" si="149"/>
        <v>0</v>
      </c>
    </row>
    <row r="2010" spans="1:6" ht="18" customHeight="1">
      <c r="A2010" s="7"/>
      <c r="B2010" s="52" t="s">
        <v>987</v>
      </c>
      <c r="C2010" s="7" t="s">
        <v>871</v>
      </c>
      <c r="D2010" s="66">
        <f>砼配合!J14</f>
        <v>171.692409</v>
      </c>
      <c r="E2010" s="7">
        <v>23.7</v>
      </c>
      <c r="F2010" s="53">
        <f t="shared" si="149"/>
        <v>4069.1100932999998</v>
      </c>
    </row>
    <row r="2011" spans="1:6" ht="18" customHeight="1">
      <c r="A2011" s="7"/>
      <c r="B2011" s="52" t="s">
        <v>975</v>
      </c>
      <c r="C2011" s="7" t="s">
        <v>871</v>
      </c>
      <c r="D2011" s="66">
        <f>砼配合!J32</f>
        <v>144.59654</v>
      </c>
      <c r="E2011" s="7">
        <v>0</v>
      </c>
      <c r="F2011" s="53">
        <f t="shared" si="149"/>
        <v>0</v>
      </c>
    </row>
    <row r="2012" spans="1:6" ht="18" customHeight="1">
      <c r="A2012" s="7"/>
      <c r="B2012" s="52" t="s">
        <v>833</v>
      </c>
      <c r="C2012" s="7" t="s">
        <v>834</v>
      </c>
      <c r="D2012" s="66">
        <f>SUM(F2006:F2011)</f>
        <v>35418.95886889648</v>
      </c>
      <c r="E2012" s="7">
        <v>0.5</v>
      </c>
      <c r="F2012" s="53">
        <f>D2012*E2012/100</f>
        <v>177.09479434448241</v>
      </c>
    </row>
    <row r="2013" spans="1:6" ht="18" customHeight="1">
      <c r="A2013" s="7" t="s">
        <v>835</v>
      </c>
      <c r="B2013" s="52" t="s">
        <v>836</v>
      </c>
      <c r="C2013" s="7"/>
      <c r="D2013" s="7"/>
      <c r="E2013" s="7"/>
      <c r="F2013" s="53">
        <f>SUM(F2014:F2018)</f>
        <v>179.56706004700357</v>
      </c>
    </row>
    <row r="2014" spans="1:6" ht="18" customHeight="1">
      <c r="A2014" s="7"/>
      <c r="B2014" s="52" t="s">
        <v>881</v>
      </c>
      <c r="C2014" s="7" t="s">
        <v>863</v>
      </c>
      <c r="D2014" s="66">
        <f>施工机械台时汇总!$C$40</f>
        <v>15.582226792009401</v>
      </c>
      <c r="E2014" s="7">
        <v>0</v>
      </c>
      <c r="F2014" s="53">
        <f>D2014*E2014</f>
        <v>0</v>
      </c>
    </row>
    <row r="2015" spans="1:6" ht="18" customHeight="1">
      <c r="A2015" s="7"/>
      <c r="B2015" s="52" t="s">
        <v>976</v>
      </c>
      <c r="C2015" s="7" t="s">
        <v>863</v>
      </c>
      <c r="D2015" s="66">
        <f>施工机械台时汇总!$C$57</f>
        <v>62.128971797884901</v>
      </c>
      <c r="E2015" s="7">
        <v>0</v>
      </c>
      <c r="F2015" s="53">
        <f>D2015*E2015</f>
        <v>0</v>
      </c>
    </row>
    <row r="2016" spans="1:6" ht="18" customHeight="1">
      <c r="A2016" s="7"/>
      <c r="B2016" s="52" t="s">
        <v>882</v>
      </c>
      <c r="C2016" s="7" t="s">
        <v>863</v>
      </c>
      <c r="D2016" s="66">
        <f>施工机械台时汇总!$C$21</f>
        <v>28.129680376028197</v>
      </c>
      <c r="E2016" s="7">
        <v>2.95</v>
      </c>
      <c r="F2016" s="53">
        <f>D2016*E2016</f>
        <v>82.982557109283192</v>
      </c>
    </row>
    <row r="2017" spans="1:6" ht="18" customHeight="1">
      <c r="A2017" s="7"/>
      <c r="B2017" s="52" t="s">
        <v>407</v>
      </c>
      <c r="C2017" s="7" t="s">
        <v>863</v>
      </c>
      <c r="D2017" s="7">
        <f>施工机械台时汇总!$C$19</f>
        <v>0.80266353309831595</v>
      </c>
      <c r="E2017" s="7">
        <v>120.33</v>
      </c>
      <c r="F2017" s="53">
        <f>D2017*E2017</f>
        <v>96.584502937720359</v>
      </c>
    </row>
    <row r="2018" spans="1:6" ht="18" customHeight="1">
      <c r="A2018" s="7"/>
      <c r="B2018" s="52" t="s">
        <v>840</v>
      </c>
      <c r="C2018" s="7" t="s">
        <v>834</v>
      </c>
      <c r="D2018" s="66">
        <f>SUM(F2014:F2017)</f>
        <v>179.56706004700357</v>
      </c>
      <c r="E2018" s="7">
        <v>0</v>
      </c>
      <c r="F2018" s="53">
        <f>D2018*E2018/100</f>
        <v>0</v>
      </c>
    </row>
    <row r="2019" spans="1:6" ht="18" customHeight="1">
      <c r="A2019" s="7" t="s">
        <v>884</v>
      </c>
      <c r="B2019" s="52" t="s">
        <v>246</v>
      </c>
      <c r="C2019" s="7" t="s">
        <v>871</v>
      </c>
      <c r="D2019" s="66">
        <f>F2085/100</f>
        <v>60.498206951191548</v>
      </c>
      <c r="E2019" s="7">
        <f>E2006</f>
        <v>90</v>
      </c>
      <c r="F2019" s="53">
        <f>D2019*E2019</f>
        <v>5444.838625607239</v>
      </c>
    </row>
    <row r="2020" spans="1:6" ht="18" customHeight="1">
      <c r="A2020" s="7"/>
      <c r="B2020" s="52"/>
      <c r="C2020" s="7"/>
      <c r="D2020" s="7"/>
      <c r="E2020" s="7"/>
      <c r="F2020" s="53"/>
    </row>
    <row r="2021" spans="1:6" ht="18" customHeight="1">
      <c r="A2021" s="7">
        <v>1.2</v>
      </c>
      <c r="B2021" s="52" t="s">
        <v>841</v>
      </c>
      <c r="C2021" s="7"/>
      <c r="D2021" s="53">
        <f>F2001</f>
        <v>50266.678348895206</v>
      </c>
      <c r="E2021" s="56">
        <f>E1980</f>
        <v>4.8000000000000001E-2</v>
      </c>
      <c r="F2021" s="53">
        <f>D2021*E2021</f>
        <v>2412.8005607469699</v>
      </c>
    </row>
    <row r="2022" spans="1:6" ht="18" customHeight="1">
      <c r="A2022" s="7">
        <v>1.3</v>
      </c>
      <c r="B2022" s="52" t="s">
        <v>842</v>
      </c>
      <c r="C2022" s="7"/>
      <c r="D2022" s="53">
        <f>F2001</f>
        <v>50266.678348895206</v>
      </c>
      <c r="E2022" s="56">
        <f>E1981</f>
        <v>0</v>
      </c>
      <c r="F2022" s="53">
        <f>D2022*E2022</f>
        <v>0</v>
      </c>
    </row>
    <row r="2023" spans="1:6" ht="18" customHeight="1">
      <c r="A2023" s="7">
        <v>2</v>
      </c>
      <c r="B2023" s="52" t="s">
        <v>182</v>
      </c>
      <c r="C2023" s="7"/>
      <c r="D2023" s="53">
        <f>F2000</f>
        <v>52679.478909642174</v>
      </c>
      <c r="E2023" s="56">
        <f>E1982</f>
        <v>7.0000000000000007E-2</v>
      </c>
      <c r="F2023" s="53">
        <f>D2023*E2023</f>
        <v>3687.5635236749526</v>
      </c>
    </row>
    <row r="2024" spans="1:6" ht="18" customHeight="1">
      <c r="A2024" s="7">
        <v>3</v>
      </c>
      <c r="B2024" s="52" t="s">
        <v>843</v>
      </c>
      <c r="C2024" s="7"/>
      <c r="D2024" s="53">
        <f>F2023+F2000</f>
        <v>56367.042433317125</v>
      </c>
      <c r="E2024" s="56">
        <f>E1983</f>
        <v>7.0000000000000007E-2</v>
      </c>
      <c r="F2024" s="53">
        <f>D2024*E2024</f>
        <v>3945.6929703321989</v>
      </c>
    </row>
    <row r="2025" spans="1:6" ht="18" customHeight="1">
      <c r="A2025" s="7">
        <v>4</v>
      </c>
      <c r="B2025" s="52" t="s">
        <v>184</v>
      </c>
      <c r="C2025" s="7"/>
      <c r="D2025" s="7"/>
      <c r="E2025" s="7"/>
      <c r="F2025" s="53">
        <f>SUM(F2026:F2031)</f>
        <v>6688.4325067268355</v>
      </c>
    </row>
    <row r="2026" spans="1:6" ht="18" customHeight="1">
      <c r="A2026" s="7"/>
      <c r="B2026" s="52" t="s">
        <v>354</v>
      </c>
      <c r="C2026" s="7" t="s">
        <v>88</v>
      </c>
      <c r="D2026" s="7">
        <f t="shared" ref="D2026:D2031" si="150">D1985</f>
        <v>116.41515</v>
      </c>
      <c r="E2026" s="77">
        <f>E2006*1.02*砼配合!I15+砼单价!E2010*砼配合!I15</f>
        <v>35.481253500000001</v>
      </c>
      <c r="F2026" s="53">
        <f t="shared" ref="F2026:F2032" si="151">D2026*E2026</f>
        <v>4130.5554483905253</v>
      </c>
    </row>
    <row r="2027" spans="1:6" ht="18" customHeight="1">
      <c r="A2027" s="7"/>
      <c r="B2027" s="52" t="s">
        <v>507</v>
      </c>
      <c r="C2027" s="7" t="s">
        <v>871</v>
      </c>
      <c r="D2027" s="66">
        <f t="shared" si="150"/>
        <v>4.6598683999999899</v>
      </c>
      <c r="E2027" s="77">
        <f>E2006*1.02*砼配合!I16+砼单价!E2010*砼配合!I16</f>
        <v>55.724130000000002</v>
      </c>
      <c r="F2027" s="53">
        <f t="shared" si="151"/>
        <v>259.66711250449146</v>
      </c>
    </row>
    <row r="2028" spans="1:6" ht="18" customHeight="1">
      <c r="A2028" s="7"/>
      <c r="B2028" s="52" t="s">
        <v>509</v>
      </c>
      <c r="C2028" s="7" t="s">
        <v>871</v>
      </c>
      <c r="D2028" s="66">
        <f t="shared" si="150"/>
        <v>6.2457299999999902</v>
      </c>
      <c r="E2028" s="77">
        <f>E2006*1.02*砼配合!I17+砼单价!E2010*砼配合!I17</f>
        <v>97.184933999999998</v>
      </c>
      <c r="F2028" s="53">
        <f t="shared" si="151"/>
        <v>606.99085783181908</v>
      </c>
    </row>
    <row r="2029" spans="1:6" ht="18" customHeight="1">
      <c r="A2029" s="7"/>
      <c r="B2029" s="52" t="s">
        <v>506</v>
      </c>
      <c r="C2029" s="7" t="s">
        <v>871</v>
      </c>
      <c r="D2029" s="7">
        <f t="shared" si="150"/>
        <v>0</v>
      </c>
      <c r="E2029" s="77">
        <v>0</v>
      </c>
      <c r="F2029" s="53">
        <f t="shared" si="151"/>
        <v>0</v>
      </c>
    </row>
    <row r="2030" spans="1:6" ht="18" customHeight="1">
      <c r="A2030" s="7"/>
      <c r="B2030" s="52" t="s">
        <v>515</v>
      </c>
      <c r="C2030" s="7" t="s">
        <v>844</v>
      </c>
      <c r="D2030" s="7">
        <f t="shared" si="150"/>
        <v>4.7450000000000001</v>
      </c>
      <c r="E2030" s="77">
        <f>E1698*0.9</f>
        <v>10.368000000000002</v>
      </c>
      <c r="F2030" s="53">
        <f t="shared" si="151"/>
        <v>49.196160000000013</v>
      </c>
    </row>
    <row r="2031" spans="1:6" ht="18" customHeight="1">
      <c r="A2031" s="7"/>
      <c r="B2031" s="52" t="s">
        <v>516</v>
      </c>
      <c r="C2031" s="7" t="s">
        <v>844</v>
      </c>
      <c r="D2031" s="7">
        <f t="shared" si="150"/>
        <v>3.51</v>
      </c>
      <c r="E2031" s="66">
        <f>E2103*0.9</f>
        <v>467.81279999999992</v>
      </c>
      <c r="F2031" s="53">
        <f t="shared" si="151"/>
        <v>1642.0229279999996</v>
      </c>
    </row>
    <row r="2032" spans="1:6" ht="18" customHeight="1">
      <c r="A2032" s="7">
        <v>5</v>
      </c>
      <c r="B2032" s="52" t="s">
        <v>845</v>
      </c>
      <c r="C2032" s="7"/>
      <c r="D2032" s="53">
        <f>F2000+F2023+F2024+F2025</f>
        <v>67001.167910376156</v>
      </c>
      <c r="E2032" s="56">
        <f>E1991</f>
        <v>0.09</v>
      </c>
      <c r="F2032" s="53">
        <f t="shared" si="151"/>
        <v>6030.1051119338535</v>
      </c>
    </row>
    <row r="2033" spans="1:6" ht="18" customHeight="1">
      <c r="A2033" s="7">
        <v>6</v>
      </c>
      <c r="B2033" s="52" t="s">
        <v>7</v>
      </c>
      <c r="C2033" s="52"/>
      <c r="D2033" s="7"/>
      <c r="E2033" s="7"/>
      <c r="F2033" s="53">
        <f>D2032+F2032</f>
        <v>73031.273022310008</v>
      </c>
    </row>
    <row r="2034" spans="1:6" ht="18" customHeight="1">
      <c r="A2034" s="7"/>
      <c r="B2034" s="52" t="s">
        <v>846</v>
      </c>
      <c r="C2034" s="52"/>
      <c r="D2034" s="53">
        <f>F2033</f>
        <v>73031.273022310008</v>
      </c>
      <c r="E2034" s="56">
        <f>E1993</f>
        <v>0.03</v>
      </c>
      <c r="F2034" s="53">
        <f>E2034*D2034</f>
        <v>2190.9381906693002</v>
      </c>
    </row>
    <row r="2035" spans="1:6" ht="18" customHeight="1">
      <c r="A2035" s="7"/>
      <c r="B2035" s="52" t="s">
        <v>44</v>
      </c>
      <c r="C2035" s="52"/>
      <c r="D2035" s="7"/>
      <c r="E2035" s="7"/>
      <c r="F2035" s="53">
        <f>SUM(F2033:F2034)</f>
        <v>75222.211212979309</v>
      </c>
    </row>
    <row r="2036" spans="1:6" ht="22.5" customHeight="1">
      <c r="A2036" s="461" t="s">
        <v>813</v>
      </c>
      <c r="B2036" s="461"/>
      <c r="C2036" s="461"/>
      <c r="D2036" s="461"/>
      <c r="E2036" s="461"/>
      <c r="F2036" s="461"/>
    </row>
    <row r="2037" spans="1:6" ht="18" customHeight="1">
      <c r="A2037" s="481" t="s">
        <v>990</v>
      </c>
      <c r="B2037" s="481"/>
      <c r="C2037" s="481"/>
      <c r="D2037" s="481"/>
      <c r="E2037" s="481"/>
      <c r="F2037" s="481"/>
    </row>
    <row r="2038" spans="1:6" ht="18" customHeight="1">
      <c r="A2038" s="46" t="s">
        <v>815</v>
      </c>
      <c r="B2038" s="49">
        <v>4213</v>
      </c>
      <c r="D2038" s="46"/>
      <c r="E2038" s="47" t="s">
        <v>169</v>
      </c>
      <c r="F2038" s="49" t="s">
        <v>869</v>
      </c>
    </row>
    <row r="2039" spans="1:6" ht="18" customHeight="1">
      <c r="A2039" s="7" t="s">
        <v>817</v>
      </c>
      <c r="B2039" s="458"/>
      <c r="C2039" s="459"/>
      <c r="D2039" s="459"/>
      <c r="E2039" s="459"/>
      <c r="F2039" s="460"/>
    </row>
    <row r="2040" spans="1:6" ht="18" customHeight="1">
      <c r="A2040" s="7" t="s">
        <v>1</v>
      </c>
      <c r="B2040" s="52" t="s">
        <v>344</v>
      </c>
      <c r="C2040" s="7" t="s">
        <v>818</v>
      </c>
      <c r="D2040" s="7" t="s">
        <v>819</v>
      </c>
      <c r="E2040" s="7" t="s">
        <v>820</v>
      </c>
      <c r="F2040" s="7" t="s">
        <v>821</v>
      </c>
    </row>
    <row r="2041" spans="1:6" ht="18" customHeight="1">
      <c r="A2041" s="7">
        <v>1</v>
      </c>
      <c r="B2041" s="52" t="s">
        <v>822</v>
      </c>
      <c r="C2041" s="7"/>
      <c r="D2041" s="7"/>
      <c r="E2041" s="7"/>
      <c r="F2041" s="53">
        <f>F2042+F2064+F2065</f>
        <v>68013.497205925494</v>
      </c>
    </row>
    <row r="2042" spans="1:6" ht="18" customHeight="1">
      <c r="A2042" s="7">
        <v>1.1000000000000001</v>
      </c>
      <c r="B2042" s="52" t="s">
        <v>823</v>
      </c>
      <c r="C2042" s="7"/>
      <c r="D2042" s="7"/>
      <c r="E2042" s="7"/>
      <c r="F2042" s="53">
        <f>F2043+F2046+F2056+F2062+F2063</f>
        <v>64898.375196493798</v>
      </c>
    </row>
    <row r="2043" spans="1:6" ht="18" customHeight="1">
      <c r="A2043" s="7" t="s">
        <v>47</v>
      </c>
      <c r="B2043" s="52" t="s">
        <v>176</v>
      </c>
      <c r="C2043" s="7"/>
      <c r="D2043" s="7"/>
      <c r="E2043" s="7"/>
      <c r="F2043" s="53">
        <f>F2044+F2045</f>
        <v>9130.32</v>
      </c>
    </row>
    <row r="2044" spans="1:6" ht="18" customHeight="1">
      <c r="A2044" s="7"/>
      <c r="B2044" s="52" t="s">
        <v>824</v>
      </c>
      <c r="C2044" s="7" t="s">
        <v>825</v>
      </c>
      <c r="D2044" s="7">
        <v>8.1</v>
      </c>
      <c r="E2044" s="7">
        <v>1127.2</v>
      </c>
      <c r="F2044" s="53">
        <f>D2044*E2044</f>
        <v>9130.32</v>
      </c>
    </row>
    <row r="2045" spans="1:6" ht="18" customHeight="1">
      <c r="A2045" s="7"/>
      <c r="B2045" s="52" t="s">
        <v>826</v>
      </c>
      <c r="C2045" s="7" t="s">
        <v>825</v>
      </c>
      <c r="D2045" s="7">
        <v>5.77</v>
      </c>
      <c r="E2045" s="7">
        <v>0</v>
      </c>
      <c r="F2045" s="53">
        <f>D2045*E2045</f>
        <v>0</v>
      </c>
    </row>
    <row r="2046" spans="1:6" ht="18" customHeight="1">
      <c r="A2046" s="7" t="s">
        <v>57</v>
      </c>
      <c r="B2046" s="52" t="s">
        <v>177</v>
      </c>
      <c r="C2046" s="7"/>
      <c r="D2046" s="7"/>
      <c r="E2046" s="7"/>
      <c r="F2046" s="53">
        <f>SUM(F2047:F2055)</f>
        <v>48238.482723282985</v>
      </c>
    </row>
    <row r="2047" spans="1:6" ht="18" customHeight="1">
      <c r="A2047" s="7"/>
      <c r="B2047" s="52" t="s">
        <v>870</v>
      </c>
      <c r="C2047" s="7" t="s">
        <v>871</v>
      </c>
      <c r="D2047" s="66">
        <f>D1924</f>
        <v>1874.0778</v>
      </c>
      <c r="E2047" s="7">
        <v>0.82</v>
      </c>
      <c r="F2047" s="53">
        <f t="shared" ref="F2047:F2054" si="152">D2047*E2047</f>
        <v>1536.743796</v>
      </c>
    </row>
    <row r="2048" spans="1:6" ht="18" customHeight="1">
      <c r="A2048" s="7"/>
      <c r="B2048" s="52" t="s">
        <v>971</v>
      </c>
      <c r="C2048" s="7" t="s">
        <v>844</v>
      </c>
      <c r="D2048" s="7">
        <v>4.5</v>
      </c>
      <c r="E2048" s="7">
        <v>264.3</v>
      </c>
      <c r="F2048" s="53">
        <f t="shared" si="152"/>
        <v>1189.3500000000001</v>
      </c>
    </row>
    <row r="2049" spans="1:6" ht="18" customHeight="1">
      <c r="A2049" s="7"/>
      <c r="B2049" s="52" t="s">
        <v>972</v>
      </c>
      <c r="C2049" s="7" t="s">
        <v>844</v>
      </c>
      <c r="D2049" s="7">
        <v>8</v>
      </c>
      <c r="E2049" s="7">
        <v>0</v>
      </c>
      <c r="F2049" s="53">
        <f t="shared" si="152"/>
        <v>0</v>
      </c>
    </row>
    <row r="2050" spans="1:6" ht="18" customHeight="1">
      <c r="A2050" s="7"/>
      <c r="B2050" s="52" t="s">
        <v>876</v>
      </c>
      <c r="C2050" s="7" t="s">
        <v>844</v>
      </c>
      <c r="D2050" s="7">
        <v>7.5</v>
      </c>
      <c r="E2050" s="7">
        <v>153.1</v>
      </c>
      <c r="F2050" s="53">
        <f t="shared" si="152"/>
        <v>1148.25</v>
      </c>
    </row>
    <row r="2051" spans="1:6" ht="18" customHeight="1">
      <c r="A2051" s="7"/>
      <c r="B2051" s="52" t="s">
        <v>991</v>
      </c>
      <c r="C2051" s="7" t="s">
        <v>871</v>
      </c>
      <c r="D2051" s="66">
        <f>F1710/100</f>
        <v>426.64946001397993</v>
      </c>
      <c r="E2051" s="7">
        <v>100</v>
      </c>
      <c r="F2051" s="53">
        <f t="shared" si="152"/>
        <v>42664.946001397991</v>
      </c>
    </row>
    <row r="2052" spans="1:6" ht="18" customHeight="1">
      <c r="A2052" s="7"/>
      <c r="B2052" s="52" t="s">
        <v>987</v>
      </c>
      <c r="C2052" s="7" t="s">
        <v>871</v>
      </c>
      <c r="D2052" s="66">
        <f>砼配合!J14</f>
        <v>171.692409</v>
      </c>
      <c r="E2052" s="7">
        <v>6.4</v>
      </c>
      <c r="F2052" s="53">
        <f t="shared" si="152"/>
        <v>1098.8314176000001</v>
      </c>
    </row>
    <row r="2053" spans="1:6" ht="18" customHeight="1">
      <c r="A2053" s="7"/>
      <c r="B2053" s="52" t="s">
        <v>975</v>
      </c>
      <c r="C2053" s="7" t="s">
        <v>871</v>
      </c>
      <c r="D2053" s="66">
        <f>砼配合!J32</f>
        <v>144.59654</v>
      </c>
      <c r="E2053" s="7">
        <v>2.2999999999999998</v>
      </c>
      <c r="F2053" s="53">
        <f t="shared" si="152"/>
        <v>332.57204200000001</v>
      </c>
    </row>
    <row r="2054" spans="1:6" ht="18" customHeight="1">
      <c r="A2054" s="7"/>
      <c r="B2054" s="52" t="s">
        <v>806</v>
      </c>
      <c r="C2054" s="7" t="s">
        <v>871</v>
      </c>
      <c r="D2054" s="66">
        <f>D1763</f>
        <v>3.88</v>
      </c>
      <c r="E2054" s="7">
        <v>7.2</v>
      </c>
      <c r="F2054" s="53">
        <f t="shared" si="152"/>
        <v>27.936</v>
      </c>
    </row>
    <row r="2055" spans="1:6" ht="18" customHeight="1">
      <c r="A2055" s="7"/>
      <c r="B2055" s="52" t="s">
        <v>833</v>
      </c>
      <c r="C2055" s="7" t="s">
        <v>834</v>
      </c>
      <c r="D2055" s="66">
        <f>SUM(F2047:F2053)</f>
        <v>47970.693256997991</v>
      </c>
      <c r="E2055" s="7">
        <v>0.5</v>
      </c>
      <c r="F2055" s="53">
        <f>D2055*E2055/100</f>
        <v>239.85346628498996</v>
      </c>
    </row>
    <row r="2056" spans="1:6" ht="18" customHeight="1">
      <c r="A2056" s="7" t="s">
        <v>835</v>
      </c>
      <c r="B2056" s="52" t="s">
        <v>836</v>
      </c>
      <c r="C2056" s="7"/>
      <c r="D2056" s="7"/>
      <c r="E2056" s="7"/>
      <c r="F2056" s="53">
        <f>SUM(F2057:F2061)</f>
        <v>1479.7517780916569</v>
      </c>
    </row>
    <row r="2057" spans="1:6" ht="18" customHeight="1">
      <c r="A2057" s="7"/>
      <c r="B2057" s="52" t="s">
        <v>881</v>
      </c>
      <c r="C2057" s="7" t="s">
        <v>863</v>
      </c>
      <c r="D2057" s="66">
        <f>施工机械台时汇总!$C$40</f>
        <v>15.582226792009401</v>
      </c>
      <c r="E2057" s="7">
        <v>82.5</v>
      </c>
      <c r="F2057" s="53">
        <f>D2057*E2057</f>
        <v>1285.5337103407755</v>
      </c>
    </row>
    <row r="2058" spans="1:6" ht="18" customHeight="1">
      <c r="A2058" s="7"/>
      <c r="B2058" s="52" t="s">
        <v>976</v>
      </c>
      <c r="C2058" s="7" t="s">
        <v>863</v>
      </c>
      <c r="D2058" s="66">
        <f>施工机械台时汇总!$C$57</f>
        <v>62.128971797884901</v>
      </c>
      <c r="E2058" s="7">
        <v>0</v>
      </c>
      <c r="F2058" s="53">
        <f>D2058*E2058</f>
        <v>0</v>
      </c>
    </row>
    <row r="2059" spans="1:6" ht="18" customHeight="1">
      <c r="A2059" s="7"/>
      <c r="B2059" s="52" t="s">
        <v>882</v>
      </c>
      <c r="C2059" s="7" t="s">
        <v>863</v>
      </c>
      <c r="D2059" s="66">
        <f>施工机械台时汇总!$C$21</f>
        <v>28.129680376028197</v>
      </c>
      <c r="E2059" s="7">
        <v>2.95</v>
      </c>
      <c r="F2059" s="53">
        <f>D2059*E2059</f>
        <v>82.982557109283192</v>
      </c>
    </row>
    <row r="2060" spans="1:6" ht="18" customHeight="1">
      <c r="A2060" s="7"/>
      <c r="B2060" s="52" t="s">
        <v>407</v>
      </c>
      <c r="C2060" s="7" t="s">
        <v>863</v>
      </c>
      <c r="D2060" s="7">
        <f>施工机械台时汇总!$C$19</f>
        <v>0.80266353309831595</v>
      </c>
      <c r="E2060" s="7">
        <v>120.33</v>
      </c>
      <c r="F2060" s="53">
        <f>D2060*E2060</f>
        <v>96.584502937720359</v>
      </c>
    </row>
    <row r="2061" spans="1:6" ht="18" customHeight="1">
      <c r="A2061" s="7"/>
      <c r="B2061" s="52" t="s">
        <v>840</v>
      </c>
      <c r="C2061" s="7" t="s">
        <v>834</v>
      </c>
      <c r="D2061" s="66">
        <f>SUM(F2057:F2060)</f>
        <v>1465.100770387779</v>
      </c>
      <c r="E2061" s="7">
        <v>1</v>
      </c>
      <c r="F2061" s="53">
        <f>D2061*E2061/100</f>
        <v>14.65100770387779</v>
      </c>
    </row>
    <row r="2062" spans="1:6" ht="18" customHeight="1">
      <c r="A2062" s="7" t="s">
        <v>884</v>
      </c>
      <c r="B2062" s="52" t="s">
        <v>992</v>
      </c>
      <c r="C2062" s="7" t="s">
        <v>871</v>
      </c>
      <c r="D2062" s="66">
        <f>F2085/100</f>
        <v>60.498206951191548</v>
      </c>
      <c r="E2062" s="7">
        <v>100</v>
      </c>
      <c r="F2062" s="53">
        <f>D2062*E2062</f>
        <v>6049.8206951191551</v>
      </c>
    </row>
    <row r="2063" spans="1:6" ht="18" customHeight="1">
      <c r="A2063" s="7"/>
      <c r="B2063" s="52"/>
      <c r="C2063" s="7"/>
      <c r="D2063" s="7"/>
      <c r="E2063" s="7"/>
      <c r="F2063" s="53"/>
    </row>
    <row r="2064" spans="1:6" ht="18" customHeight="1">
      <c r="A2064" s="7">
        <v>1.2</v>
      </c>
      <c r="B2064" s="52" t="s">
        <v>841</v>
      </c>
      <c r="C2064" s="7"/>
      <c r="D2064" s="53">
        <f>F2042</f>
        <v>64898.375196493798</v>
      </c>
      <c r="E2064" s="56">
        <f>E2021</f>
        <v>4.8000000000000001E-2</v>
      </c>
      <c r="F2064" s="53">
        <f>D2064*E2064</f>
        <v>3115.1220094317023</v>
      </c>
    </row>
    <row r="2065" spans="1:6" ht="18" customHeight="1">
      <c r="A2065" s="7">
        <v>1.3</v>
      </c>
      <c r="B2065" s="52" t="s">
        <v>842</v>
      </c>
      <c r="C2065" s="7"/>
      <c r="D2065" s="53">
        <f>F2042</f>
        <v>64898.375196493798</v>
      </c>
      <c r="E2065" s="56">
        <f>E2022</f>
        <v>0</v>
      </c>
      <c r="F2065" s="53">
        <f>D2065*E2065</f>
        <v>0</v>
      </c>
    </row>
    <row r="2066" spans="1:6" ht="18" customHeight="1">
      <c r="A2066" s="7">
        <v>2</v>
      </c>
      <c r="B2066" s="52" t="s">
        <v>182</v>
      </c>
      <c r="C2066" s="7"/>
      <c r="D2066" s="53">
        <f>F2041</f>
        <v>68013.497205925494</v>
      </c>
      <c r="E2066" s="56">
        <f>E2023</f>
        <v>7.0000000000000007E-2</v>
      </c>
      <c r="F2066" s="53">
        <f>D2066*E2066</f>
        <v>4760.9448044147848</v>
      </c>
    </row>
    <row r="2067" spans="1:6" ht="18" customHeight="1">
      <c r="A2067" s="7">
        <v>3</v>
      </c>
      <c r="B2067" s="52" t="s">
        <v>843</v>
      </c>
      <c r="C2067" s="7"/>
      <c r="D2067" s="53">
        <f>F2066+F2041</f>
        <v>72774.442010340281</v>
      </c>
      <c r="E2067" s="56">
        <f>E2024</f>
        <v>7.0000000000000007E-2</v>
      </c>
      <c r="F2067" s="53">
        <f>D2067*E2067</f>
        <v>5094.2109407238204</v>
      </c>
    </row>
    <row r="2068" spans="1:6" ht="18" customHeight="1">
      <c r="A2068" s="7">
        <v>4</v>
      </c>
      <c r="B2068" s="52" t="s">
        <v>184</v>
      </c>
      <c r="C2068" s="7"/>
      <c r="D2068" s="7"/>
      <c r="E2068" s="7"/>
      <c r="F2068" s="53">
        <f>SUM(F2069:F2074)</f>
        <v>6596.5168906010313</v>
      </c>
    </row>
    <row r="2069" spans="1:6" ht="18" customHeight="1">
      <c r="A2069" s="7"/>
      <c r="B2069" s="52" t="s">
        <v>354</v>
      </c>
      <c r="C2069" s="7" t="s">
        <v>88</v>
      </c>
      <c r="D2069" s="7">
        <f t="shared" ref="D2069:D2074" si="153">D2026</f>
        <v>116.41515</v>
      </c>
      <c r="E2069" s="77">
        <f>E2052*砼配合!I15+砼单价!E2053*砼配合!I33+E1737</f>
        <v>33.903444800000003</v>
      </c>
      <c r="F2069" s="53">
        <f t="shared" ref="F2069:F2075" si="154">D2069*E2069</f>
        <v>3946.87461190872</v>
      </c>
    </row>
    <row r="2070" spans="1:6" ht="18" customHeight="1">
      <c r="A2070" s="7"/>
      <c r="B2070" s="52" t="s">
        <v>507</v>
      </c>
      <c r="C2070" s="7" t="s">
        <v>871</v>
      </c>
      <c r="D2070" s="66">
        <f t="shared" si="153"/>
        <v>4.6598683999999899</v>
      </c>
      <c r="E2070" s="77">
        <f>E2052*砼配合!I16+砼单价!E2053*砼配合!I34+E1738</f>
        <v>54.828664000000003</v>
      </c>
      <c r="F2070" s="53">
        <f t="shared" si="154"/>
        <v>255.49435878781705</v>
      </c>
    </row>
    <row r="2071" spans="1:6" ht="18" customHeight="1">
      <c r="A2071" s="7"/>
      <c r="B2071" s="52" t="s">
        <v>509</v>
      </c>
      <c r="C2071" s="7" t="s">
        <v>871</v>
      </c>
      <c r="D2071" s="66">
        <f t="shared" si="153"/>
        <v>6.2457299999999902</v>
      </c>
      <c r="E2071" s="77">
        <f>E2052*砼配合!I17+E1739</f>
        <v>91.210795199999993</v>
      </c>
      <c r="F2071" s="53">
        <f t="shared" si="154"/>
        <v>569.6779999044951</v>
      </c>
    </row>
    <row r="2072" spans="1:6" ht="18" customHeight="1">
      <c r="A2072" s="7"/>
      <c r="B2072" s="52" t="s">
        <v>506</v>
      </c>
      <c r="C2072" s="7" t="s">
        <v>871</v>
      </c>
      <c r="D2072" s="7">
        <f t="shared" si="153"/>
        <v>0</v>
      </c>
      <c r="E2072" s="77">
        <f>E2047+E1740</f>
        <v>1.72</v>
      </c>
      <c r="F2072" s="53">
        <f t="shared" si="154"/>
        <v>0</v>
      </c>
    </row>
    <row r="2073" spans="1:6" ht="18" customHeight="1">
      <c r="A2073" s="7"/>
      <c r="B2073" s="52" t="s">
        <v>515</v>
      </c>
      <c r="C2073" s="7" t="s">
        <v>844</v>
      </c>
      <c r="D2073" s="7">
        <f t="shared" si="153"/>
        <v>4.7450000000000001</v>
      </c>
      <c r="E2073" s="77"/>
      <c r="F2073" s="53">
        <f t="shared" si="154"/>
        <v>0</v>
      </c>
    </row>
    <row r="2074" spans="1:6" ht="18" customHeight="1">
      <c r="A2074" s="7"/>
      <c r="B2074" s="52" t="s">
        <v>516</v>
      </c>
      <c r="C2074" s="7" t="s">
        <v>844</v>
      </c>
      <c r="D2074" s="7">
        <f t="shared" si="153"/>
        <v>3.51</v>
      </c>
      <c r="E2074" s="66">
        <f>E2103</f>
        <v>519.79199999999992</v>
      </c>
      <c r="F2074" s="53">
        <f t="shared" si="154"/>
        <v>1824.4699199999995</v>
      </c>
    </row>
    <row r="2075" spans="1:6" ht="18" customHeight="1">
      <c r="A2075" s="7">
        <v>5</v>
      </c>
      <c r="B2075" s="52" t="s">
        <v>845</v>
      </c>
      <c r="C2075" s="7"/>
      <c r="D2075" s="53">
        <f>F2041+F2066+F2067+F2068</f>
        <v>84465.169841665134</v>
      </c>
      <c r="E2075" s="56">
        <f>E2032</f>
        <v>0.09</v>
      </c>
      <c r="F2075" s="53">
        <f t="shared" si="154"/>
        <v>7601.8652857498619</v>
      </c>
    </row>
    <row r="2076" spans="1:6" ht="18" customHeight="1">
      <c r="A2076" s="7">
        <v>6</v>
      </c>
      <c r="B2076" s="52" t="s">
        <v>7</v>
      </c>
      <c r="C2076" s="52"/>
      <c r="D2076" s="7"/>
      <c r="E2076" s="7"/>
      <c r="F2076" s="53">
        <f>D2075+F2075</f>
        <v>92067.035127415002</v>
      </c>
    </row>
    <row r="2077" spans="1:6" ht="18" customHeight="1">
      <c r="A2077" s="7"/>
      <c r="B2077" s="52" t="s">
        <v>846</v>
      </c>
      <c r="C2077" s="52"/>
      <c r="D2077" s="53">
        <f>F2076</f>
        <v>92067.035127415002</v>
      </c>
      <c r="E2077" s="56">
        <f>E2034</f>
        <v>0.03</v>
      </c>
      <c r="F2077" s="53">
        <f>E2077*D2077</f>
        <v>2762.0110538224499</v>
      </c>
    </row>
    <row r="2078" spans="1:6" ht="18" customHeight="1">
      <c r="A2078" s="7"/>
      <c r="B2078" s="52" t="s">
        <v>44</v>
      </c>
      <c r="C2078" s="52"/>
      <c r="D2078" s="7"/>
      <c r="E2078" s="7"/>
      <c r="F2078" s="53">
        <f>SUM(F2076:F2077)</f>
        <v>94829.046181237456</v>
      </c>
    </row>
    <row r="2079" spans="1:6" ht="22.5" customHeight="1">
      <c r="A2079" s="461" t="s">
        <v>813</v>
      </c>
      <c r="B2079" s="461"/>
      <c r="C2079" s="461"/>
      <c r="D2079" s="461"/>
      <c r="E2079" s="461"/>
      <c r="F2079" s="461"/>
    </row>
    <row r="2080" spans="1:6" ht="18" customHeight="1">
      <c r="A2080" s="462" t="s">
        <v>993</v>
      </c>
      <c r="B2080" s="462"/>
      <c r="C2080" s="462"/>
      <c r="D2080" s="462"/>
      <c r="E2080" s="462"/>
      <c r="F2080" s="462"/>
    </row>
    <row r="2081" spans="1:6" ht="18" customHeight="1">
      <c r="A2081" s="47" t="s">
        <v>815</v>
      </c>
      <c r="B2081" s="49">
        <v>4219</v>
      </c>
      <c r="D2081" s="46"/>
      <c r="E2081" s="47" t="s">
        <v>169</v>
      </c>
      <c r="F2081" s="49" t="s">
        <v>869</v>
      </c>
    </row>
    <row r="2082" spans="1:6" ht="18" customHeight="1">
      <c r="A2082" s="50" t="s">
        <v>817</v>
      </c>
      <c r="B2082" s="458"/>
      <c r="C2082" s="459"/>
      <c r="D2082" s="459"/>
      <c r="E2082" s="459"/>
      <c r="F2082" s="460"/>
    </row>
    <row r="2083" spans="1:6" ht="18" customHeight="1">
      <c r="A2083" s="7" t="s">
        <v>1</v>
      </c>
      <c r="B2083" s="52" t="s">
        <v>344</v>
      </c>
      <c r="C2083" s="7" t="s">
        <v>818</v>
      </c>
      <c r="D2083" s="7" t="s">
        <v>819</v>
      </c>
      <c r="E2083" s="7" t="s">
        <v>820</v>
      </c>
      <c r="F2083" s="7" t="s">
        <v>821</v>
      </c>
    </row>
    <row r="2084" spans="1:6" ht="18" customHeight="1">
      <c r="A2084" s="7">
        <v>1</v>
      </c>
      <c r="B2084" s="52" t="s">
        <v>822</v>
      </c>
      <c r="C2084" s="7"/>
      <c r="D2084" s="7"/>
      <c r="E2084" s="7"/>
      <c r="F2084" s="53">
        <f>F2085+F2093+F2094</f>
        <v>6340.2120884848746</v>
      </c>
    </row>
    <row r="2085" spans="1:6" ht="18" customHeight="1">
      <c r="A2085" s="7">
        <v>1.1000000000000001</v>
      </c>
      <c r="B2085" s="52" t="s">
        <v>823</v>
      </c>
      <c r="C2085" s="7"/>
      <c r="D2085" s="7"/>
      <c r="E2085" s="7"/>
      <c r="F2085" s="53">
        <f>F2086+F2089+F2090+F2092</f>
        <v>6049.8206951191551</v>
      </c>
    </row>
    <row r="2086" spans="1:6" ht="18" customHeight="1">
      <c r="A2086" s="7" t="s">
        <v>47</v>
      </c>
      <c r="B2086" s="52" t="s">
        <v>176</v>
      </c>
      <c r="C2086" s="7"/>
      <c r="D2086" s="7"/>
      <c r="E2086" s="7"/>
      <c r="F2086" s="53">
        <f>F2087+F2088</f>
        <v>1018.982</v>
      </c>
    </row>
    <row r="2087" spans="1:6" ht="18" customHeight="1">
      <c r="A2087" s="7"/>
      <c r="B2087" s="52" t="s">
        <v>824</v>
      </c>
      <c r="C2087" s="7" t="s">
        <v>825</v>
      </c>
      <c r="D2087" s="7">
        <v>8.1</v>
      </c>
      <c r="E2087" s="7"/>
      <c r="F2087" s="53">
        <f>D2087*E2087</f>
        <v>0</v>
      </c>
    </row>
    <row r="2088" spans="1:6" ht="18" customHeight="1">
      <c r="A2088" s="7"/>
      <c r="B2088" s="52" t="s">
        <v>826</v>
      </c>
      <c r="C2088" s="7" t="s">
        <v>825</v>
      </c>
      <c r="D2088" s="7">
        <v>5.77</v>
      </c>
      <c r="E2088" s="7">
        <v>176.6</v>
      </c>
      <c r="F2088" s="53">
        <f>D2088*E2088</f>
        <v>1018.982</v>
      </c>
    </row>
    <row r="2089" spans="1:6" ht="18" customHeight="1">
      <c r="A2089" s="7" t="s">
        <v>57</v>
      </c>
      <c r="B2089" s="52" t="s">
        <v>864</v>
      </c>
      <c r="C2089" s="7" t="s">
        <v>834</v>
      </c>
      <c r="D2089" s="66">
        <f>F2086+F2090</f>
        <v>5873.6123253584028</v>
      </c>
      <c r="E2089" s="7">
        <v>3</v>
      </c>
      <c r="F2089" s="53">
        <f>D2089*E2089/100</f>
        <v>176.20836976075211</v>
      </c>
    </row>
    <row r="2090" spans="1:6" ht="18" customHeight="1">
      <c r="A2090" s="7" t="s">
        <v>835</v>
      </c>
      <c r="B2090" s="52" t="s">
        <v>836</v>
      </c>
      <c r="C2090" s="7"/>
      <c r="D2090" s="7"/>
      <c r="E2090" s="7"/>
      <c r="F2090" s="53">
        <f>SUM(F2091:F2091)</f>
        <v>4854.6303253584028</v>
      </c>
    </row>
    <row r="2091" spans="1:6" ht="18" customHeight="1">
      <c r="A2091" s="7"/>
      <c r="B2091" s="52" t="s">
        <v>994</v>
      </c>
      <c r="C2091" s="7" t="s">
        <v>863</v>
      </c>
      <c r="D2091" s="7">
        <f>施工机械台时汇总!$C$13</f>
        <v>15.877257735996871</v>
      </c>
      <c r="E2091" s="7">
        <f>104.16+8*2*12.6</f>
        <v>305.76</v>
      </c>
      <c r="F2091" s="53">
        <f>D2091*E2091</f>
        <v>4854.6303253584028</v>
      </c>
    </row>
    <row r="2092" spans="1:6" ht="18" customHeight="1">
      <c r="A2092" s="7"/>
      <c r="B2092" s="52"/>
      <c r="C2092" s="7"/>
      <c r="D2092" s="7"/>
      <c r="E2092" s="7"/>
      <c r="F2092" s="53"/>
    </row>
    <row r="2093" spans="1:6" ht="18" customHeight="1">
      <c r="A2093" s="7">
        <v>1.2</v>
      </c>
      <c r="B2093" s="52" t="s">
        <v>841</v>
      </c>
      <c r="C2093" s="7"/>
      <c r="D2093" s="53">
        <f>F2085</f>
        <v>6049.8206951191551</v>
      </c>
      <c r="E2093" s="56">
        <f>E1939</f>
        <v>4.8000000000000001E-2</v>
      </c>
      <c r="F2093" s="53">
        <f>D2093*E2093</f>
        <v>290.39139336571947</v>
      </c>
    </row>
    <row r="2094" spans="1:6" ht="18" customHeight="1">
      <c r="A2094" s="7">
        <v>1.3</v>
      </c>
      <c r="B2094" s="52" t="s">
        <v>842</v>
      </c>
      <c r="C2094" s="7"/>
      <c r="D2094" s="53">
        <f>F2085</f>
        <v>6049.8206951191551</v>
      </c>
      <c r="E2094" s="56">
        <f>E1940</f>
        <v>0</v>
      </c>
      <c r="F2094" s="53">
        <f>D2094*E2094</f>
        <v>0</v>
      </c>
    </row>
    <row r="2095" spans="1:6" ht="18" customHeight="1">
      <c r="A2095" s="7">
        <v>2</v>
      </c>
      <c r="B2095" s="52" t="s">
        <v>182</v>
      </c>
      <c r="C2095" s="7"/>
      <c r="D2095" s="53">
        <f>F2084</f>
        <v>6340.2120884848746</v>
      </c>
      <c r="E2095" s="56">
        <f>E1941</f>
        <v>7.0000000000000007E-2</v>
      </c>
      <c r="F2095" s="53">
        <f>D2095*E2095</f>
        <v>443.81484619394126</v>
      </c>
    </row>
    <row r="2096" spans="1:6" ht="18" customHeight="1">
      <c r="A2096" s="7">
        <v>3</v>
      </c>
      <c r="B2096" s="52" t="s">
        <v>843</v>
      </c>
      <c r="C2096" s="7"/>
      <c r="D2096" s="53">
        <f>F2095+F2084</f>
        <v>6784.0269346788155</v>
      </c>
      <c r="E2096" s="56">
        <f>E1942</f>
        <v>7.0000000000000007E-2</v>
      </c>
      <c r="F2096" s="53">
        <f>D2096*E2096</f>
        <v>474.88188542751715</v>
      </c>
    </row>
    <row r="2097" spans="1:6" ht="18" customHeight="1">
      <c r="A2097" s="7">
        <v>4</v>
      </c>
      <c r="B2097" s="52" t="s">
        <v>184</v>
      </c>
      <c r="C2097" s="7"/>
      <c r="D2097" s="7"/>
      <c r="E2097" s="7"/>
      <c r="F2097" s="53">
        <f>SUM(F2098:F2103)</f>
        <v>1824.4699199999995</v>
      </c>
    </row>
    <row r="2098" spans="1:6" ht="18" customHeight="1">
      <c r="A2098" s="7"/>
      <c r="B2098" s="52" t="s">
        <v>354</v>
      </c>
      <c r="C2098" s="7" t="s">
        <v>88</v>
      </c>
      <c r="D2098" s="7">
        <f t="shared" ref="D2098:D2103" si="155">D1944</f>
        <v>116.41515</v>
      </c>
      <c r="E2098" s="7"/>
      <c r="F2098" s="53">
        <f t="shared" ref="F2098:F2104" si="156">D2098*E2098</f>
        <v>0</v>
      </c>
    </row>
    <row r="2099" spans="1:6" ht="18" customHeight="1">
      <c r="A2099" s="7"/>
      <c r="B2099" s="52" t="s">
        <v>507</v>
      </c>
      <c r="C2099" s="7" t="s">
        <v>871</v>
      </c>
      <c r="D2099" s="66">
        <f t="shared" si="155"/>
        <v>4.6598683999999899</v>
      </c>
      <c r="E2099" s="7"/>
      <c r="F2099" s="53">
        <f t="shared" si="156"/>
        <v>0</v>
      </c>
    </row>
    <row r="2100" spans="1:6" ht="18" customHeight="1">
      <c r="A2100" s="7"/>
      <c r="B2100" s="52" t="s">
        <v>509</v>
      </c>
      <c r="C2100" s="7" t="s">
        <v>871</v>
      </c>
      <c r="D2100" s="66">
        <f t="shared" si="155"/>
        <v>6.2457299999999902</v>
      </c>
      <c r="E2100" s="7"/>
      <c r="F2100" s="53">
        <f t="shared" si="156"/>
        <v>0</v>
      </c>
    </row>
    <row r="2101" spans="1:6" ht="18" customHeight="1">
      <c r="A2101" s="7"/>
      <c r="B2101" s="52" t="s">
        <v>506</v>
      </c>
      <c r="C2101" s="7" t="s">
        <v>871</v>
      </c>
      <c r="D2101" s="7">
        <f t="shared" si="155"/>
        <v>0</v>
      </c>
      <c r="E2101" s="7"/>
      <c r="F2101" s="53">
        <f t="shared" si="156"/>
        <v>0</v>
      </c>
    </row>
    <row r="2102" spans="1:6" ht="18" customHeight="1">
      <c r="A2102" s="7"/>
      <c r="B2102" s="52" t="s">
        <v>515</v>
      </c>
      <c r="C2102" s="7" t="s">
        <v>844</v>
      </c>
      <c r="D2102" s="7">
        <f t="shared" si="155"/>
        <v>4.7450000000000001</v>
      </c>
      <c r="E2102" s="7"/>
      <c r="F2102" s="53">
        <f t="shared" si="156"/>
        <v>0</v>
      </c>
    </row>
    <row r="2103" spans="1:6" ht="18" customHeight="1">
      <c r="A2103" s="7"/>
      <c r="B2103" s="52" t="s">
        <v>516</v>
      </c>
      <c r="C2103" s="7" t="s">
        <v>844</v>
      </c>
      <c r="D2103" s="7">
        <f t="shared" si="155"/>
        <v>3.51</v>
      </c>
      <c r="E2103" s="66">
        <f>E2091*台时!M22</f>
        <v>519.79199999999992</v>
      </c>
      <c r="F2103" s="53">
        <f t="shared" si="156"/>
        <v>1824.4699199999995</v>
      </c>
    </row>
    <row r="2104" spans="1:6" ht="18" customHeight="1">
      <c r="A2104" s="7">
        <v>5</v>
      </c>
      <c r="B2104" s="52" t="s">
        <v>845</v>
      </c>
      <c r="C2104" s="7"/>
      <c r="D2104" s="66">
        <f>F2084+F2095+F2096+F2097</f>
        <v>9083.378740106331</v>
      </c>
      <c r="E2104" s="56">
        <f>E1950</f>
        <v>0.09</v>
      </c>
      <c r="F2104" s="53">
        <f t="shared" si="156"/>
        <v>817.50408660956975</v>
      </c>
    </row>
    <row r="2105" spans="1:6" ht="18" customHeight="1">
      <c r="A2105" s="7">
        <v>6</v>
      </c>
      <c r="B2105" s="52" t="s">
        <v>7</v>
      </c>
      <c r="C2105" s="7"/>
      <c r="D2105" s="7"/>
      <c r="E2105" s="7"/>
      <c r="F2105" s="53">
        <f>D2104+F2104</f>
        <v>9900.8828267159006</v>
      </c>
    </row>
    <row r="2106" spans="1:6" ht="18" customHeight="1">
      <c r="A2106" s="7"/>
      <c r="B2106" s="52" t="s">
        <v>846</v>
      </c>
      <c r="C2106" s="7"/>
      <c r="D2106" s="53">
        <f>F2105</f>
        <v>9900.8828267159006</v>
      </c>
      <c r="E2106" s="56">
        <f>E1952</f>
        <v>0.03</v>
      </c>
      <c r="F2106" s="53">
        <f>E2106*D2106</f>
        <v>297.02648480147701</v>
      </c>
    </row>
    <row r="2107" spans="1:6" ht="18" customHeight="1">
      <c r="A2107" s="7"/>
      <c r="B2107" s="52" t="s">
        <v>44</v>
      </c>
      <c r="C2107" s="52"/>
      <c r="D2107" s="7"/>
      <c r="E2107" s="7"/>
      <c r="F2107" s="53">
        <f>SUM(F2105:F2106)</f>
        <v>10197.909311517378</v>
      </c>
    </row>
    <row r="2108" spans="1:6" ht="22.5" customHeight="1">
      <c r="A2108" s="461" t="s">
        <v>813</v>
      </c>
      <c r="B2108" s="461"/>
      <c r="C2108" s="461"/>
      <c r="D2108" s="461"/>
      <c r="E2108" s="461"/>
      <c r="F2108" s="461"/>
    </row>
    <row r="2109" spans="1:6" ht="18" customHeight="1">
      <c r="A2109" s="462" t="s">
        <v>995</v>
      </c>
      <c r="B2109" s="462"/>
      <c r="C2109" s="462"/>
      <c r="D2109" s="462"/>
      <c r="E2109" s="462"/>
      <c r="F2109" s="462"/>
    </row>
    <row r="2110" spans="1:6" ht="18" customHeight="1">
      <c r="A2110" s="47" t="s">
        <v>815</v>
      </c>
      <c r="B2110" s="49">
        <v>4219</v>
      </c>
      <c r="D2110" s="46"/>
      <c r="E2110" s="47" t="s">
        <v>169</v>
      </c>
      <c r="F2110" s="49" t="s">
        <v>869</v>
      </c>
    </row>
    <row r="2111" spans="1:6" ht="18" customHeight="1">
      <c r="A2111" s="50" t="s">
        <v>817</v>
      </c>
      <c r="B2111" s="484" t="s">
        <v>996</v>
      </c>
      <c r="C2111" s="485"/>
      <c r="D2111" s="485"/>
      <c r="E2111" s="485"/>
      <c r="F2111" s="486"/>
    </row>
    <row r="2112" spans="1:6" ht="18" customHeight="1">
      <c r="A2112" s="7" t="s">
        <v>1</v>
      </c>
      <c r="B2112" s="52" t="s">
        <v>344</v>
      </c>
      <c r="C2112" s="7" t="s">
        <v>818</v>
      </c>
      <c r="D2112" s="7" t="s">
        <v>819</v>
      </c>
      <c r="E2112" s="7" t="s">
        <v>820</v>
      </c>
      <c r="F2112" s="7" t="s">
        <v>821</v>
      </c>
    </row>
    <row r="2113" spans="1:7" ht="18" customHeight="1">
      <c r="A2113" s="7">
        <v>1</v>
      </c>
      <c r="B2113" s="52" t="s">
        <v>822</v>
      </c>
      <c r="C2113" s="7"/>
      <c r="D2113" s="7"/>
      <c r="E2113" s="7"/>
      <c r="F2113" s="53">
        <f>F2114+F2122+F2123</f>
        <v>4183.3674427951119</v>
      </c>
    </row>
    <row r="2114" spans="1:7" ht="18" customHeight="1">
      <c r="A2114" s="7">
        <v>1.1000000000000001</v>
      </c>
      <c r="B2114" s="52" t="s">
        <v>823</v>
      </c>
      <c r="C2114" s="7"/>
      <c r="D2114" s="7"/>
      <c r="E2114" s="7"/>
      <c r="F2114" s="53">
        <f>F2115+F2118+F2119+F2121</f>
        <v>3991.762827094572</v>
      </c>
    </row>
    <row r="2115" spans="1:7" ht="18" customHeight="1">
      <c r="A2115" s="7" t="s">
        <v>47</v>
      </c>
      <c r="B2115" s="52" t="s">
        <v>176</v>
      </c>
      <c r="C2115" s="7"/>
      <c r="D2115" s="7"/>
      <c r="E2115" s="7"/>
      <c r="F2115" s="53">
        <f>F2116+F2117</f>
        <v>1477.5238999999999</v>
      </c>
    </row>
    <row r="2116" spans="1:7" ht="18" customHeight="1">
      <c r="A2116" s="7"/>
      <c r="B2116" s="52" t="s">
        <v>824</v>
      </c>
      <c r="C2116" s="7" t="s">
        <v>825</v>
      </c>
      <c r="D2116" s="7">
        <v>8.1</v>
      </c>
      <c r="E2116" s="7"/>
      <c r="F2116" s="53">
        <f>D2116*E2116</f>
        <v>0</v>
      </c>
    </row>
    <row r="2117" spans="1:7" ht="18" customHeight="1">
      <c r="A2117" s="7"/>
      <c r="B2117" s="52" t="s">
        <v>826</v>
      </c>
      <c r="C2117" s="7" t="s">
        <v>825</v>
      </c>
      <c r="D2117" s="7">
        <v>5.77</v>
      </c>
      <c r="E2117" s="7">
        <f>176.6*1.45</f>
        <v>256.07</v>
      </c>
      <c r="F2117" s="53">
        <f>D2117*E2117</f>
        <v>1477.5238999999999</v>
      </c>
      <c r="G2117">
        <v>176.6</v>
      </c>
    </row>
    <row r="2118" spans="1:7" ht="18" customHeight="1">
      <c r="A2118" s="7" t="s">
        <v>57</v>
      </c>
      <c r="B2118" s="52" t="s">
        <v>864</v>
      </c>
      <c r="C2118" s="7" t="s">
        <v>834</v>
      </c>
      <c r="D2118" s="66">
        <f>F2115+F2119</f>
        <v>3875.4978903830797</v>
      </c>
      <c r="E2118" s="7">
        <v>3</v>
      </c>
      <c r="F2118" s="53">
        <f>D2118*E2118/100</f>
        <v>116.2649367114924</v>
      </c>
    </row>
    <row r="2119" spans="1:7" ht="18" customHeight="1">
      <c r="A2119" s="7" t="s">
        <v>835</v>
      </c>
      <c r="B2119" s="52" t="s">
        <v>836</v>
      </c>
      <c r="C2119" s="7"/>
      <c r="D2119" s="7"/>
      <c r="E2119" s="7"/>
      <c r="F2119" s="53">
        <f>SUM(F2120:F2120)</f>
        <v>2397.9739903830796</v>
      </c>
    </row>
    <row r="2120" spans="1:7" ht="18" customHeight="1">
      <c r="A2120" s="7"/>
      <c r="B2120" s="52" t="s">
        <v>994</v>
      </c>
      <c r="C2120" s="7" t="s">
        <v>863</v>
      </c>
      <c r="D2120" s="7">
        <f>施工机械台时汇总!$C$13</f>
        <v>15.877257735996871</v>
      </c>
      <c r="E2120" s="7">
        <f>104.16*1.45</f>
        <v>151.03200000000001</v>
      </c>
      <c r="F2120" s="53">
        <f>D2120*E2120</f>
        <v>2397.9739903830796</v>
      </c>
      <c r="G2120">
        <v>104.16</v>
      </c>
    </row>
    <row r="2121" spans="1:7" ht="18" customHeight="1">
      <c r="A2121" s="7"/>
      <c r="B2121" s="52"/>
      <c r="C2121" s="7"/>
      <c r="D2121" s="7"/>
      <c r="E2121" s="7"/>
      <c r="F2121" s="53"/>
    </row>
    <row r="2122" spans="1:7" ht="18" customHeight="1">
      <c r="A2122" s="7">
        <v>1.2</v>
      </c>
      <c r="B2122" s="52" t="s">
        <v>841</v>
      </c>
      <c r="C2122" s="7"/>
      <c r="D2122" s="53">
        <f>F2114</f>
        <v>3991.762827094572</v>
      </c>
      <c r="E2122" s="56">
        <f>E2093</f>
        <v>4.8000000000000001E-2</v>
      </c>
      <c r="F2122" s="53">
        <f>D2122*E2122</f>
        <v>191.60461570053945</v>
      </c>
    </row>
    <row r="2123" spans="1:7" ht="18" customHeight="1">
      <c r="A2123" s="7">
        <v>1.3</v>
      </c>
      <c r="B2123" s="52" t="s">
        <v>842</v>
      </c>
      <c r="C2123" s="7"/>
      <c r="D2123" s="53">
        <f>F2114</f>
        <v>3991.762827094572</v>
      </c>
      <c r="E2123" s="56">
        <f>E2094</f>
        <v>0</v>
      </c>
      <c r="F2123" s="53">
        <f>D2123*E2123</f>
        <v>0</v>
      </c>
    </row>
    <row r="2124" spans="1:7" ht="18" customHeight="1">
      <c r="A2124" s="7">
        <v>2</v>
      </c>
      <c r="B2124" s="52" t="s">
        <v>182</v>
      </c>
      <c r="C2124" s="7"/>
      <c r="D2124" s="53">
        <f>F2113</f>
        <v>4183.3674427951119</v>
      </c>
      <c r="E2124" s="56">
        <f>E2095</f>
        <v>7.0000000000000007E-2</v>
      </c>
      <c r="F2124" s="53">
        <f>D2124*E2124</f>
        <v>292.83572099565788</v>
      </c>
    </row>
    <row r="2125" spans="1:7" ht="18" customHeight="1">
      <c r="A2125" s="7">
        <v>3</v>
      </c>
      <c r="B2125" s="52" t="s">
        <v>843</v>
      </c>
      <c r="C2125" s="7"/>
      <c r="D2125" s="53">
        <f>F2124+F2113</f>
        <v>4476.2031637907694</v>
      </c>
      <c r="E2125" s="56">
        <f>E2096</f>
        <v>7.0000000000000007E-2</v>
      </c>
      <c r="F2125" s="53">
        <f>D2125*E2125</f>
        <v>313.33422146535389</v>
      </c>
    </row>
    <row r="2126" spans="1:7" ht="18" customHeight="1">
      <c r="A2126" s="7">
        <v>4</v>
      </c>
      <c r="B2126" s="52" t="s">
        <v>184</v>
      </c>
      <c r="C2126" s="7"/>
      <c r="D2126" s="7"/>
      <c r="E2126" s="7"/>
      <c r="F2126" s="53">
        <f>SUM(F2127:F2132)</f>
        <v>901.20794400000011</v>
      </c>
    </row>
    <row r="2127" spans="1:7" ht="18" customHeight="1">
      <c r="A2127" s="7"/>
      <c r="B2127" s="52" t="s">
        <v>354</v>
      </c>
      <c r="C2127" s="7" t="s">
        <v>88</v>
      </c>
      <c r="D2127" s="7">
        <f t="shared" ref="D2127:D2132" si="157">D2098</f>
        <v>116.41515</v>
      </c>
      <c r="E2127" s="7"/>
      <c r="F2127" s="53">
        <f t="shared" ref="F2127:F2133" si="158">D2127*E2127</f>
        <v>0</v>
      </c>
    </row>
    <row r="2128" spans="1:7" ht="18" customHeight="1">
      <c r="A2128" s="7"/>
      <c r="B2128" s="52" t="s">
        <v>507</v>
      </c>
      <c r="C2128" s="7" t="s">
        <v>871</v>
      </c>
      <c r="D2128" s="66">
        <f t="shared" si="157"/>
        <v>4.6598683999999899</v>
      </c>
      <c r="E2128" s="7"/>
      <c r="F2128" s="53">
        <f t="shared" si="158"/>
        <v>0</v>
      </c>
    </row>
    <row r="2129" spans="1:6" ht="18" customHeight="1">
      <c r="A2129" s="7"/>
      <c r="B2129" s="52" t="s">
        <v>509</v>
      </c>
      <c r="C2129" s="7" t="s">
        <v>871</v>
      </c>
      <c r="D2129" s="66">
        <f t="shared" si="157"/>
        <v>6.2457299999999902</v>
      </c>
      <c r="E2129" s="7"/>
      <c r="F2129" s="53">
        <f t="shared" si="158"/>
        <v>0</v>
      </c>
    </row>
    <row r="2130" spans="1:6" ht="18" customHeight="1">
      <c r="A2130" s="7"/>
      <c r="B2130" s="52" t="s">
        <v>506</v>
      </c>
      <c r="C2130" s="7" t="s">
        <v>871</v>
      </c>
      <c r="D2130" s="7">
        <f t="shared" si="157"/>
        <v>0</v>
      </c>
      <c r="E2130" s="7"/>
      <c r="F2130" s="53">
        <f t="shared" si="158"/>
        <v>0</v>
      </c>
    </row>
    <row r="2131" spans="1:6" ht="18" customHeight="1">
      <c r="A2131" s="7"/>
      <c r="B2131" s="52" t="s">
        <v>515</v>
      </c>
      <c r="C2131" s="7" t="s">
        <v>844</v>
      </c>
      <c r="D2131" s="7">
        <f t="shared" si="157"/>
        <v>4.7450000000000001</v>
      </c>
      <c r="E2131" s="7"/>
      <c r="F2131" s="53">
        <f t="shared" si="158"/>
        <v>0</v>
      </c>
    </row>
    <row r="2132" spans="1:6" ht="18" customHeight="1">
      <c r="A2132" s="7"/>
      <c r="B2132" s="52" t="s">
        <v>516</v>
      </c>
      <c r="C2132" s="7" t="s">
        <v>844</v>
      </c>
      <c r="D2132" s="7">
        <f t="shared" si="157"/>
        <v>3.51</v>
      </c>
      <c r="E2132" s="66">
        <f>E2120*台时!M22</f>
        <v>256.75440000000003</v>
      </c>
      <c r="F2132" s="53">
        <f t="shared" si="158"/>
        <v>901.20794400000011</v>
      </c>
    </row>
    <row r="2133" spans="1:6" ht="18" customHeight="1">
      <c r="A2133" s="7">
        <v>5</v>
      </c>
      <c r="B2133" s="52" t="s">
        <v>845</v>
      </c>
      <c r="C2133" s="7"/>
      <c r="D2133" s="66">
        <f>F2113+F2124+F2125+F2126</f>
        <v>5690.7453292561231</v>
      </c>
      <c r="E2133" s="56">
        <f>E2104</f>
        <v>0.09</v>
      </c>
      <c r="F2133" s="53">
        <f t="shared" si="158"/>
        <v>512.16707963305112</v>
      </c>
    </row>
    <row r="2134" spans="1:6" ht="18" customHeight="1">
      <c r="A2134" s="7">
        <v>6</v>
      </c>
      <c r="B2134" s="52" t="s">
        <v>7</v>
      </c>
      <c r="C2134" s="7"/>
      <c r="D2134" s="7"/>
      <c r="E2134" s="7"/>
      <c r="F2134" s="53">
        <f>D2133+F2133</f>
        <v>6202.912408889174</v>
      </c>
    </row>
    <row r="2135" spans="1:6" ht="18" customHeight="1">
      <c r="A2135" s="7"/>
      <c r="B2135" s="52" t="s">
        <v>846</v>
      </c>
      <c r="C2135" s="7"/>
      <c r="D2135" s="53">
        <f>F2134</f>
        <v>6202.912408889174</v>
      </c>
      <c r="E2135" s="56">
        <f>E2106</f>
        <v>0.03</v>
      </c>
      <c r="F2135" s="53">
        <f>E2135*D2135</f>
        <v>186.0873722666752</v>
      </c>
    </row>
    <row r="2136" spans="1:6" ht="18" customHeight="1">
      <c r="A2136" s="7"/>
      <c r="B2136" s="52" t="s">
        <v>44</v>
      </c>
      <c r="C2136" s="52"/>
      <c r="D2136" s="7"/>
      <c r="E2136" s="7"/>
      <c r="F2136" s="53">
        <f>SUM(F2134:F2135)</f>
        <v>6388.9997811558496</v>
      </c>
    </row>
    <row r="2137" spans="1:6" ht="22.5" customHeight="1">
      <c r="A2137" s="461" t="s">
        <v>813</v>
      </c>
      <c r="B2137" s="461"/>
      <c r="C2137" s="461"/>
      <c r="D2137" s="461"/>
      <c r="E2137" s="461"/>
      <c r="F2137" s="461"/>
    </row>
    <row r="2138" spans="1:6" ht="18" customHeight="1">
      <c r="A2138" s="462" t="s">
        <v>997</v>
      </c>
      <c r="B2138" s="462"/>
      <c r="C2138" s="462"/>
      <c r="D2138" s="462"/>
      <c r="E2138" s="462"/>
      <c r="F2138" s="462"/>
    </row>
    <row r="2139" spans="1:6" ht="18" customHeight="1">
      <c r="A2139" s="47" t="s">
        <v>815</v>
      </c>
      <c r="B2139" s="49">
        <v>4221</v>
      </c>
      <c r="D2139" s="46"/>
      <c r="E2139" s="47" t="s">
        <v>169</v>
      </c>
      <c r="F2139" s="49" t="s">
        <v>869</v>
      </c>
    </row>
    <row r="2140" spans="1:6" ht="18" customHeight="1">
      <c r="A2140" s="50" t="s">
        <v>817</v>
      </c>
      <c r="B2140" s="458"/>
      <c r="C2140" s="459"/>
      <c r="D2140" s="459"/>
      <c r="E2140" s="459"/>
      <c r="F2140" s="460"/>
    </row>
    <row r="2141" spans="1:6" ht="18" customHeight="1">
      <c r="A2141" s="7" t="s">
        <v>1</v>
      </c>
      <c r="B2141" s="52" t="s">
        <v>344</v>
      </c>
      <c r="C2141" s="7" t="s">
        <v>818</v>
      </c>
      <c r="D2141" s="7" t="s">
        <v>819</v>
      </c>
      <c r="E2141" s="7" t="s">
        <v>820</v>
      </c>
      <c r="F2141" s="7" t="s">
        <v>821</v>
      </c>
    </row>
    <row r="2142" spans="1:6" ht="18" customHeight="1">
      <c r="A2142" s="7">
        <v>1</v>
      </c>
      <c r="B2142" s="52" t="s">
        <v>822</v>
      </c>
      <c r="C2142" s="7"/>
      <c r="D2142" s="7"/>
      <c r="E2142" s="7"/>
      <c r="F2142" s="53">
        <f>F2143+F2156+F2157</f>
        <v>3593.7170290888416</v>
      </c>
    </row>
    <row r="2143" spans="1:6" ht="18" customHeight="1">
      <c r="A2143" s="7">
        <v>1.1000000000000001</v>
      </c>
      <c r="B2143" s="52" t="s">
        <v>823</v>
      </c>
      <c r="C2143" s="7"/>
      <c r="D2143" s="7"/>
      <c r="E2143" s="7"/>
      <c r="F2143" s="53">
        <f>F2144+F2147+F2151+F2155</f>
        <v>3429.1193025656885</v>
      </c>
    </row>
    <row r="2144" spans="1:6" ht="18" customHeight="1">
      <c r="A2144" s="7" t="s">
        <v>47</v>
      </c>
      <c r="B2144" s="52" t="s">
        <v>176</v>
      </c>
      <c r="C2144" s="7"/>
      <c r="D2144" s="7"/>
      <c r="E2144" s="7"/>
      <c r="F2144" s="53">
        <f>F2145+F2146</f>
        <v>599.76099999999997</v>
      </c>
    </row>
    <row r="2145" spans="1:6" ht="18" customHeight="1">
      <c r="A2145" s="7"/>
      <c r="B2145" s="52" t="s">
        <v>824</v>
      </c>
      <c r="C2145" s="7" t="s">
        <v>825</v>
      </c>
      <c r="D2145" s="7">
        <v>8.1</v>
      </c>
      <c r="E2145" s="7">
        <v>43.2</v>
      </c>
      <c r="F2145" s="53">
        <f>D2145*E2145</f>
        <v>349.92</v>
      </c>
    </row>
    <row r="2146" spans="1:6" ht="18" customHeight="1">
      <c r="A2146" s="7"/>
      <c r="B2146" s="52" t="s">
        <v>826</v>
      </c>
      <c r="C2146" s="7" t="s">
        <v>825</v>
      </c>
      <c r="D2146" s="7">
        <v>5.77</v>
      </c>
      <c r="E2146" s="7">
        <v>43.3</v>
      </c>
      <c r="F2146" s="53">
        <f>D2146*E2146</f>
        <v>249.84100000000001</v>
      </c>
    </row>
    <row r="2147" spans="1:6" ht="18" customHeight="1">
      <c r="A2147" s="7" t="s">
        <v>57</v>
      </c>
      <c r="B2147" s="52" t="s">
        <v>177</v>
      </c>
      <c r="C2147" s="7"/>
      <c r="D2147" s="7"/>
      <c r="E2147" s="7"/>
      <c r="F2147" s="53">
        <f>SUM(F2148:F2150)</f>
        <v>291.91001340000003</v>
      </c>
    </row>
    <row r="2148" spans="1:6" ht="18" customHeight="1">
      <c r="A2148" s="7"/>
      <c r="B2148" s="52" t="s">
        <v>870</v>
      </c>
      <c r="C2148" s="7" t="s">
        <v>871</v>
      </c>
      <c r="D2148" s="7">
        <f>D1884</f>
        <v>1874.0778</v>
      </c>
      <c r="E2148" s="7">
        <v>0.1</v>
      </c>
      <c r="F2148" s="53">
        <f>D2148*E2148</f>
        <v>187.40778</v>
      </c>
    </row>
    <row r="2149" spans="1:6" ht="18" customHeight="1">
      <c r="A2149" s="7"/>
      <c r="B2149" s="52" t="s">
        <v>875</v>
      </c>
      <c r="C2149" s="7" t="s">
        <v>844</v>
      </c>
      <c r="D2149" s="7">
        <f>次要材料汇总!$F$5</f>
        <v>8</v>
      </c>
      <c r="E2149" s="7">
        <v>12</v>
      </c>
      <c r="F2149" s="53">
        <f>D2149*E2149</f>
        <v>96</v>
      </c>
    </row>
    <row r="2150" spans="1:6" ht="18" customHeight="1">
      <c r="A2150" s="7"/>
      <c r="B2150" s="52" t="s">
        <v>833</v>
      </c>
      <c r="C2150" s="7" t="s">
        <v>834</v>
      </c>
      <c r="D2150" s="7">
        <f>SUM(F2148:F2149)</f>
        <v>283.40778</v>
      </c>
      <c r="E2150" s="7">
        <v>3</v>
      </c>
      <c r="F2150" s="53">
        <f>D2150*E2150/100</f>
        <v>8.5022333999999997</v>
      </c>
    </row>
    <row r="2151" spans="1:6" ht="18" customHeight="1">
      <c r="A2151" s="7" t="s">
        <v>835</v>
      </c>
      <c r="B2151" s="52" t="s">
        <v>836</v>
      </c>
      <c r="C2151" s="7"/>
      <c r="D2151" s="7"/>
      <c r="E2151" s="7"/>
      <c r="F2151" s="53">
        <f>SUM(F2152:F2154)</f>
        <v>2537.4482891656885</v>
      </c>
    </row>
    <row r="2152" spans="1:6" ht="18" customHeight="1">
      <c r="A2152" s="7"/>
      <c r="B2152" s="52" t="s">
        <v>998</v>
      </c>
      <c r="C2152" s="7" t="s">
        <v>863</v>
      </c>
      <c r="D2152" s="66">
        <f>施工机械台时汇总!$C$43</f>
        <v>74.115148061104605</v>
      </c>
      <c r="E2152" s="7">
        <v>23</v>
      </c>
      <c r="F2152" s="53">
        <f>D2152*E2152</f>
        <v>1704.6484054054058</v>
      </c>
    </row>
    <row r="2153" spans="1:6" ht="18" customHeight="1">
      <c r="A2153" s="7"/>
      <c r="B2153" s="52" t="s">
        <v>976</v>
      </c>
      <c r="C2153" s="7" t="s">
        <v>863</v>
      </c>
      <c r="D2153" s="66">
        <f>施工机械台时汇总!$C$57</f>
        <v>62.128971797884901</v>
      </c>
      <c r="E2153" s="7">
        <v>13</v>
      </c>
      <c r="F2153" s="53">
        <f>D2153*E2153</f>
        <v>807.67663337250372</v>
      </c>
    </row>
    <row r="2154" spans="1:6" ht="18" customHeight="1">
      <c r="A2154" s="7"/>
      <c r="B2154" s="52" t="s">
        <v>840</v>
      </c>
      <c r="C2154" s="7" t="s">
        <v>834</v>
      </c>
      <c r="D2154" s="7">
        <f>SUM(F2152:F2153)</f>
        <v>2512.3250387779094</v>
      </c>
      <c r="E2154" s="7">
        <v>1</v>
      </c>
      <c r="F2154" s="53">
        <f>D2154*E2154/100</f>
        <v>25.123250387779095</v>
      </c>
    </row>
    <row r="2155" spans="1:6" ht="18" customHeight="1">
      <c r="A2155" s="7"/>
      <c r="B2155" s="52"/>
      <c r="C2155" s="7"/>
      <c r="D2155" s="7"/>
      <c r="E2155" s="7"/>
      <c r="F2155" s="53"/>
    </row>
    <row r="2156" spans="1:6" ht="18" customHeight="1">
      <c r="A2156" s="7">
        <v>1.2</v>
      </c>
      <c r="B2156" s="52" t="s">
        <v>841</v>
      </c>
      <c r="C2156" s="7"/>
      <c r="D2156" s="53">
        <f>F2143</f>
        <v>3429.1193025656885</v>
      </c>
      <c r="E2156" s="56">
        <f>E2093</f>
        <v>4.8000000000000001E-2</v>
      </c>
      <c r="F2156" s="53">
        <f>D2156*E2156</f>
        <v>164.59772652315306</v>
      </c>
    </row>
    <row r="2157" spans="1:6" ht="18" customHeight="1">
      <c r="A2157" s="7">
        <v>1.3</v>
      </c>
      <c r="B2157" s="52" t="s">
        <v>842</v>
      </c>
      <c r="C2157" s="7"/>
      <c r="D2157" s="53">
        <f>F2143</f>
        <v>3429.1193025656885</v>
      </c>
      <c r="E2157" s="56">
        <f>E2094</f>
        <v>0</v>
      </c>
      <c r="F2157" s="53">
        <f>D2157*E2157</f>
        <v>0</v>
      </c>
    </row>
    <row r="2158" spans="1:6" ht="18" customHeight="1">
      <c r="A2158" s="7">
        <v>2</v>
      </c>
      <c r="B2158" s="52" t="s">
        <v>182</v>
      </c>
      <c r="C2158" s="7"/>
      <c r="D2158" s="53">
        <f>F2142</f>
        <v>3593.7170290888416</v>
      </c>
      <c r="E2158" s="56">
        <f>E2095</f>
        <v>7.0000000000000007E-2</v>
      </c>
      <c r="F2158" s="53">
        <f>D2158*E2158</f>
        <v>251.56019203621895</v>
      </c>
    </row>
    <row r="2159" spans="1:6" ht="18" customHeight="1">
      <c r="A2159" s="7">
        <v>3</v>
      </c>
      <c r="B2159" s="52" t="s">
        <v>843</v>
      </c>
      <c r="C2159" s="7"/>
      <c r="D2159" s="53">
        <f>F2158+F2142</f>
        <v>3845.2772211250604</v>
      </c>
      <c r="E2159" s="56">
        <f>E2096</f>
        <v>7.0000000000000007E-2</v>
      </c>
      <c r="F2159" s="53">
        <f>D2159*E2159</f>
        <v>269.16940547875424</v>
      </c>
    </row>
    <row r="2160" spans="1:6" ht="18" customHeight="1">
      <c r="A2160" s="7">
        <v>4</v>
      </c>
      <c r="B2160" s="52" t="s">
        <v>184</v>
      </c>
      <c r="C2160" s="7"/>
      <c r="D2160" s="7"/>
      <c r="E2160" s="7"/>
      <c r="F2160" s="53">
        <f>SUM(F2161:F2166)</f>
        <v>1076.27</v>
      </c>
    </row>
    <row r="2161" spans="1:6" ht="18" customHeight="1">
      <c r="A2161" s="7"/>
      <c r="B2161" s="52" t="s">
        <v>354</v>
      </c>
      <c r="C2161" s="7" t="s">
        <v>88</v>
      </c>
      <c r="D2161" s="7">
        <f t="shared" ref="D2161:D2166" si="159">D2098</f>
        <v>116.41515</v>
      </c>
      <c r="E2161" s="7"/>
      <c r="F2161" s="53">
        <f t="shared" ref="F2161:F2167" si="160">D2161*E2161</f>
        <v>0</v>
      </c>
    </row>
    <row r="2162" spans="1:6" ht="18" customHeight="1">
      <c r="A2162" s="7"/>
      <c r="B2162" s="52" t="s">
        <v>507</v>
      </c>
      <c r="C2162" s="7" t="s">
        <v>871</v>
      </c>
      <c r="D2162" s="66">
        <f t="shared" si="159"/>
        <v>4.6598683999999899</v>
      </c>
      <c r="E2162" s="7"/>
      <c r="F2162" s="53">
        <f t="shared" si="160"/>
        <v>0</v>
      </c>
    </row>
    <row r="2163" spans="1:6" ht="18" customHeight="1">
      <c r="A2163" s="7"/>
      <c r="B2163" s="52" t="s">
        <v>509</v>
      </c>
      <c r="C2163" s="7" t="s">
        <v>871</v>
      </c>
      <c r="D2163" s="66">
        <f t="shared" si="159"/>
        <v>6.2457299999999902</v>
      </c>
      <c r="E2163" s="7"/>
      <c r="F2163" s="53">
        <f t="shared" si="160"/>
        <v>0</v>
      </c>
    </row>
    <row r="2164" spans="1:6" ht="18" customHeight="1">
      <c r="A2164" s="7"/>
      <c r="B2164" s="52" t="s">
        <v>506</v>
      </c>
      <c r="C2164" s="7" t="s">
        <v>871</v>
      </c>
      <c r="D2164" s="7">
        <f t="shared" si="159"/>
        <v>0</v>
      </c>
      <c r="E2164" s="7">
        <f>E2148</f>
        <v>0.1</v>
      </c>
      <c r="F2164" s="53">
        <f t="shared" si="160"/>
        <v>0</v>
      </c>
    </row>
    <row r="2165" spans="1:6" ht="18" customHeight="1">
      <c r="A2165" s="7"/>
      <c r="B2165" s="52" t="s">
        <v>515</v>
      </c>
      <c r="C2165" s="7" t="s">
        <v>844</v>
      </c>
      <c r="D2165" s="7">
        <f t="shared" si="159"/>
        <v>4.7450000000000001</v>
      </c>
      <c r="E2165" s="7">
        <f>E2153*台时!AZ19</f>
        <v>75.399999999999991</v>
      </c>
      <c r="F2165" s="53">
        <f t="shared" si="160"/>
        <v>357.77299999999997</v>
      </c>
    </row>
    <row r="2166" spans="1:6" ht="18" customHeight="1">
      <c r="A2166" s="7"/>
      <c r="B2166" s="52" t="s">
        <v>516</v>
      </c>
      <c r="C2166" s="7" t="s">
        <v>844</v>
      </c>
      <c r="D2166" s="7">
        <f t="shared" si="159"/>
        <v>3.51</v>
      </c>
      <c r="E2166" s="7">
        <f>E2152*台时!AL22</f>
        <v>204.70000000000002</v>
      </c>
      <c r="F2166" s="53">
        <f t="shared" si="160"/>
        <v>718.49700000000007</v>
      </c>
    </row>
    <row r="2167" spans="1:6" ht="18" customHeight="1">
      <c r="A2167" s="7">
        <v>5</v>
      </c>
      <c r="B2167" s="52" t="s">
        <v>845</v>
      </c>
      <c r="C2167" s="7"/>
      <c r="D2167" s="53">
        <f>F2142+F2158+F2159+F2160</f>
        <v>5190.7166266038148</v>
      </c>
      <c r="E2167" s="56">
        <f>E2104</f>
        <v>0.09</v>
      </c>
      <c r="F2167" s="53">
        <f t="shared" si="160"/>
        <v>467.1644963943433</v>
      </c>
    </row>
    <row r="2168" spans="1:6" ht="18" customHeight="1">
      <c r="A2168" s="7">
        <v>6</v>
      </c>
      <c r="B2168" s="52" t="s">
        <v>7</v>
      </c>
      <c r="C2168" s="52"/>
      <c r="D2168" s="7"/>
      <c r="E2168" s="7"/>
      <c r="F2168" s="53">
        <f>D2167+F2167</f>
        <v>5657.8811229981584</v>
      </c>
    </row>
    <row r="2169" spans="1:6" ht="18" customHeight="1">
      <c r="A2169" s="7"/>
      <c r="B2169" s="52" t="s">
        <v>846</v>
      </c>
      <c r="C2169" s="52"/>
      <c r="D2169" s="53">
        <f>F2168</f>
        <v>5657.8811229981584</v>
      </c>
      <c r="E2169" s="56">
        <f>E2106</f>
        <v>0.03</v>
      </c>
      <c r="F2169" s="53">
        <f>E2169*D2169</f>
        <v>169.73643368994473</v>
      </c>
    </row>
    <row r="2170" spans="1:6" ht="18" customHeight="1">
      <c r="A2170" s="7"/>
      <c r="B2170" s="52" t="s">
        <v>44</v>
      </c>
      <c r="C2170" s="52"/>
      <c r="D2170" s="7"/>
      <c r="E2170" s="7"/>
      <c r="F2170" s="53">
        <f>SUM(F2168:F2169)</f>
        <v>5827.6175566881029</v>
      </c>
    </row>
    <row r="2171" spans="1:6" ht="20.25" customHeight="1">
      <c r="A2171" s="461" t="s">
        <v>813</v>
      </c>
      <c r="B2171" s="461"/>
      <c r="C2171" s="461"/>
      <c r="D2171" s="461"/>
      <c r="E2171" s="461"/>
      <c r="F2171" s="461"/>
    </row>
    <row r="2172" spans="1:6" ht="18" customHeight="1">
      <c r="A2172" s="462" t="s">
        <v>999</v>
      </c>
      <c r="B2172" s="462"/>
      <c r="C2172" s="462"/>
      <c r="D2172" s="462"/>
      <c r="E2172" s="462"/>
      <c r="F2172" s="462"/>
    </row>
    <row r="2173" spans="1:6" ht="18" customHeight="1">
      <c r="A2173" s="47" t="s">
        <v>815</v>
      </c>
      <c r="B2173" s="49">
        <v>4174</v>
      </c>
      <c r="D2173" s="46"/>
      <c r="E2173" s="47" t="s">
        <v>169</v>
      </c>
      <c r="F2173" s="49" t="s">
        <v>869</v>
      </c>
    </row>
    <row r="2174" spans="1:6" ht="18" customHeight="1">
      <c r="A2174" s="50" t="s">
        <v>817</v>
      </c>
      <c r="B2174" s="458"/>
      <c r="C2174" s="459"/>
      <c r="D2174" s="459"/>
      <c r="E2174" s="459"/>
      <c r="F2174" s="460"/>
    </row>
    <row r="2175" spans="1:6" ht="18" customHeight="1">
      <c r="A2175" s="7" t="s">
        <v>1</v>
      </c>
      <c r="B2175" s="52" t="s">
        <v>344</v>
      </c>
      <c r="C2175" s="7" t="s">
        <v>818</v>
      </c>
      <c r="D2175" s="7" t="s">
        <v>819</v>
      </c>
      <c r="E2175" s="7" t="s">
        <v>820</v>
      </c>
      <c r="F2175" s="7" t="s">
        <v>821</v>
      </c>
    </row>
    <row r="2176" spans="1:6" ht="18" customHeight="1">
      <c r="A2176" s="7">
        <v>1</v>
      </c>
      <c r="B2176" s="52" t="s">
        <v>822</v>
      </c>
      <c r="C2176" s="7"/>
      <c r="D2176" s="7"/>
      <c r="E2176" s="7"/>
      <c r="F2176" s="53">
        <f>F2177+F2200+F2201</f>
        <v>46235.143733341902</v>
      </c>
    </row>
    <row r="2177" spans="1:6" ht="18" customHeight="1">
      <c r="A2177" s="7">
        <v>1.1000000000000001</v>
      </c>
      <c r="B2177" s="52" t="s">
        <v>823</v>
      </c>
      <c r="C2177" s="7"/>
      <c r="D2177" s="7"/>
      <c r="E2177" s="7"/>
      <c r="F2177" s="53">
        <f>F2178+F2181+F2190+F2197+F2198+F2199</f>
        <v>46212.961511816233</v>
      </c>
    </row>
    <row r="2178" spans="1:6" ht="18" customHeight="1">
      <c r="A2178" s="7" t="s">
        <v>47</v>
      </c>
      <c r="B2178" s="52" t="s">
        <v>176</v>
      </c>
      <c r="C2178" s="7"/>
      <c r="D2178" s="7"/>
      <c r="E2178" s="7"/>
      <c r="F2178" s="53">
        <f>F2179+F2180</f>
        <v>19108.242999999999</v>
      </c>
    </row>
    <row r="2179" spans="1:6" ht="18" customHeight="1">
      <c r="A2179" s="7"/>
      <c r="B2179" s="52" t="s">
        <v>824</v>
      </c>
      <c r="C2179" s="7" t="s">
        <v>825</v>
      </c>
      <c r="D2179" s="7">
        <v>8.1</v>
      </c>
      <c r="E2179" s="7">
        <v>1787.1</v>
      </c>
      <c r="F2179" s="53">
        <f>D2179*E2179</f>
        <v>14475.51</v>
      </c>
    </row>
    <row r="2180" spans="1:6" ht="18" customHeight="1">
      <c r="A2180" s="7"/>
      <c r="B2180" s="52" t="s">
        <v>826</v>
      </c>
      <c r="C2180" s="7" t="s">
        <v>825</v>
      </c>
      <c r="D2180" s="7">
        <v>5.77</v>
      </c>
      <c r="E2180" s="7">
        <v>802.9</v>
      </c>
      <c r="F2180" s="53">
        <f>D2180*E2180</f>
        <v>4632.7330000000002</v>
      </c>
    </row>
    <row r="2181" spans="1:6" ht="18" customHeight="1">
      <c r="A2181" s="7" t="s">
        <v>57</v>
      </c>
      <c r="B2181" s="52" t="s">
        <v>177</v>
      </c>
      <c r="C2181" s="7"/>
      <c r="D2181" s="7"/>
      <c r="E2181" s="7"/>
      <c r="F2181" s="53">
        <f>SUM(F2182:F2189)</f>
        <v>24831.586531560002</v>
      </c>
    </row>
    <row r="2182" spans="1:6" ht="18" customHeight="1">
      <c r="A2182" s="7"/>
      <c r="B2182" s="52" t="s">
        <v>870</v>
      </c>
      <c r="C2182" s="7" t="s">
        <v>871</v>
      </c>
      <c r="D2182" s="7">
        <f>材料预算价格表!L8</f>
        <v>1874.0778</v>
      </c>
      <c r="E2182" s="7">
        <v>0</v>
      </c>
      <c r="F2182" s="53">
        <f t="shared" ref="F2182:F2188" si="161">D2182*E2182</f>
        <v>0</v>
      </c>
    </row>
    <row r="2183" spans="1:6" ht="18" customHeight="1">
      <c r="A2183" s="7"/>
      <c r="B2183" s="52" t="s">
        <v>375</v>
      </c>
      <c r="C2183" s="7" t="s">
        <v>844</v>
      </c>
      <c r="D2183" s="7">
        <f>次要材料汇总!$F$9</f>
        <v>6</v>
      </c>
      <c r="E2183" s="7">
        <v>510.1</v>
      </c>
      <c r="F2183" s="53">
        <f t="shared" si="161"/>
        <v>3060.6000000000004</v>
      </c>
    </row>
    <row r="2184" spans="1:6" ht="18" customHeight="1">
      <c r="A2184" s="7"/>
      <c r="B2184" s="52" t="s">
        <v>873</v>
      </c>
      <c r="C2184" s="7" t="s">
        <v>844</v>
      </c>
      <c r="D2184" s="7">
        <f>次要材料汇总!$F$10</f>
        <v>5.5</v>
      </c>
      <c r="E2184" s="7">
        <v>149.1</v>
      </c>
      <c r="F2184" s="53">
        <f t="shared" si="161"/>
        <v>820.05</v>
      </c>
    </row>
    <row r="2185" spans="1:6" ht="18" customHeight="1">
      <c r="A2185" s="7"/>
      <c r="B2185" s="52" t="s">
        <v>874</v>
      </c>
      <c r="C2185" s="7" t="s">
        <v>844</v>
      </c>
      <c r="D2185" s="7">
        <f>次要材料汇总!$F$11</f>
        <v>6.5</v>
      </c>
      <c r="E2185" s="7">
        <v>147.16999999999999</v>
      </c>
      <c r="F2185" s="53">
        <f t="shared" si="161"/>
        <v>956.6049999999999</v>
      </c>
    </row>
    <row r="2186" spans="1:6" ht="18" customHeight="1">
      <c r="A2186" s="7"/>
      <c r="B2186" s="52" t="s">
        <v>876</v>
      </c>
      <c r="C2186" s="7" t="s">
        <v>844</v>
      </c>
      <c r="D2186" s="7">
        <v>7.5</v>
      </c>
      <c r="E2186" s="7">
        <v>15</v>
      </c>
      <c r="F2186" s="53">
        <f t="shared" si="161"/>
        <v>112.5</v>
      </c>
    </row>
    <row r="2187" spans="1:6" ht="18" customHeight="1">
      <c r="A2187" s="7"/>
      <c r="B2187" s="52" t="s">
        <v>877</v>
      </c>
      <c r="C2187" s="7" t="s">
        <v>871</v>
      </c>
      <c r="D2187" s="66">
        <f>砼配合!J8</f>
        <v>183.29938899999999</v>
      </c>
      <c r="E2187" s="7">
        <v>102</v>
      </c>
      <c r="F2187" s="53">
        <f t="shared" si="161"/>
        <v>18696.537678000001</v>
      </c>
    </row>
    <row r="2188" spans="1:6" ht="18" customHeight="1">
      <c r="A2188" s="7"/>
      <c r="B2188" s="52" t="s">
        <v>806</v>
      </c>
      <c r="C2188" s="7" t="s">
        <v>871</v>
      </c>
      <c r="D2188" s="7">
        <f>材料预算价格表!K15</f>
        <v>3.88</v>
      </c>
      <c r="E2188" s="7">
        <v>180</v>
      </c>
      <c r="F2188" s="53">
        <f t="shared" si="161"/>
        <v>698.4</v>
      </c>
    </row>
    <row r="2189" spans="1:6" ht="18" customHeight="1">
      <c r="A2189" s="7"/>
      <c r="B2189" s="52" t="s">
        <v>833</v>
      </c>
      <c r="C2189" s="7" t="s">
        <v>834</v>
      </c>
      <c r="D2189" s="66">
        <f>SUM(F2182:F2188)</f>
        <v>24344.692678000003</v>
      </c>
      <c r="E2189" s="7">
        <v>2</v>
      </c>
      <c r="F2189" s="53">
        <f>D2189*E2189/100</f>
        <v>486.89385356000008</v>
      </c>
    </row>
    <row r="2190" spans="1:6" ht="18" customHeight="1">
      <c r="A2190" s="7" t="s">
        <v>835</v>
      </c>
      <c r="B2190" s="52" t="s">
        <v>836</v>
      </c>
      <c r="C2190" s="7"/>
      <c r="D2190" s="7"/>
      <c r="E2190" s="7"/>
      <c r="F2190" s="53">
        <f>SUM(F2191:F2196)</f>
        <v>1147.9212396126127</v>
      </c>
    </row>
    <row r="2191" spans="1:6" ht="18" customHeight="1">
      <c r="A2191" s="7"/>
      <c r="B2191" s="52" t="s">
        <v>949</v>
      </c>
      <c r="C2191" s="7" t="s">
        <v>863</v>
      </c>
      <c r="D2191" s="66">
        <f>施工机械台时汇总!$C$42</f>
        <v>49.210305522914197</v>
      </c>
      <c r="E2191" s="7">
        <v>0.88</v>
      </c>
      <c r="F2191" s="53">
        <f>D2191*E2191</f>
        <v>43.305068860164496</v>
      </c>
    </row>
    <row r="2192" spans="1:6" ht="18" customHeight="1">
      <c r="A2192" s="7"/>
      <c r="B2192" s="52" t="s">
        <v>946</v>
      </c>
      <c r="C2192" s="7" t="s">
        <v>863</v>
      </c>
      <c r="D2192" s="66">
        <f>施工机械台时汇总!$C$40</f>
        <v>15.582226792009401</v>
      </c>
      <c r="E2192" s="7">
        <v>17.14</v>
      </c>
      <c r="F2192" s="53">
        <f>D2192*E2192</f>
        <v>267.07936721504115</v>
      </c>
    </row>
    <row r="2193" spans="1:6" ht="18" customHeight="1">
      <c r="A2193" s="7"/>
      <c r="B2193" s="52" t="s">
        <v>882</v>
      </c>
      <c r="C2193" s="7" t="s">
        <v>863</v>
      </c>
      <c r="D2193" s="66">
        <f>施工机械台时汇总!$C$21</f>
        <v>28.129680376028197</v>
      </c>
      <c r="E2193" s="7">
        <v>18.36</v>
      </c>
      <c r="F2193" s="53">
        <f>D2193*E2193</f>
        <v>516.46093170387769</v>
      </c>
    </row>
    <row r="2194" spans="1:6" ht="18" customHeight="1">
      <c r="A2194" s="7"/>
      <c r="B2194" s="52" t="s">
        <v>883</v>
      </c>
      <c r="C2194" s="7" t="s">
        <v>863</v>
      </c>
      <c r="D2194" s="66">
        <f>施工机械台时汇总!$C$24</f>
        <v>2.2013599686643204</v>
      </c>
      <c r="E2194" s="7">
        <v>44</v>
      </c>
      <c r="F2194" s="53">
        <f>D2194*E2194</f>
        <v>96.859838621230097</v>
      </c>
    </row>
    <row r="2195" spans="1:6" ht="18" customHeight="1">
      <c r="A2195" s="7"/>
      <c r="B2195" s="52" t="s">
        <v>407</v>
      </c>
      <c r="C2195" s="7" t="s">
        <v>863</v>
      </c>
      <c r="D2195" s="7">
        <f>施工机械台时汇总!$C$19</f>
        <v>0.80266353309831595</v>
      </c>
      <c r="E2195" s="7">
        <v>92.8</v>
      </c>
      <c r="F2195" s="53">
        <f>D2195*E2195</f>
        <v>74.487175871523718</v>
      </c>
    </row>
    <row r="2196" spans="1:6" ht="18" customHeight="1">
      <c r="A2196" s="7"/>
      <c r="B2196" s="52" t="s">
        <v>840</v>
      </c>
      <c r="C2196" s="7" t="s">
        <v>834</v>
      </c>
      <c r="D2196" s="66">
        <f>SUM(F2191:F2195)</f>
        <v>998.19238227183712</v>
      </c>
      <c r="E2196" s="7">
        <v>15</v>
      </c>
      <c r="F2196" s="53">
        <f>D2196*E2196/100</f>
        <v>149.72885734077556</v>
      </c>
    </row>
    <row r="2197" spans="1:6" ht="18" customHeight="1">
      <c r="A2197" s="7" t="s">
        <v>884</v>
      </c>
      <c r="B2197" s="52" t="s">
        <v>885</v>
      </c>
      <c r="C2197" s="7" t="s">
        <v>871</v>
      </c>
      <c r="D2197" s="66">
        <f>砼配合!J52/100</f>
        <v>5.0269138732471603</v>
      </c>
      <c r="E2197" s="7">
        <v>103</v>
      </c>
      <c r="F2197" s="53">
        <f>D2197*E2197</f>
        <v>517.77212894445756</v>
      </c>
    </row>
    <row r="2198" spans="1:6" ht="18" customHeight="1">
      <c r="A2198" s="7" t="s">
        <v>886</v>
      </c>
      <c r="B2198" s="52" t="s">
        <v>887</v>
      </c>
      <c r="C2198" s="7" t="s">
        <v>871</v>
      </c>
      <c r="D2198" s="66">
        <f>砼配合!J65/100</f>
        <v>5.8974622495064617</v>
      </c>
      <c r="E2198" s="7">
        <v>103</v>
      </c>
      <c r="F2198" s="53">
        <f>D2198*E2198</f>
        <v>607.43861169916556</v>
      </c>
    </row>
    <row r="2199" spans="1:6" ht="18" customHeight="1">
      <c r="A2199" s="7"/>
      <c r="B2199" s="52"/>
      <c r="C2199" s="7"/>
      <c r="D2199" s="7"/>
      <c r="E2199" s="7"/>
      <c r="F2199" s="53"/>
    </row>
    <row r="2200" spans="1:6" ht="18" customHeight="1">
      <c r="A2200" s="7">
        <v>1.2</v>
      </c>
      <c r="B2200" s="52" t="s">
        <v>841</v>
      </c>
      <c r="C2200" s="7"/>
      <c r="D2200" s="53">
        <f>F2177</f>
        <v>46212.961511816233</v>
      </c>
      <c r="E2200" s="56">
        <f>E2156</f>
        <v>4.8000000000000001E-2</v>
      </c>
      <c r="F2200" s="53">
        <f>D2200*E2200/100</f>
        <v>22.182221525671793</v>
      </c>
    </row>
    <row r="2201" spans="1:6" ht="18" customHeight="1">
      <c r="A2201" s="7">
        <v>1.3</v>
      </c>
      <c r="B2201" s="52" t="s">
        <v>842</v>
      </c>
      <c r="C2201" s="7"/>
      <c r="D2201" s="53">
        <f>F2177</f>
        <v>46212.961511816233</v>
      </c>
      <c r="E2201" s="56">
        <f>E2157</f>
        <v>0</v>
      </c>
      <c r="F2201" s="53">
        <f>D2201*E2201/100</f>
        <v>0</v>
      </c>
    </row>
    <row r="2202" spans="1:6" ht="18" customHeight="1">
      <c r="A2202" s="7">
        <v>2</v>
      </c>
      <c r="B2202" s="52" t="s">
        <v>182</v>
      </c>
      <c r="C2202" s="7"/>
      <c r="D2202" s="53">
        <f>F2176</f>
        <v>46235.143733341902</v>
      </c>
      <c r="E2202" s="56">
        <f>E2158</f>
        <v>7.0000000000000007E-2</v>
      </c>
      <c r="F2202" s="53">
        <f>D2202*E2202/100</f>
        <v>32.364600613339334</v>
      </c>
    </row>
    <row r="2203" spans="1:6" ht="18" customHeight="1">
      <c r="A2203" s="7">
        <v>3</v>
      </c>
      <c r="B2203" s="52" t="s">
        <v>843</v>
      </c>
      <c r="C2203" s="7"/>
      <c r="D2203" s="53">
        <f>F2202+F2176</f>
        <v>46267.508333955244</v>
      </c>
      <c r="E2203" s="56">
        <f>E2159</f>
        <v>7.0000000000000007E-2</v>
      </c>
      <c r="F2203" s="53">
        <f>D2203*E2203/100</f>
        <v>32.38725583376867</v>
      </c>
    </row>
    <row r="2204" spans="1:6" ht="18" customHeight="1">
      <c r="A2204" s="7">
        <v>4</v>
      </c>
      <c r="B2204" s="52" t="s">
        <v>184</v>
      </c>
      <c r="C2204" s="7"/>
      <c r="D2204" s="7"/>
      <c r="E2204" s="7"/>
      <c r="F2204" s="53">
        <f>SUM(F2205:F2210)</f>
        <v>4856.2688112770747</v>
      </c>
    </row>
    <row r="2205" spans="1:6" ht="18" customHeight="1">
      <c r="A2205" s="7"/>
      <c r="B2205" s="52" t="s">
        <v>354</v>
      </c>
      <c r="C2205" s="7" t="s">
        <v>88</v>
      </c>
      <c r="D2205" s="7">
        <f>A2</f>
        <v>116.41515</v>
      </c>
      <c r="E2205" s="66">
        <f>E2187*砼配合!I9</f>
        <v>34.695605999999998</v>
      </c>
      <c r="F2205" s="53">
        <f t="shared" ref="F2205:F2210" si="162">D2205*E2205</f>
        <v>4039.0941768308999</v>
      </c>
    </row>
    <row r="2206" spans="1:6" ht="18" customHeight="1">
      <c r="A2206" s="7"/>
      <c r="B2206" s="52" t="s">
        <v>507</v>
      </c>
      <c r="C2206" s="7" t="s">
        <v>871</v>
      </c>
      <c r="D2206" s="66">
        <f>D2</f>
        <v>4.6598683999999899</v>
      </c>
      <c r="E2206" s="66">
        <f>E2187*砼配合!I10</f>
        <v>53.878440000000005</v>
      </c>
      <c r="F2206" s="53">
        <f t="shared" si="162"/>
        <v>251.06643999729548</v>
      </c>
    </row>
    <row r="2207" spans="1:6" ht="18" customHeight="1">
      <c r="A2207" s="7"/>
      <c r="B2207" s="52" t="s">
        <v>509</v>
      </c>
      <c r="C2207" s="7" t="s">
        <v>871</v>
      </c>
      <c r="D2207" s="66">
        <f>E2</f>
        <v>6.2457299999999902</v>
      </c>
      <c r="E2207" s="66">
        <f>E2187*砼配合!I11</f>
        <v>85.825655999999995</v>
      </c>
      <c r="F2207" s="53">
        <f t="shared" si="162"/>
        <v>536.04387444887914</v>
      </c>
    </row>
    <row r="2208" spans="1:6" ht="18" customHeight="1">
      <c r="A2208" s="7"/>
      <c r="B2208" s="52" t="s">
        <v>506</v>
      </c>
      <c r="C2208" s="7" t="s">
        <v>871</v>
      </c>
      <c r="D2208" s="7">
        <f>C2</f>
        <v>0</v>
      </c>
      <c r="E2208" s="66">
        <f>E2182</f>
        <v>0</v>
      </c>
      <c r="F2208" s="53">
        <f t="shared" si="162"/>
        <v>0</v>
      </c>
    </row>
    <row r="2209" spans="1:6" ht="18" customHeight="1">
      <c r="A2209" s="7"/>
      <c r="B2209" s="52" t="s">
        <v>515</v>
      </c>
      <c r="C2209" s="7" t="s">
        <v>844</v>
      </c>
      <c r="D2209" s="7">
        <f>G2</f>
        <v>4.7450000000000001</v>
      </c>
      <c r="E2209" s="66">
        <f>E2191*台时!AK19</f>
        <v>6.3360000000000003</v>
      </c>
      <c r="F2209" s="53">
        <f t="shared" si="162"/>
        <v>30.064320000000002</v>
      </c>
    </row>
    <row r="2210" spans="1:6" ht="18" customHeight="1">
      <c r="A2210" s="7"/>
      <c r="B2210" s="52" t="s">
        <v>516</v>
      </c>
      <c r="C2210" s="7" t="s">
        <v>844</v>
      </c>
      <c r="D2210" s="7">
        <f>H2</f>
        <v>3.51</v>
      </c>
      <c r="E2210" s="7"/>
      <c r="F2210" s="53">
        <f t="shared" si="162"/>
        <v>0</v>
      </c>
    </row>
    <row r="2211" spans="1:6" ht="18" customHeight="1">
      <c r="A2211" s="7">
        <v>5</v>
      </c>
      <c r="B2211" s="52" t="s">
        <v>845</v>
      </c>
      <c r="C2211" s="7"/>
      <c r="D2211" s="53">
        <f>F2176+F2202+F2203+F2204</f>
        <v>51156.164401066089</v>
      </c>
      <c r="E2211" s="56">
        <f>E2167</f>
        <v>0.09</v>
      </c>
      <c r="F2211" s="53">
        <f>D2211*E2211/100</f>
        <v>46.040547960959472</v>
      </c>
    </row>
    <row r="2212" spans="1:6" ht="18" customHeight="1">
      <c r="A2212" s="7">
        <v>6</v>
      </c>
      <c r="B2212" s="52" t="s">
        <v>7</v>
      </c>
      <c r="C2212" s="52"/>
      <c r="D2212" s="7"/>
      <c r="E2212" s="7"/>
      <c r="F2212" s="53">
        <f>D2211+F2211</f>
        <v>51202.204949027051</v>
      </c>
    </row>
    <row r="2213" spans="1:6" ht="18" customHeight="1">
      <c r="A2213" s="7"/>
      <c r="B2213" s="52" t="s">
        <v>846</v>
      </c>
      <c r="C2213" s="52"/>
      <c r="D2213" s="53">
        <f>F2212</f>
        <v>51202.204949027051</v>
      </c>
      <c r="E2213" s="56">
        <f>E2169</f>
        <v>0.03</v>
      </c>
      <c r="F2213" s="53">
        <f>E2213*D2213</f>
        <v>1536.0661484708114</v>
      </c>
    </row>
    <row r="2214" spans="1:6" ht="18" customHeight="1">
      <c r="A2214" s="7"/>
      <c r="B2214" s="52" t="s">
        <v>44</v>
      </c>
      <c r="C2214" s="52"/>
      <c r="D2214" s="7"/>
      <c r="E2214" s="7"/>
      <c r="F2214" s="53">
        <f>SUM(F2212:F2213)</f>
        <v>52738.271097497862</v>
      </c>
    </row>
    <row r="2215" spans="1:6" ht="20.25" customHeight="1">
      <c r="A2215" s="461" t="s">
        <v>813</v>
      </c>
      <c r="B2215" s="461"/>
      <c r="C2215" s="461"/>
      <c r="D2215" s="461"/>
      <c r="E2215" s="461"/>
      <c r="F2215" s="461"/>
    </row>
    <row r="2216" spans="1:6" ht="18" customHeight="1">
      <c r="A2216" s="462" t="s">
        <v>1000</v>
      </c>
      <c r="B2216" s="462"/>
      <c r="C2216" s="462"/>
      <c r="D2216" s="462"/>
      <c r="E2216" s="462"/>
      <c r="F2216" s="462"/>
    </row>
    <row r="2217" spans="1:6" ht="18" customHeight="1">
      <c r="A2217" s="47" t="s">
        <v>815</v>
      </c>
      <c r="B2217" s="49">
        <v>4194</v>
      </c>
      <c r="D2217" s="46"/>
      <c r="E2217" s="47" t="s">
        <v>169</v>
      </c>
      <c r="F2217" s="49" t="s">
        <v>869</v>
      </c>
    </row>
    <row r="2218" spans="1:6" ht="18" customHeight="1">
      <c r="A2218" s="50" t="s">
        <v>817</v>
      </c>
      <c r="B2218" s="458"/>
      <c r="C2218" s="459"/>
      <c r="D2218" s="459"/>
      <c r="E2218" s="459"/>
      <c r="F2218" s="460"/>
    </row>
    <row r="2219" spans="1:6" ht="18" customHeight="1">
      <c r="A2219" s="7" t="s">
        <v>1</v>
      </c>
      <c r="B2219" s="52" t="s">
        <v>344</v>
      </c>
      <c r="C2219" s="7" t="s">
        <v>818</v>
      </c>
      <c r="D2219" s="7" t="s">
        <v>819</v>
      </c>
      <c r="E2219" s="7" t="s">
        <v>820</v>
      </c>
      <c r="F2219" s="7" t="s">
        <v>821</v>
      </c>
    </row>
    <row r="2220" spans="1:6" ht="18" customHeight="1">
      <c r="A2220" s="7">
        <v>1</v>
      </c>
      <c r="B2220" s="52" t="s">
        <v>822</v>
      </c>
      <c r="C2220" s="7"/>
      <c r="D2220" s="7"/>
      <c r="E2220" s="7"/>
      <c r="F2220" s="53">
        <f>F2221+F2245+F2246</f>
        <v>66558.869391292697</v>
      </c>
    </row>
    <row r="2221" spans="1:6" ht="18" customHeight="1">
      <c r="A2221" s="7">
        <v>1.1000000000000001</v>
      </c>
      <c r="B2221" s="52" t="s">
        <v>823</v>
      </c>
      <c r="C2221" s="7"/>
      <c r="D2221" s="7"/>
      <c r="E2221" s="7"/>
      <c r="F2221" s="53">
        <f>F2222+F2225+F2234+F2241+F2242+F2243</f>
        <v>66526.936461791032</v>
      </c>
    </row>
    <row r="2222" spans="1:6" ht="18" customHeight="1">
      <c r="A2222" s="7" t="s">
        <v>47</v>
      </c>
      <c r="B2222" s="52" t="s">
        <v>176</v>
      </c>
      <c r="C2222" s="7"/>
      <c r="D2222" s="7"/>
      <c r="E2222" s="7"/>
      <c r="F2222" s="53">
        <f>F2223+F2224</f>
        <v>14940.793</v>
      </c>
    </row>
    <row r="2223" spans="1:6" ht="18" customHeight="1">
      <c r="A2223" s="7"/>
      <c r="B2223" s="52" t="s">
        <v>824</v>
      </c>
      <c r="C2223" s="7" t="s">
        <v>825</v>
      </c>
      <c r="D2223" s="7">
        <v>8.1</v>
      </c>
      <c r="E2223" s="7">
        <v>1272.5999999999999</v>
      </c>
      <c r="F2223" s="53">
        <f>D2223*E2223</f>
        <v>10308.06</v>
      </c>
    </row>
    <row r="2224" spans="1:6" ht="18" customHeight="1">
      <c r="A2224" s="7"/>
      <c r="B2224" s="52" t="s">
        <v>826</v>
      </c>
      <c r="C2224" s="7" t="s">
        <v>825</v>
      </c>
      <c r="D2224" s="7">
        <v>5.77</v>
      </c>
      <c r="E2224" s="7">
        <v>802.9</v>
      </c>
      <c r="F2224" s="53">
        <f>D2224*E2224</f>
        <v>4632.7330000000002</v>
      </c>
    </row>
    <row r="2225" spans="1:6" ht="18" customHeight="1">
      <c r="A2225" s="7" t="s">
        <v>57</v>
      </c>
      <c r="B2225" s="52" t="s">
        <v>177</v>
      </c>
      <c r="C2225" s="7"/>
      <c r="D2225" s="7"/>
      <c r="E2225" s="7"/>
      <c r="F2225" s="53">
        <f>SUM(F2226:F2233)</f>
        <v>47291.41939472231</v>
      </c>
    </row>
    <row r="2226" spans="1:6" ht="18" customHeight="1">
      <c r="A2226" s="7"/>
      <c r="B2226" s="52" t="s">
        <v>991</v>
      </c>
      <c r="C2226" s="7" t="s">
        <v>871</v>
      </c>
      <c r="D2226" s="66">
        <f>F2177/100</f>
        <v>462.12961511816235</v>
      </c>
      <c r="E2226" s="7">
        <v>100</v>
      </c>
      <c r="F2226" s="53">
        <f t="shared" ref="F2226:F2232" si="163">D2226*E2226</f>
        <v>46212.961511816233</v>
      </c>
    </row>
    <row r="2227" spans="1:6" ht="18" customHeight="1">
      <c r="A2227" s="7"/>
      <c r="B2227" s="52" t="s">
        <v>375</v>
      </c>
      <c r="C2227" s="7" t="s">
        <v>844</v>
      </c>
      <c r="D2227" s="7">
        <f>次要材料汇总!$F$9</f>
        <v>6</v>
      </c>
      <c r="E2227" s="7"/>
      <c r="F2227" s="53">
        <f t="shared" si="163"/>
        <v>0</v>
      </c>
    </row>
    <row r="2228" spans="1:6" ht="18" customHeight="1">
      <c r="A2228" s="7"/>
      <c r="B2228" s="52" t="s">
        <v>873</v>
      </c>
      <c r="C2228" s="7" t="s">
        <v>844</v>
      </c>
      <c r="D2228" s="7">
        <f>次要材料汇总!$F$10</f>
        <v>5.5</v>
      </c>
      <c r="E2228" s="7"/>
      <c r="F2228" s="53">
        <f t="shared" si="163"/>
        <v>0</v>
      </c>
    </row>
    <row r="2229" spans="1:6" ht="18" customHeight="1">
      <c r="A2229" s="7"/>
      <c r="B2229" s="52" t="s">
        <v>874</v>
      </c>
      <c r="C2229" s="7" t="s">
        <v>844</v>
      </c>
      <c r="D2229" s="7">
        <f>次要材料汇总!$F$11</f>
        <v>6.5</v>
      </c>
      <c r="E2229" s="7"/>
      <c r="F2229" s="53">
        <f t="shared" si="163"/>
        <v>0</v>
      </c>
    </row>
    <row r="2230" spans="1:6" ht="18" customHeight="1">
      <c r="A2230" s="7"/>
      <c r="B2230" s="52" t="s">
        <v>876</v>
      </c>
      <c r="C2230" s="7" t="s">
        <v>844</v>
      </c>
      <c r="D2230" s="7">
        <v>7.5</v>
      </c>
      <c r="E2230" s="7"/>
      <c r="F2230" s="53">
        <f t="shared" si="163"/>
        <v>0</v>
      </c>
    </row>
    <row r="2231" spans="1:6" ht="18" customHeight="1">
      <c r="A2231" s="7"/>
      <c r="B2231" s="52" t="s">
        <v>987</v>
      </c>
      <c r="C2231" s="7" t="s">
        <v>871</v>
      </c>
      <c r="D2231" s="66">
        <f>砼配合!J8</f>
        <v>183.29938899999999</v>
      </c>
      <c r="E2231" s="7">
        <v>4.5999999999999996</v>
      </c>
      <c r="F2231" s="53">
        <f t="shared" si="163"/>
        <v>843.17718939999986</v>
      </c>
    </row>
    <row r="2232" spans="1:6" ht="18" customHeight="1">
      <c r="A2232" s="7"/>
      <c r="B2232" s="52" t="s">
        <v>806</v>
      </c>
      <c r="C2232" s="7" t="s">
        <v>871</v>
      </c>
      <c r="D2232" s="7">
        <f>材料预算价格表!K15</f>
        <v>3.88</v>
      </c>
      <c r="E2232" s="7"/>
      <c r="F2232" s="53">
        <f t="shared" si="163"/>
        <v>0</v>
      </c>
    </row>
    <row r="2233" spans="1:6" ht="18" customHeight="1">
      <c r="A2233" s="7"/>
      <c r="B2233" s="52" t="s">
        <v>833</v>
      </c>
      <c r="C2233" s="7" t="s">
        <v>834</v>
      </c>
      <c r="D2233" s="66">
        <f>SUM(F2226:F2232)</f>
        <v>47056.13870121623</v>
      </c>
      <c r="E2233" s="7">
        <v>0.5</v>
      </c>
      <c r="F2233" s="53">
        <f>D2233*E2233/100</f>
        <v>235.28069350608115</v>
      </c>
    </row>
    <row r="2234" spans="1:6" ht="18" customHeight="1">
      <c r="A2234" s="7" t="s">
        <v>835</v>
      </c>
      <c r="B2234" s="52" t="s">
        <v>836</v>
      </c>
      <c r="C2234" s="7"/>
      <c r="D2234" s="7"/>
      <c r="E2234" s="7"/>
      <c r="F2234" s="53">
        <f>SUM(F2235:F2240)</f>
        <v>302.96123997414804</v>
      </c>
    </row>
    <row r="2235" spans="1:6" ht="18" customHeight="1">
      <c r="A2235" s="7"/>
      <c r="B2235" s="52" t="s">
        <v>1001</v>
      </c>
      <c r="C2235" s="7" t="s">
        <v>863</v>
      </c>
      <c r="D2235" s="7">
        <f>施工机械台时汇总!$C$63</f>
        <v>0.28076772424598501</v>
      </c>
      <c r="E2235" s="7">
        <v>0.88</v>
      </c>
      <c r="F2235" s="53">
        <f>D2235*E2235</f>
        <v>0.24707559733646681</v>
      </c>
    </row>
    <row r="2236" spans="1:6" ht="18" customHeight="1">
      <c r="A2236" s="7"/>
      <c r="B2236" s="52" t="s">
        <v>946</v>
      </c>
      <c r="C2236" s="7" t="s">
        <v>863</v>
      </c>
      <c r="D2236" s="66">
        <f>施工机械台时汇总!$C$40</f>
        <v>15.582226792009401</v>
      </c>
      <c r="E2236" s="7">
        <v>17.14</v>
      </c>
      <c r="F2236" s="53">
        <f>D2236*E2236</f>
        <v>267.07936721504115</v>
      </c>
    </row>
    <row r="2237" spans="1:6" ht="18" customHeight="1">
      <c r="A2237" s="7"/>
      <c r="B2237" s="52" t="s">
        <v>882</v>
      </c>
      <c r="C2237" s="7" t="s">
        <v>863</v>
      </c>
      <c r="D2237" s="66">
        <f>施工机械台时汇总!$C$21</f>
        <v>28.129680376028197</v>
      </c>
      <c r="E2237" s="7">
        <v>0.85</v>
      </c>
      <c r="F2237" s="53">
        <f>D2237*E2237</f>
        <v>23.910228319623968</v>
      </c>
    </row>
    <row r="2238" spans="1:6" ht="18" customHeight="1">
      <c r="A2238" s="7"/>
      <c r="B2238" s="52" t="s">
        <v>883</v>
      </c>
      <c r="C2238" s="7" t="s">
        <v>863</v>
      </c>
      <c r="D2238" s="66">
        <f>施工机械台时汇总!$C$24</f>
        <v>2.2013599686643204</v>
      </c>
      <c r="E2238" s="7">
        <v>0</v>
      </c>
      <c r="F2238" s="53">
        <f>D2238*E2238</f>
        <v>0</v>
      </c>
    </row>
    <row r="2239" spans="1:6" ht="18" customHeight="1">
      <c r="A2239" s="7"/>
      <c r="B2239" s="52" t="s">
        <v>407</v>
      </c>
      <c r="C2239" s="7" t="s">
        <v>863</v>
      </c>
      <c r="D2239" s="7">
        <f>施工机械台时汇总!$C$19</f>
        <v>0.80266353309831595</v>
      </c>
      <c r="E2239" s="7">
        <v>10.87</v>
      </c>
      <c r="F2239" s="53">
        <f>D2239*E2239</f>
        <v>8.7249526047786929</v>
      </c>
    </row>
    <row r="2240" spans="1:6" ht="18" customHeight="1">
      <c r="A2240" s="7"/>
      <c r="B2240" s="52" t="s">
        <v>840</v>
      </c>
      <c r="C2240" s="7" t="s">
        <v>834</v>
      </c>
      <c r="D2240" s="66">
        <f>SUM(F2235:F2239)</f>
        <v>299.96162373678027</v>
      </c>
      <c r="E2240" s="7">
        <v>1</v>
      </c>
      <c r="F2240" s="53">
        <f>D2240*E2240/100</f>
        <v>2.9996162373678028</v>
      </c>
    </row>
    <row r="2241" spans="1:6" ht="18" customHeight="1">
      <c r="A2241" s="7" t="s">
        <v>884</v>
      </c>
      <c r="B2241" s="52" t="s">
        <v>885</v>
      </c>
      <c r="C2241" s="7" t="s">
        <v>871</v>
      </c>
      <c r="D2241" s="7">
        <f>砼配合!J98/100</f>
        <v>0</v>
      </c>
      <c r="E2241" s="7">
        <v>103</v>
      </c>
      <c r="F2241" s="53">
        <f>D2241*E2241</f>
        <v>0</v>
      </c>
    </row>
    <row r="2242" spans="1:6" ht="18" customHeight="1">
      <c r="A2242" s="7" t="s">
        <v>886</v>
      </c>
      <c r="B2242" s="52" t="s">
        <v>887</v>
      </c>
      <c r="C2242" s="7" t="s">
        <v>871</v>
      </c>
      <c r="D2242" s="7">
        <f>砼配合!J111/100</f>
        <v>0</v>
      </c>
      <c r="E2242" s="7">
        <v>103</v>
      </c>
      <c r="F2242" s="53">
        <f>D2242*E2242</f>
        <v>0</v>
      </c>
    </row>
    <row r="2243" spans="1:6" ht="18" customHeight="1">
      <c r="A2243" s="7" t="s">
        <v>1002</v>
      </c>
      <c r="B2243" s="52" t="s">
        <v>1003</v>
      </c>
      <c r="C2243" s="7" t="s">
        <v>871</v>
      </c>
      <c r="D2243" s="66">
        <f>F2114/100</f>
        <v>39.91762827094572</v>
      </c>
      <c r="E2243" s="7">
        <v>100</v>
      </c>
      <c r="F2243" s="53">
        <f>D2243*E2243</f>
        <v>3991.762827094572</v>
      </c>
    </row>
    <row r="2244" spans="1:6" ht="18" customHeight="1">
      <c r="A2244" s="7"/>
      <c r="B2244" s="52"/>
      <c r="C2244" s="7"/>
      <c r="D2244" s="7"/>
      <c r="E2244" s="7"/>
      <c r="F2244" s="53"/>
    </row>
    <row r="2245" spans="1:6" ht="18" customHeight="1">
      <c r="A2245" s="7">
        <v>1.2</v>
      </c>
      <c r="B2245" s="52" t="s">
        <v>841</v>
      </c>
      <c r="C2245" s="7"/>
      <c r="D2245" s="53">
        <f>F2221</f>
        <v>66526.936461791032</v>
      </c>
      <c r="E2245" s="56">
        <f>E2200</f>
        <v>4.8000000000000001E-2</v>
      </c>
      <c r="F2245" s="53">
        <f>D2245*E2245/100</f>
        <v>31.932929501659697</v>
      </c>
    </row>
    <row r="2246" spans="1:6" ht="18" customHeight="1">
      <c r="A2246" s="7">
        <v>1.3</v>
      </c>
      <c r="B2246" s="52" t="s">
        <v>842</v>
      </c>
      <c r="C2246" s="7"/>
      <c r="D2246" s="53">
        <f>F2221</f>
        <v>66526.936461791032</v>
      </c>
      <c r="E2246" s="56">
        <f>E2201</f>
        <v>0</v>
      </c>
      <c r="F2246" s="53">
        <f>D2246*E2246/100</f>
        <v>0</v>
      </c>
    </row>
    <row r="2247" spans="1:6" ht="18" customHeight="1">
      <c r="A2247" s="7">
        <v>2</v>
      </c>
      <c r="B2247" s="52" t="s">
        <v>182</v>
      </c>
      <c r="C2247" s="7"/>
      <c r="D2247" s="53">
        <f>F2220</f>
        <v>66558.869391292697</v>
      </c>
      <c r="E2247" s="56">
        <f>E2202</f>
        <v>7.0000000000000007E-2</v>
      </c>
      <c r="F2247" s="53">
        <f>D2247*E2247/100</f>
        <v>46.591208573904893</v>
      </c>
    </row>
    <row r="2248" spans="1:6" ht="18" customHeight="1">
      <c r="A2248" s="7">
        <v>3</v>
      </c>
      <c r="B2248" s="52" t="s">
        <v>843</v>
      </c>
      <c r="C2248" s="7"/>
      <c r="D2248" s="53">
        <f>F2247+F2220</f>
        <v>66605.460599866608</v>
      </c>
      <c r="E2248" s="56">
        <f>E2203</f>
        <v>7.0000000000000007E-2</v>
      </c>
      <c r="F2248" s="53">
        <f>D2248*E2248/100</f>
        <v>46.623822419906631</v>
      </c>
    </row>
    <row r="2249" spans="1:6" ht="18" customHeight="1">
      <c r="A2249" s="7">
        <v>4</v>
      </c>
      <c r="B2249" s="52" t="s">
        <v>184</v>
      </c>
      <c r="C2249" s="7"/>
      <c r="D2249" s="7"/>
      <c r="E2249" s="7"/>
      <c r="F2249" s="53">
        <f>SUM(F2250:F2255)</f>
        <v>5975.1291146876083</v>
      </c>
    </row>
    <row r="2250" spans="1:6" ht="18" customHeight="1">
      <c r="A2250" s="7"/>
      <c r="B2250" s="52" t="s">
        <v>354</v>
      </c>
      <c r="C2250" s="7" t="s">
        <v>88</v>
      </c>
      <c r="D2250" s="7">
        <f>A2</f>
        <v>116.41515</v>
      </c>
      <c r="E2250" s="66">
        <f>E2231*砼配合!I9+E2205</f>
        <v>36.260309799999995</v>
      </c>
      <c r="F2250" s="53">
        <f t="shared" ref="F2250:F2255" si="164">D2250*E2250</f>
        <v>4221.2494044134692</v>
      </c>
    </row>
    <row r="2251" spans="1:6" ht="18" customHeight="1">
      <c r="A2251" s="7"/>
      <c r="B2251" s="52" t="s">
        <v>507</v>
      </c>
      <c r="C2251" s="7" t="s">
        <v>871</v>
      </c>
      <c r="D2251" s="66">
        <f>D2</f>
        <v>4.6598683999999899</v>
      </c>
      <c r="E2251" s="66">
        <f>E2231*砼配合!I10+E2206</f>
        <v>56.308252000000003</v>
      </c>
      <c r="F2251" s="53">
        <f t="shared" si="164"/>
        <v>262.38904415403624</v>
      </c>
    </row>
    <row r="2252" spans="1:6" ht="18" customHeight="1">
      <c r="A2252" s="7"/>
      <c r="B2252" s="52" t="s">
        <v>509</v>
      </c>
      <c r="C2252" s="7" t="s">
        <v>871</v>
      </c>
      <c r="D2252" s="66">
        <f>E2</f>
        <v>6.2457299999999902</v>
      </c>
      <c r="E2252" s="66">
        <f>E2231*砼配合!I11+E2207</f>
        <v>89.696224799999996</v>
      </c>
      <c r="F2252" s="53">
        <f t="shared" si="164"/>
        <v>560.21840212010306</v>
      </c>
    </row>
    <row r="2253" spans="1:6" ht="18" customHeight="1">
      <c r="A2253" s="7"/>
      <c r="B2253" s="52" t="s">
        <v>506</v>
      </c>
      <c r="C2253" s="7" t="s">
        <v>871</v>
      </c>
      <c r="D2253" s="7">
        <f>C2</f>
        <v>0</v>
      </c>
      <c r="E2253" s="7"/>
      <c r="F2253" s="53">
        <f t="shared" si="164"/>
        <v>0</v>
      </c>
    </row>
    <row r="2254" spans="1:6" ht="18" customHeight="1">
      <c r="A2254" s="7"/>
      <c r="B2254" s="52" t="s">
        <v>515</v>
      </c>
      <c r="C2254" s="7" t="s">
        <v>844</v>
      </c>
      <c r="D2254" s="7">
        <f>G2</f>
        <v>4.7450000000000001</v>
      </c>
      <c r="E2254" s="66">
        <f>E2209</f>
        <v>6.3360000000000003</v>
      </c>
      <c r="F2254" s="53">
        <f t="shared" si="164"/>
        <v>30.064320000000002</v>
      </c>
    </row>
    <row r="2255" spans="1:6" ht="18" customHeight="1">
      <c r="A2255" s="7"/>
      <c r="B2255" s="52" t="s">
        <v>516</v>
      </c>
      <c r="C2255" s="7" t="s">
        <v>844</v>
      </c>
      <c r="D2255" s="7">
        <f>H2</f>
        <v>3.51</v>
      </c>
      <c r="E2255" s="66">
        <f>E2132</f>
        <v>256.75440000000003</v>
      </c>
      <c r="F2255" s="53">
        <f t="shared" si="164"/>
        <v>901.20794400000011</v>
      </c>
    </row>
    <row r="2256" spans="1:6" ht="18" customHeight="1">
      <c r="A2256" s="7">
        <v>5</v>
      </c>
      <c r="B2256" s="52" t="s">
        <v>845</v>
      </c>
      <c r="C2256" s="7"/>
      <c r="D2256" s="53">
        <f>F2220+F2247+F2248+F2249</f>
        <v>72627.213536974115</v>
      </c>
      <c r="E2256" s="56">
        <f>E2211</f>
        <v>0.09</v>
      </c>
      <c r="F2256" s="53">
        <f>D2256*E2256/100</f>
        <v>65.364492183276695</v>
      </c>
    </row>
    <row r="2257" spans="1:6" ht="18" customHeight="1">
      <c r="A2257" s="7">
        <v>6</v>
      </c>
      <c r="B2257" s="52" t="s">
        <v>7</v>
      </c>
      <c r="C2257" s="52"/>
      <c r="D2257" s="7"/>
      <c r="E2257" s="7"/>
      <c r="F2257" s="53">
        <f>D2256+F2256</f>
        <v>72692.57802915739</v>
      </c>
    </row>
    <row r="2258" spans="1:6" ht="18" customHeight="1">
      <c r="A2258" s="7"/>
      <c r="B2258" s="52" t="s">
        <v>846</v>
      </c>
      <c r="C2258" s="52"/>
      <c r="D2258" s="53">
        <f>F2257</f>
        <v>72692.57802915739</v>
      </c>
      <c r="E2258" s="56">
        <f>E2213</f>
        <v>0.03</v>
      </c>
      <c r="F2258" s="53">
        <f>E2258*D2258</f>
        <v>2180.7773408747216</v>
      </c>
    </row>
    <row r="2259" spans="1:6" ht="18" customHeight="1">
      <c r="A2259" s="7"/>
      <c r="B2259" s="52" t="s">
        <v>44</v>
      </c>
      <c r="C2259" s="52"/>
      <c r="D2259" s="7"/>
      <c r="E2259" s="7"/>
      <c r="F2259" s="53">
        <f>SUM(F2257:F2258)</f>
        <v>74873.355370032106</v>
      </c>
    </row>
    <row r="2260" spans="1:6" ht="22.5" customHeight="1">
      <c r="A2260" s="461" t="s">
        <v>813</v>
      </c>
      <c r="B2260" s="461"/>
      <c r="C2260" s="461"/>
      <c r="D2260" s="461"/>
      <c r="E2260" s="461"/>
      <c r="F2260" s="461"/>
    </row>
    <row r="2261" spans="1:6" ht="18" customHeight="1">
      <c r="A2261" s="462" t="s">
        <v>1004</v>
      </c>
      <c r="B2261" s="462"/>
      <c r="C2261" s="462"/>
      <c r="D2261" s="462"/>
      <c r="E2261" s="462"/>
      <c r="F2261" s="462"/>
    </row>
    <row r="2262" spans="1:6" ht="18" customHeight="1">
      <c r="A2262" s="47" t="s">
        <v>815</v>
      </c>
      <c r="B2262" s="49">
        <v>6074</v>
      </c>
      <c r="D2262" s="46"/>
      <c r="E2262" s="47" t="s">
        <v>169</v>
      </c>
      <c r="F2262" s="49" t="s">
        <v>1005</v>
      </c>
    </row>
    <row r="2263" spans="1:6" ht="18" customHeight="1">
      <c r="A2263" s="50" t="s">
        <v>817</v>
      </c>
      <c r="B2263" s="458"/>
      <c r="C2263" s="459"/>
      <c r="D2263" s="459"/>
      <c r="E2263" s="459"/>
      <c r="F2263" s="460"/>
    </row>
    <row r="2264" spans="1:6" ht="18" customHeight="1">
      <c r="A2264" s="7" t="s">
        <v>1</v>
      </c>
      <c r="B2264" s="52" t="s">
        <v>344</v>
      </c>
      <c r="C2264" s="7" t="s">
        <v>818</v>
      </c>
      <c r="D2264" s="7" t="s">
        <v>819</v>
      </c>
      <c r="E2264" s="7" t="s">
        <v>820</v>
      </c>
      <c r="F2264" s="7" t="s">
        <v>821</v>
      </c>
    </row>
    <row r="2265" spans="1:6" ht="18" customHeight="1">
      <c r="A2265" s="7">
        <v>1</v>
      </c>
      <c r="B2265" s="52" t="s">
        <v>822</v>
      </c>
      <c r="C2265" s="7"/>
      <c r="D2265" s="7"/>
      <c r="E2265" s="7"/>
      <c r="F2265" s="53">
        <f>F2266+F2289+F2290</f>
        <v>68998.735266314441</v>
      </c>
    </row>
    <row r="2266" spans="1:6" ht="18" customHeight="1">
      <c r="A2266" s="7">
        <v>1.1000000000000001</v>
      </c>
      <c r="B2266" s="52" t="s">
        <v>823</v>
      </c>
      <c r="C2266" s="7"/>
      <c r="D2266" s="7"/>
      <c r="E2266" s="7"/>
      <c r="F2266" s="53">
        <f>F2267+F2270+F2278+F2288</f>
        <v>65838.487849536687</v>
      </c>
    </row>
    <row r="2267" spans="1:6" ht="18" customHeight="1">
      <c r="A2267" s="7" t="s">
        <v>47</v>
      </c>
      <c r="B2267" s="52" t="s">
        <v>176</v>
      </c>
      <c r="C2267" s="7"/>
      <c r="D2267" s="7"/>
      <c r="E2267" s="7"/>
      <c r="F2267" s="53">
        <f>F2268+F2269</f>
        <v>16851.14</v>
      </c>
    </row>
    <row r="2268" spans="1:6" ht="18" customHeight="1">
      <c r="A2268" s="7"/>
      <c r="B2268" s="52" t="s">
        <v>824</v>
      </c>
      <c r="C2268" s="7" t="s">
        <v>825</v>
      </c>
      <c r="D2268" s="7">
        <v>8.1</v>
      </c>
      <c r="E2268" s="7">
        <v>1561.8</v>
      </c>
      <c r="F2268" s="53">
        <f>D2268*E2268</f>
        <v>12650.58</v>
      </c>
    </row>
    <row r="2269" spans="1:6" ht="18" customHeight="1">
      <c r="A2269" s="7"/>
      <c r="B2269" s="52" t="s">
        <v>826</v>
      </c>
      <c r="C2269" s="7" t="s">
        <v>825</v>
      </c>
      <c r="D2269" s="7">
        <v>5.77</v>
      </c>
      <c r="E2269" s="7">
        <v>728</v>
      </c>
      <c r="F2269" s="53">
        <f>D2269*E2269</f>
        <v>4200.5600000000004</v>
      </c>
    </row>
    <row r="2270" spans="1:6" ht="18" customHeight="1">
      <c r="A2270" s="7" t="s">
        <v>57</v>
      </c>
      <c r="B2270" s="52" t="s">
        <v>177</v>
      </c>
      <c r="C2270" s="7"/>
      <c r="D2270" s="7"/>
      <c r="E2270" s="7"/>
      <c r="F2270" s="53">
        <f>SUM(F2271:F2277)</f>
        <v>12523.5780624</v>
      </c>
    </row>
    <row r="2271" spans="1:6" ht="18" customHeight="1">
      <c r="A2271" s="7"/>
      <c r="B2271" s="52" t="s">
        <v>870</v>
      </c>
      <c r="C2271" s="7" t="s">
        <v>871</v>
      </c>
      <c r="D2271" s="7">
        <f>材料预算价格表!L8</f>
        <v>1874.0778</v>
      </c>
      <c r="E2271" s="7">
        <v>0.8</v>
      </c>
      <c r="F2271" s="53">
        <f t="shared" ref="F2271:F2276" si="165">D2271*E2271</f>
        <v>1499.26224</v>
      </c>
    </row>
    <row r="2272" spans="1:6" ht="18" customHeight="1">
      <c r="A2272" s="7"/>
      <c r="B2272" s="52" t="s">
        <v>1006</v>
      </c>
      <c r="C2272" s="7" t="s">
        <v>844</v>
      </c>
      <c r="D2272" s="7">
        <f>材料预算价格表!L7/1000</f>
        <v>2.56</v>
      </c>
      <c r="E2272" s="7">
        <v>145</v>
      </c>
      <c r="F2272" s="53">
        <f t="shared" si="165"/>
        <v>371.2</v>
      </c>
    </row>
    <row r="2273" spans="1:6" ht="18" customHeight="1">
      <c r="A2273" s="7"/>
      <c r="B2273" s="52" t="s">
        <v>876</v>
      </c>
      <c r="C2273" s="7" t="s">
        <v>844</v>
      </c>
      <c r="D2273" s="7">
        <v>7.5</v>
      </c>
      <c r="E2273" s="7">
        <v>110</v>
      </c>
      <c r="F2273" s="53">
        <f t="shared" si="165"/>
        <v>825</v>
      </c>
    </row>
    <row r="2274" spans="1:6" ht="18" customHeight="1">
      <c r="A2274" s="7"/>
      <c r="B2274" s="52" t="s">
        <v>1007</v>
      </c>
      <c r="C2274" s="7" t="s">
        <v>88</v>
      </c>
      <c r="D2274" s="7">
        <v>18.53</v>
      </c>
      <c r="E2274" s="7">
        <v>124</v>
      </c>
      <c r="F2274" s="53">
        <f t="shared" si="165"/>
        <v>2297.7200000000003</v>
      </c>
    </row>
    <row r="2275" spans="1:6" ht="18" customHeight="1">
      <c r="A2275" s="7"/>
      <c r="B2275" s="52" t="s">
        <v>1008</v>
      </c>
      <c r="C2275" s="7" t="s">
        <v>844</v>
      </c>
      <c r="D2275" s="7">
        <v>4</v>
      </c>
      <c r="E2275" s="7">
        <v>998</v>
      </c>
      <c r="F2275" s="53">
        <f t="shared" si="165"/>
        <v>3992</v>
      </c>
    </row>
    <row r="2276" spans="1:6" ht="18" customHeight="1">
      <c r="A2276" s="7"/>
      <c r="B2276" s="52" t="s">
        <v>806</v>
      </c>
      <c r="C2276" s="7" t="s">
        <v>871</v>
      </c>
      <c r="D2276" s="7">
        <f>材料预算价格表!K15</f>
        <v>3.88</v>
      </c>
      <c r="E2276" s="7">
        <v>880</v>
      </c>
      <c r="F2276" s="53">
        <f t="shared" si="165"/>
        <v>3414.4</v>
      </c>
    </row>
    <row r="2277" spans="1:6" ht="18" customHeight="1">
      <c r="A2277" s="7"/>
      <c r="B2277" s="52" t="s">
        <v>833</v>
      </c>
      <c r="C2277" s="7" t="s">
        <v>834</v>
      </c>
      <c r="D2277" s="7">
        <f>SUM(F2271:F2276)</f>
        <v>12399.58224</v>
      </c>
      <c r="E2277" s="7">
        <v>1</v>
      </c>
      <c r="F2277" s="53">
        <f>D2277*E2277/100</f>
        <v>123.99582239999999</v>
      </c>
    </row>
    <row r="2278" spans="1:6" ht="18" customHeight="1">
      <c r="A2278" s="7" t="s">
        <v>835</v>
      </c>
      <c r="B2278" s="52" t="s">
        <v>836</v>
      </c>
      <c r="C2278" s="7"/>
      <c r="D2278" s="7"/>
      <c r="E2278" s="7"/>
      <c r="F2278" s="53">
        <f>SUM(F2279:F2287)</f>
        <v>36463.769787136691</v>
      </c>
    </row>
    <row r="2279" spans="1:6" ht="18" customHeight="1">
      <c r="A2279" s="7"/>
      <c r="B2279" s="52" t="s">
        <v>1009</v>
      </c>
      <c r="C2279" s="7" t="s">
        <v>863</v>
      </c>
      <c r="D2279" s="66">
        <f>施工机械台时汇总!$C$93</f>
        <v>85.314925186055603</v>
      </c>
      <c r="E2279" s="7">
        <v>218</v>
      </c>
      <c r="F2279" s="53">
        <f t="shared" ref="F2279:F2286" si="166">D2279*E2279</f>
        <v>18598.653690560121</v>
      </c>
    </row>
    <row r="2280" spans="1:6" ht="18" customHeight="1">
      <c r="A2280" s="7"/>
      <c r="B2280" s="52" t="s">
        <v>474</v>
      </c>
      <c r="C2280" s="7" t="s">
        <v>863</v>
      </c>
      <c r="D2280" s="66">
        <f>施工机械台时汇总!$C$86</f>
        <v>33.053169212690946</v>
      </c>
      <c r="E2280" s="7">
        <v>191</v>
      </c>
      <c r="F2280" s="53">
        <f t="shared" si="166"/>
        <v>6313.1553196239711</v>
      </c>
    </row>
    <row r="2281" spans="1:6" ht="18" customHeight="1">
      <c r="A2281" s="7"/>
      <c r="B2281" s="52" t="s">
        <v>1010</v>
      </c>
      <c r="C2281" s="7" t="s">
        <v>863</v>
      </c>
      <c r="D2281" s="66">
        <f>施工机械台时汇总!$C$84</f>
        <v>41.936826478652563</v>
      </c>
      <c r="E2281" s="7">
        <v>95</v>
      </c>
      <c r="F2281" s="53">
        <f t="shared" si="166"/>
        <v>3983.9985154719934</v>
      </c>
    </row>
    <row r="2282" spans="1:6" ht="18" customHeight="1">
      <c r="A2282" s="7"/>
      <c r="B2282" s="52" t="s">
        <v>1011</v>
      </c>
      <c r="C2282" s="7" t="s">
        <v>863</v>
      </c>
      <c r="D2282" s="66">
        <f>施工机械台时汇总!$C$40</f>
        <v>15.582226792009401</v>
      </c>
      <c r="E2282" s="7">
        <v>137</v>
      </c>
      <c r="F2282" s="53">
        <f t="shared" si="166"/>
        <v>2134.7650705052879</v>
      </c>
    </row>
    <row r="2283" spans="1:6" ht="18" customHeight="1">
      <c r="A2283" s="7"/>
      <c r="B2283" s="52" t="s">
        <v>462</v>
      </c>
      <c r="C2283" s="7" t="s">
        <v>863</v>
      </c>
      <c r="D2283" s="66">
        <f>施工机械台时汇总!$C$74</f>
        <v>30.654558950254597</v>
      </c>
      <c r="E2283" s="7">
        <v>19</v>
      </c>
      <c r="F2283" s="53">
        <f t="shared" si="166"/>
        <v>582.43662005483736</v>
      </c>
    </row>
    <row r="2284" spans="1:6" ht="18" customHeight="1">
      <c r="A2284" s="7"/>
      <c r="B2284" s="52" t="s">
        <v>1012</v>
      </c>
      <c r="C2284" s="7" t="s">
        <v>863</v>
      </c>
      <c r="D2284" s="66">
        <f>施工机械台时汇总!$C$45</f>
        <v>51.907272620446498</v>
      </c>
      <c r="E2284" s="7">
        <v>12</v>
      </c>
      <c r="F2284" s="53">
        <f t="shared" si="166"/>
        <v>622.88727144535801</v>
      </c>
    </row>
    <row r="2285" spans="1:6" ht="18" customHeight="1">
      <c r="A2285" s="7"/>
      <c r="B2285" s="52" t="s">
        <v>839</v>
      </c>
      <c r="C2285" s="7" t="s">
        <v>863</v>
      </c>
      <c r="D2285" s="66">
        <f>施工机械台时汇总!$C$42</f>
        <v>49.210305522914197</v>
      </c>
      <c r="E2285" s="7">
        <v>28</v>
      </c>
      <c r="F2285" s="53">
        <f t="shared" si="166"/>
        <v>1377.8885546415975</v>
      </c>
    </row>
    <row r="2286" spans="1:6" ht="18" customHeight="1">
      <c r="A2286" s="7"/>
      <c r="B2286" s="52" t="s">
        <v>1013</v>
      </c>
      <c r="C2286" s="7" t="s">
        <v>863</v>
      </c>
      <c r="D2286" s="66">
        <f>施工机械台时汇总!$C$58</f>
        <v>111.3486200548375</v>
      </c>
      <c r="E2286" s="7">
        <v>13</v>
      </c>
      <c r="F2286" s="53">
        <f t="shared" si="166"/>
        <v>1447.5320607128874</v>
      </c>
    </row>
    <row r="2287" spans="1:6" ht="18" customHeight="1">
      <c r="A2287" s="7"/>
      <c r="B2287" s="52" t="s">
        <v>840</v>
      </c>
      <c r="C2287" s="7" t="s">
        <v>834</v>
      </c>
      <c r="D2287" s="66">
        <f>SUM(F2279:F2286)</f>
        <v>35061.317103016052</v>
      </c>
      <c r="E2287" s="7">
        <v>4</v>
      </c>
      <c r="F2287" s="53">
        <f>D2287*E2287/100</f>
        <v>1402.4526841206421</v>
      </c>
    </row>
    <row r="2288" spans="1:6" ht="18" customHeight="1">
      <c r="A2288" s="7"/>
      <c r="B2288" s="52"/>
      <c r="C2288" s="7"/>
      <c r="D2288" s="7"/>
      <c r="E2288" s="7"/>
      <c r="F2288" s="53"/>
    </row>
    <row r="2289" spans="1:6" ht="18" customHeight="1">
      <c r="A2289" s="7">
        <v>1.2</v>
      </c>
      <c r="B2289" s="52" t="s">
        <v>841</v>
      </c>
      <c r="C2289" s="7"/>
      <c r="D2289" s="53">
        <f>F2266</f>
        <v>65838.487849536687</v>
      </c>
      <c r="E2289" s="56">
        <f>取费!C11</f>
        <v>4.8000000000000001E-2</v>
      </c>
      <c r="F2289" s="53">
        <f>D2289*E2289</f>
        <v>3160.2474167777609</v>
      </c>
    </row>
    <row r="2290" spans="1:6" ht="18" customHeight="1">
      <c r="A2290" s="7">
        <v>1.3</v>
      </c>
      <c r="B2290" s="52" t="s">
        <v>842</v>
      </c>
      <c r="C2290" s="7"/>
      <c r="D2290" s="53">
        <f>F2266</f>
        <v>65838.487849536687</v>
      </c>
      <c r="E2290" s="56">
        <f>取费!D11</f>
        <v>0</v>
      </c>
      <c r="F2290" s="53">
        <f>D2290*E2290</f>
        <v>0</v>
      </c>
    </row>
    <row r="2291" spans="1:6" ht="18" customHeight="1">
      <c r="A2291" s="7">
        <v>2</v>
      </c>
      <c r="B2291" s="52" t="s">
        <v>182</v>
      </c>
      <c r="C2291" s="7"/>
      <c r="D2291" s="53">
        <f>F2265</f>
        <v>68998.735266314441</v>
      </c>
      <c r="E2291" s="56">
        <f>取费!E11</f>
        <v>9.2499999999999999E-2</v>
      </c>
      <c r="F2291" s="53">
        <f>D2291*E2291</f>
        <v>6382.3830121340861</v>
      </c>
    </row>
    <row r="2292" spans="1:6" ht="18" customHeight="1">
      <c r="A2292" s="7">
        <v>3</v>
      </c>
      <c r="B2292" s="52" t="s">
        <v>843</v>
      </c>
      <c r="C2292" s="7"/>
      <c r="D2292" s="53">
        <f>F2291+F2265</f>
        <v>75381.118278448528</v>
      </c>
      <c r="E2292" s="56">
        <f>取费!F11</f>
        <v>7.0000000000000007E-2</v>
      </c>
      <c r="F2292" s="53">
        <f>D2292*E2292</f>
        <v>5276.6782794913979</v>
      </c>
    </row>
    <row r="2293" spans="1:6" ht="18" customHeight="1">
      <c r="A2293" s="7">
        <v>4</v>
      </c>
      <c r="B2293" s="52" t="s">
        <v>184</v>
      </c>
      <c r="C2293" s="7"/>
      <c r="D2293" s="7"/>
      <c r="E2293" s="7"/>
      <c r="F2293" s="53">
        <f>SUM(F2294:F2297)</f>
        <v>2063.1104516999999</v>
      </c>
    </row>
    <row r="2294" spans="1:6" ht="18" customHeight="1">
      <c r="A2294" s="7"/>
      <c r="B2294" s="52" t="s">
        <v>1006</v>
      </c>
      <c r="C2294" s="7" t="s">
        <v>844</v>
      </c>
      <c r="D2294" s="66">
        <f>B2/1000</f>
        <v>1.49471346</v>
      </c>
      <c r="E2294" s="7">
        <f>E2272</f>
        <v>145</v>
      </c>
      <c r="F2294" s="53">
        <f>D2294*E2294</f>
        <v>216.73345170000002</v>
      </c>
    </row>
    <row r="2295" spans="1:6" ht="18" customHeight="1">
      <c r="A2295" s="7"/>
      <c r="B2295" s="52" t="s">
        <v>506</v>
      </c>
      <c r="C2295" s="7" t="s">
        <v>871</v>
      </c>
      <c r="D2295" s="7">
        <f>C2</f>
        <v>0</v>
      </c>
      <c r="E2295" s="7">
        <f>E2271</f>
        <v>0.8</v>
      </c>
      <c r="F2295" s="53">
        <f>D2295*E2295</f>
        <v>0</v>
      </c>
    </row>
    <row r="2296" spans="1:6" ht="18" customHeight="1">
      <c r="A2296" s="7"/>
      <c r="B2296" s="52" t="s">
        <v>515</v>
      </c>
      <c r="C2296" s="7" t="s">
        <v>844</v>
      </c>
      <c r="D2296" s="7">
        <f>G2</f>
        <v>4.7450000000000001</v>
      </c>
      <c r="E2296" s="7">
        <f>E2285*台时!AK19</f>
        <v>201.6</v>
      </c>
      <c r="F2296" s="53">
        <f>D2296*E2296</f>
        <v>956.59199999999998</v>
      </c>
    </row>
    <row r="2297" spans="1:6" ht="18" customHeight="1">
      <c r="A2297" s="7"/>
      <c r="B2297" s="52" t="s">
        <v>516</v>
      </c>
      <c r="C2297" s="7" t="s">
        <v>844</v>
      </c>
      <c r="D2297" s="7">
        <f>H2</f>
        <v>3.51</v>
      </c>
      <c r="E2297" s="7">
        <f>E2284*台时!AN22+砼单价!E2286*台时!BA22</f>
        <v>253.49999999999997</v>
      </c>
      <c r="F2297" s="53">
        <f>D2297*E2297</f>
        <v>889.78499999999985</v>
      </c>
    </row>
    <row r="2298" spans="1:6" ht="18" customHeight="1">
      <c r="A2298" s="7">
        <v>5</v>
      </c>
      <c r="B2298" s="52" t="s">
        <v>845</v>
      </c>
      <c r="C2298" s="7"/>
      <c r="D2298" s="53">
        <f>F2265+F2291+F2292+F2293</f>
        <v>82720.907009639937</v>
      </c>
      <c r="E2298" s="56">
        <f>取费!G11</f>
        <v>0.09</v>
      </c>
      <c r="F2298" s="53">
        <f>D2298*E2298</f>
        <v>7444.8816308675941</v>
      </c>
    </row>
    <row r="2299" spans="1:6" ht="18" customHeight="1">
      <c r="A2299" s="7">
        <v>6</v>
      </c>
      <c r="B2299" s="52" t="s">
        <v>7</v>
      </c>
      <c r="C2299" s="52"/>
      <c r="D2299" s="7"/>
      <c r="E2299" s="7"/>
      <c r="F2299" s="53">
        <f>D2298+F2298</f>
        <v>90165.788640507526</v>
      </c>
    </row>
    <row r="2300" spans="1:6" ht="18" customHeight="1">
      <c r="A2300" s="7"/>
      <c r="B2300" s="52" t="s">
        <v>846</v>
      </c>
      <c r="C2300" s="52"/>
      <c r="D2300" s="53">
        <f>F2299</f>
        <v>90165.788640507526</v>
      </c>
      <c r="E2300" s="56">
        <f>取费!H6</f>
        <v>0.03</v>
      </c>
      <c r="F2300" s="53">
        <f>E2300*D2300</f>
        <v>2704.9736592152258</v>
      </c>
    </row>
    <row r="2301" spans="1:6" ht="18" customHeight="1">
      <c r="A2301" s="7"/>
      <c r="B2301" s="52" t="s">
        <v>44</v>
      </c>
      <c r="C2301" s="52"/>
      <c r="D2301" s="7"/>
      <c r="E2301" s="7"/>
      <c r="F2301" s="53">
        <f>SUM(F2299:F2300)</f>
        <v>92870.762299722759</v>
      </c>
    </row>
    <row r="2302" spans="1:6" ht="22.5" customHeight="1">
      <c r="A2302" s="461" t="s">
        <v>813</v>
      </c>
      <c r="B2302" s="461"/>
      <c r="C2302" s="461"/>
      <c r="D2302" s="461"/>
      <c r="E2302" s="461"/>
      <c r="F2302" s="461"/>
    </row>
    <row r="2303" spans="1:6" ht="18" customHeight="1">
      <c r="A2303" s="462" t="s">
        <v>1014</v>
      </c>
      <c r="B2303" s="462"/>
      <c r="C2303" s="462"/>
      <c r="D2303" s="462"/>
      <c r="E2303" s="462"/>
      <c r="F2303" s="462"/>
    </row>
    <row r="2304" spans="1:6" ht="18" customHeight="1">
      <c r="A2304" s="47" t="s">
        <v>894</v>
      </c>
      <c r="B2304" s="49">
        <v>6081</v>
      </c>
      <c r="D2304" s="46"/>
      <c r="E2304" s="47" t="s">
        <v>169</v>
      </c>
      <c r="F2304" s="49" t="s">
        <v>869</v>
      </c>
    </row>
    <row r="2305" spans="1:6" ht="18" customHeight="1">
      <c r="A2305" s="50" t="s">
        <v>817</v>
      </c>
      <c r="B2305" s="458"/>
      <c r="C2305" s="459"/>
      <c r="D2305" s="459"/>
      <c r="E2305" s="459"/>
      <c r="F2305" s="460"/>
    </row>
    <row r="2306" spans="1:6" ht="18" customHeight="1">
      <c r="A2306" s="7" t="s">
        <v>1</v>
      </c>
      <c r="B2306" s="52" t="s">
        <v>344</v>
      </c>
      <c r="C2306" s="7" t="s">
        <v>818</v>
      </c>
      <c r="D2306" s="7" t="s">
        <v>819</v>
      </c>
      <c r="E2306" s="7" t="s">
        <v>820</v>
      </c>
      <c r="F2306" s="7" t="s">
        <v>821</v>
      </c>
    </row>
    <row r="2307" spans="1:6" ht="18" customHeight="1">
      <c r="A2307" s="7">
        <v>1</v>
      </c>
      <c r="B2307" s="52" t="s">
        <v>822</v>
      </c>
      <c r="C2307" s="7"/>
      <c r="D2307" s="7"/>
      <c r="E2307" s="7"/>
      <c r="F2307" s="53">
        <f>F2308+F2326+F2327</f>
        <v>29442.482860094311</v>
      </c>
    </row>
    <row r="2308" spans="1:6" ht="18" customHeight="1">
      <c r="A2308" s="7">
        <v>1.1000000000000001</v>
      </c>
      <c r="B2308" s="52" t="s">
        <v>823</v>
      </c>
      <c r="C2308" s="7"/>
      <c r="D2308" s="7"/>
      <c r="E2308" s="7"/>
      <c r="F2308" s="53">
        <f>F2309+F2312+F2318+F2324+F2325</f>
        <v>28093.972194746479</v>
      </c>
    </row>
    <row r="2309" spans="1:6" ht="18" customHeight="1">
      <c r="A2309" s="7" t="s">
        <v>47</v>
      </c>
      <c r="B2309" s="52" t="s">
        <v>176</v>
      </c>
      <c r="C2309" s="7"/>
      <c r="D2309" s="7"/>
      <c r="E2309" s="7"/>
      <c r="F2309" s="53">
        <f>F2310+F2311</f>
        <v>4159.6899999999996</v>
      </c>
    </row>
    <row r="2310" spans="1:6" ht="18" customHeight="1">
      <c r="A2310" s="7"/>
      <c r="B2310" s="52" t="s">
        <v>824</v>
      </c>
      <c r="C2310" s="7" t="s">
        <v>825</v>
      </c>
      <c r="D2310" s="7">
        <v>8.1</v>
      </c>
      <c r="E2310" s="7">
        <v>303.39999999999998</v>
      </c>
      <c r="F2310" s="53">
        <f>D2310*E2310</f>
        <v>2457.54</v>
      </c>
    </row>
    <row r="2311" spans="1:6" ht="18" customHeight="1">
      <c r="A2311" s="7"/>
      <c r="B2311" s="52" t="s">
        <v>826</v>
      </c>
      <c r="C2311" s="7" t="s">
        <v>825</v>
      </c>
      <c r="D2311" s="7">
        <v>5.77</v>
      </c>
      <c r="E2311" s="7">
        <v>295</v>
      </c>
      <c r="F2311" s="53">
        <f>D2311*E2311</f>
        <v>1702.15</v>
      </c>
    </row>
    <row r="2312" spans="1:6" ht="18" customHeight="1">
      <c r="A2312" s="7" t="s">
        <v>57</v>
      </c>
      <c r="B2312" s="52" t="s">
        <v>177</v>
      </c>
      <c r="C2312" s="7"/>
      <c r="D2312" s="7"/>
      <c r="E2312" s="7"/>
      <c r="F2312" s="53">
        <f>SUM(F2313:F2317)</f>
        <v>20479.532956030002</v>
      </c>
    </row>
    <row r="2313" spans="1:6" ht="18" customHeight="1">
      <c r="A2313" s="7"/>
      <c r="B2313" s="52" t="s">
        <v>870</v>
      </c>
      <c r="C2313" s="7" t="s">
        <v>871</v>
      </c>
      <c r="D2313" s="7">
        <f>材料预算价格表!L8</f>
        <v>1874.0778</v>
      </c>
      <c r="E2313" s="7">
        <v>0.62</v>
      </c>
      <c r="F2313" s="53">
        <f>D2313*E2313</f>
        <v>1161.928236</v>
      </c>
    </row>
    <row r="2314" spans="1:6" ht="18" customHeight="1">
      <c r="A2314" s="7"/>
      <c r="B2314" s="52" t="s">
        <v>1015</v>
      </c>
      <c r="C2314" s="7" t="s">
        <v>844</v>
      </c>
      <c r="D2314" s="7">
        <v>8.5</v>
      </c>
      <c r="E2314" s="7">
        <v>10</v>
      </c>
      <c r="F2314" s="53">
        <f>D2314*E2314</f>
        <v>85</v>
      </c>
    </row>
    <row r="2315" spans="1:6" ht="18" customHeight="1">
      <c r="A2315" s="7"/>
      <c r="B2315" s="52" t="s">
        <v>1016</v>
      </c>
      <c r="C2315" s="7" t="s">
        <v>844</v>
      </c>
      <c r="D2315" s="7">
        <v>7.5</v>
      </c>
      <c r="E2315" s="7">
        <v>20</v>
      </c>
      <c r="F2315" s="53">
        <f>D2315*E2315</f>
        <v>150</v>
      </c>
    </row>
    <row r="2316" spans="1:6" ht="18" customHeight="1">
      <c r="A2316" s="7"/>
      <c r="B2316" s="52" t="s">
        <v>1017</v>
      </c>
      <c r="C2316" s="7" t="s">
        <v>871</v>
      </c>
      <c r="D2316" s="66">
        <f>砼配合!J8</f>
        <v>183.29938899999999</v>
      </c>
      <c r="E2316" s="7">
        <v>103</v>
      </c>
      <c r="F2316" s="53">
        <f>D2316*E2316</f>
        <v>18879.837067</v>
      </c>
    </row>
    <row r="2317" spans="1:6" ht="18" customHeight="1">
      <c r="A2317" s="7"/>
      <c r="B2317" s="52" t="s">
        <v>833</v>
      </c>
      <c r="C2317" s="7" t="s">
        <v>834</v>
      </c>
      <c r="D2317" s="66">
        <f>SUM(F2313:F2316)</f>
        <v>20276.765303</v>
      </c>
      <c r="E2317" s="7">
        <v>1</v>
      </c>
      <c r="F2317" s="53">
        <f>D2317*E2317/100</f>
        <v>202.76765302999999</v>
      </c>
    </row>
    <row r="2318" spans="1:6" ht="18" customHeight="1">
      <c r="A2318" s="7" t="s">
        <v>835</v>
      </c>
      <c r="B2318" s="52" t="s">
        <v>836</v>
      </c>
      <c r="C2318" s="7"/>
      <c r="D2318" s="7"/>
      <c r="E2318" s="7"/>
      <c r="F2318" s="53">
        <f>SUM(F2319:F2323)</f>
        <v>2329.5384980728559</v>
      </c>
    </row>
    <row r="2319" spans="1:6" ht="18" customHeight="1">
      <c r="A2319" s="7"/>
      <c r="B2319" s="52" t="s">
        <v>882</v>
      </c>
      <c r="C2319" s="7" t="s">
        <v>863</v>
      </c>
      <c r="D2319" s="66">
        <f>施工机械台时汇总!$C$21</f>
        <v>28.129680376028197</v>
      </c>
      <c r="E2319" s="7">
        <v>18.5</v>
      </c>
      <c r="F2319" s="53">
        <f>D2319*E2319</f>
        <v>520.39908695652161</v>
      </c>
    </row>
    <row r="2320" spans="1:6" ht="18" customHeight="1">
      <c r="A2320" s="7"/>
      <c r="B2320" s="52" t="s">
        <v>1018</v>
      </c>
      <c r="C2320" s="7" t="s">
        <v>863</v>
      </c>
      <c r="D2320" s="66">
        <f>施工机械台时汇总!$C$58</f>
        <v>111.3486200548375</v>
      </c>
      <c r="E2320" s="7">
        <v>15</v>
      </c>
      <c r="F2320" s="53">
        <f>D2320*E2320</f>
        <v>1670.2293008225624</v>
      </c>
    </row>
    <row r="2321" spans="1:6" ht="18" customHeight="1">
      <c r="A2321" s="7"/>
      <c r="B2321" s="52" t="s">
        <v>407</v>
      </c>
      <c r="C2321" s="7" t="s">
        <v>863</v>
      </c>
      <c r="D2321" s="66">
        <f>施工机械台时汇总!$C$19</f>
        <v>0.80266353309831595</v>
      </c>
      <c r="E2321" s="7">
        <v>85.5</v>
      </c>
      <c r="F2321" s="53">
        <f>D2321*E2321</f>
        <v>68.627732079906011</v>
      </c>
    </row>
    <row r="2322" spans="1:6" ht="18" customHeight="1">
      <c r="A2322" s="7"/>
      <c r="B2322" s="52" t="s">
        <v>839</v>
      </c>
      <c r="C2322" s="7" t="s">
        <v>863</v>
      </c>
      <c r="D2322" s="66">
        <f>施工机械台时汇总!$C$42</f>
        <v>49.210305522914197</v>
      </c>
      <c r="E2322" s="7">
        <v>0.5</v>
      </c>
      <c r="F2322" s="53">
        <f>D2322*E2322</f>
        <v>24.605152761457099</v>
      </c>
    </row>
    <row r="2323" spans="1:6" ht="18" customHeight="1">
      <c r="A2323" s="7"/>
      <c r="B2323" s="52" t="s">
        <v>840</v>
      </c>
      <c r="C2323" s="7" t="s">
        <v>834</v>
      </c>
      <c r="D2323" s="66">
        <f>SUM(F2319:F2322)</f>
        <v>2283.8612726204469</v>
      </c>
      <c r="E2323" s="7">
        <v>2</v>
      </c>
      <c r="F2323" s="53">
        <f>D2323*E2323/100</f>
        <v>45.67722545240894</v>
      </c>
    </row>
    <row r="2324" spans="1:6" ht="18" customHeight="1">
      <c r="A2324" s="7" t="s">
        <v>884</v>
      </c>
      <c r="B2324" s="52" t="s">
        <v>936</v>
      </c>
      <c r="C2324" s="7" t="s">
        <v>871</v>
      </c>
      <c r="D2324" s="66">
        <f>(砼配合!J52+砼配合!J65)/100</f>
        <v>10.924376122753621</v>
      </c>
      <c r="E2324" s="7">
        <v>103</v>
      </c>
      <c r="F2324" s="53">
        <f>D2324*E2324</f>
        <v>1125.210740643623</v>
      </c>
    </row>
    <row r="2325" spans="1:6" ht="18" customHeight="1">
      <c r="A2325" s="7"/>
      <c r="B2325" s="52"/>
      <c r="C2325" s="7"/>
      <c r="D2325" s="7"/>
      <c r="E2325" s="7"/>
      <c r="F2325" s="53"/>
    </row>
    <row r="2326" spans="1:6" ht="18" customHeight="1">
      <c r="A2326" s="7">
        <v>1.2</v>
      </c>
      <c r="B2326" s="52" t="s">
        <v>841</v>
      </c>
      <c r="C2326" s="7"/>
      <c r="D2326" s="53">
        <f>F2308</f>
        <v>28093.972194746479</v>
      </c>
      <c r="E2326" s="56">
        <f>E2289</f>
        <v>4.8000000000000001E-2</v>
      </c>
      <c r="F2326" s="53">
        <f>D2326*E2326</f>
        <v>1348.510665347831</v>
      </c>
    </row>
    <row r="2327" spans="1:6" ht="18" customHeight="1">
      <c r="A2327" s="7">
        <v>1.3</v>
      </c>
      <c r="B2327" s="52" t="s">
        <v>842</v>
      </c>
      <c r="C2327" s="7"/>
      <c r="D2327" s="53">
        <f>F2308</f>
        <v>28093.972194746479</v>
      </c>
      <c r="E2327" s="56">
        <f>E2290</f>
        <v>0</v>
      </c>
      <c r="F2327" s="53">
        <f>D2327*E2327</f>
        <v>0</v>
      </c>
    </row>
    <row r="2328" spans="1:6" ht="18" customHeight="1">
      <c r="A2328" s="7">
        <v>2</v>
      </c>
      <c r="B2328" s="52" t="s">
        <v>182</v>
      </c>
      <c r="C2328" s="7"/>
      <c r="D2328" s="53">
        <f>F2307</f>
        <v>29442.482860094311</v>
      </c>
      <c r="E2328" s="56">
        <f>E2291</f>
        <v>9.2499999999999999E-2</v>
      </c>
      <c r="F2328" s="53">
        <f>D2328*E2328</f>
        <v>2723.4296645587237</v>
      </c>
    </row>
    <row r="2329" spans="1:6" ht="18" customHeight="1">
      <c r="A2329" s="7">
        <v>3</v>
      </c>
      <c r="B2329" s="52" t="s">
        <v>843</v>
      </c>
      <c r="C2329" s="7"/>
      <c r="D2329" s="53">
        <f>F2328+F2307</f>
        <v>32165.912524653035</v>
      </c>
      <c r="E2329" s="56">
        <f>E2292</f>
        <v>7.0000000000000007E-2</v>
      </c>
      <c r="F2329" s="53">
        <f>D2329*E2329</f>
        <v>2251.6138767257125</v>
      </c>
    </row>
    <row r="2330" spans="1:6" ht="18" customHeight="1">
      <c r="A2330" s="7">
        <v>4</v>
      </c>
      <c r="B2330" s="52" t="s">
        <v>184</v>
      </c>
      <c r="C2330" s="7"/>
      <c r="D2330" s="7"/>
      <c r="E2330" s="7"/>
      <c r="F2330" s="53">
        <f>SUM(F2331:F2336)</f>
        <v>1396.3240822348625</v>
      </c>
    </row>
    <row r="2331" spans="1:6" ht="18" customHeight="1">
      <c r="A2331" s="7"/>
      <c r="B2331" s="52" t="s">
        <v>354</v>
      </c>
      <c r="C2331" s="7" t="s">
        <v>88</v>
      </c>
      <c r="D2331" s="66">
        <f>I2</f>
        <v>0</v>
      </c>
      <c r="E2331" s="7">
        <f>E2316*砼配合!I9</f>
        <v>35.035758999999999</v>
      </c>
      <c r="F2331" s="53">
        <f t="shared" ref="F2331:F2337" si="167">D2331*E2331</f>
        <v>0</v>
      </c>
    </row>
    <row r="2332" spans="1:6" ht="18" customHeight="1">
      <c r="A2332" s="7"/>
      <c r="B2332" s="52" t="s">
        <v>507</v>
      </c>
      <c r="C2332" s="7" t="s">
        <v>871</v>
      </c>
      <c r="D2332" s="66">
        <f>D2</f>
        <v>4.6598683999999899</v>
      </c>
      <c r="E2332" s="7">
        <f>E2316*砼配合!I10</f>
        <v>54.406660000000002</v>
      </c>
      <c r="F2332" s="53">
        <f t="shared" si="167"/>
        <v>253.52787568354347</v>
      </c>
    </row>
    <row r="2333" spans="1:6" ht="18" customHeight="1">
      <c r="A2333" s="7"/>
      <c r="B2333" s="52" t="s">
        <v>509</v>
      </c>
      <c r="C2333" s="7" t="s">
        <v>871</v>
      </c>
      <c r="D2333" s="66">
        <f>E2</f>
        <v>6.2457299999999902</v>
      </c>
      <c r="E2333" s="7">
        <f>E2316*砼配合!I11</f>
        <v>86.667083999999988</v>
      </c>
      <c r="F2333" s="53">
        <f t="shared" si="167"/>
        <v>541.29920655131912</v>
      </c>
    </row>
    <row r="2334" spans="1:6" ht="18" customHeight="1">
      <c r="A2334" s="7"/>
      <c r="B2334" s="52" t="s">
        <v>506</v>
      </c>
      <c r="C2334" s="7" t="s">
        <v>871</v>
      </c>
      <c r="D2334" s="7">
        <f>D2295</f>
        <v>0</v>
      </c>
      <c r="E2334" s="7">
        <f>E2313</f>
        <v>0.62</v>
      </c>
      <c r="F2334" s="53">
        <f t="shared" si="167"/>
        <v>0</v>
      </c>
    </row>
    <row r="2335" spans="1:6" ht="18" customHeight="1">
      <c r="A2335" s="7"/>
      <c r="B2335" s="52" t="s">
        <v>515</v>
      </c>
      <c r="C2335" s="7" t="s">
        <v>844</v>
      </c>
      <c r="D2335" s="7">
        <f>D2296</f>
        <v>4.7450000000000001</v>
      </c>
      <c r="E2335" s="7">
        <f>E2322*台时!AK19</f>
        <v>3.6</v>
      </c>
      <c r="F2335" s="53">
        <f t="shared" si="167"/>
        <v>17.082000000000001</v>
      </c>
    </row>
    <row r="2336" spans="1:6" ht="18" customHeight="1">
      <c r="A2336" s="7"/>
      <c r="B2336" s="52" t="s">
        <v>516</v>
      </c>
      <c r="C2336" s="7" t="s">
        <v>844</v>
      </c>
      <c r="D2336" s="7">
        <f>D2297</f>
        <v>3.51</v>
      </c>
      <c r="E2336" s="7">
        <f>E2320*台时!BA22</f>
        <v>166.5</v>
      </c>
      <c r="F2336" s="53">
        <f t="shared" si="167"/>
        <v>584.41499999999996</v>
      </c>
    </row>
    <row r="2337" spans="1:6" ht="18" customHeight="1">
      <c r="A2337" s="7">
        <v>5</v>
      </c>
      <c r="B2337" s="52" t="s">
        <v>845</v>
      </c>
      <c r="C2337" s="7"/>
      <c r="D2337" s="53">
        <f>F2307+F2328+F2329+F2330</f>
        <v>35813.850483613605</v>
      </c>
      <c r="E2337" s="56">
        <f>E2298</f>
        <v>0.09</v>
      </c>
      <c r="F2337" s="53">
        <f t="shared" si="167"/>
        <v>3223.2465435252243</v>
      </c>
    </row>
    <row r="2338" spans="1:6" ht="18" customHeight="1">
      <c r="A2338" s="7">
        <v>6</v>
      </c>
      <c r="B2338" s="52" t="s">
        <v>7</v>
      </c>
      <c r="C2338" s="52"/>
      <c r="D2338" s="7"/>
      <c r="E2338" s="7"/>
      <c r="F2338" s="53">
        <f>D2337+F2337</f>
        <v>39037.097027138829</v>
      </c>
    </row>
    <row r="2339" spans="1:6" ht="18" customHeight="1">
      <c r="A2339" s="7"/>
      <c r="B2339" s="52" t="s">
        <v>846</v>
      </c>
      <c r="C2339" s="52"/>
      <c r="D2339" s="53">
        <f>F2338</f>
        <v>39037.097027138829</v>
      </c>
      <c r="E2339" s="56">
        <f>E2300</f>
        <v>0.03</v>
      </c>
      <c r="F2339" s="53">
        <f>E2339*D2339</f>
        <v>1171.1129108141647</v>
      </c>
    </row>
    <row r="2340" spans="1:6" ht="18" customHeight="1">
      <c r="A2340" s="7"/>
      <c r="B2340" s="52" t="s">
        <v>44</v>
      </c>
      <c r="C2340" s="52"/>
      <c r="D2340" s="7"/>
      <c r="E2340" s="7"/>
      <c r="F2340" s="53">
        <f>SUM(F2338:F2339)</f>
        <v>40208.20993795299</v>
      </c>
    </row>
    <row r="2341" spans="1:6" ht="20.25" customHeight="1">
      <c r="A2341" s="461" t="s">
        <v>813</v>
      </c>
      <c r="B2341" s="461"/>
      <c r="C2341" s="461"/>
      <c r="D2341" s="461"/>
      <c r="E2341" s="461"/>
      <c r="F2341" s="461"/>
    </row>
    <row r="2342" spans="1:6" ht="18" customHeight="1">
      <c r="A2342" s="462" t="s">
        <v>1019</v>
      </c>
      <c r="B2342" s="462"/>
      <c r="C2342" s="462"/>
      <c r="D2342" s="462"/>
      <c r="E2342" s="462"/>
      <c r="F2342" s="462"/>
    </row>
    <row r="2343" spans="1:6" ht="18" customHeight="1">
      <c r="A2343" s="47" t="s">
        <v>815</v>
      </c>
      <c r="B2343" s="49">
        <v>10020</v>
      </c>
      <c r="D2343" s="46"/>
      <c r="E2343" s="47" t="s">
        <v>169</v>
      </c>
      <c r="F2343" s="49" t="s">
        <v>1020</v>
      </c>
    </row>
    <row r="2344" spans="1:6" ht="18" customHeight="1">
      <c r="A2344" s="50" t="s">
        <v>817</v>
      </c>
      <c r="B2344" s="484" t="s">
        <v>1021</v>
      </c>
      <c r="C2344" s="485"/>
      <c r="D2344" s="485"/>
      <c r="E2344" s="485"/>
      <c r="F2344" s="486"/>
    </row>
    <row r="2345" spans="1:6" ht="18" customHeight="1">
      <c r="A2345" s="7" t="s">
        <v>1</v>
      </c>
      <c r="B2345" s="52" t="s">
        <v>344</v>
      </c>
      <c r="C2345" s="7" t="s">
        <v>818</v>
      </c>
      <c r="D2345" s="7" t="s">
        <v>819</v>
      </c>
      <c r="E2345" s="7" t="s">
        <v>820</v>
      </c>
      <c r="F2345" s="7" t="s">
        <v>821</v>
      </c>
    </row>
    <row r="2346" spans="1:6" ht="18" customHeight="1">
      <c r="A2346" s="7">
        <v>1</v>
      </c>
      <c r="B2346" s="52" t="s">
        <v>822</v>
      </c>
      <c r="C2346" s="7"/>
      <c r="D2346" s="7"/>
      <c r="E2346" s="7"/>
      <c r="F2346" s="53">
        <f>F2347+F2365+F2366</f>
        <v>60509.897169735785</v>
      </c>
    </row>
    <row r="2347" spans="1:6" ht="18" customHeight="1">
      <c r="A2347" s="7">
        <v>1.1000000000000001</v>
      </c>
      <c r="B2347" s="52" t="s">
        <v>823</v>
      </c>
      <c r="C2347" s="7"/>
      <c r="D2347" s="7"/>
      <c r="E2347" s="7"/>
      <c r="F2347" s="53">
        <f>F2348+F2351+F2359+F2364</f>
        <v>57738.451497839487</v>
      </c>
    </row>
    <row r="2348" spans="1:6" ht="18" customHeight="1">
      <c r="A2348" s="7" t="s">
        <v>47</v>
      </c>
      <c r="B2348" s="52" t="s">
        <v>176</v>
      </c>
      <c r="C2348" s="7"/>
      <c r="D2348" s="7"/>
      <c r="E2348" s="7"/>
      <c r="F2348" s="53">
        <f>F2349+F2350</f>
        <v>4939.84</v>
      </c>
    </row>
    <row r="2349" spans="1:6" ht="18" customHeight="1">
      <c r="A2349" s="7"/>
      <c r="B2349" s="52" t="s">
        <v>824</v>
      </c>
      <c r="C2349" s="7" t="s">
        <v>825</v>
      </c>
      <c r="D2349" s="7">
        <v>8.1</v>
      </c>
      <c r="E2349" s="7">
        <f>253+1*42</f>
        <v>295</v>
      </c>
      <c r="F2349" s="53">
        <f>D2349*E2349</f>
        <v>2389.5</v>
      </c>
    </row>
    <row r="2350" spans="1:6" ht="18" customHeight="1">
      <c r="A2350" s="7"/>
      <c r="B2350" s="52" t="s">
        <v>826</v>
      </c>
      <c r="C2350" s="7" t="s">
        <v>825</v>
      </c>
      <c r="D2350" s="7">
        <v>5.77</v>
      </c>
      <c r="E2350" s="7">
        <f>379+1*63</f>
        <v>442</v>
      </c>
      <c r="F2350" s="53">
        <f>D2350*E2350</f>
        <v>2550.34</v>
      </c>
    </row>
    <row r="2351" spans="1:6" ht="18" customHeight="1">
      <c r="A2351" s="7" t="s">
        <v>57</v>
      </c>
      <c r="B2351" s="52" t="s">
        <v>177</v>
      </c>
      <c r="C2351" s="7"/>
      <c r="D2351" s="7"/>
      <c r="E2351" s="7"/>
      <c r="F2351" s="53">
        <f>SUM(F2352:F2358)</f>
        <v>50957.198013399997</v>
      </c>
    </row>
    <row r="2352" spans="1:6" ht="18" customHeight="1">
      <c r="A2352" s="7"/>
      <c r="B2352" s="52" t="s">
        <v>870</v>
      </c>
      <c r="C2352" s="7" t="s">
        <v>871</v>
      </c>
      <c r="D2352" s="7">
        <f>材料预算价格表!L8</f>
        <v>1874.0778</v>
      </c>
      <c r="E2352" s="7">
        <v>0.1</v>
      </c>
      <c r="F2352" s="53">
        <f t="shared" ref="F2352:F2357" si="168">D2352*E2352</f>
        <v>187.40778</v>
      </c>
    </row>
    <row r="2353" spans="1:6" ht="18" customHeight="1">
      <c r="A2353" s="7"/>
      <c r="B2353" s="52" t="s">
        <v>507</v>
      </c>
      <c r="C2353" s="7" t="s">
        <v>871</v>
      </c>
      <c r="D2353" s="7">
        <f>材料预算价格表!L9</f>
        <v>70</v>
      </c>
      <c r="E2353" s="7">
        <f>11+1*1.8</f>
        <v>12.8</v>
      </c>
      <c r="F2353" s="53">
        <f t="shared" si="168"/>
        <v>896</v>
      </c>
    </row>
    <row r="2354" spans="1:6" ht="18" customHeight="1">
      <c r="A2354" s="7"/>
      <c r="B2354" s="52" t="s">
        <v>509</v>
      </c>
      <c r="C2354" s="7" t="s">
        <v>871</v>
      </c>
      <c r="D2354" s="7">
        <f>材料预算价格表!L10</f>
        <v>70</v>
      </c>
      <c r="E2354" s="7">
        <f>62+1*10</f>
        <v>72</v>
      </c>
      <c r="F2354" s="53">
        <f t="shared" si="168"/>
        <v>5040</v>
      </c>
    </row>
    <row r="2355" spans="1:6" ht="18" customHeight="1">
      <c r="A2355" s="7"/>
      <c r="B2355" s="52" t="s">
        <v>1022</v>
      </c>
      <c r="C2355" s="7" t="s">
        <v>88</v>
      </c>
      <c r="D2355" s="7">
        <v>120</v>
      </c>
      <c r="E2355" s="7">
        <f>3+21*0.48</f>
        <v>13.08</v>
      </c>
      <c r="F2355" s="53">
        <f t="shared" si="168"/>
        <v>1569.6</v>
      </c>
    </row>
    <row r="2356" spans="1:6" ht="18" customHeight="1">
      <c r="A2356" s="7"/>
      <c r="B2356" s="52" t="s">
        <v>1023</v>
      </c>
      <c r="C2356" s="7" t="s">
        <v>88</v>
      </c>
      <c r="D2356" s="7">
        <v>5000</v>
      </c>
      <c r="E2356" s="7">
        <f>7+1*1.16</f>
        <v>8.16</v>
      </c>
      <c r="F2356" s="53">
        <f t="shared" si="168"/>
        <v>40800</v>
      </c>
    </row>
    <row r="2357" spans="1:6" ht="18" customHeight="1">
      <c r="A2357" s="7"/>
      <c r="B2357" s="52" t="s">
        <v>1024</v>
      </c>
      <c r="C2357" s="7" t="s">
        <v>871</v>
      </c>
      <c r="D2357" s="7">
        <v>40</v>
      </c>
      <c r="E2357" s="7">
        <f>21+1*3.5</f>
        <v>24.5</v>
      </c>
      <c r="F2357" s="53">
        <f t="shared" si="168"/>
        <v>980</v>
      </c>
    </row>
    <row r="2358" spans="1:6" ht="18" customHeight="1">
      <c r="A2358" s="7"/>
      <c r="B2358" s="52" t="s">
        <v>833</v>
      </c>
      <c r="C2358" s="7" t="s">
        <v>834</v>
      </c>
      <c r="D2358" s="66">
        <f>F2357+F2356+F2355+F2354+F2353+F2352</f>
        <v>49473.00778</v>
      </c>
      <c r="E2358" s="7">
        <v>3</v>
      </c>
      <c r="F2358" s="53">
        <f>D2358*E2358/100</f>
        <v>1484.1902334000001</v>
      </c>
    </row>
    <row r="2359" spans="1:6" ht="18" customHeight="1">
      <c r="A2359" s="7" t="s">
        <v>835</v>
      </c>
      <c r="B2359" s="52" t="s">
        <v>836</v>
      </c>
      <c r="C2359" s="7"/>
      <c r="D2359" s="7"/>
      <c r="E2359" s="7"/>
      <c r="F2359" s="53">
        <f>SUM(F2360:F2363)</f>
        <v>1841.4134844394835</v>
      </c>
    </row>
    <row r="2360" spans="1:6" ht="18" customHeight="1">
      <c r="A2360" s="7"/>
      <c r="B2360" s="52" t="s">
        <v>1025</v>
      </c>
      <c r="C2360" s="7" t="s">
        <v>863</v>
      </c>
      <c r="D2360" s="66">
        <f>施工机械台时汇总!$C$46</f>
        <v>72.878685468076796</v>
      </c>
      <c r="E2360" s="7">
        <f>10+1*1.7</f>
        <v>11.7</v>
      </c>
      <c r="F2360" s="53">
        <f>D2360*E2360</f>
        <v>852.68061997649841</v>
      </c>
    </row>
    <row r="2361" spans="1:6" ht="18" customHeight="1">
      <c r="A2361" s="7"/>
      <c r="B2361" s="52" t="s">
        <v>882</v>
      </c>
      <c r="C2361" s="7" t="s">
        <v>863</v>
      </c>
      <c r="D2361" s="66">
        <f>施工机械台时汇总!$C$21</f>
        <v>28.129680376028197</v>
      </c>
      <c r="E2361" s="7">
        <f>13+1*2.17</f>
        <v>15.17</v>
      </c>
      <c r="F2361" s="53">
        <f>D2361*E2361</f>
        <v>426.72725130434776</v>
      </c>
    </row>
    <row r="2362" spans="1:6" ht="18" customHeight="1">
      <c r="A2362" s="7"/>
      <c r="B2362" s="52" t="s">
        <v>1026</v>
      </c>
      <c r="C2362" s="7" t="s">
        <v>863</v>
      </c>
      <c r="D2362" s="66">
        <f>施工机械台时汇总!$C$96</f>
        <v>63.242567567567605</v>
      </c>
      <c r="E2362" s="7">
        <v>7.5</v>
      </c>
      <c r="F2362" s="53">
        <f>D2362*E2362</f>
        <v>474.31925675675706</v>
      </c>
    </row>
    <row r="2363" spans="1:6" ht="18" customHeight="1">
      <c r="A2363" s="7"/>
      <c r="B2363" s="52" t="s">
        <v>840</v>
      </c>
      <c r="C2363" s="7" t="s">
        <v>834</v>
      </c>
      <c r="D2363" s="66">
        <f>SUM(F2360:F2362)</f>
        <v>1753.7271280376033</v>
      </c>
      <c r="E2363" s="7">
        <v>5</v>
      </c>
      <c r="F2363" s="53">
        <f>D2363*E2363/100</f>
        <v>87.686356401880161</v>
      </c>
    </row>
    <row r="2364" spans="1:6" ht="18" customHeight="1">
      <c r="A2364" s="7"/>
      <c r="B2364" s="52"/>
      <c r="C2364" s="7"/>
      <c r="D2364" s="7"/>
      <c r="E2364" s="7"/>
      <c r="F2364" s="53"/>
    </row>
    <row r="2365" spans="1:6" ht="18" customHeight="1">
      <c r="A2365" s="7">
        <v>1.2</v>
      </c>
      <c r="B2365" s="52" t="s">
        <v>841</v>
      </c>
      <c r="C2365" s="7"/>
      <c r="D2365" s="53">
        <f>F2347</f>
        <v>57738.451497839487</v>
      </c>
      <c r="E2365" s="56">
        <f>取费!C14</f>
        <v>4.8000000000000001E-2</v>
      </c>
      <c r="F2365" s="53">
        <f>D2365*E2365</f>
        <v>2771.4456718962956</v>
      </c>
    </row>
    <row r="2366" spans="1:6" ht="18" customHeight="1">
      <c r="A2366" s="7">
        <v>1.3</v>
      </c>
      <c r="B2366" s="52" t="s">
        <v>842</v>
      </c>
      <c r="C2366" s="7"/>
      <c r="D2366" s="53">
        <f>F2347</f>
        <v>57738.451497839487</v>
      </c>
      <c r="E2366" s="56">
        <f>取费!D14</f>
        <v>0</v>
      </c>
      <c r="F2366" s="53">
        <f>D2366*E2366</f>
        <v>0</v>
      </c>
    </row>
    <row r="2367" spans="1:6" ht="18" customHeight="1">
      <c r="A2367" s="7">
        <v>2</v>
      </c>
      <c r="B2367" s="52" t="s">
        <v>182</v>
      </c>
      <c r="C2367" s="7"/>
      <c r="D2367" s="53">
        <f>F2346</f>
        <v>60509.897169735785</v>
      </c>
      <c r="E2367" s="56">
        <f>取费!E14</f>
        <v>7.2499999999999995E-2</v>
      </c>
      <c r="F2367" s="53">
        <f>D2367*E2367</f>
        <v>4386.9675448058442</v>
      </c>
    </row>
    <row r="2368" spans="1:6" ht="18" customHeight="1">
      <c r="A2368" s="7">
        <v>3</v>
      </c>
      <c r="B2368" s="52" t="s">
        <v>843</v>
      </c>
      <c r="C2368" s="7"/>
      <c r="D2368" s="53">
        <f>F2367+F2346</f>
        <v>64896.864714541633</v>
      </c>
      <c r="E2368" s="56">
        <f>取费!F14</f>
        <v>7.0000000000000007E-2</v>
      </c>
      <c r="F2368" s="53">
        <f>D2368*E2368</f>
        <v>4542.7805300179143</v>
      </c>
    </row>
    <row r="2369" spans="1:13" ht="18" customHeight="1">
      <c r="A2369" s="7">
        <v>4</v>
      </c>
      <c r="B2369" s="52" t="s">
        <v>184</v>
      </c>
      <c r="C2369" s="7"/>
      <c r="D2369" s="7"/>
      <c r="E2369" s="7"/>
      <c r="F2369" s="53">
        <f>SUM(F2370:F2375)</f>
        <v>1099.3347755199991</v>
      </c>
    </row>
    <row r="2370" spans="1:13" ht="18" customHeight="1">
      <c r="A2370" s="7"/>
      <c r="B2370" s="52" t="s">
        <v>354</v>
      </c>
      <c r="C2370" s="7" t="s">
        <v>88</v>
      </c>
      <c r="D2370" s="7">
        <f>A2</f>
        <v>116.41515</v>
      </c>
      <c r="E2370" s="7">
        <v>0</v>
      </c>
      <c r="F2370" s="53">
        <f t="shared" ref="F2370:F2376" si="169">D2370*E2370</f>
        <v>0</v>
      </c>
    </row>
    <row r="2371" spans="1:13" ht="18" customHeight="1">
      <c r="A2371" s="7"/>
      <c r="B2371" s="52" t="s">
        <v>507</v>
      </c>
      <c r="C2371" s="7" t="s">
        <v>871</v>
      </c>
      <c r="D2371" s="66">
        <f>D1657</f>
        <v>4.6598683999999899</v>
      </c>
      <c r="E2371" s="7">
        <f>E2353</f>
        <v>12.8</v>
      </c>
      <c r="F2371" s="53">
        <f t="shared" si="169"/>
        <v>59.646315519999874</v>
      </c>
    </row>
    <row r="2372" spans="1:13" ht="18" customHeight="1">
      <c r="A2372" s="7"/>
      <c r="B2372" s="52" t="s">
        <v>509</v>
      </c>
      <c r="C2372" s="7" t="s">
        <v>871</v>
      </c>
      <c r="D2372" s="66">
        <f>D1658</f>
        <v>6.2457299999999902</v>
      </c>
      <c r="E2372" s="7">
        <f>E2354</f>
        <v>72</v>
      </c>
      <c r="F2372" s="53">
        <f t="shared" si="169"/>
        <v>449.69255999999928</v>
      </c>
    </row>
    <row r="2373" spans="1:13" ht="18" customHeight="1">
      <c r="A2373" s="7"/>
      <c r="B2373" s="52" t="s">
        <v>506</v>
      </c>
      <c r="C2373" s="7" t="s">
        <v>871</v>
      </c>
      <c r="D2373" s="7">
        <f>D1659</f>
        <v>0</v>
      </c>
      <c r="E2373" s="7">
        <f>E2352</f>
        <v>0.1</v>
      </c>
      <c r="F2373" s="53">
        <f t="shared" si="169"/>
        <v>0</v>
      </c>
    </row>
    <row r="2374" spans="1:13" ht="18" customHeight="1">
      <c r="A2374" s="7"/>
      <c r="B2374" s="52" t="s">
        <v>515</v>
      </c>
      <c r="C2374" s="7" t="s">
        <v>844</v>
      </c>
      <c r="D2374" s="7">
        <f>D1660</f>
        <v>4.7450000000000001</v>
      </c>
      <c r="E2374" s="7">
        <v>0</v>
      </c>
      <c r="F2374" s="53">
        <f t="shared" si="169"/>
        <v>0</v>
      </c>
    </row>
    <row r="2375" spans="1:13" ht="18" customHeight="1">
      <c r="A2375" s="7"/>
      <c r="B2375" s="52" t="s">
        <v>516</v>
      </c>
      <c r="C2375" s="7" t="s">
        <v>844</v>
      </c>
      <c r="D2375" s="7">
        <f>D1661</f>
        <v>3.51</v>
      </c>
      <c r="E2375" s="7">
        <f>E2360*台时!AO22+E2362*台时!CS22</f>
        <v>168.08999999999997</v>
      </c>
      <c r="F2375" s="53">
        <f t="shared" si="169"/>
        <v>589.99589999999989</v>
      </c>
    </row>
    <row r="2376" spans="1:13" ht="18" customHeight="1">
      <c r="A2376" s="7">
        <v>5</v>
      </c>
      <c r="B2376" s="52" t="s">
        <v>845</v>
      </c>
      <c r="C2376" s="7"/>
      <c r="D2376" s="66">
        <f>F2346+F2367+F2368+F2369</f>
        <v>70538.980020079543</v>
      </c>
      <c r="E2376" s="56">
        <f>取费!G14</f>
        <v>0.09</v>
      </c>
      <c r="F2376" s="53">
        <f t="shared" si="169"/>
        <v>6348.5082018071589</v>
      </c>
    </row>
    <row r="2377" spans="1:13" ht="18" customHeight="1">
      <c r="A2377" s="7">
        <v>6</v>
      </c>
      <c r="B2377" s="52" t="s">
        <v>7</v>
      </c>
      <c r="C2377" s="52"/>
      <c r="D2377" s="7"/>
      <c r="E2377" s="7"/>
      <c r="F2377" s="53">
        <f>D2376+F2376</f>
        <v>76887.488221886699</v>
      </c>
    </row>
    <row r="2378" spans="1:13" ht="18" customHeight="1">
      <c r="A2378" s="7"/>
      <c r="B2378" s="52" t="s">
        <v>846</v>
      </c>
      <c r="C2378" s="52"/>
      <c r="D2378" s="53">
        <f>F2377</f>
        <v>76887.488221886699</v>
      </c>
      <c r="E2378" s="56">
        <f>取费!H6</f>
        <v>0.03</v>
      </c>
      <c r="F2378" s="53">
        <f>E2378*D2378</f>
        <v>2306.6246466566008</v>
      </c>
    </row>
    <row r="2379" spans="1:13" ht="18" customHeight="1">
      <c r="A2379" s="7"/>
      <c r="B2379" s="52" t="s">
        <v>44</v>
      </c>
      <c r="C2379" s="52"/>
      <c r="D2379" s="7"/>
      <c r="E2379" s="7"/>
      <c r="F2379" s="53">
        <f>SUM(F2377:F2378)</f>
        <v>79194.112868543307</v>
      </c>
    </row>
    <row r="2380" spans="1:13" ht="20.25" customHeight="1">
      <c r="A2380" s="461" t="s">
        <v>813</v>
      </c>
      <c r="B2380" s="461"/>
      <c r="C2380" s="461"/>
      <c r="D2380" s="461"/>
      <c r="E2380" s="461"/>
      <c r="F2380" s="461"/>
      <c r="H2380" s="461" t="s">
        <v>813</v>
      </c>
      <c r="I2380" s="461"/>
      <c r="J2380" s="461"/>
      <c r="K2380" s="461"/>
      <c r="L2380" s="461"/>
      <c r="M2380" s="461"/>
    </row>
    <row r="2381" spans="1:13" ht="18" customHeight="1">
      <c r="A2381" s="462" t="s">
        <v>1027</v>
      </c>
      <c r="B2381" s="462"/>
      <c r="C2381" s="462"/>
      <c r="D2381" s="462"/>
      <c r="E2381" s="462"/>
      <c r="F2381" s="462"/>
      <c r="H2381" s="462" t="s">
        <v>1027</v>
      </c>
      <c r="I2381" s="462"/>
      <c r="J2381" s="462"/>
      <c r="K2381" s="462"/>
      <c r="L2381" s="462"/>
      <c r="M2381" s="462"/>
    </row>
    <row r="2382" spans="1:13" ht="18" customHeight="1">
      <c r="A2382" s="47" t="s">
        <v>815</v>
      </c>
      <c r="B2382" s="49">
        <v>10019</v>
      </c>
      <c r="D2382" s="46"/>
      <c r="E2382" s="47" t="s">
        <v>169</v>
      </c>
      <c r="F2382" s="49" t="s">
        <v>1020</v>
      </c>
      <c r="H2382" s="47" t="s">
        <v>815</v>
      </c>
      <c r="I2382" s="49">
        <v>10019</v>
      </c>
      <c r="K2382" s="46"/>
      <c r="L2382" s="47" t="s">
        <v>169</v>
      </c>
      <c r="M2382" s="49" t="s">
        <v>1020</v>
      </c>
    </row>
    <row r="2383" spans="1:13" ht="18" customHeight="1">
      <c r="A2383" s="50" t="s">
        <v>817</v>
      </c>
      <c r="B2383" s="484" t="s">
        <v>1028</v>
      </c>
      <c r="C2383" s="485"/>
      <c r="D2383" s="485"/>
      <c r="E2383" s="485"/>
      <c r="F2383" s="486"/>
      <c r="H2383" s="50" t="s">
        <v>817</v>
      </c>
      <c r="I2383" s="484" t="s">
        <v>1029</v>
      </c>
      <c r="J2383" s="485"/>
      <c r="K2383" s="485"/>
      <c r="L2383" s="485"/>
      <c r="M2383" s="486"/>
    </row>
    <row r="2384" spans="1:13" ht="18" customHeight="1">
      <c r="A2384" s="7" t="s">
        <v>1</v>
      </c>
      <c r="B2384" s="52" t="s">
        <v>344</v>
      </c>
      <c r="C2384" s="7" t="s">
        <v>818</v>
      </c>
      <c r="D2384" s="7" t="s">
        <v>819</v>
      </c>
      <c r="E2384" s="7" t="s">
        <v>820</v>
      </c>
      <c r="F2384" s="7" t="s">
        <v>821</v>
      </c>
      <c r="H2384" s="7" t="s">
        <v>1</v>
      </c>
      <c r="I2384" s="52" t="s">
        <v>344</v>
      </c>
      <c r="J2384" s="7" t="s">
        <v>818</v>
      </c>
      <c r="K2384" s="7" t="s">
        <v>819</v>
      </c>
      <c r="L2384" s="7" t="s">
        <v>820</v>
      </c>
      <c r="M2384" s="7" t="s">
        <v>821</v>
      </c>
    </row>
    <row r="2385" spans="1:13" ht="18" customHeight="1">
      <c r="A2385" s="7">
        <v>1</v>
      </c>
      <c r="B2385" s="52" t="s">
        <v>822</v>
      </c>
      <c r="C2385" s="7"/>
      <c r="D2385" s="7"/>
      <c r="E2385" s="7"/>
      <c r="F2385" s="53">
        <f>F2386+F2403+F2404</f>
        <v>50314.37377429835</v>
      </c>
      <c r="H2385" s="7">
        <v>1</v>
      </c>
      <c r="I2385" s="52" t="s">
        <v>822</v>
      </c>
      <c r="J2385" s="7"/>
      <c r="K2385" s="7"/>
      <c r="L2385" s="7"/>
      <c r="M2385" s="53">
        <f>M2386+M2403+M2404</f>
        <v>58083.952193003308</v>
      </c>
    </row>
    <row r="2386" spans="1:13" ht="18" customHeight="1">
      <c r="A2386" s="7">
        <v>1.1000000000000001</v>
      </c>
      <c r="B2386" s="52" t="s">
        <v>823</v>
      </c>
      <c r="C2386" s="7"/>
      <c r="D2386" s="7"/>
      <c r="E2386" s="7"/>
      <c r="F2386" s="53">
        <f>F2387+F2390+F2397+F2402</f>
        <v>48009.898639597661</v>
      </c>
      <c r="H2386" s="7">
        <v>1.1000000000000001</v>
      </c>
      <c r="I2386" s="52" t="s">
        <v>823</v>
      </c>
      <c r="J2386" s="7"/>
      <c r="K2386" s="7"/>
      <c r="L2386" s="7"/>
      <c r="M2386" s="53">
        <f>M2387+M2390+M2397+M2402</f>
        <v>55423.618504774146</v>
      </c>
    </row>
    <row r="2387" spans="1:13" ht="18" customHeight="1">
      <c r="A2387" s="7" t="s">
        <v>47</v>
      </c>
      <c r="B2387" s="52" t="s">
        <v>176</v>
      </c>
      <c r="C2387" s="7"/>
      <c r="D2387" s="7"/>
      <c r="E2387" s="7"/>
      <c r="F2387" s="53">
        <f>F2388+F2389</f>
        <v>12205.74</v>
      </c>
      <c r="H2387" s="7" t="s">
        <v>47</v>
      </c>
      <c r="I2387" s="52" t="s">
        <v>176</v>
      </c>
      <c r="J2387" s="7"/>
      <c r="K2387" s="7"/>
      <c r="L2387" s="7"/>
      <c r="M2387" s="53">
        <f>M2388+M2389</f>
        <v>13238.78</v>
      </c>
    </row>
    <row r="2388" spans="1:13" ht="18" customHeight="1">
      <c r="A2388" s="7"/>
      <c r="B2388" s="52" t="s">
        <v>824</v>
      </c>
      <c r="C2388" s="7" t="s">
        <v>825</v>
      </c>
      <c r="D2388" s="7">
        <v>8.1</v>
      </c>
      <c r="E2388" s="7">
        <f>636+3*31</f>
        <v>729</v>
      </c>
      <c r="F2388" s="53">
        <f>D2388*E2388</f>
        <v>5904.9</v>
      </c>
      <c r="H2388" s="7"/>
      <c r="I2388" s="52" t="s">
        <v>824</v>
      </c>
      <c r="J2388" s="7" t="s">
        <v>825</v>
      </c>
      <c r="K2388" s="7">
        <v>8.1</v>
      </c>
      <c r="L2388" s="7">
        <f>636+5*31</f>
        <v>791</v>
      </c>
      <c r="M2388" s="53">
        <f>K2388*L2388</f>
        <v>6407.1</v>
      </c>
    </row>
    <row r="2389" spans="1:13" ht="18" customHeight="1">
      <c r="A2389" s="7"/>
      <c r="B2389" s="52" t="s">
        <v>826</v>
      </c>
      <c r="C2389" s="7" t="s">
        <v>825</v>
      </c>
      <c r="D2389" s="7">
        <v>5.77</v>
      </c>
      <c r="E2389" s="7">
        <f>954+3*46</f>
        <v>1092</v>
      </c>
      <c r="F2389" s="53">
        <f>D2389*E2389</f>
        <v>6300.84</v>
      </c>
      <c r="H2389" s="7"/>
      <c r="I2389" s="52" t="s">
        <v>826</v>
      </c>
      <c r="J2389" s="7" t="s">
        <v>825</v>
      </c>
      <c r="K2389" s="7">
        <v>5.77</v>
      </c>
      <c r="L2389" s="7">
        <f>954+5*46</f>
        <v>1184</v>
      </c>
      <c r="M2389" s="53">
        <f>K2389*L2389</f>
        <v>6831.68</v>
      </c>
    </row>
    <row r="2390" spans="1:13" ht="18" customHeight="1">
      <c r="A2390" s="7" t="s">
        <v>57</v>
      </c>
      <c r="B2390" s="52" t="s">
        <v>177</v>
      </c>
      <c r="C2390" s="7"/>
      <c r="D2390" s="7"/>
      <c r="E2390" s="7"/>
      <c r="F2390" s="53">
        <f>SUM(F2391:F2396)</f>
        <v>32650.186250807998</v>
      </c>
      <c r="H2390" s="7" t="s">
        <v>57</v>
      </c>
      <c r="I2390" s="52" t="s">
        <v>177</v>
      </c>
      <c r="J2390" s="7"/>
      <c r="K2390" s="7"/>
      <c r="L2390" s="7"/>
      <c r="M2390" s="53">
        <f>SUM(M2391:M2396)</f>
        <v>38676.173482799997</v>
      </c>
    </row>
    <row r="2391" spans="1:13" ht="18" customHeight="1">
      <c r="A2391" s="7"/>
      <c r="B2391" s="52" t="s">
        <v>870</v>
      </c>
      <c r="C2391" s="7" t="s">
        <v>871</v>
      </c>
      <c r="D2391" s="55">
        <f>材料预算价格表!K8</f>
        <v>1874.0778</v>
      </c>
      <c r="E2391" s="7">
        <f>0.23+3*0.01</f>
        <v>0.26</v>
      </c>
      <c r="F2391" s="53">
        <f>D2391*E2391</f>
        <v>487.26022800000004</v>
      </c>
      <c r="H2391" s="7"/>
      <c r="I2391" s="52" t="s">
        <v>870</v>
      </c>
      <c r="J2391" s="7" t="s">
        <v>871</v>
      </c>
      <c r="K2391" s="55">
        <f>D2391</f>
        <v>1874.0778</v>
      </c>
      <c r="L2391" s="7">
        <f>0.23+5*0.01</f>
        <v>0.28000000000000003</v>
      </c>
      <c r="M2391" s="53">
        <f>K2391*L2391</f>
        <v>524.74178400000005</v>
      </c>
    </row>
    <row r="2392" spans="1:13" ht="18" customHeight="1">
      <c r="A2392" s="7"/>
      <c r="B2392" s="52" t="s">
        <v>877</v>
      </c>
      <c r="C2392" s="7" t="s">
        <v>871</v>
      </c>
      <c r="D2392" s="55">
        <f>砼配合!J14</f>
        <v>171.692409</v>
      </c>
      <c r="E2392" s="7">
        <f>153+3*10.2</f>
        <v>183.6</v>
      </c>
      <c r="F2392" s="53">
        <f>D2392*E2392</f>
        <v>31522.726292399999</v>
      </c>
      <c r="H2392" s="7"/>
      <c r="I2392" s="52" t="s">
        <v>877</v>
      </c>
      <c r="J2392" s="7" t="s">
        <v>871</v>
      </c>
      <c r="K2392" s="55">
        <f>砼配合!J8</f>
        <v>183.29938899999999</v>
      </c>
      <c r="L2392" s="7">
        <f>153+5*10.2</f>
        <v>204</v>
      </c>
      <c r="M2392" s="53">
        <f>K2392*L2392</f>
        <v>37393.075356000001</v>
      </c>
    </row>
    <row r="2393" spans="1:13" ht="18" customHeight="1">
      <c r="A2393" s="7"/>
      <c r="B2393" s="52" t="s">
        <v>1022</v>
      </c>
      <c r="C2393" s="7" t="s">
        <v>88</v>
      </c>
      <c r="D2393" s="7">
        <v>120</v>
      </c>
      <c r="E2393" s="7">
        <v>0</v>
      </c>
      <c r="F2393" s="53">
        <f>D2393*E2393</f>
        <v>0</v>
      </c>
      <c r="H2393" s="7"/>
      <c r="I2393" s="52" t="s">
        <v>1022</v>
      </c>
      <c r="J2393" s="7" t="s">
        <v>88</v>
      </c>
      <c r="K2393" s="55">
        <f t="shared" ref="K2393:K2395" si="170">D2393</f>
        <v>120</v>
      </c>
      <c r="L2393" s="7">
        <v>0</v>
      </c>
      <c r="M2393" s="53">
        <f>K2393*L2393</f>
        <v>0</v>
      </c>
    </row>
    <row r="2394" spans="1:13" ht="18" customHeight="1">
      <c r="A2394" s="7"/>
      <c r="B2394" s="52" t="s">
        <v>1023</v>
      </c>
      <c r="C2394" s="7" t="s">
        <v>88</v>
      </c>
      <c r="D2394" s="7">
        <v>5000</v>
      </c>
      <c r="E2394" s="7">
        <v>0</v>
      </c>
      <c r="F2394" s="53">
        <f>D2394*E2394</f>
        <v>0</v>
      </c>
      <c r="H2394" s="7"/>
      <c r="I2394" s="52" t="s">
        <v>1023</v>
      </c>
      <c r="J2394" s="7" t="s">
        <v>88</v>
      </c>
      <c r="K2394" s="55">
        <f t="shared" si="170"/>
        <v>5000</v>
      </c>
      <c r="L2394" s="7">
        <v>0</v>
      </c>
      <c r="M2394" s="53">
        <f>K2394*L2394</f>
        <v>0</v>
      </c>
    </row>
    <row r="2395" spans="1:13" ht="18" customHeight="1">
      <c r="A2395" s="7"/>
      <c r="B2395" s="52" t="s">
        <v>1024</v>
      </c>
      <c r="C2395" s="7" t="s">
        <v>871</v>
      </c>
      <c r="D2395" s="7">
        <v>40</v>
      </c>
      <c r="E2395" s="7">
        <v>0</v>
      </c>
      <c r="F2395" s="53">
        <f>D2395*E2395</f>
        <v>0</v>
      </c>
      <c r="H2395" s="7"/>
      <c r="I2395" s="52" t="s">
        <v>1024</v>
      </c>
      <c r="J2395" s="7" t="s">
        <v>871</v>
      </c>
      <c r="K2395" s="55">
        <f t="shared" si="170"/>
        <v>40</v>
      </c>
      <c r="L2395" s="7">
        <v>0</v>
      </c>
      <c r="M2395" s="53">
        <f>K2395*L2395</f>
        <v>0</v>
      </c>
    </row>
    <row r="2396" spans="1:13" ht="18" customHeight="1">
      <c r="A2396" s="7"/>
      <c r="B2396" s="52" t="s">
        <v>833</v>
      </c>
      <c r="C2396" s="7" t="s">
        <v>834</v>
      </c>
      <c r="D2396" s="66">
        <f>SUM(F2391:F2395)</f>
        <v>32009.986520399998</v>
      </c>
      <c r="E2396" s="7">
        <v>2</v>
      </c>
      <c r="F2396" s="53">
        <f>D2396*E2396/100</f>
        <v>640.19973040799994</v>
      </c>
      <c r="H2396" s="7"/>
      <c r="I2396" s="52" t="s">
        <v>833</v>
      </c>
      <c r="J2396" s="7" t="s">
        <v>834</v>
      </c>
      <c r="K2396" s="66">
        <f>SUM(M2391:M2395)</f>
        <v>37917.817139999999</v>
      </c>
      <c r="L2396" s="7">
        <v>2</v>
      </c>
      <c r="M2396" s="53">
        <f>K2396*L2396/100</f>
        <v>758.35634279999999</v>
      </c>
    </row>
    <row r="2397" spans="1:13" ht="18" customHeight="1">
      <c r="A2397" s="7" t="s">
        <v>835</v>
      </c>
      <c r="B2397" s="52" t="s">
        <v>836</v>
      </c>
      <c r="C2397" s="7"/>
      <c r="D2397" s="7"/>
      <c r="E2397" s="7"/>
      <c r="F2397" s="53">
        <f>SUM(F2398:F2401)</f>
        <v>3153.9723887896598</v>
      </c>
      <c r="H2397" s="7" t="s">
        <v>835</v>
      </c>
      <c r="I2397" s="52" t="s">
        <v>836</v>
      </c>
      <c r="J2397" s="7"/>
      <c r="K2397" s="7"/>
      <c r="L2397" s="7"/>
      <c r="M2397" s="53">
        <f>SUM(M2398:M2401)</f>
        <v>3508.6650219741491</v>
      </c>
    </row>
    <row r="2398" spans="1:13" ht="18" customHeight="1">
      <c r="A2398" s="7"/>
      <c r="B2398" s="52" t="s">
        <v>1025</v>
      </c>
      <c r="C2398" s="7" t="s">
        <v>863</v>
      </c>
      <c r="D2398" s="66">
        <f>施工机械台时汇总!$C$46</f>
        <v>72.878685468076796</v>
      </c>
      <c r="E2398" s="7">
        <f>25+3*1.7</f>
        <v>30.1</v>
      </c>
      <c r="F2398" s="53">
        <f>D2398*E2398</f>
        <v>2193.6484325891115</v>
      </c>
      <c r="H2398" s="7"/>
      <c r="I2398" s="52" t="s">
        <v>1025</v>
      </c>
      <c r="J2398" s="7" t="s">
        <v>863</v>
      </c>
      <c r="K2398" s="66">
        <f>施工机械台时汇总!$C$46</f>
        <v>72.878685468076796</v>
      </c>
      <c r="L2398" s="7">
        <f>25+5*1.7</f>
        <v>33.5</v>
      </c>
      <c r="M2398" s="53">
        <f>K2398*L2398</f>
        <v>2441.4359631805728</v>
      </c>
    </row>
    <row r="2399" spans="1:13" ht="18" customHeight="1">
      <c r="A2399" s="7"/>
      <c r="B2399" s="52" t="s">
        <v>882</v>
      </c>
      <c r="C2399" s="7" t="s">
        <v>863</v>
      </c>
      <c r="D2399" s="66">
        <f>施工机械台时汇总!$C$21</f>
        <v>28.129680376028197</v>
      </c>
      <c r="E2399" s="7">
        <f>24+3*1.6</f>
        <v>28.8</v>
      </c>
      <c r="F2399" s="53">
        <f>D2399*E2399</f>
        <v>810.13479482961213</v>
      </c>
      <c r="H2399" s="7"/>
      <c r="I2399" s="52" t="s">
        <v>882</v>
      </c>
      <c r="J2399" s="7" t="s">
        <v>863</v>
      </c>
      <c r="K2399" s="66">
        <f>施工机械台时汇总!$C$21</f>
        <v>28.129680376028197</v>
      </c>
      <c r="L2399" s="7">
        <f>24+5*1.6</f>
        <v>32</v>
      </c>
      <c r="M2399" s="53">
        <f>K2399*L2399</f>
        <v>900.14977203290232</v>
      </c>
    </row>
    <row r="2400" spans="1:13" ht="18" customHeight="1">
      <c r="A2400" s="7"/>
      <c r="B2400" s="52" t="s">
        <v>1026</v>
      </c>
      <c r="C2400" s="7" t="s">
        <v>863</v>
      </c>
      <c r="D2400" s="66">
        <f>施工机械台时汇总!$C$96</f>
        <v>63.242567567567605</v>
      </c>
      <c r="E2400" s="7">
        <v>0</v>
      </c>
      <c r="F2400" s="53">
        <f>D2400*E2400</f>
        <v>0</v>
      </c>
      <c r="H2400" s="7"/>
      <c r="I2400" s="52" t="s">
        <v>1026</v>
      </c>
      <c r="J2400" s="7" t="s">
        <v>863</v>
      </c>
      <c r="K2400" s="66">
        <f>施工机械台时汇总!$C$96</f>
        <v>63.242567567567605</v>
      </c>
      <c r="L2400" s="7">
        <v>0</v>
      </c>
      <c r="M2400" s="53">
        <f>K2400*L2400</f>
        <v>0</v>
      </c>
    </row>
    <row r="2401" spans="1:13" ht="18" customHeight="1">
      <c r="A2401" s="7"/>
      <c r="B2401" s="52" t="s">
        <v>840</v>
      </c>
      <c r="C2401" s="7" t="s">
        <v>834</v>
      </c>
      <c r="D2401" s="66">
        <f>SUM(F2398:F2400)</f>
        <v>3003.7832274187235</v>
      </c>
      <c r="E2401" s="7">
        <v>5</v>
      </c>
      <c r="F2401" s="53">
        <f>D2401*E2401/100</f>
        <v>150.18916137093618</v>
      </c>
      <c r="H2401" s="7"/>
      <c r="I2401" s="52" t="s">
        <v>840</v>
      </c>
      <c r="J2401" s="7" t="s">
        <v>834</v>
      </c>
      <c r="K2401" s="66">
        <f>SUM(M2398:M2400)</f>
        <v>3341.5857352134753</v>
      </c>
      <c r="L2401" s="7">
        <v>5</v>
      </c>
      <c r="M2401" s="53">
        <f>K2401*L2401/100</f>
        <v>167.0792867606738</v>
      </c>
    </row>
    <row r="2402" spans="1:13" ht="18" customHeight="1">
      <c r="A2402" s="7"/>
      <c r="B2402" s="52"/>
      <c r="C2402" s="7"/>
      <c r="D2402" s="7"/>
      <c r="E2402" s="7"/>
      <c r="F2402" s="53"/>
      <c r="H2402" s="7"/>
      <c r="I2402" s="52"/>
      <c r="J2402" s="7"/>
      <c r="K2402" s="7"/>
      <c r="L2402" s="7"/>
      <c r="M2402" s="53"/>
    </row>
    <row r="2403" spans="1:13" ht="18" customHeight="1">
      <c r="A2403" s="7">
        <v>1.2</v>
      </c>
      <c r="B2403" s="52" t="s">
        <v>841</v>
      </c>
      <c r="C2403" s="7"/>
      <c r="D2403" s="53">
        <f>F2386</f>
        <v>48009.898639597661</v>
      </c>
      <c r="E2403" s="56">
        <f>E2365</f>
        <v>4.8000000000000001E-2</v>
      </c>
      <c r="F2403" s="53">
        <f>D2403*E2403</f>
        <v>2304.4751347006877</v>
      </c>
      <c r="H2403" s="7">
        <v>1.2</v>
      </c>
      <c r="I2403" s="52" t="s">
        <v>841</v>
      </c>
      <c r="J2403" s="7"/>
      <c r="K2403" s="53">
        <f>M2386</f>
        <v>55423.618504774146</v>
      </c>
      <c r="L2403" s="56">
        <f>E2403</f>
        <v>4.8000000000000001E-2</v>
      </c>
      <c r="M2403" s="53">
        <f>K2403*L2403</f>
        <v>2660.3336882291592</v>
      </c>
    </row>
    <row r="2404" spans="1:13" ht="18" customHeight="1">
      <c r="A2404" s="7">
        <v>1.3</v>
      </c>
      <c r="B2404" s="52" t="s">
        <v>842</v>
      </c>
      <c r="C2404" s="7"/>
      <c r="D2404" s="53">
        <f>F2386</f>
        <v>48009.898639597661</v>
      </c>
      <c r="E2404" s="56">
        <f>E2366</f>
        <v>0</v>
      </c>
      <c r="F2404" s="53">
        <f>D2404*E2404</f>
        <v>0</v>
      </c>
      <c r="H2404" s="7">
        <v>1.3</v>
      </c>
      <c r="I2404" s="52" t="s">
        <v>842</v>
      </c>
      <c r="J2404" s="7"/>
      <c r="K2404" s="53">
        <f>M2386</f>
        <v>55423.618504774146</v>
      </c>
      <c r="L2404" s="56">
        <f t="shared" ref="L2404:L2406" si="171">E2404</f>
        <v>0</v>
      </c>
      <c r="M2404" s="53">
        <f>K2404*L2404</f>
        <v>0</v>
      </c>
    </row>
    <row r="2405" spans="1:13" ht="18" customHeight="1">
      <c r="A2405" s="7">
        <v>2</v>
      </c>
      <c r="B2405" s="52" t="s">
        <v>182</v>
      </c>
      <c r="C2405" s="7"/>
      <c r="D2405" s="53">
        <f>F2385</f>
        <v>50314.37377429835</v>
      </c>
      <c r="E2405" s="56">
        <f>E2367</f>
        <v>7.2499999999999995E-2</v>
      </c>
      <c r="F2405" s="53">
        <f>D2405*E2405</f>
        <v>3647.7920986366303</v>
      </c>
      <c r="H2405" s="7">
        <v>2</v>
      </c>
      <c r="I2405" s="52" t="s">
        <v>182</v>
      </c>
      <c r="J2405" s="7"/>
      <c r="K2405" s="53">
        <f>M2385</f>
        <v>58083.952193003308</v>
      </c>
      <c r="L2405" s="56">
        <f t="shared" si="171"/>
        <v>7.2499999999999995E-2</v>
      </c>
      <c r="M2405" s="53">
        <f>K2405*L2405</f>
        <v>4211.0865339927395</v>
      </c>
    </row>
    <row r="2406" spans="1:13" ht="18" customHeight="1">
      <c r="A2406" s="7">
        <v>3</v>
      </c>
      <c r="B2406" s="52" t="s">
        <v>843</v>
      </c>
      <c r="C2406" s="7"/>
      <c r="D2406" s="53">
        <f>F2405+F2385</f>
        <v>53962.16587293498</v>
      </c>
      <c r="E2406" s="56">
        <f>E2368</f>
        <v>7.0000000000000007E-2</v>
      </c>
      <c r="F2406" s="53">
        <f>D2406*E2406</f>
        <v>3777.3516111054491</v>
      </c>
      <c r="H2406" s="7">
        <v>3</v>
      </c>
      <c r="I2406" s="52" t="s">
        <v>843</v>
      </c>
      <c r="J2406" s="7"/>
      <c r="K2406" s="53">
        <f>M2405+M2385</f>
        <v>62295.038726996048</v>
      </c>
      <c r="L2406" s="56">
        <f t="shared" si="171"/>
        <v>7.0000000000000007E-2</v>
      </c>
      <c r="M2406" s="53">
        <f>K2406*L2406</f>
        <v>4360.6527108897235</v>
      </c>
    </row>
    <row r="2407" spans="1:13" ht="18" customHeight="1">
      <c r="A2407" s="7">
        <v>4</v>
      </c>
      <c r="B2407" s="52" t="s">
        <v>184</v>
      </c>
      <c r="C2407" s="7"/>
      <c r="D2407" s="7"/>
      <c r="E2407" s="7"/>
      <c r="F2407" s="53">
        <f>SUM(F2408:F2413)</f>
        <v>9021.2625695086317</v>
      </c>
      <c r="H2407" s="7">
        <v>4</v>
      </c>
      <c r="I2407" s="52" t="s">
        <v>184</v>
      </c>
      <c r="J2407" s="7"/>
      <c r="K2407" s="7"/>
      <c r="L2407" s="7"/>
      <c r="M2407" s="53">
        <f>SUM(M2408:M2413)</f>
        <v>10730.049182554149</v>
      </c>
    </row>
    <row r="2408" spans="1:13" ht="18" customHeight="1">
      <c r="A2408" s="7"/>
      <c r="B2408" s="52" t="s">
        <v>354</v>
      </c>
      <c r="C2408" s="7" t="s">
        <v>88</v>
      </c>
      <c r="D2408" s="7">
        <f>A2</f>
        <v>116.41515</v>
      </c>
      <c r="E2408" s="66">
        <f>E2392*砼配合!I15</f>
        <v>56.401369199999998</v>
      </c>
      <c r="F2408" s="53">
        <f t="shared" ref="F2408:F2414" si="172">D2408*E2408</f>
        <v>6565.9738556233797</v>
      </c>
      <c r="H2408" s="7"/>
      <c r="I2408" s="52" t="s">
        <v>354</v>
      </c>
      <c r="J2408" s="7" t="s">
        <v>88</v>
      </c>
      <c r="K2408" s="7">
        <f>D2408</f>
        <v>116.41515</v>
      </c>
      <c r="L2408" s="66">
        <f>L2392*砼配合!I9</f>
        <v>69.391211999999996</v>
      </c>
      <c r="M2408" s="53">
        <f t="shared" ref="M2408:M2414" si="173">K2408*L2408</f>
        <v>8078.1883536617997</v>
      </c>
    </row>
    <row r="2409" spans="1:13" ht="18" customHeight="1">
      <c r="A2409" s="7"/>
      <c r="B2409" s="52" t="s">
        <v>507</v>
      </c>
      <c r="C2409" s="7" t="s">
        <v>871</v>
      </c>
      <c r="D2409" s="66">
        <f>D2</f>
        <v>4.6598683999999899</v>
      </c>
      <c r="E2409" s="66">
        <f>E2392*砼配合!I16</f>
        <v>88.579656</v>
      </c>
      <c r="F2409" s="53">
        <f t="shared" si="172"/>
        <v>412.76953987726949</v>
      </c>
      <c r="H2409" s="7"/>
      <c r="I2409" s="52" t="s">
        <v>507</v>
      </c>
      <c r="J2409" s="7" t="s">
        <v>871</v>
      </c>
      <c r="K2409" s="7">
        <f t="shared" ref="K2409:K2413" si="174">D2409</f>
        <v>4.6598683999999899</v>
      </c>
      <c r="L2409" s="66">
        <f>L2392*砼配合!I10</f>
        <v>107.75688000000001</v>
      </c>
      <c r="M2409" s="53">
        <f t="shared" si="173"/>
        <v>502.13287999459095</v>
      </c>
    </row>
    <row r="2410" spans="1:13" ht="18" customHeight="1">
      <c r="A2410" s="7"/>
      <c r="B2410" s="52" t="s">
        <v>509</v>
      </c>
      <c r="C2410" s="7" t="s">
        <v>871</v>
      </c>
      <c r="D2410" s="66">
        <f>E2</f>
        <v>6.2457299999999902</v>
      </c>
      <c r="E2410" s="66">
        <f>E2392*砼配合!I17</f>
        <v>154.4861808</v>
      </c>
      <c r="F2410" s="53">
        <f t="shared" si="172"/>
        <v>964.87897400798249</v>
      </c>
      <c r="H2410" s="7"/>
      <c r="I2410" s="52" t="s">
        <v>509</v>
      </c>
      <c r="J2410" s="7" t="s">
        <v>871</v>
      </c>
      <c r="K2410" s="7">
        <f t="shared" si="174"/>
        <v>6.2457299999999902</v>
      </c>
      <c r="L2410" s="66">
        <f>L2392*砼配合!I11</f>
        <v>171.65131199999999</v>
      </c>
      <c r="M2410" s="53">
        <f t="shared" si="173"/>
        <v>1072.0877488977583</v>
      </c>
    </row>
    <row r="2411" spans="1:13" ht="18" customHeight="1">
      <c r="A2411" s="7"/>
      <c r="B2411" s="52" t="s">
        <v>506</v>
      </c>
      <c r="C2411" s="7" t="s">
        <v>871</v>
      </c>
      <c r="D2411" s="7">
        <f>C2</f>
        <v>0</v>
      </c>
      <c r="E2411" s="7">
        <f>E2391</f>
        <v>0.26</v>
      </c>
      <c r="F2411" s="53">
        <f t="shared" si="172"/>
        <v>0</v>
      </c>
      <c r="H2411" s="7"/>
      <c r="I2411" s="52" t="s">
        <v>506</v>
      </c>
      <c r="J2411" s="7" t="s">
        <v>871</v>
      </c>
      <c r="K2411" s="7">
        <f t="shared" si="174"/>
        <v>0</v>
      </c>
      <c r="L2411" s="66">
        <f t="shared" ref="L2411:L2414" si="175">E2411</f>
        <v>0.26</v>
      </c>
      <c r="M2411" s="53">
        <f t="shared" si="173"/>
        <v>0</v>
      </c>
    </row>
    <row r="2412" spans="1:13" ht="18" customHeight="1">
      <c r="A2412" s="7"/>
      <c r="B2412" s="52" t="s">
        <v>515</v>
      </c>
      <c r="C2412" s="7" t="s">
        <v>844</v>
      </c>
      <c r="D2412" s="7">
        <f>G2</f>
        <v>4.7450000000000001</v>
      </c>
      <c r="E2412" s="7">
        <v>0</v>
      </c>
      <c r="F2412" s="53">
        <f t="shared" si="172"/>
        <v>0</v>
      </c>
      <c r="H2412" s="7"/>
      <c r="I2412" s="52" t="s">
        <v>515</v>
      </c>
      <c r="J2412" s="7" t="s">
        <v>844</v>
      </c>
      <c r="K2412" s="7">
        <f t="shared" si="174"/>
        <v>4.7450000000000001</v>
      </c>
      <c r="L2412" s="66">
        <f t="shared" si="175"/>
        <v>0</v>
      </c>
      <c r="M2412" s="53">
        <f t="shared" si="173"/>
        <v>0</v>
      </c>
    </row>
    <row r="2413" spans="1:13" ht="18" customHeight="1">
      <c r="A2413" s="7"/>
      <c r="B2413" s="52" t="s">
        <v>516</v>
      </c>
      <c r="C2413" s="7" t="s">
        <v>844</v>
      </c>
      <c r="D2413" s="66">
        <f>H2</f>
        <v>3.51</v>
      </c>
      <c r="E2413" s="7">
        <f>E2398*台时!AO22+E2400*台时!CS22</f>
        <v>307.02</v>
      </c>
      <c r="F2413" s="53">
        <f t="shared" si="172"/>
        <v>1077.6401999999998</v>
      </c>
      <c r="H2413" s="7"/>
      <c r="I2413" s="52" t="s">
        <v>516</v>
      </c>
      <c r="J2413" s="7" t="s">
        <v>844</v>
      </c>
      <c r="K2413" s="7">
        <f t="shared" si="174"/>
        <v>3.51</v>
      </c>
      <c r="L2413" s="66">
        <f t="shared" si="175"/>
        <v>307.02</v>
      </c>
      <c r="M2413" s="53">
        <f t="shared" si="173"/>
        <v>1077.6401999999998</v>
      </c>
    </row>
    <row r="2414" spans="1:13" ht="18" customHeight="1">
      <c r="A2414" s="7">
        <v>5</v>
      </c>
      <c r="B2414" s="52" t="s">
        <v>845</v>
      </c>
      <c r="C2414" s="7"/>
      <c r="D2414" s="53">
        <f>F2385+F2405+F2406+F2407</f>
        <v>66760.780053549068</v>
      </c>
      <c r="E2414" s="56">
        <f>E2376</f>
        <v>0.09</v>
      </c>
      <c r="F2414" s="53">
        <f t="shared" si="172"/>
        <v>6008.4702048194158</v>
      </c>
      <c r="H2414" s="7">
        <v>5</v>
      </c>
      <c r="I2414" s="52" t="s">
        <v>845</v>
      </c>
      <c r="J2414" s="7"/>
      <c r="K2414" s="53">
        <f>M2385+M2405+M2406+M2407</f>
        <v>77385.74062043993</v>
      </c>
      <c r="L2414" s="56">
        <f t="shared" si="175"/>
        <v>0.09</v>
      </c>
      <c r="M2414" s="53">
        <f t="shared" si="173"/>
        <v>6964.7166558395938</v>
      </c>
    </row>
    <row r="2415" spans="1:13" ht="18" customHeight="1">
      <c r="A2415" s="7">
        <v>6</v>
      </c>
      <c r="B2415" s="52" t="s">
        <v>7</v>
      </c>
      <c r="C2415" s="52"/>
      <c r="D2415" s="7"/>
      <c r="E2415" s="7"/>
      <c r="F2415" s="53">
        <f>D2414+F2414</f>
        <v>72769.250258368484</v>
      </c>
      <c r="H2415" s="7">
        <v>6</v>
      </c>
      <c r="I2415" s="52" t="s">
        <v>7</v>
      </c>
      <c r="J2415" s="52"/>
      <c r="K2415" s="7"/>
      <c r="L2415" s="7"/>
      <c r="M2415" s="53">
        <f>K2414+M2414</f>
        <v>84350.457276279529</v>
      </c>
    </row>
    <row r="2416" spans="1:13" ht="18" customHeight="1">
      <c r="A2416" s="7"/>
      <c r="B2416" s="52" t="s">
        <v>846</v>
      </c>
      <c r="C2416" s="52"/>
      <c r="D2416" s="53">
        <f>F2415</f>
        <v>72769.250258368484</v>
      </c>
      <c r="E2416" s="56">
        <f>E2378</f>
        <v>0.03</v>
      </c>
      <c r="F2416" s="53">
        <f>E2416*D2416</f>
        <v>2183.0775077510543</v>
      </c>
      <c r="H2416" s="7"/>
      <c r="I2416" s="52" t="s">
        <v>846</v>
      </c>
      <c r="J2416" s="52"/>
      <c r="K2416" s="53">
        <f>M2415</f>
        <v>84350.457276279529</v>
      </c>
      <c r="L2416" s="56">
        <f>E2416</f>
        <v>0.03</v>
      </c>
      <c r="M2416" s="53">
        <f>L2416*K2416</f>
        <v>2530.5137182883859</v>
      </c>
    </row>
    <row r="2417" spans="1:13" ht="18" customHeight="1">
      <c r="A2417" s="7"/>
      <c r="B2417" s="52" t="s">
        <v>44</v>
      </c>
      <c r="C2417" s="52"/>
      <c r="D2417" s="7"/>
      <c r="E2417" s="7"/>
      <c r="F2417" s="53">
        <f>SUM(F2415:F2416)</f>
        <v>74952.327766119532</v>
      </c>
      <c r="H2417" s="7"/>
      <c r="I2417" s="52" t="s">
        <v>44</v>
      </c>
      <c r="J2417" s="52"/>
      <c r="K2417" s="7"/>
      <c r="L2417" s="7"/>
      <c r="M2417" s="53">
        <f>SUM(M2415:M2416)</f>
        <v>86880.970994567921</v>
      </c>
    </row>
    <row r="2418" spans="1:13" ht="20.25" customHeight="1">
      <c r="A2418" s="461" t="s">
        <v>813</v>
      </c>
      <c r="B2418" s="461"/>
      <c r="C2418" s="461"/>
      <c r="D2418" s="461"/>
      <c r="E2418" s="461"/>
      <c r="F2418" s="461"/>
    </row>
    <row r="2419" spans="1:13" ht="18" customHeight="1">
      <c r="A2419" s="462" t="s">
        <v>1030</v>
      </c>
      <c r="B2419" s="462"/>
      <c r="C2419" s="462"/>
      <c r="D2419" s="462"/>
      <c r="E2419" s="462"/>
      <c r="F2419" s="462"/>
    </row>
    <row r="2420" spans="1:13" ht="18" customHeight="1">
      <c r="A2420" s="47" t="s">
        <v>815</v>
      </c>
      <c r="B2420" s="49">
        <v>10017</v>
      </c>
      <c r="D2420" s="46"/>
      <c r="E2420" s="47" t="s">
        <v>169</v>
      </c>
      <c r="F2420" s="49" t="s">
        <v>1020</v>
      </c>
    </row>
    <row r="2421" spans="1:13" ht="18" customHeight="1">
      <c r="A2421" s="50" t="s">
        <v>817</v>
      </c>
      <c r="B2421" s="484" t="s">
        <v>1031</v>
      </c>
      <c r="C2421" s="485"/>
      <c r="D2421" s="485"/>
      <c r="E2421" s="485"/>
      <c r="F2421" s="486"/>
    </row>
    <row r="2422" spans="1:13" ht="18" customHeight="1">
      <c r="A2422" s="7" t="s">
        <v>1</v>
      </c>
      <c r="B2422" s="52" t="s">
        <v>344</v>
      </c>
      <c r="C2422" s="7" t="s">
        <v>818</v>
      </c>
      <c r="D2422" s="7" t="s">
        <v>819</v>
      </c>
      <c r="E2422" s="7" t="s">
        <v>820</v>
      </c>
      <c r="F2422" s="7" t="s">
        <v>821</v>
      </c>
    </row>
    <row r="2423" spans="1:13" ht="18" customHeight="1">
      <c r="A2423" s="7">
        <v>1</v>
      </c>
      <c r="B2423" s="52" t="s">
        <v>822</v>
      </c>
      <c r="C2423" s="7"/>
      <c r="D2423" s="7"/>
      <c r="E2423" s="7"/>
      <c r="F2423" s="53">
        <f>F2424+F2442+F2443</f>
        <v>19132.031950657296</v>
      </c>
    </row>
    <row r="2424" spans="1:13" ht="18" customHeight="1">
      <c r="A2424" s="7">
        <v>1.1000000000000001</v>
      </c>
      <c r="B2424" s="52" t="s">
        <v>823</v>
      </c>
      <c r="C2424" s="7"/>
      <c r="D2424" s="7"/>
      <c r="E2424" s="7"/>
      <c r="F2424" s="53">
        <f>F2425+F2428+F2436+F2441</f>
        <v>18255.755678108108</v>
      </c>
    </row>
    <row r="2425" spans="1:13" ht="18" customHeight="1">
      <c r="A2425" s="7" t="s">
        <v>47</v>
      </c>
      <c r="B2425" s="52" t="s">
        <v>176</v>
      </c>
      <c r="C2425" s="7"/>
      <c r="D2425" s="7"/>
      <c r="E2425" s="7"/>
      <c r="F2425" s="53">
        <f>F2426+F2427</f>
        <v>1606.86</v>
      </c>
    </row>
    <row r="2426" spans="1:13" ht="18" customHeight="1">
      <c r="A2426" s="7"/>
      <c r="B2426" s="52" t="s">
        <v>824</v>
      </c>
      <c r="C2426" s="7" t="s">
        <v>825</v>
      </c>
      <c r="D2426" s="7">
        <v>8.1</v>
      </c>
      <c r="E2426" s="7">
        <f>137.3-5*8.3</f>
        <v>95.8</v>
      </c>
      <c r="F2426" s="53">
        <f>D2426*E2426</f>
        <v>775.98</v>
      </c>
    </row>
    <row r="2427" spans="1:13" ht="18" customHeight="1">
      <c r="A2427" s="7"/>
      <c r="B2427" s="52" t="s">
        <v>826</v>
      </c>
      <c r="C2427" s="7" t="s">
        <v>825</v>
      </c>
      <c r="D2427" s="7">
        <v>5.77</v>
      </c>
      <c r="E2427" s="7">
        <f>206-5*12.4</f>
        <v>144</v>
      </c>
      <c r="F2427" s="53">
        <f>D2427*E2427</f>
        <v>830.88</v>
      </c>
    </row>
    <row r="2428" spans="1:13" ht="18" customHeight="1">
      <c r="A2428" s="7" t="s">
        <v>57</v>
      </c>
      <c r="B2428" s="52" t="s">
        <v>177</v>
      </c>
      <c r="C2428" s="7"/>
      <c r="D2428" s="7"/>
      <c r="E2428" s="7"/>
      <c r="F2428" s="53">
        <f>SUM(F2429:F2435)</f>
        <v>16273.4625</v>
      </c>
    </row>
    <row r="2429" spans="1:13" ht="18" customHeight="1">
      <c r="A2429" s="7"/>
      <c r="B2429" s="52" t="s">
        <v>870</v>
      </c>
      <c r="C2429" s="7" t="s">
        <v>871</v>
      </c>
      <c r="D2429" s="7">
        <f>材料预算价格表!L8</f>
        <v>1874.0778</v>
      </c>
      <c r="E2429" s="7">
        <v>0</v>
      </c>
      <c r="F2429" s="53">
        <f t="shared" ref="F2429:F2434" si="176">D2429*E2429</f>
        <v>0</v>
      </c>
    </row>
    <row r="2430" spans="1:13" ht="18" customHeight="1">
      <c r="A2430" s="7"/>
      <c r="B2430" s="52" t="s">
        <v>507</v>
      </c>
      <c r="C2430" s="7" t="s">
        <v>871</v>
      </c>
      <c r="D2430" s="7">
        <f>材料预算价格表!L9</f>
        <v>70</v>
      </c>
      <c r="E2430" s="7">
        <f>99-5*4.95</f>
        <v>74.25</v>
      </c>
      <c r="F2430" s="53">
        <f t="shared" si="176"/>
        <v>5197.5</v>
      </c>
    </row>
    <row r="2431" spans="1:13" ht="18" customHeight="1">
      <c r="A2431" s="7"/>
      <c r="B2431" s="52" t="s">
        <v>509</v>
      </c>
      <c r="C2431" s="7" t="s">
        <v>871</v>
      </c>
      <c r="D2431" s="7">
        <f>材料预算价格表!L10</f>
        <v>70</v>
      </c>
      <c r="E2431" s="7">
        <f>188-5*9.4</f>
        <v>141</v>
      </c>
      <c r="F2431" s="53">
        <f t="shared" si="176"/>
        <v>9870</v>
      </c>
    </row>
    <row r="2432" spans="1:13" ht="18" customHeight="1">
      <c r="A2432" s="7"/>
      <c r="B2432" s="52" t="s">
        <v>1022</v>
      </c>
      <c r="C2432" s="7" t="s">
        <v>88</v>
      </c>
      <c r="D2432" s="7">
        <v>120</v>
      </c>
      <c r="E2432" s="7">
        <v>0</v>
      </c>
      <c r="F2432" s="53">
        <f t="shared" si="176"/>
        <v>0</v>
      </c>
    </row>
    <row r="2433" spans="1:6" ht="18" customHeight="1">
      <c r="A2433" s="7"/>
      <c r="B2433" s="52" t="s">
        <v>1023</v>
      </c>
      <c r="C2433" s="7" t="s">
        <v>88</v>
      </c>
      <c r="D2433" s="7">
        <v>5000</v>
      </c>
      <c r="E2433" s="7">
        <v>0</v>
      </c>
      <c r="F2433" s="53">
        <f t="shared" si="176"/>
        <v>0</v>
      </c>
    </row>
    <row r="2434" spans="1:6" ht="18" customHeight="1">
      <c r="A2434" s="7"/>
      <c r="B2434" s="52" t="s">
        <v>1007</v>
      </c>
      <c r="C2434" s="7" t="s">
        <v>871</v>
      </c>
      <c r="D2434" s="7">
        <v>30</v>
      </c>
      <c r="E2434" s="7">
        <f>50-5*2.5</f>
        <v>37.5</v>
      </c>
      <c r="F2434" s="53">
        <f t="shared" si="176"/>
        <v>1125</v>
      </c>
    </row>
    <row r="2435" spans="1:6" ht="18" customHeight="1">
      <c r="A2435" s="7"/>
      <c r="B2435" s="52" t="s">
        <v>833</v>
      </c>
      <c r="C2435" s="7" t="s">
        <v>834</v>
      </c>
      <c r="D2435" s="7">
        <f>F2434+F2433+F2432+F2431+F2430+F2429</f>
        <v>16192.5</v>
      </c>
      <c r="E2435" s="7">
        <v>0.5</v>
      </c>
      <c r="F2435" s="53">
        <f>D2435*E2435/100</f>
        <v>80.962500000000006</v>
      </c>
    </row>
    <row r="2436" spans="1:6" ht="18" customHeight="1">
      <c r="A2436" s="7" t="s">
        <v>835</v>
      </c>
      <c r="B2436" s="52" t="s">
        <v>836</v>
      </c>
      <c r="C2436" s="7"/>
      <c r="D2436" s="7"/>
      <c r="E2436" s="7"/>
      <c r="F2436" s="53">
        <f>SUM(F2437:F2440)</f>
        <v>375.43317810810834</v>
      </c>
    </row>
    <row r="2437" spans="1:6" ht="18" customHeight="1">
      <c r="A2437" s="7"/>
      <c r="B2437" s="52" t="s">
        <v>1025</v>
      </c>
      <c r="C2437" s="7" t="s">
        <v>863</v>
      </c>
      <c r="D2437" s="66">
        <f>施工机械台时汇总!$C$46</f>
        <v>72.878685468076796</v>
      </c>
      <c r="E2437" s="7">
        <v>0</v>
      </c>
      <c r="F2437" s="53">
        <f>D2437*E2437</f>
        <v>0</v>
      </c>
    </row>
    <row r="2438" spans="1:6" ht="18" customHeight="1">
      <c r="A2438" s="7"/>
      <c r="B2438" s="52" t="s">
        <v>882</v>
      </c>
      <c r="C2438" s="7" t="s">
        <v>863</v>
      </c>
      <c r="D2438" s="66">
        <f>施工机械台时汇总!$C$21</f>
        <v>28.129680376028197</v>
      </c>
      <c r="E2438" s="7">
        <v>0</v>
      </c>
      <c r="F2438" s="53">
        <f>D2438*E2438</f>
        <v>0</v>
      </c>
    </row>
    <row r="2439" spans="1:6" ht="18" customHeight="1">
      <c r="A2439" s="7"/>
      <c r="B2439" s="52" t="s">
        <v>1026</v>
      </c>
      <c r="C2439" s="7" t="s">
        <v>863</v>
      </c>
      <c r="D2439" s="66">
        <f>施工机械台时汇总!$C$96</f>
        <v>63.242567567567605</v>
      </c>
      <c r="E2439" s="7">
        <f>6.57-5*0.15</f>
        <v>5.82</v>
      </c>
      <c r="F2439" s="53">
        <f>D2439*E2439</f>
        <v>368.07174324324347</v>
      </c>
    </row>
    <row r="2440" spans="1:6" ht="18" customHeight="1">
      <c r="A2440" s="7"/>
      <c r="B2440" s="52" t="s">
        <v>840</v>
      </c>
      <c r="C2440" s="7" t="s">
        <v>834</v>
      </c>
      <c r="D2440" s="66">
        <f>SUM(F2437:F2439)</f>
        <v>368.07174324324347</v>
      </c>
      <c r="E2440" s="7">
        <v>2</v>
      </c>
      <c r="F2440" s="53">
        <f>D2440*E2440/100</f>
        <v>7.3614348648648695</v>
      </c>
    </row>
    <row r="2441" spans="1:6" ht="18" customHeight="1">
      <c r="A2441" s="7"/>
      <c r="B2441" s="52"/>
      <c r="C2441" s="7"/>
      <c r="D2441" s="7"/>
      <c r="E2441" s="7"/>
      <c r="F2441" s="53"/>
    </row>
    <row r="2442" spans="1:6" ht="18" customHeight="1">
      <c r="A2442" s="7">
        <v>1.2</v>
      </c>
      <c r="B2442" s="52" t="s">
        <v>841</v>
      </c>
      <c r="C2442" s="7"/>
      <c r="D2442" s="53">
        <f>F2424</f>
        <v>18255.755678108108</v>
      </c>
      <c r="E2442" s="56">
        <f>E2365</f>
        <v>4.8000000000000001E-2</v>
      </c>
      <c r="F2442" s="53">
        <f>D2442*E2442</f>
        <v>876.27627254918923</v>
      </c>
    </row>
    <row r="2443" spans="1:6" ht="18" customHeight="1">
      <c r="A2443" s="7">
        <v>1.3</v>
      </c>
      <c r="B2443" s="52" t="s">
        <v>842</v>
      </c>
      <c r="C2443" s="7"/>
      <c r="D2443" s="53">
        <f>F2424</f>
        <v>18255.755678108108</v>
      </c>
      <c r="E2443" s="56">
        <f>E2366</f>
        <v>0</v>
      </c>
      <c r="F2443" s="53">
        <f>D2443*E2443</f>
        <v>0</v>
      </c>
    </row>
    <row r="2444" spans="1:6" ht="18" customHeight="1">
      <c r="A2444" s="7">
        <v>2</v>
      </c>
      <c r="B2444" s="52" t="s">
        <v>182</v>
      </c>
      <c r="C2444" s="7"/>
      <c r="D2444" s="53">
        <f>F2423</f>
        <v>19132.031950657296</v>
      </c>
      <c r="E2444" s="56">
        <f>E2367</f>
        <v>7.2499999999999995E-2</v>
      </c>
      <c r="F2444" s="53">
        <f>D2444*E2444</f>
        <v>1387.0723164226538</v>
      </c>
    </row>
    <row r="2445" spans="1:6" ht="18" customHeight="1">
      <c r="A2445" s="7">
        <v>3</v>
      </c>
      <c r="B2445" s="52" t="s">
        <v>843</v>
      </c>
      <c r="C2445" s="7"/>
      <c r="D2445" s="53">
        <f>F2444+F2423</f>
        <v>20519.104267079951</v>
      </c>
      <c r="E2445" s="56">
        <f>E2368</f>
        <v>7.0000000000000007E-2</v>
      </c>
      <c r="F2445" s="53">
        <f>D2445*E2445</f>
        <v>1436.3372986955967</v>
      </c>
    </row>
    <row r="2446" spans="1:6" ht="18" customHeight="1">
      <c r="A2446" s="7">
        <v>4</v>
      </c>
      <c r="B2446" s="52" t="s">
        <v>184</v>
      </c>
      <c r="C2446" s="7"/>
      <c r="D2446" s="7"/>
      <c r="E2446" s="7"/>
      <c r="F2446" s="53">
        <f>SUM(F2447:F2452)</f>
        <v>1359.426458699998</v>
      </c>
    </row>
    <row r="2447" spans="1:6" ht="18" customHeight="1">
      <c r="A2447" s="7"/>
      <c r="B2447" s="52" t="s">
        <v>354</v>
      </c>
      <c r="C2447" s="7" t="s">
        <v>88</v>
      </c>
      <c r="D2447" s="7">
        <f>A2</f>
        <v>116.41515</v>
      </c>
      <c r="E2447" s="7">
        <v>0</v>
      </c>
      <c r="F2447" s="53">
        <f t="shared" ref="F2447:F2453" si="177">D2447*E2447</f>
        <v>0</v>
      </c>
    </row>
    <row r="2448" spans="1:6" ht="18" customHeight="1">
      <c r="A2448" s="7"/>
      <c r="B2448" s="52" t="s">
        <v>507</v>
      </c>
      <c r="C2448" s="7" t="s">
        <v>871</v>
      </c>
      <c r="D2448" s="66">
        <f>D2</f>
        <v>4.6598683999999899</v>
      </c>
      <c r="E2448" s="7">
        <f>E2430</f>
        <v>74.25</v>
      </c>
      <c r="F2448" s="53">
        <f t="shared" si="177"/>
        <v>345.99522869999925</v>
      </c>
    </row>
    <row r="2449" spans="1:6" ht="18" customHeight="1">
      <c r="A2449" s="7"/>
      <c r="B2449" s="52" t="s">
        <v>509</v>
      </c>
      <c r="C2449" s="7" t="s">
        <v>871</v>
      </c>
      <c r="D2449" s="66">
        <f>E2</f>
        <v>6.2457299999999902</v>
      </c>
      <c r="E2449" s="7">
        <f>E2431</f>
        <v>141</v>
      </c>
      <c r="F2449" s="53">
        <f t="shared" si="177"/>
        <v>880.64792999999861</v>
      </c>
    </row>
    <row r="2450" spans="1:6" ht="18" customHeight="1">
      <c r="A2450" s="7"/>
      <c r="B2450" s="52" t="s">
        <v>506</v>
      </c>
      <c r="C2450" s="7" t="s">
        <v>871</v>
      </c>
      <c r="D2450" s="7">
        <f>C2</f>
        <v>0</v>
      </c>
      <c r="E2450" s="7">
        <f>E2429</f>
        <v>0</v>
      </c>
      <c r="F2450" s="53">
        <f t="shared" si="177"/>
        <v>0</v>
      </c>
    </row>
    <row r="2451" spans="1:6" ht="18" customHeight="1">
      <c r="A2451" s="7"/>
      <c r="B2451" s="52" t="s">
        <v>515</v>
      </c>
      <c r="C2451" s="7" t="s">
        <v>844</v>
      </c>
      <c r="D2451" s="7">
        <f>G2</f>
        <v>4.7450000000000001</v>
      </c>
      <c r="E2451" s="7">
        <v>0</v>
      </c>
      <c r="F2451" s="53">
        <f t="shared" si="177"/>
        <v>0</v>
      </c>
    </row>
    <row r="2452" spans="1:6" ht="18" customHeight="1">
      <c r="A2452" s="7"/>
      <c r="B2452" s="52" t="s">
        <v>516</v>
      </c>
      <c r="C2452" s="7" t="s">
        <v>844</v>
      </c>
      <c r="D2452" s="7">
        <f>H2</f>
        <v>3.51</v>
      </c>
      <c r="E2452" s="7">
        <f>E2437*台时!AO22+E2439*台时!CS22</f>
        <v>37.83</v>
      </c>
      <c r="F2452" s="53">
        <f t="shared" si="177"/>
        <v>132.7833</v>
      </c>
    </row>
    <row r="2453" spans="1:6" ht="18" customHeight="1">
      <c r="A2453" s="7">
        <v>5</v>
      </c>
      <c r="B2453" s="52" t="s">
        <v>845</v>
      </c>
      <c r="C2453" s="7"/>
      <c r="D2453" s="66">
        <f>F2423+F2444+F2445+F2446</f>
        <v>23314.868024475545</v>
      </c>
      <c r="E2453" s="56">
        <f>E2376</f>
        <v>0.09</v>
      </c>
      <c r="F2453" s="53">
        <f t="shared" si="177"/>
        <v>2098.3381222027988</v>
      </c>
    </row>
    <row r="2454" spans="1:6" ht="18" customHeight="1">
      <c r="A2454" s="7">
        <v>6</v>
      </c>
      <c r="B2454" s="52" t="s">
        <v>7</v>
      </c>
      <c r="C2454" s="7"/>
      <c r="D2454" s="7"/>
      <c r="E2454" s="7"/>
      <c r="F2454" s="53">
        <f>D2453+F2453</f>
        <v>25413.206146678345</v>
      </c>
    </row>
    <row r="2455" spans="1:6" ht="18" customHeight="1">
      <c r="A2455" s="7"/>
      <c r="B2455" s="52" t="s">
        <v>846</v>
      </c>
      <c r="C2455" s="7"/>
      <c r="D2455" s="53">
        <f>F2454</f>
        <v>25413.206146678345</v>
      </c>
      <c r="E2455" s="56">
        <f>E2378</f>
        <v>0.03</v>
      </c>
      <c r="F2455" s="53">
        <f>E2455*D2455</f>
        <v>762.39618440035031</v>
      </c>
    </row>
    <row r="2456" spans="1:6" ht="18" customHeight="1">
      <c r="A2456" s="7"/>
      <c r="B2456" s="52" t="s">
        <v>44</v>
      </c>
      <c r="C2456" s="52"/>
      <c r="D2456" s="7"/>
      <c r="E2456" s="7"/>
      <c r="F2456" s="53">
        <f>SUM(F2454:F2455)</f>
        <v>26175.602331078695</v>
      </c>
    </row>
    <row r="2457" spans="1:6" ht="20.25" customHeight="1">
      <c r="A2457" s="461" t="s">
        <v>813</v>
      </c>
      <c r="B2457" s="461"/>
      <c r="C2457" s="461"/>
      <c r="D2457" s="461"/>
      <c r="E2457" s="461"/>
      <c r="F2457" s="461"/>
    </row>
    <row r="2458" spans="1:6" ht="18" customHeight="1">
      <c r="A2458" s="462" t="s">
        <v>1032</v>
      </c>
      <c r="B2458" s="462"/>
      <c r="C2458" s="462"/>
      <c r="D2458" s="462"/>
      <c r="E2458" s="462"/>
      <c r="F2458" s="462"/>
    </row>
    <row r="2459" spans="1:6" ht="18" customHeight="1">
      <c r="A2459" s="47" t="s">
        <v>815</v>
      </c>
      <c r="B2459" s="49">
        <v>10018</v>
      </c>
      <c r="D2459" s="46"/>
      <c r="E2459" s="47" t="s">
        <v>169</v>
      </c>
      <c r="F2459" s="49" t="s">
        <v>1020</v>
      </c>
    </row>
    <row r="2460" spans="1:6" ht="18" customHeight="1">
      <c r="A2460" s="50" t="s">
        <v>817</v>
      </c>
      <c r="B2460" s="484" t="s">
        <v>1031</v>
      </c>
      <c r="C2460" s="485"/>
      <c r="D2460" s="485"/>
      <c r="E2460" s="485"/>
      <c r="F2460" s="486"/>
    </row>
    <row r="2461" spans="1:6" ht="18" customHeight="1">
      <c r="A2461" s="7" t="s">
        <v>1</v>
      </c>
      <c r="B2461" s="52" t="s">
        <v>344</v>
      </c>
      <c r="C2461" s="7" t="s">
        <v>818</v>
      </c>
      <c r="D2461" s="7" t="s">
        <v>819</v>
      </c>
      <c r="E2461" s="7" t="s">
        <v>820</v>
      </c>
      <c r="F2461" s="7" t="s">
        <v>821</v>
      </c>
    </row>
    <row r="2462" spans="1:6" ht="18" customHeight="1">
      <c r="A2462" s="7">
        <v>1</v>
      </c>
      <c r="B2462" s="52" t="s">
        <v>822</v>
      </c>
      <c r="C2462" s="7"/>
      <c r="D2462" s="7"/>
      <c r="E2462" s="7"/>
      <c r="F2462" s="53">
        <f>F2463+F2481+F2482</f>
        <v>18295.836430270268</v>
      </c>
    </row>
    <row r="2463" spans="1:6" ht="18" customHeight="1">
      <c r="A2463" s="7">
        <v>1.1000000000000001</v>
      </c>
      <c r="B2463" s="52" t="s">
        <v>823</v>
      </c>
      <c r="C2463" s="7"/>
      <c r="D2463" s="7"/>
      <c r="E2463" s="7"/>
      <c r="F2463" s="53">
        <f>F2464+F2467+F2475+F2480</f>
        <v>17457.859189189188</v>
      </c>
    </row>
    <row r="2464" spans="1:6" ht="18" customHeight="1">
      <c r="A2464" s="7" t="s">
        <v>47</v>
      </c>
      <c r="B2464" s="52" t="s">
        <v>176</v>
      </c>
      <c r="C2464" s="7"/>
      <c r="D2464" s="7"/>
      <c r="E2464" s="7"/>
      <c r="F2464" s="53">
        <f>F2465+F2466</f>
        <v>2416.16</v>
      </c>
    </row>
    <row r="2465" spans="1:6" ht="18" customHeight="1">
      <c r="A2465" s="7"/>
      <c r="B2465" s="52" t="s">
        <v>824</v>
      </c>
      <c r="C2465" s="7" t="s">
        <v>825</v>
      </c>
      <c r="D2465" s="7">
        <v>8.1</v>
      </c>
      <c r="E2465" s="7">
        <f>188-5*9</f>
        <v>143</v>
      </c>
      <c r="F2465" s="53">
        <f>D2465*E2465</f>
        <v>1158.3</v>
      </c>
    </row>
    <row r="2466" spans="1:6" ht="18" customHeight="1">
      <c r="A2466" s="7"/>
      <c r="B2466" s="52" t="s">
        <v>826</v>
      </c>
      <c r="C2466" s="7" t="s">
        <v>825</v>
      </c>
      <c r="D2466" s="7">
        <v>5.77</v>
      </c>
      <c r="E2466" s="7">
        <f>283-5*13</f>
        <v>218</v>
      </c>
      <c r="F2466" s="53">
        <f>D2466*E2466</f>
        <v>1257.8599999999999</v>
      </c>
    </row>
    <row r="2467" spans="1:6" ht="18" customHeight="1">
      <c r="A2467" s="7" t="s">
        <v>57</v>
      </c>
      <c r="B2467" s="52" t="s">
        <v>177</v>
      </c>
      <c r="C2467" s="7"/>
      <c r="D2467" s="7"/>
      <c r="E2467" s="7"/>
      <c r="F2467" s="53">
        <f>SUM(F2468:F2474)</f>
        <v>14396.625</v>
      </c>
    </row>
    <row r="2468" spans="1:6" ht="18" customHeight="1">
      <c r="A2468" s="7"/>
      <c r="B2468" s="52" t="s">
        <v>870</v>
      </c>
      <c r="C2468" s="7" t="s">
        <v>871</v>
      </c>
      <c r="D2468" s="7">
        <f>材料预算价格表!L8</f>
        <v>1874.0778</v>
      </c>
      <c r="E2468" s="7">
        <v>0</v>
      </c>
      <c r="F2468" s="53">
        <f t="shared" ref="F2468:F2473" si="178">D2468*E2468</f>
        <v>0</v>
      </c>
    </row>
    <row r="2469" spans="1:6" ht="18" customHeight="1">
      <c r="A2469" s="7"/>
      <c r="B2469" s="52" t="s">
        <v>507</v>
      </c>
      <c r="C2469" s="7" t="s">
        <v>871</v>
      </c>
      <c r="D2469" s="7">
        <f>材料预算价格表!L9</f>
        <v>70</v>
      </c>
      <c r="E2469" s="7">
        <v>0</v>
      </c>
      <c r="F2469" s="53">
        <f t="shared" si="178"/>
        <v>0</v>
      </c>
    </row>
    <row r="2470" spans="1:6" ht="18" customHeight="1">
      <c r="A2470" s="7"/>
      <c r="B2470" s="52" t="s">
        <v>509</v>
      </c>
      <c r="C2470" s="7" t="s">
        <v>871</v>
      </c>
      <c r="D2470" s="7">
        <f>材料预算价格表!L10</f>
        <v>70</v>
      </c>
      <c r="E2470" s="7">
        <f>234-5*12</f>
        <v>174</v>
      </c>
      <c r="F2470" s="53">
        <f t="shared" si="178"/>
        <v>12180</v>
      </c>
    </row>
    <row r="2471" spans="1:6" ht="18" customHeight="1">
      <c r="A2471" s="7"/>
      <c r="B2471" s="52" t="s">
        <v>1022</v>
      </c>
      <c r="C2471" s="7" t="s">
        <v>88</v>
      </c>
      <c r="D2471" s="7">
        <v>120</v>
      </c>
      <c r="E2471" s="7">
        <v>0</v>
      </c>
      <c r="F2471" s="53">
        <f t="shared" si="178"/>
        <v>0</v>
      </c>
    </row>
    <row r="2472" spans="1:6" ht="18" customHeight="1">
      <c r="A2472" s="7"/>
      <c r="B2472" s="52" t="s">
        <v>1024</v>
      </c>
      <c r="C2472" s="7" t="s">
        <v>871</v>
      </c>
      <c r="D2472" s="7">
        <v>45</v>
      </c>
      <c r="E2472" s="7">
        <f>23-5*1.2</f>
        <v>17</v>
      </c>
      <c r="F2472" s="53">
        <f t="shared" si="178"/>
        <v>765</v>
      </c>
    </row>
    <row r="2473" spans="1:6" ht="18" customHeight="1">
      <c r="A2473" s="7"/>
      <c r="B2473" s="52" t="s">
        <v>1007</v>
      </c>
      <c r="C2473" s="7" t="s">
        <v>871</v>
      </c>
      <c r="D2473" s="7">
        <v>30</v>
      </c>
      <c r="E2473" s="7">
        <f>59-5*2.6</f>
        <v>46</v>
      </c>
      <c r="F2473" s="53">
        <f t="shared" si="178"/>
        <v>1380</v>
      </c>
    </row>
    <row r="2474" spans="1:6" ht="18" customHeight="1">
      <c r="A2474" s="7"/>
      <c r="B2474" s="52" t="s">
        <v>833</v>
      </c>
      <c r="C2474" s="7" t="s">
        <v>834</v>
      </c>
      <c r="D2474" s="7">
        <f>F2473+F2472+F2471+F2470+F2469+F2468</f>
        <v>14325</v>
      </c>
      <c r="E2474" s="7">
        <v>0.5</v>
      </c>
      <c r="F2474" s="53">
        <f>D2474*E2474/100</f>
        <v>71.625</v>
      </c>
    </row>
    <row r="2475" spans="1:6" ht="18" customHeight="1">
      <c r="A2475" s="7" t="s">
        <v>835</v>
      </c>
      <c r="B2475" s="52" t="s">
        <v>836</v>
      </c>
      <c r="C2475" s="7"/>
      <c r="D2475" s="7"/>
      <c r="E2475" s="7"/>
      <c r="F2475" s="53">
        <f>SUM(F2476:F2479)</f>
        <v>645.07418918918961</v>
      </c>
    </row>
    <row r="2476" spans="1:6" ht="18" customHeight="1">
      <c r="A2476" s="7"/>
      <c r="B2476" s="52" t="s">
        <v>1025</v>
      </c>
      <c r="C2476" s="7" t="s">
        <v>863</v>
      </c>
      <c r="D2476" s="66">
        <f>施工机械台时汇总!$C$46</f>
        <v>72.878685468076796</v>
      </c>
      <c r="E2476" s="7">
        <v>0</v>
      </c>
      <c r="F2476" s="53">
        <f>D2476*E2476</f>
        <v>0</v>
      </c>
    </row>
    <row r="2477" spans="1:6" ht="18" customHeight="1">
      <c r="A2477" s="7"/>
      <c r="B2477" s="52" t="s">
        <v>882</v>
      </c>
      <c r="C2477" s="7" t="s">
        <v>863</v>
      </c>
      <c r="D2477" s="66">
        <f>施工机械台时汇总!$C$21</f>
        <v>28.129680376028197</v>
      </c>
      <c r="E2477" s="7">
        <v>0</v>
      </c>
      <c r="F2477" s="53">
        <f>D2477*E2477</f>
        <v>0</v>
      </c>
    </row>
    <row r="2478" spans="1:6" ht="18" customHeight="1">
      <c r="A2478" s="7"/>
      <c r="B2478" s="52" t="s">
        <v>1026</v>
      </c>
      <c r="C2478" s="7" t="s">
        <v>863</v>
      </c>
      <c r="D2478" s="66">
        <f>施工机械台时汇总!$C$96</f>
        <v>63.242567567567605</v>
      </c>
      <c r="E2478" s="7">
        <v>10</v>
      </c>
      <c r="F2478" s="53">
        <f>D2478*E2478</f>
        <v>632.42567567567608</v>
      </c>
    </row>
    <row r="2479" spans="1:6" ht="18" customHeight="1">
      <c r="A2479" s="7"/>
      <c r="B2479" s="52" t="s">
        <v>840</v>
      </c>
      <c r="C2479" s="7" t="s">
        <v>834</v>
      </c>
      <c r="D2479" s="66">
        <f>SUM(F2476:F2478)</f>
        <v>632.42567567567608</v>
      </c>
      <c r="E2479" s="7">
        <v>2</v>
      </c>
      <c r="F2479" s="53">
        <f>D2479*E2479/100</f>
        <v>12.648513513513521</v>
      </c>
    </row>
    <row r="2480" spans="1:6" ht="18" customHeight="1">
      <c r="A2480" s="7"/>
      <c r="B2480" s="52"/>
      <c r="C2480" s="7"/>
      <c r="D2480" s="7"/>
      <c r="E2480" s="7"/>
      <c r="F2480" s="53"/>
    </row>
    <row r="2481" spans="1:6" ht="18" customHeight="1">
      <c r="A2481" s="7">
        <v>1.2</v>
      </c>
      <c r="B2481" s="52" t="s">
        <v>841</v>
      </c>
      <c r="C2481" s="7"/>
      <c r="D2481" s="53">
        <f>F2463</f>
        <v>17457.859189189188</v>
      </c>
      <c r="E2481" s="56">
        <f>E2365</f>
        <v>4.8000000000000001E-2</v>
      </c>
      <c r="F2481" s="53">
        <f>D2481*E2481</f>
        <v>837.97724108108105</v>
      </c>
    </row>
    <row r="2482" spans="1:6" ht="18" customHeight="1">
      <c r="A2482" s="7">
        <v>1.3</v>
      </c>
      <c r="B2482" s="52" t="s">
        <v>842</v>
      </c>
      <c r="C2482" s="7"/>
      <c r="D2482" s="53">
        <f>F2463</f>
        <v>17457.859189189188</v>
      </c>
      <c r="E2482" s="56">
        <f>E2366</f>
        <v>0</v>
      </c>
      <c r="F2482" s="53">
        <f>D2482*E2482</f>
        <v>0</v>
      </c>
    </row>
    <row r="2483" spans="1:6" ht="18" customHeight="1">
      <c r="A2483" s="7">
        <v>2</v>
      </c>
      <c r="B2483" s="52" t="s">
        <v>182</v>
      </c>
      <c r="C2483" s="7"/>
      <c r="D2483" s="53">
        <f>F2462</f>
        <v>18295.836430270268</v>
      </c>
      <c r="E2483" s="56">
        <f>E2367</f>
        <v>7.2499999999999995E-2</v>
      </c>
      <c r="F2483" s="53">
        <f>D2483*E2483</f>
        <v>1326.4481411945944</v>
      </c>
    </row>
    <row r="2484" spans="1:6" ht="18" customHeight="1">
      <c r="A2484" s="7">
        <v>3</v>
      </c>
      <c r="B2484" s="52" t="s">
        <v>843</v>
      </c>
      <c r="C2484" s="7"/>
      <c r="D2484" s="53">
        <f>F2483+F2462</f>
        <v>19622.284571464865</v>
      </c>
      <c r="E2484" s="56">
        <f>E2368</f>
        <v>7.0000000000000007E-2</v>
      </c>
      <c r="F2484" s="53">
        <f>D2484*E2484</f>
        <v>1373.5599200025406</v>
      </c>
    </row>
    <row r="2485" spans="1:6" ht="18" customHeight="1">
      <c r="A2485" s="7">
        <v>4</v>
      </c>
      <c r="B2485" s="52" t="s">
        <v>184</v>
      </c>
      <c r="C2485" s="7"/>
      <c r="D2485" s="7"/>
      <c r="E2485" s="7"/>
      <c r="F2485" s="53">
        <f>SUM(F2486:F2491)</f>
        <v>1314.9070199999983</v>
      </c>
    </row>
    <row r="2486" spans="1:6" ht="18" customHeight="1">
      <c r="A2486" s="7"/>
      <c r="B2486" s="52" t="s">
        <v>354</v>
      </c>
      <c r="C2486" s="7" t="s">
        <v>88</v>
      </c>
      <c r="D2486" s="7">
        <f>A2</f>
        <v>116.41515</v>
      </c>
      <c r="E2486" s="7">
        <v>0</v>
      </c>
      <c r="F2486" s="53">
        <f t="shared" ref="F2486:F2492" si="179">D2486*E2486</f>
        <v>0</v>
      </c>
    </row>
    <row r="2487" spans="1:6" ht="18" customHeight="1">
      <c r="A2487" s="7"/>
      <c r="B2487" s="52" t="s">
        <v>507</v>
      </c>
      <c r="C2487" s="7" t="s">
        <v>871</v>
      </c>
      <c r="D2487" s="66">
        <f>D2</f>
        <v>4.6598683999999899</v>
      </c>
      <c r="E2487" s="7">
        <f>E2469</f>
        <v>0</v>
      </c>
      <c r="F2487" s="53">
        <f t="shared" si="179"/>
        <v>0</v>
      </c>
    </row>
    <row r="2488" spans="1:6" ht="18" customHeight="1">
      <c r="A2488" s="7"/>
      <c r="B2488" s="52" t="s">
        <v>509</v>
      </c>
      <c r="C2488" s="7" t="s">
        <v>871</v>
      </c>
      <c r="D2488" s="66">
        <f>E2</f>
        <v>6.2457299999999902</v>
      </c>
      <c r="E2488" s="7">
        <f>E2470</f>
        <v>174</v>
      </c>
      <c r="F2488" s="53">
        <f t="shared" si="179"/>
        <v>1086.7570199999982</v>
      </c>
    </row>
    <row r="2489" spans="1:6" ht="18" customHeight="1">
      <c r="A2489" s="7"/>
      <c r="B2489" s="52" t="s">
        <v>506</v>
      </c>
      <c r="C2489" s="7" t="s">
        <v>871</v>
      </c>
      <c r="D2489" s="7">
        <f>C2</f>
        <v>0</v>
      </c>
      <c r="E2489" s="7">
        <f>E2468</f>
        <v>0</v>
      </c>
      <c r="F2489" s="53">
        <f t="shared" si="179"/>
        <v>0</v>
      </c>
    </row>
    <row r="2490" spans="1:6" ht="18" customHeight="1">
      <c r="A2490" s="7"/>
      <c r="B2490" s="52" t="s">
        <v>515</v>
      </c>
      <c r="C2490" s="7" t="s">
        <v>844</v>
      </c>
      <c r="D2490" s="7">
        <f>G2</f>
        <v>4.7450000000000001</v>
      </c>
      <c r="E2490" s="7">
        <v>0</v>
      </c>
      <c r="F2490" s="53">
        <f t="shared" si="179"/>
        <v>0</v>
      </c>
    </row>
    <row r="2491" spans="1:6" ht="18" customHeight="1">
      <c r="A2491" s="7"/>
      <c r="B2491" s="52" t="s">
        <v>516</v>
      </c>
      <c r="C2491" s="7" t="s">
        <v>844</v>
      </c>
      <c r="D2491" s="7">
        <f>H2</f>
        <v>3.51</v>
      </c>
      <c r="E2491" s="7">
        <f>E2476*台时!AO22+E2478*台时!CS22</f>
        <v>65</v>
      </c>
      <c r="F2491" s="53">
        <f t="shared" si="179"/>
        <v>228.14999999999998</v>
      </c>
    </row>
    <row r="2492" spans="1:6" ht="18" customHeight="1">
      <c r="A2492" s="7">
        <v>5</v>
      </c>
      <c r="B2492" s="52" t="s">
        <v>845</v>
      </c>
      <c r="C2492" s="7"/>
      <c r="D2492" s="66">
        <f>F2462+F2483+F2484+F2485</f>
        <v>22310.751511467402</v>
      </c>
      <c r="E2492" s="56">
        <f>E2376</f>
        <v>0.09</v>
      </c>
      <c r="F2492" s="53">
        <f t="shared" si="179"/>
        <v>2007.9676360320661</v>
      </c>
    </row>
    <row r="2493" spans="1:6" ht="18" customHeight="1">
      <c r="A2493" s="7">
        <v>6</v>
      </c>
      <c r="B2493" s="52" t="s">
        <v>7</v>
      </c>
      <c r="C2493" s="7"/>
      <c r="D2493" s="7"/>
      <c r="E2493" s="7"/>
      <c r="F2493" s="53">
        <f>D2492+F2492</f>
        <v>24318.719147499469</v>
      </c>
    </row>
    <row r="2494" spans="1:6" ht="18" customHeight="1">
      <c r="A2494" s="7"/>
      <c r="B2494" s="52" t="s">
        <v>846</v>
      </c>
      <c r="C2494" s="7"/>
      <c r="D2494" s="53">
        <f>F2493</f>
        <v>24318.719147499469</v>
      </c>
      <c r="E2494" s="56">
        <f>E2378</f>
        <v>0.03</v>
      </c>
      <c r="F2494" s="53">
        <f>E2494*D2494</f>
        <v>729.56157442498409</v>
      </c>
    </row>
    <row r="2495" spans="1:6" ht="18" customHeight="1">
      <c r="A2495" s="7"/>
      <c r="B2495" s="52" t="s">
        <v>44</v>
      </c>
      <c r="C2495" s="52"/>
      <c r="D2495" s="7"/>
      <c r="E2495" s="7"/>
      <c r="F2495" s="53">
        <f>SUM(F2493:F2494)</f>
        <v>25048.280721924453</v>
      </c>
    </row>
    <row r="2496" spans="1:6" ht="22.5" customHeight="1">
      <c r="A2496" s="461" t="s">
        <v>813</v>
      </c>
      <c r="B2496" s="461"/>
      <c r="C2496" s="461"/>
      <c r="D2496" s="461"/>
      <c r="E2496" s="461"/>
      <c r="F2496" s="461"/>
    </row>
    <row r="2497" spans="1:6" ht="18" customHeight="1">
      <c r="A2497" s="462" t="s">
        <v>1033</v>
      </c>
      <c r="B2497" s="462"/>
      <c r="C2497" s="462"/>
      <c r="D2497" s="462"/>
      <c r="E2497" s="462"/>
      <c r="F2497" s="462"/>
    </row>
    <row r="2498" spans="1:6" ht="18" customHeight="1">
      <c r="A2498" s="47" t="s">
        <v>815</v>
      </c>
      <c r="B2498" s="49">
        <v>8073</v>
      </c>
      <c r="D2498" s="46"/>
      <c r="E2498" s="47" t="s">
        <v>169</v>
      </c>
      <c r="F2498" s="49" t="s">
        <v>1034</v>
      </c>
    </row>
    <row r="2499" spans="1:6" ht="18" customHeight="1">
      <c r="A2499" s="50" t="s">
        <v>817</v>
      </c>
      <c r="B2499" s="52"/>
      <c r="C2499" s="52"/>
      <c r="D2499" s="52"/>
      <c r="E2499" s="52"/>
      <c r="F2499" s="52"/>
    </row>
    <row r="2500" spans="1:6" ht="18" customHeight="1">
      <c r="A2500" s="7" t="s">
        <v>1</v>
      </c>
      <c r="B2500" s="52" t="s">
        <v>344</v>
      </c>
      <c r="C2500" s="7" t="s">
        <v>818</v>
      </c>
      <c r="D2500" s="7" t="s">
        <v>819</v>
      </c>
      <c r="E2500" s="7" t="s">
        <v>820</v>
      </c>
      <c r="F2500" s="7" t="s">
        <v>821</v>
      </c>
    </row>
    <row r="2501" spans="1:6" ht="18" customHeight="1">
      <c r="A2501" s="7">
        <v>1</v>
      </c>
      <c r="B2501" s="52" t="s">
        <v>822</v>
      </c>
      <c r="C2501" s="7"/>
      <c r="D2501" s="7"/>
      <c r="E2501" s="7"/>
      <c r="F2501" s="53">
        <f>F2502+F2518+F2519</f>
        <v>26511.741936592629</v>
      </c>
    </row>
    <row r="2502" spans="1:6" ht="18" customHeight="1">
      <c r="A2502" s="7">
        <v>1.1000000000000001</v>
      </c>
      <c r="B2502" s="52" t="s">
        <v>823</v>
      </c>
      <c r="C2502" s="7"/>
      <c r="D2502" s="7"/>
      <c r="E2502" s="7"/>
      <c r="F2502" s="53">
        <f>F2503+F2506+F2513+F2517</f>
        <v>25297.463679954799</v>
      </c>
    </row>
    <row r="2503" spans="1:6" ht="18" customHeight="1">
      <c r="A2503" s="7" t="s">
        <v>47</v>
      </c>
      <c r="B2503" s="52" t="s">
        <v>176</v>
      </c>
      <c r="C2503" s="7"/>
      <c r="D2503" s="7"/>
      <c r="E2503" s="7"/>
      <c r="F2503" s="53">
        <f>F2504+F2505</f>
        <v>10913.528</v>
      </c>
    </row>
    <row r="2504" spans="1:6" ht="18" customHeight="1">
      <c r="A2504" s="7"/>
      <c r="B2504" s="52" t="s">
        <v>824</v>
      </c>
      <c r="C2504" s="7" t="s">
        <v>825</v>
      </c>
      <c r="D2504" s="7">
        <v>8.1</v>
      </c>
      <c r="E2504" s="7">
        <v>1066.4000000000001</v>
      </c>
      <c r="F2504" s="53">
        <f>D2504*E2504</f>
        <v>8637.84</v>
      </c>
    </row>
    <row r="2505" spans="1:6" ht="18" customHeight="1">
      <c r="A2505" s="7"/>
      <c r="B2505" s="52" t="s">
        <v>826</v>
      </c>
      <c r="C2505" s="7" t="s">
        <v>825</v>
      </c>
      <c r="D2505" s="7">
        <v>5.77</v>
      </c>
      <c r="E2505" s="7">
        <v>394.4</v>
      </c>
      <c r="F2505" s="53">
        <f>D2505*E2505</f>
        <v>2275.6880000000001</v>
      </c>
    </row>
    <row r="2506" spans="1:6" ht="18" customHeight="1">
      <c r="A2506" s="7" t="s">
        <v>57</v>
      </c>
      <c r="B2506" s="52" t="s">
        <v>177</v>
      </c>
      <c r="C2506" s="7"/>
      <c r="D2506" s="7"/>
      <c r="E2506" s="7"/>
      <c r="F2506" s="53">
        <f>SUM(F2507:F2512)</f>
        <v>11684.659838199999</v>
      </c>
    </row>
    <row r="2507" spans="1:6" ht="18" customHeight="1">
      <c r="A2507" s="7"/>
      <c r="B2507" s="52" t="s">
        <v>870</v>
      </c>
      <c r="C2507" s="7" t="s">
        <v>871</v>
      </c>
      <c r="D2507" s="7">
        <f>材料预算价格表!L8</f>
        <v>1874.0778</v>
      </c>
      <c r="E2507" s="7">
        <v>3</v>
      </c>
      <c r="F2507" s="53">
        <f>D2507*E2507</f>
        <v>5622.2334000000001</v>
      </c>
    </row>
    <row r="2508" spans="1:6" ht="18" customHeight="1">
      <c r="A2508" s="7"/>
      <c r="B2508" s="52" t="s">
        <v>873</v>
      </c>
      <c r="C2508" s="7" t="s">
        <v>844</v>
      </c>
      <c r="D2508" s="7">
        <v>5.5</v>
      </c>
      <c r="E2508" s="7">
        <v>25</v>
      </c>
      <c r="F2508" s="53">
        <f>D2508*E2508</f>
        <v>137.5</v>
      </c>
    </row>
    <row r="2509" spans="1:6" ht="18" customHeight="1">
      <c r="A2509" s="7"/>
      <c r="B2509" s="52" t="s">
        <v>972</v>
      </c>
      <c r="C2509" s="7" t="s">
        <v>844</v>
      </c>
      <c r="D2509" s="7">
        <v>8</v>
      </c>
      <c r="E2509" s="7">
        <v>82</v>
      </c>
      <c r="F2509" s="53">
        <f>D2509*E2509</f>
        <v>656</v>
      </c>
    </row>
    <row r="2510" spans="1:6" ht="18" customHeight="1">
      <c r="A2510" s="7"/>
      <c r="B2510" s="52" t="s">
        <v>1035</v>
      </c>
      <c r="C2510" s="7" t="s">
        <v>871</v>
      </c>
      <c r="D2510" s="66">
        <f>砼配合!J32</f>
        <v>144.59654</v>
      </c>
      <c r="E2510" s="7">
        <v>1</v>
      </c>
      <c r="F2510" s="53">
        <f>D2510*E2510</f>
        <v>144.59654</v>
      </c>
    </row>
    <row r="2511" spans="1:6" ht="18" customHeight="1">
      <c r="A2511" s="7"/>
      <c r="B2511" s="52" t="s">
        <v>1036</v>
      </c>
      <c r="C2511" s="7" t="s">
        <v>141</v>
      </c>
      <c r="D2511" s="7">
        <v>184</v>
      </c>
      <c r="E2511" s="7">
        <v>26</v>
      </c>
      <c r="F2511" s="53">
        <f>D2511*E2511</f>
        <v>4784</v>
      </c>
    </row>
    <row r="2512" spans="1:6" ht="18" customHeight="1">
      <c r="A2512" s="7"/>
      <c r="B2512" s="52" t="s">
        <v>833</v>
      </c>
      <c r="C2512" s="7" t="s">
        <v>834</v>
      </c>
      <c r="D2512" s="66">
        <f>SUM(F2507:F2511)</f>
        <v>11344.32994</v>
      </c>
      <c r="E2512" s="7">
        <v>3</v>
      </c>
      <c r="F2512" s="53">
        <f>D2512*E2512/100</f>
        <v>340.3298982</v>
      </c>
    </row>
    <row r="2513" spans="1:6" ht="18" customHeight="1">
      <c r="A2513" s="7" t="s">
        <v>835</v>
      </c>
      <c r="B2513" s="52" t="s">
        <v>836</v>
      </c>
      <c r="C2513" s="7"/>
      <c r="D2513" s="7"/>
      <c r="E2513" s="7"/>
      <c r="F2513" s="53">
        <f>SUM(F2514:F2516)</f>
        <v>2699.2758417547993</v>
      </c>
    </row>
    <row r="2514" spans="1:6" ht="18" customHeight="1">
      <c r="A2514" s="7"/>
      <c r="B2514" s="52" t="s">
        <v>1037</v>
      </c>
      <c r="C2514" s="7" t="s">
        <v>863</v>
      </c>
      <c r="D2514" s="66">
        <f>施工机械台时汇总!$C$50</f>
        <v>15.82635174304739</v>
      </c>
      <c r="E2514" s="7">
        <v>90</v>
      </c>
      <c r="F2514" s="53">
        <f>D2514*E2514</f>
        <v>1424.371656874265</v>
      </c>
    </row>
    <row r="2515" spans="1:6" ht="18" customHeight="1">
      <c r="A2515" s="7"/>
      <c r="B2515" s="52" t="s">
        <v>1038</v>
      </c>
      <c r="C2515" s="7" t="s">
        <v>863</v>
      </c>
      <c r="D2515" s="7">
        <f>施工机械台时汇总!$C$52</f>
        <v>5.8829455542499103</v>
      </c>
      <c r="E2515" s="7">
        <v>175</v>
      </c>
      <c r="F2515" s="53">
        <f>D2515*E2515</f>
        <v>1029.5154719937343</v>
      </c>
    </row>
    <row r="2516" spans="1:6" ht="18" customHeight="1">
      <c r="A2516" s="7"/>
      <c r="B2516" s="52" t="s">
        <v>840</v>
      </c>
      <c r="C2516" s="7" t="s">
        <v>834</v>
      </c>
      <c r="D2516" s="7">
        <f>SUM(F2514:F2515)</f>
        <v>2453.8871288679993</v>
      </c>
      <c r="E2516" s="7">
        <v>10</v>
      </c>
      <c r="F2516" s="53">
        <f>D2516*E2516/100</f>
        <v>245.38871288679991</v>
      </c>
    </row>
    <row r="2517" spans="1:6" ht="18" customHeight="1">
      <c r="A2517" s="7"/>
      <c r="B2517" s="52"/>
      <c r="C2517" s="7"/>
      <c r="D2517" s="7"/>
      <c r="E2517" s="7"/>
      <c r="F2517" s="53"/>
    </row>
    <row r="2518" spans="1:6" ht="18" customHeight="1">
      <c r="A2518" s="7">
        <v>1.2</v>
      </c>
      <c r="B2518" s="52" t="s">
        <v>841</v>
      </c>
      <c r="C2518" s="7"/>
      <c r="D2518" s="53">
        <f>F2502</f>
        <v>25297.463679954799</v>
      </c>
      <c r="E2518" s="56">
        <f>E2442</f>
        <v>4.8000000000000001E-2</v>
      </c>
      <c r="F2518" s="53">
        <f>D2518*E2518</f>
        <v>1214.2782566378303</v>
      </c>
    </row>
    <row r="2519" spans="1:6" ht="18" customHeight="1">
      <c r="A2519" s="7">
        <v>1.3</v>
      </c>
      <c r="B2519" s="52" t="s">
        <v>842</v>
      </c>
      <c r="C2519" s="7"/>
      <c r="D2519" s="53">
        <f>F2502</f>
        <v>25297.463679954799</v>
      </c>
      <c r="E2519" s="56">
        <f>E2443</f>
        <v>0</v>
      </c>
      <c r="F2519" s="53">
        <f>D2519*E2519</f>
        <v>0</v>
      </c>
    </row>
    <row r="2520" spans="1:6" ht="18" customHeight="1">
      <c r="A2520" s="7">
        <v>2</v>
      </c>
      <c r="B2520" s="52" t="s">
        <v>182</v>
      </c>
      <c r="C2520" s="7"/>
      <c r="D2520" s="53">
        <f>F2501</f>
        <v>26511.741936592629</v>
      </c>
      <c r="E2520" s="56">
        <f>E2444</f>
        <v>7.2499999999999995E-2</v>
      </c>
      <c r="F2520" s="53">
        <f>D2520*E2520</f>
        <v>1922.1012904029656</v>
      </c>
    </row>
    <row r="2521" spans="1:6" ht="18" customHeight="1">
      <c r="A2521" s="7">
        <v>3</v>
      </c>
      <c r="B2521" s="52" t="s">
        <v>843</v>
      </c>
      <c r="C2521" s="7"/>
      <c r="D2521" s="53">
        <f>F2520+F2501</f>
        <v>28433.843226995596</v>
      </c>
      <c r="E2521" s="56">
        <f>E2445</f>
        <v>7.0000000000000007E-2</v>
      </c>
      <c r="F2521" s="53">
        <f>D2521*E2521</f>
        <v>1990.3690258896918</v>
      </c>
    </row>
    <row r="2522" spans="1:6" ht="18" customHeight="1">
      <c r="A2522" s="7">
        <v>4</v>
      </c>
      <c r="B2522" s="52" t="s">
        <v>184</v>
      </c>
      <c r="C2522" s="7"/>
      <c r="D2522" s="7"/>
      <c r="E2522" s="7"/>
      <c r="F2522" s="53">
        <f>SUM(F2523:F2528)</f>
        <v>35.66154908499999</v>
      </c>
    </row>
    <row r="2523" spans="1:6" ht="18" customHeight="1">
      <c r="A2523" s="7"/>
      <c r="B2523" s="52" t="s">
        <v>354</v>
      </c>
      <c r="C2523" s="7" t="s">
        <v>88</v>
      </c>
      <c r="D2523" s="7">
        <f>A2</f>
        <v>116.41515</v>
      </c>
      <c r="E2523" s="66">
        <f>E2510*砼配合!I33</f>
        <v>0.26229999999999998</v>
      </c>
      <c r="F2523" s="53">
        <f t="shared" ref="F2523:F2529" si="180">D2523*E2523</f>
        <v>30.535693844999997</v>
      </c>
    </row>
    <row r="2524" spans="1:6" ht="18" customHeight="1">
      <c r="A2524" s="7"/>
      <c r="B2524" s="52" t="s">
        <v>507</v>
      </c>
      <c r="C2524" s="7" t="s">
        <v>871</v>
      </c>
      <c r="D2524" s="66">
        <f>D2</f>
        <v>4.6598683999999899</v>
      </c>
      <c r="E2524" s="7">
        <f>E2510*砼配合!I34</f>
        <v>1.1000000000000001</v>
      </c>
      <c r="F2524" s="53">
        <f t="shared" si="180"/>
        <v>5.1258552399999893</v>
      </c>
    </row>
    <row r="2525" spans="1:6" ht="18" customHeight="1">
      <c r="A2525" s="7"/>
      <c r="B2525" s="52" t="s">
        <v>509</v>
      </c>
      <c r="C2525" s="7" t="s">
        <v>871</v>
      </c>
      <c r="D2525" s="66">
        <f>E2</f>
        <v>6.2457299999999902</v>
      </c>
      <c r="E2525" s="7">
        <f>E2511*砼配合!I260</f>
        <v>0</v>
      </c>
      <c r="F2525" s="53">
        <f t="shared" si="180"/>
        <v>0</v>
      </c>
    </row>
    <row r="2526" spans="1:6" ht="18" customHeight="1">
      <c r="A2526" s="7"/>
      <c r="B2526" s="52" t="s">
        <v>506</v>
      </c>
      <c r="C2526" s="7" t="s">
        <v>871</v>
      </c>
      <c r="D2526" s="7">
        <f>C2</f>
        <v>0</v>
      </c>
      <c r="E2526" s="7">
        <f>E2507</f>
        <v>3</v>
      </c>
      <c r="F2526" s="53">
        <f t="shared" si="180"/>
        <v>0</v>
      </c>
    </row>
    <row r="2527" spans="1:6" ht="18" customHeight="1">
      <c r="A2527" s="7"/>
      <c r="B2527" s="52" t="s">
        <v>515</v>
      </c>
      <c r="C2527" s="7" t="s">
        <v>844</v>
      </c>
      <c r="D2527" s="7">
        <f>G2</f>
        <v>4.7450000000000001</v>
      </c>
      <c r="E2527" s="7">
        <f>台时!AK302*砼单价!E2514</f>
        <v>0</v>
      </c>
      <c r="F2527" s="53">
        <f t="shared" si="180"/>
        <v>0</v>
      </c>
    </row>
    <row r="2528" spans="1:6" ht="18" customHeight="1">
      <c r="A2528" s="7"/>
      <c r="B2528" s="52" t="s">
        <v>516</v>
      </c>
      <c r="C2528" s="7" t="s">
        <v>844</v>
      </c>
      <c r="D2528" s="7">
        <f>H2</f>
        <v>3.51</v>
      </c>
      <c r="E2528" s="7">
        <f>E2515*台时!BA260</f>
        <v>0</v>
      </c>
      <c r="F2528" s="53">
        <f t="shared" si="180"/>
        <v>0</v>
      </c>
    </row>
    <row r="2529" spans="1:6" ht="18" customHeight="1">
      <c r="A2529" s="7">
        <v>5</v>
      </c>
      <c r="B2529" s="52" t="s">
        <v>845</v>
      </c>
      <c r="C2529" s="7"/>
      <c r="D2529" s="66">
        <f>F2501+F2520+F2521+F2522</f>
        <v>30459.873801970291</v>
      </c>
      <c r="E2529" s="56">
        <f>E2453</f>
        <v>0.09</v>
      </c>
      <c r="F2529" s="53">
        <f t="shared" si="180"/>
        <v>2741.3886421773259</v>
      </c>
    </row>
    <row r="2530" spans="1:6" ht="18" customHeight="1">
      <c r="A2530" s="7">
        <v>6</v>
      </c>
      <c r="B2530" s="52" t="s">
        <v>7</v>
      </c>
      <c r="C2530" s="7"/>
      <c r="D2530" s="7"/>
      <c r="E2530" s="7"/>
      <c r="F2530" s="53">
        <f>D2529+F2529</f>
        <v>33201.262444147615</v>
      </c>
    </row>
    <row r="2531" spans="1:6" ht="18" customHeight="1">
      <c r="A2531" s="7"/>
      <c r="B2531" s="52" t="s">
        <v>846</v>
      </c>
      <c r="C2531" s="52"/>
      <c r="D2531" s="53">
        <f>F2530</f>
        <v>33201.262444147615</v>
      </c>
      <c r="E2531" s="56">
        <f>E2455</f>
        <v>0.03</v>
      </c>
      <c r="F2531" s="53">
        <f>E2531*D2531</f>
        <v>996.03787332442835</v>
      </c>
    </row>
    <row r="2532" spans="1:6" ht="18" customHeight="1">
      <c r="A2532" s="7"/>
      <c r="B2532" s="52" t="s">
        <v>44</v>
      </c>
      <c r="C2532" s="52"/>
      <c r="D2532" s="7"/>
      <c r="E2532" s="7"/>
      <c r="F2532" s="53">
        <f>SUM(F2530:F2531)</f>
        <v>34197.300317472043</v>
      </c>
    </row>
    <row r="2533" spans="1:6" ht="22.5" customHeight="1">
      <c r="A2533" s="461" t="s">
        <v>813</v>
      </c>
      <c r="B2533" s="461"/>
      <c r="C2533" s="461"/>
      <c r="D2533" s="461"/>
      <c r="E2533" s="461"/>
      <c r="F2533" s="461"/>
    </row>
    <row r="2534" spans="1:6" ht="18" customHeight="1">
      <c r="A2534" s="462" t="s">
        <v>1039</v>
      </c>
      <c r="B2534" s="462"/>
      <c r="C2534" s="462"/>
      <c r="D2534" s="462"/>
      <c r="E2534" s="462"/>
      <c r="F2534" s="462"/>
    </row>
    <row r="2535" spans="1:6" ht="18" customHeight="1">
      <c r="A2535" s="47" t="s">
        <v>815</v>
      </c>
      <c r="B2535" s="49">
        <v>8070</v>
      </c>
      <c r="D2535" s="46"/>
      <c r="E2535" s="47" t="s">
        <v>169</v>
      </c>
      <c r="F2535" s="49" t="s">
        <v>1034</v>
      </c>
    </row>
    <row r="2536" spans="1:6" ht="18" customHeight="1">
      <c r="A2536" s="50" t="s">
        <v>817</v>
      </c>
      <c r="B2536" s="482"/>
      <c r="C2536" s="482"/>
      <c r="D2536" s="482"/>
      <c r="E2536" s="482"/>
      <c r="F2536" s="482"/>
    </row>
    <row r="2537" spans="1:6" ht="18" customHeight="1">
      <c r="A2537" s="7" t="s">
        <v>1</v>
      </c>
      <c r="B2537" s="52" t="s">
        <v>344</v>
      </c>
      <c r="C2537" s="7" t="s">
        <v>818</v>
      </c>
      <c r="D2537" s="7" t="s">
        <v>819</v>
      </c>
      <c r="E2537" s="7" t="s">
        <v>820</v>
      </c>
      <c r="F2537" s="7" t="s">
        <v>821</v>
      </c>
    </row>
    <row r="2538" spans="1:6" ht="18" customHeight="1">
      <c r="A2538" s="7">
        <v>1</v>
      </c>
      <c r="B2538" s="52" t="s">
        <v>822</v>
      </c>
      <c r="C2538" s="7"/>
      <c r="D2538" s="7"/>
      <c r="E2538" s="7"/>
      <c r="F2538" s="53">
        <f>F2539+F2555+F2556</f>
        <v>16098.599009935795</v>
      </c>
    </row>
    <row r="2539" spans="1:6" ht="18" customHeight="1">
      <c r="A2539" s="7">
        <v>1.1000000000000001</v>
      </c>
      <c r="B2539" s="52" t="s">
        <v>823</v>
      </c>
      <c r="C2539" s="7"/>
      <c r="D2539" s="7"/>
      <c r="E2539" s="7"/>
      <c r="F2539" s="53">
        <f>F2540+F2543+F2550+F2554</f>
        <v>15361.25859726698</v>
      </c>
    </row>
    <row r="2540" spans="1:6" ht="18" customHeight="1">
      <c r="A2540" s="7" t="s">
        <v>47</v>
      </c>
      <c r="B2540" s="52" t="s">
        <v>176</v>
      </c>
      <c r="C2540" s="7"/>
      <c r="D2540" s="7"/>
      <c r="E2540" s="7"/>
      <c r="F2540" s="53">
        <f>F2541+F2542</f>
        <v>6448.7969999999996</v>
      </c>
    </row>
    <row r="2541" spans="1:6" ht="18" customHeight="1">
      <c r="A2541" s="7"/>
      <c r="B2541" s="52" t="s">
        <v>824</v>
      </c>
      <c r="C2541" s="7" t="s">
        <v>825</v>
      </c>
      <c r="D2541" s="7">
        <v>8.1</v>
      </c>
      <c r="E2541" s="7">
        <v>630.1</v>
      </c>
      <c r="F2541" s="53">
        <f>D2541*E2541</f>
        <v>5103.8100000000004</v>
      </c>
    </row>
    <row r="2542" spans="1:6" ht="18" customHeight="1">
      <c r="A2542" s="7"/>
      <c r="B2542" s="52" t="s">
        <v>826</v>
      </c>
      <c r="C2542" s="7" t="s">
        <v>825</v>
      </c>
      <c r="D2542" s="7">
        <v>5.77</v>
      </c>
      <c r="E2542" s="7">
        <v>233.1</v>
      </c>
      <c r="F2542" s="53">
        <f>D2542*E2542</f>
        <v>1344.9870000000001</v>
      </c>
    </row>
    <row r="2543" spans="1:6" ht="18" customHeight="1">
      <c r="A2543" s="7" t="s">
        <v>57</v>
      </c>
      <c r="B2543" s="52" t="s">
        <v>177</v>
      </c>
      <c r="C2543" s="7"/>
      <c r="D2543" s="7"/>
      <c r="E2543" s="7"/>
      <c r="F2543" s="53">
        <f>SUM(F2544:F2549)</f>
        <v>7210.7747042000001</v>
      </c>
    </row>
    <row r="2544" spans="1:6" ht="18" customHeight="1">
      <c r="A2544" s="7"/>
      <c r="B2544" s="52" t="s">
        <v>870</v>
      </c>
      <c r="C2544" s="7" t="s">
        <v>871</v>
      </c>
      <c r="D2544" s="7">
        <f>材料预算价格表!L8</f>
        <v>1874.0778</v>
      </c>
      <c r="E2544" s="7">
        <v>2</v>
      </c>
      <c r="F2544" s="53">
        <f>D2544*E2544</f>
        <v>3748.1556</v>
      </c>
    </row>
    <row r="2545" spans="1:6" ht="18" customHeight="1">
      <c r="A2545" s="7"/>
      <c r="B2545" s="52" t="s">
        <v>873</v>
      </c>
      <c r="C2545" s="7" t="s">
        <v>844</v>
      </c>
      <c r="D2545" s="7">
        <v>5.5</v>
      </c>
      <c r="E2545" s="7">
        <v>16</v>
      </c>
      <c r="F2545" s="53">
        <f>D2545*E2545</f>
        <v>88</v>
      </c>
    </row>
    <row r="2546" spans="1:6" ht="18" customHeight="1">
      <c r="A2546" s="7"/>
      <c r="B2546" s="52" t="s">
        <v>972</v>
      </c>
      <c r="C2546" s="7" t="s">
        <v>844</v>
      </c>
      <c r="D2546" s="7">
        <v>8</v>
      </c>
      <c r="E2546" s="7">
        <v>52</v>
      </c>
      <c r="F2546" s="53">
        <f>D2546*E2546</f>
        <v>416</v>
      </c>
    </row>
    <row r="2547" spans="1:6" ht="18" customHeight="1">
      <c r="A2547" s="7"/>
      <c r="B2547" s="52" t="s">
        <v>1035</v>
      </c>
      <c r="C2547" s="7" t="s">
        <v>871</v>
      </c>
      <c r="D2547" s="66">
        <f>砼配合!J32</f>
        <v>144.59654</v>
      </c>
      <c r="E2547" s="7">
        <v>1</v>
      </c>
      <c r="F2547" s="53">
        <f>D2547*E2547</f>
        <v>144.59654</v>
      </c>
    </row>
    <row r="2548" spans="1:6" ht="18" customHeight="1">
      <c r="A2548" s="7"/>
      <c r="B2548" s="52" t="s">
        <v>1036</v>
      </c>
      <c r="C2548" s="7" t="s">
        <v>141</v>
      </c>
      <c r="D2548" s="66">
        <v>124</v>
      </c>
      <c r="E2548" s="7">
        <v>21</v>
      </c>
      <c r="F2548" s="53">
        <f>D2548*E2548</f>
        <v>2604</v>
      </c>
    </row>
    <row r="2549" spans="1:6" ht="18" customHeight="1">
      <c r="A2549" s="7"/>
      <c r="B2549" s="52" t="s">
        <v>833</v>
      </c>
      <c r="C2549" s="7" t="s">
        <v>834</v>
      </c>
      <c r="D2549" s="66">
        <f>SUM(F2544:F2548)</f>
        <v>7000.7521400000005</v>
      </c>
      <c r="E2549" s="7">
        <v>3</v>
      </c>
      <c r="F2549" s="53">
        <f>D2549*E2549/100</f>
        <v>210.02256420000001</v>
      </c>
    </row>
    <row r="2550" spans="1:6" ht="18" customHeight="1">
      <c r="A2550" s="7" t="s">
        <v>835</v>
      </c>
      <c r="B2550" s="52" t="s">
        <v>836</v>
      </c>
      <c r="C2550" s="7"/>
      <c r="D2550" s="7"/>
      <c r="E2550" s="7"/>
      <c r="F2550" s="53">
        <f>SUM(F2551:F2553)</f>
        <v>1701.6868930669807</v>
      </c>
    </row>
    <row r="2551" spans="1:6" ht="18" customHeight="1">
      <c r="A2551" s="7"/>
      <c r="B2551" s="52" t="s">
        <v>1037</v>
      </c>
      <c r="C2551" s="7" t="s">
        <v>863</v>
      </c>
      <c r="D2551" s="7">
        <f>施工机械台时汇总!$C$50</f>
        <v>15.82635174304739</v>
      </c>
      <c r="E2551" s="7">
        <v>55</v>
      </c>
      <c r="F2551" s="53">
        <f>D2551*E2551</f>
        <v>870.44934586760644</v>
      </c>
    </row>
    <row r="2552" spans="1:6" ht="18" customHeight="1">
      <c r="A2552" s="7"/>
      <c r="B2552" s="52" t="s">
        <v>1038</v>
      </c>
      <c r="C2552" s="7" t="s">
        <v>863</v>
      </c>
      <c r="D2552" s="7">
        <f>施工机械台时汇总!$C$52</f>
        <v>5.8829455542499103</v>
      </c>
      <c r="E2552" s="7">
        <v>115</v>
      </c>
      <c r="F2552" s="53">
        <f>D2552*E2552</f>
        <v>676.53873873873965</v>
      </c>
    </row>
    <row r="2553" spans="1:6" ht="18" customHeight="1">
      <c r="A2553" s="7"/>
      <c r="B2553" s="52" t="s">
        <v>840</v>
      </c>
      <c r="C2553" s="7" t="s">
        <v>834</v>
      </c>
      <c r="D2553" s="7">
        <f>SUM(F2551:F2552)</f>
        <v>1546.9880846063461</v>
      </c>
      <c r="E2553" s="7">
        <v>10</v>
      </c>
      <c r="F2553" s="53">
        <f>D2553*E2553/100</f>
        <v>154.69880846063461</v>
      </c>
    </row>
    <row r="2554" spans="1:6" ht="18" customHeight="1">
      <c r="A2554" s="7"/>
      <c r="B2554" s="52"/>
      <c r="C2554" s="7"/>
      <c r="D2554" s="7"/>
      <c r="E2554" s="7"/>
      <c r="F2554" s="53"/>
    </row>
    <row r="2555" spans="1:6" ht="18" customHeight="1">
      <c r="A2555" s="7">
        <v>1.2</v>
      </c>
      <c r="B2555" s="52" t="s">
        <v>841</v>
      </c>
      <c r="C2555" s="7"/>
      <c r="D2555" s="53">
        <f>F2539</f>
        <v>15361.25859726698</v>
      </c>
      <c r="E2555" s="56">
        <f>E2442</f>
        <v>4.8000000000000001E-2</v>
      </c>
      <c r="F2555" s="53">
        <f>D2555*E2555</f>
        <v>737.34041266881502</v>
      </c>
    </row>
    <row r="2556" spans="1:6" ht="18" customHeight="1">
      <c r="A2556" s="7">
        <v>1.3</v>
      </c>
      <c r="B2556" s="52" t="s">
        <v>842</v>
      </c>
      <c r="C2556" s="7"/>
      <c r="D2556" s="53">
        <f>F2539</f>
        <v>15361.25859726698</v>
      </c>
      <c r="E2556" s="56">
        <f>E2443</f>
        <v>0</v>
      </c>
      <c r="F2556" s="53">
        <f>D2556*E2556</f>
        <v>0</v>
      </c>
    </row>
    <row r="2557" spans="1:6" ht="18" customHeight="1">
      <c r="A2557" s="7">
        <v>2</v>
      </c>
      <c r="B2557" s="52" t="s">
        <v>182</v>
      </c>
      <c r="C2557" s="7"/>
      <c r="D2557" s="53">
        <f>F2538</f>
        <v>16098.599009935795</v>
      </c>
      <c r="E2557" s="56">
        <f>E2444</f>
        <v>7.2499999999999995E-2</v>
      </c>
      <c r="F2557" s="53">
        <f>D2557*E2557</f>
        <v>1167.1484282203451</v>
      </c>
    </row>
    <row r="2558" spans="1:6" ht="18" customHeight="1">
      <c r="A2558" s="7">
        <v>3</v>
      </c>
      <c r="B2558" s="52" t="s">
        <v>843</v>
      </c>
      <c r="C2558" s="7"/>
      <c r="D2558" s="53">
        <f>F2557+F2538</f>
        <v>17265.747438156141</v>
      </c>
      <c r="E2558" s="56">
        <f>E2445</f>
        <v>7.0000000000000007E-2</v>
      </c>
      <c r="F2558" s="53">
        <f>D2558*E2558</f>
        <v>1208.6023206709299</v>
      </c>
    </row>
    <row r="2559" spans="1:6" ht="18" customHeight="1">
      <c r="A2559" s="7">
        <v>4</v>
      </c>
      <c r="B2559" s="52" t="s">
        <v>184</v>
      </c>
      <c r="C2559" s="7"/>
      <c r="D2559" s="7"/>
      <c r="E2559" s="7"/>
      <c r="F2559" s="53">
        <f>SUM(F2560:F2565)</f>
        <v>35.66154908499999</v>
      </c>
    </row>
    <row r="2560" spans="1:6" ht="18" customHeight="1">
      <c r="A2560" s="7"/>
      <c r="B2560" s="52" t="s">
        <v>354</v>
      </c>
      <c r="C2560" s="7" t="s">
        <v>88</v>
      </c>
      <c r="D2560" s="7">
        <f>A2</f>
        <v>116.41515</v>
      </c>
      <c r="E2560" s="66">
        <f>E2547*砼配合!I33</f>
        <v>0.26229999999999998</v>
      </c>
      <c r="F2560" s="53">
        <f t="shared" ref="F2560:F2566" si="181">D2560*E2560</f>
        <v>30.535693844999997</v>
      </c>
    </row>
    <row r="2561" spans="1:6" ht="18" customHeight="1">
      <c r="A2561" s="7"/>
      <c r="B2561" s="52" t="s">
        <v>507</v>
      </c>
      <c r="C2561" s="7" t="s">
        <v>871</v>
      </c>
      <c r="D2561" s="66">
        <f>D2</f>
        <v>4.6598683999999899</v>
      </c>
      <c r="E2561" s="7">
        <f>E2547*砼配合!I34</f>
        <v>1.1000000000000001</v>
      </c>
      <c r="F2561" s="53">
        <f t="shared" si="181"/>
        <v>5.1258552399999893</v>
      </c>
    </row>
    <row r="2562" spans="1:6" ht="18" customHeight="1">
      <c r="A2562" s="7"/>
      <c r="B2562" s="52" t="s">
        <v>509</v>
      </c>
      <c r="C2562" s="7" t="s">
        <v>871</v>
      </c>
      <c r="D2562" s="66">
        <f>E2</f>
        <v>6.2457299999999902</v>
      </c>
      <c r="E2562" s="7">
        <f>E2548*砼配合!I219</f>
        <v>0</v>
      </c>
      <c r="F2562" s="53">
        <f t="shared" si="181"/>
        <v>0</v>
      </c>
    </row>
    <row r="2563" spans="1:6" ht="18" customHeight="1">
      <c r="A2563" s="7"/>
      <c r="B2563" s="52" t="s">
        <v>506</v>
      </c>
      <c r="C2563" s="7" t="s">
        <v>871</v>
      </c>
      <c r="D2563" s="7">
        <f>C2</f>
        <v>0</v>
      </c>
      <c r="E2563" s="7">
        <f>E2544</f>
        <v>2</v>
      </c>
      <c r="F2563" s="53">
        <f t="shared" si="181"/>
        <v>0</v>
      </c>
    </row>
    <row r="2564" spans="1:6" ht="18" customHeight="1">
      <c r="A2564" s="7"/>
      <c r="B2564" s="52" t="s">
        <v>515</v>
      </c>
      <c r="C2564" s="7" t="s">
        <v>844</v>
      </c>
      <c r="D2564" s="7">
        <f>G2</f>
        <v>4.7450000000000001</v>
      </c>
      <c r="E2564" s="7">
        <f>台时!AK261*砼单价!E2551</f>
        <v>0</v>
      </c>
      <c r="F2564" s="53">
        <f t="shared" si="181"/>
        <v>0</v>
      </c>
    </row>
    <row r="2565" spans="1:6" ht="18" customHeight="1">
      <c r="A2565" s="7"/>
      <c r="B2565" s="52" t="s">
        <v>516</v>
      </c>
      <c r="C2565" s="7" t="s">
        <v>844</v>
      </c>
      <c r="D2565" s="7">
        <f>H2</f>
        <v>3.51</v>
      </c>
      <c r="E2565" s="7">
        <f>E2552*台时!BA219</f>
        <v>0</v>
      </c>
      <c r="F2565" s="53">
        <f t="shared" si="181"/>
        <v>0</v>
      </c>
    </row>
    <row r="2566" spans="1:6" ht="18" customHeight="1">
      <c r="A2566" s="7">
        <v>5</v>
      </c>
      <c r="B2566" s="52" t="s">
        <v>845</v>
      </c>
      <c r="C2566" s="7"/>
      <c r="D2566" s="53">
        <f>F2538+F2557+F2558+F2559</f>
        <v>18510.011307912071</v>
      </c>
      <c r="E2566" s="56">
        <f>E2453</f>
        <v>0.09</v>
      </c>
      <c r="F2566" s="53">
        <f t="shared" si="181"/>
        <v>1665.9010177120863</v>
      </c>
    </row>
    <row r="2567" spans="1:6" ht="18" customHeight="1">
      <c r="A2567" s="7">
        <v>6</v>
      </c>
      <c r="B2567" s="52" t="s">
        <v>7</v>
      </c>
      <c r="C2567" s="7"/>
      <c r="D2567" s="7"/>
      <c r="E2567" s="7"/>
      <c r="F2567" s="53">
        <f>D2566+F2566</f>
        <v>20175.912325624158</v>
      </c>
    </row>
    <row r="2568" spans="1:6" ht="18" customHeight="1">
      <c r="A2568" s="7"/>
      <c r="B2568" s="52" t="s">
        <v>846</v>
      </c>
      <c r="C2568" s="7"/>
      <c r="D2568" s="53">
        <f>F2567</f>
        <v>20175.912325624158</v>
      </c>
      <c r="E2568" s="56">
        <f>E2455</f>
        <v>0.03</v>
      </c>
      <c r="F2568" s="53">
        <f>E2568*D2568</f>
        <v>605.27736976872472</v>
      </c>
    </row>
    <row r="2569" spans="1:6" ht="18" customHeight="1">
      <c r="A2569" s="7"/>
      <c r="B2569" s="52" t="s">
        <v>44</v>
      </c>
      <c r="C2569" s="52"/>
      <c r="D2569" s="7"/>
      <c r="E2569" s="7"/>
      <c r="F2569" s="53">
        <f>SUM(F2567:F2568)</f>
        <v>20781.189695392884</v>
      </c>
    </row>
    <row r="2570" spans="1:6" ht="22.5" customHeight="1">
      <c r="A2570" s="461" t="s">
        <v>813</v>
      </c>
      <c r="B2570" s="461"/>
      <c r="C2570" s="461"/>
      <c r="D2570" s="461"/>
      <c r="E2570" s="461"/>
      <c r="F2570" s="461"/>
    </row>
    <row r="2571" spans="1:6" ht="18" customHeight="1">
      <c r="A2571" s="462" t="s">
        <v>1040</v>
      </c>
      <c r="B2571" s="462"/>
      <c r="C2571" s="462"/>
      <c r="D2571" s="462"/>
      <c r="E2571" s="462"/>
      <c r="F2571" s="462"/>
    </row>
    <row r="2572" spans="1:6" ht="18" customHeight="1">
      <c r="A2572" s="47" t="s">
        <v>815</v>
      </c>
      <c r="B2572" s="49">
        <v>8069</v>
      </c>
      <c r="D2572" s="46"/>
      <c r="E2572" s="47" t="s">
        <v>169</v>
      </c>
      <c r="F2572" s="49" t="s">
        <v>1034</v>
      </c>
    </row>
    <row r="2573" spans="1:6" ht="18" customHeight="1">
      <c r="A2573" s="50" t="s">
        <v>817</v>
      </c>
      <c r="B2573" s="52"/>
      <c r="C2573" s="52"/>
      <c r="D2573" s="7"/>
      <c r="E2573" s="7"/>
      <c r="F2573" s="7"/>
    </row>
    <row r="2574" spans="1:6" ht="18" customHeight="1">
      <c r="A2574" s="7" t="s">
        <v>1</v>
      </c>
      <c r="B2574" s="52" t="s">
        <v>344</v>
      </c>
      <c r="C2574" s="7" t="s">
        <v>818</v>
      </c>
      <c r="D2574" s="7" t="s">
        <v>819</v>
      </c>
      <c r="E2574" s="7" t="s">
        <v>820</v>
      </c>
      <c r="F2574" s="7" t="s">
        <v>821</v>
      </c>
    </row>
    <row r="2575" spans="1:6" ht="18" customHeight="1">
      <c r="A2575" s="7">
        <v>1</v>
      </c>
      <c r="B2575" s="52" t="s">
        <v>822</v>
      </c>
      <c r="C2575" s="7"/>
      <c r="D2575" s="7"/>
      <c r="E2575" s="7"/>
      <c r="F2575" s="53">
        <f>F2576+F2592+F2593</f>
        <v>9215.4490941148397</v>
      </c>
    </row>
    <row r="2576" spans="1:6" ht="18" customHeight="1">
      <c r="A2576" s="7">
        <v>1.1000000000000001</v>
      </c>
      <c r="B2576" s="52" t="s">
        <v>823</v>
      </c>
      <c r="C2576" s="7"/>
      <c r="D2576" s="7"/>
      <c r="E2576" s="7"/>
      <c r="F2576" s="53">
        <f>F2577+F2580+F2587+F2591</f>
        <v>8793.3674562164506</v>
      </c>
    </row>
    <row r="2577" spans="1:6" ht="18" customHeight="1">
      <c r="A2577" s="7" t="s">
        <v>47</v>
      </c>
      <c r="B2577" s="52" t="s">
        <v>176</v>
      </c>
      <c r="C2577" s="7"/>
      <c r="D2577" s="7"/>
      <c r="E2577" s="7"/>
      <c r="F2577" s="53">
        <f>F2578+F2579</f>
        <v>4464.4979999999996</v>
      </c>
    </row>
    <row r="2578" spans="1:6" ht="18" customHeight="1">
      <c r="A2578" s="7"/>
      <c r="B2578" s="52" t="s">
        <v>824</v>
      </c>
      <c r="C2578" s="7" t="s">
        <v>825</v>
      </c>
      <c r="D2578" s="7">
        <v>8.1</v>
      </c>
      <c r="E2578" s="7">
        <v>436.2</v>
      </c>
      <c r="F2578" s="53">
        <f>D2578*E2578</f>
        <v>3533.22</v>
      </c>
    </row>
    <row r="2579" spans="1:6" ht="18" customHeight="1">
      <c r="A2579" s="7"/>
      <c r="B2579" s="52" t="s">
        <v>826</v>
      </c>
      <c r="C2579" s="7" t="s">
        <v>825</v>
      </c>
      <c r="D2579" s="7">
        <v>5.77</v>
      </c>
      <c r="E2579" s="7">
        <v>161.4</v>
      </c>
      <c r="F2579" s="53">
        <f>D2579*E2579</f>
        <v>931.27800000000002</v>
      </c>
    </row>
    <row r="2580" spans="1:6" ht="18" customHeight="1">
      <c r="A2580" s="7" t="s">
        <v>57</v>
      </c>
      <c r="B2580" s="52" t="s">
        <v>177</v>
      </c>
      <c r="C2580" s="7"/>
      <c r="D2580" s="7"/>
      <c r="E2580" s="7"/>
      <c r="F2580" s="53">
        <f>SUM(F2581:F2586)</f>
        <v>3082.4545702</v>
      </c>
    </row>
    <row r="2581" spans="1:6" ht="18" customHeight="1">
      <c r="A2581" s="7"/>
      <c r="B2581" s="52" t="s">
        <v>870</v>
      </c>
      <c r="C2581" s="7" t="s">
        <v>871</v>
      </c>
      <c r="D2581" s="7">
        <f>材料预算价格表!L8</f>
        <v>1874.0778</v>
      </c>
      <c r="E2581" s="7">
        <v>1</v>
      </c>
      <c r="F2581" s="53">
        <f>D2581*E2581</f>
        <v>1874.0778</v>
      </c>
    </row>
    <row r="2582" spans="1:6" ht="18" customHeight="1">
      <c r="A2582" s="7"/>
      <c r="B2582" s="52" t="s">
        <v>873</v>
      </c>
      <c r="C2582" s="7" t="s">
        <v>844</v>
      </c>
      <c r="D2582" s="7">
        <v>5.5</v>
      </c>
      <c r="E2582" s="7">
        <v>12</v>
      </c>
      <c r="F2582" s="53">
        <f>D2582*E2582</f>
        <v>66</v>
      </c>
    </row>
    <row r="2583" spans="1:6" ht="18" customHeight="1">
      <c r="A2583" s="7"/>
      <c r="B2583" s="52" t="s">
        <v>972</v>
      </c>
      <c r="C2583" s="7" t="s">
        <v>844</v>
      </c>
      <c r="D2583" s="7">
        <v>8</v>
      </c>
      <c r="E2583" s="7">
        <v>40</v>
      </c>
      <c r="F2583" s="53">
        <f>D2583*E2583</f>
        <v>320</v>
      </c>
    </row>
    <row r="2584" spans="1:6" ht="18" customHeight="1">
      <c r="A2584" s="7"/>
      <c r="B2584" s="52" t="s">
        <v>1035</v>
      </c>
      <c r="C2584" s="7" t="s">
        <v>871</v>
      </c>
      <c r="D2584" s="66">
        <f>砼配合!J32</f>
        <v>144.59654</v>
      </c>
      <c r="E2584" s="7">
        <v>1</v>
      </c>
      <c r="F2584" s="53">
        <f>D2584*E2584</f>
        <v>144.59654</v>
      </c>
    </row>
    <row r="2585" spans="1:6" ht="18" customHeight="1">
      <c r="A2585" s="7"/>
      <c r="B2585" s="52" t="s">
        <v>1036</v>
      </c>
      <c r="C2585" s="7" t="s">
        <v>141</v>
      </c>
      <c r="D2585" s="66">
        <v>28</v>
      </c>
      <c r="E2585" s="7">
        <v>21</v>
      </c>
      <c r="F2585" s="53">
        <f>D2585*E2585</f>
        <v>588</v>
      </c>
    </row>
    <row r="2586" spans="1:6" ht="18" customHeight="1">
      <c r="A2586" s="7"/>
      <c r="B2586" s="52" t="s">
        <v>833</v>
      </c>
      <c r="C2586" s="7" t="s">
        <v>834</v>
      </c>
      <c r="D2586" s="66">
        <f>SUM(F2581:F2585)</f>
        <v>2992.67434</v>
      </c>
      <c r="E2586" s="7">
        <v>3</v>
      </c>
      <c r="F2586" s="53">
        <f>D2586*E2586/100</f>
        <v>89.780230200000005</v>
      </c>
    </row>
    <row r="2587" spans="1:6" ht="18" customHeight="1">
      <c r="A2587" s="7" t="s">
        <v>835</v>
      </c>
      <c r="B2587" s="52" t="s">
        <v>836</v>
      </c>
      <c r="C2587" s="7"/>
      <c r="D2587" s="7"/>
      <c r="E2587" s="7"/>
      <c r="F2587" s="53">
        <f>SUM(F2588:F2590)</f>
        <v>1246.4148860164519</v>
      </c>
    </row>
    <row r="2588" spans="1:6" ht="18" customHeight="1">
      <c r="A2588" s="7"/>
      <c r="B2588" s="52" t="s">
        <v>1037</v>
      </c>
      <c r="C2588" s="7" t="s">
        <v>863</v>
      </c>
      <c r="D2588" s="7">
        <f>施工机械台时汇总!$C$50</f>
        <v>15.82635174304739</v>
      </c>
      <c r="E2588" s="7">
        <v>40</v>
      </c>
      <c r="F2588" s="53">
        <f>D2588*E2588</f>
        <v>633.05406972189553</v>
      </c>
    </row>
    <row r="2589" spans="1:6" ht="18" customHeight="1">
      <c r="A2589" s="7"/>
      <c r="B2589" s="52" t="s">
        <v>1038</v>
      </c>
      <c r="C2589" s="7" t="s">
        <v>863</v>
      </c>
      <c r="D2589" s="7">
        <f>施工机械台时汇总!$C$52</f>
        <v>5.8829455542499103</v>
      </c>
      <c r="E2589" s="7">
        <v>85</v>
      </c>
      <c r="F2589" s="53">
        <f>D2589*E2589</f>
        <v>500.05037211124238</v>
      </c>
    </row>
    <row r="2590" spans="1:6" ht="18" customHeight="1">
      <c r="A2590" s="7"/>
      <c r="B2590" s="52" t="s">
        <v>840</v>
      </c>
      <c r="C2590" s="7" t="s">
        <v>834</v>
      </c>
      <c r="D2590" s="7">
        <f>SUM(F2588:F2589)</f>
        <v>1133.104441833138</v>
      </c>
      <c r="E2590" s="7">
        <v>10</v>
      </c>
      <c r="F2590" s="53">
        <f>D2590*E2590/100</f>
        <v>113.31044418331381</v>
      </c>
    </row>
    <row r="2591" spans="1:6" ht="18" customHeight="1">
      <c r="A2591" s="7"/>
      <c r="B2591" s="52"/>
      <c r="C2591" s="7"/>
      <c r="D2591" s="7"/>
      <c r="E2591" s="7"/>
      <c r="F2591" s="53"/>
    </row>
    <row r="2592" spans="1:6" ht="18" customHeight="1">
      <c r="A2592" s="7">
        <v>1.2</v>
      </c>
      <c r="B2592" s="52" t="s">
        <v>841</v>
      </c>
      <c r="C2592" s="7"/>
      <c r="D2592" s="53">
        <f>F2576</f>
        <v>8793.3674562164506</v>
      </c>
      <c r="E2592" s="56">
        <f>E2442</f>
        <v>4.8000000000000001E-2</v>
      </c>
      <c r="F2592" s="53">
        <f>D2592*E2592</f>
        <v>422.08163789838966</v>
      </c>
    </row>
    <row r="2593" spans="1:6" ht="18" customHeight="1">
      <c r="A2593" s="7">
        <v>1.3</v>
      </c>
      <c r="B2593" s="52" t="s">
        <v>842</v>
      </c>
      <c r="C2593" s="7"/>
      <c r="D2593" s="53">
        <f>F2576</f>
        <v>8793.3674562164506</v>
      </c>
      <c r="E2593" s="56">
        <f>E2443</f>
        <v>0</v>
      </c>
      <c r="F2593" s="53">
        <f>D2593*E2593</f>
        <v>0</v>
      </c>
    </row>
    <row r="2594" spans="1:6" ht="18" customHeight="1">
      <c r="A2594" s="7">
        <v>2</v>
      </c>
      <c r="B2594" s="52" t="s">
        <v>182</v>
      </c>
      <c r="C2594" s="7"/>
      <c r="D2594" s="53">
        <f>F2575</f>
        <v>9215.4490941148397</v>
      </c>
      <c r="E2594" s="56">
        <f>E2444</f>
        <v>7.2499999999999995E-2</v>
      </c>
      <c r="F2594" s="53">
        <f>D2594*E2594</f>
        <v>668.12005932332579</v>
      </c>
    </row>
    <row r="2595" spans="1:6" ht="18" customHeight="1">
      <c r="A2595" s="7">
        <v>3</v>
      </c>
      <c r="B2595" s="52" t="s">
        <v>843</v>
      </c>
      <c r="C2595" s="7"/>
      <c r="D2595" s="53">
        <f>F2594+F2575</f>
        <v>9883.5691534381658</v>
      </c>
      <c r="E2595" s="56">
        <f>E2445</f>
        <v>7.0000000000000007E-2</v>
      </c>
      <c r="F2595" s="53">
        <f>D2595*E2595</f>
        <v>691.84984074067165</v>
      </c>
    </row>
    <row r="2596" spans="1:6" ht="18" customHeight="1">
      <c r="A2596" s="7">
        <v>4</v>
      </c>
      <c r="B2596" s="52" t="s">
        <v>184</v>
      </c>
      <c r="C2596" s="7"/>
      <c r="D2596" s="7"/>
      <c r="E2596" s="7"/>
      <c r="F2596" s="53">
        <f>SUM(F2597:F2602)</f>
        <v>35.66154908499999</v>
      </c>
    </row>
    <row r="2597" spans="1:6" ht="18" customHeight="1">
      <c r="A2597" s="7"/>
      <c r="B2597" s="52" t="s">
        <v>354</v>
      </c>
      <c r="C2597" s="7" t="s">
        <v>88</v>
      </c>
      <c r="D2597" s="7">
        <f>A2</f>
        <v>116.41515</v>
      </c>
      <c r="E2597" s="7">
        <f>E2584*砼配合!I33</f>
        <v>0.26229999999999998</v>
      </c>
      <c r="F2597" s="53">
        <f t="shared" ref="F2597:F2603" si="182">D2597*E2597</f>
        <v>30.535693844999997</v>
      </c>
    </row>
    <row r="2598" spans="1:6" ht="18" customHeight="1">
      <c r="A2598" s="7"/>
      <c r="B2598" s="52" t="s">
        <v>507</v>
      </c>
      <c r="C2598" s="7" t="s">
        <v>871</v>
      </c>
      <c r="D2598" s="66">
        <f>D2162</f>
        <v>4.6598683999999899</v>
      </c>
      <c r="E2598" s="7">
        <f>E2584*砼配合!I34</f>
        <v>1.1000000000000001</v>
      </c>
      <c r="F2598" s="53">
        <f t="shared" si="182"/>
        <v>5.1258552399999893</v>
      </c>
    </row>
    <row r="2599" spans="1:6" ht="18" customHeight="1">
      <c r="A2599" s="7"/>
      <c r="B2599" s="52" t="s">
        <v>509</v>
      </c>
      <c r="C2599" s="7" t="s">
        <v>871</v>
      </c>
      <c r="D2599" s="66">
        <f>D2163</f>
        <v>6.2457299999999902</v>
      </c>
      <c r="E2599" s="7">
        <f>E2585*砼配合!I178</f>
        <v>0</v>
      </c>
      <c r="F2599" s="53">
        <f t="shared" si="182"/>
        <v>0</v>
      </c>
    </row>
    <row r="2600" spans="1:6" ht="18" customHeight="1">
      <c r="A2600" s="7"/>
      <c r="B2600" s="52" t="s">
        <v>506</v>
      </c>
      <c r="C2600" s="7" t="s">
        <v>871</v>
      </c>
      <c r="D2600" s="7">
        <f>D2164</f>
        <v>0</v>
      </c>
      <c r="E2600" s="7">
        <f>E2581</f>
        <v>1</v>
      </c>
      <c r="F2600" s="53">
        <f t="shared" si="182"/>
        <v>0</v>
      </c>
    </row>
    <row r="2601" spans="1:6" ht="18" customHeight="1">
      <c r="A2601" s="7"/>
      <c r="B2601" s="52" t="s">
        <v>515</v>
      </c>
      <c r="C2601" s="7" t="s">
        <v>844</v>
      </c>
      <c r="D2601" s="7">
        <f>D2165</f>
        <v>4.7450000000000001</v>
      </c>
      <c r="E2601" s="7">
        <f>台时!AK220*砼单价!E2588</f>
        <v>0</v>
      </c>
      <c r="F2601" s="53">
        <f t="shared" si="182"/>
        <v>0</v>
      </c>
    </row>
    <row r="2602" spans="1:6" ht="18" customHeight="1">
      <c r="A2602" s="7"/>
      <c r="B2602" s="52" t="s">
        <v>516</v>
      </c>
      <c r="C2602" s="7" t="s">
        <v>844</v>
      </c>
      <c r="D2602" s="7">
        <f>D2166</f>
        <v>3.51</v>
      </c>
      <c r="E2602" s="7">
        <f>E2589*台时!BA178</f>
        <v>0</v>
      </c>
      <c r="F2602" s="53">
        <f t="shared" si="182"/>
        <v>0</v>
      </c>
    </row>
    <row r="2603" spans="1:6" ht="18" customHeight="1">
      <c r="A2603" s="7">
        <v>5</v>
      </c>
      <c r="B2603" s="52" t="s">
        <v>845</v>
      </c>
      <c r="C2603" s="7"/>
      <c r="D2603" s="53">
        <f>F2575+F2594+F2595+F2596</f>
        <v>10611.080543263837</v>
      </c>
      <c r="E2603" s="56">
        <f>E2453</f>
        <v>0.09</v>
      </c>
      <c r="F2603" s="53">
        <f t="shared" si="182"/>
        <v>954.99724889374534</v>
      </c>
    </row>
    <row r="2604" spans="1:6" ht="18" customHeight="1">
      <c r="A2604" s="7">
        <v>6</v>
      </c>
      <c r="B2604" s="52" t="s">
        <v>7</v>
      </c>
      <c r="C2604" s="7"/>
      <c r="D2604" s="7"/>
      <c r="E2604" s="7"/>
      <c r="F2604" s="53">
        <f>D2603+F2603</f>
        <v>11566.077792157583</v>
      </c>
    </row>
    <row r="2605" spans="1:6" ht="18" customHeight="1">
      <c r="A2605" s="7"/>
      <c r="B2605" s="52" t="s">
        <v>846</v>
      </c>
      <c r="C2605" s="7"/>
      <c r="D2605" s="53">
        <f>F2604</f>
        <v>11566.077792157583</v>
      </c>
      <c r="E2605" s="56">
        <f>E2455</f>
        <v>0.03</v>
      </c>
      <c r="F2605" s="53">
        <f>E2605*D2605</f>
        <v>346.98233376472746</v>
      </c>
    </row>
    <row r="2606" spans="1:6" ht="18" customHeight="1">
      <c r="A2606" s="7"/>
      <c r="B2606" s="52" t="s">
        <v>44</v>
      </c>
      <c r="C2606" s="52"/>
      <c r="D2606" s="7"/>
      <c r="E2606" s="7"/>
      <c r="F2606" s="53">
        <f>SUM(F2604:F2605)</f>
        <v>11913.060125922309</v>
      </c>
    </row>
    <row r="2607" spans="1:6" ht="20.25" customHeight="1">
      <c r="A2607" s="461" t="s">
        <v>813</v>
      </c>
      <c r="B2607" s="461"/>
      <c r="C2607" s="461"/>
      <c r="D2607" s="461"/>
      <c r="E2607" s="461"/>
      <c r="F2607" s="461"/>
    </row>
    <row r="2608" spans="1:6" ht="18" customHeight="1">
      <c r="A2608" s="462" t="s">
        <v>1041</v>
      </c>
      <c r="B2608" s="462"/>
      <c r="C2608" s="462"/>
      <c r="D2608" s="462"/>
      <c r="E2608" s="462"/>
      <c r="F2608" s="462"/>
    </row>
    <row r="2609" spans="1:6" ht="18" customHeight="1">
      <c r="A2609" s="47" t="s">
        <v>815</v>
      </c>
      <c r="B2609" s="49">
        <v>4273</v>
      </c>
      <c r="D2609" s="46"/>
      <c r="E2609" s="47" t="s">
        <v>169</v>
      </c>
      <c r="F2609" s="49" t="s">
        <v>1034</v>
      </c>
    </row>
    <row r="2610" spans="1:6" ht="18" customHeight="1">
      <c r="A2610" s="50" t="s">
        <v>817</v>
      </c>
      <c r="B2610" s="52"/>
      <c r="C2610" s="52"/>
      <c r="D2610" s="7"/>
      <c r="E2610" s="7"/>
      <c r="F2610" s="7"/>
    </row>
    <row r="2611" spans="1:6" ht="18" customHeight="1">
      <c r="A2611" s="7" t="s">
        <v>1</v>
      </c>
      <c r="B2611" s="52" t="s">
        <v>344</v>
      </c>
      <c r="C2611" s="7" t="s">
        <v>818</v>
      </c>
      <c r="D2611" s="7" t="s">
        <v>819</v>
      </c>
      <c r="E2611" s="7" t="s">
        <v>820</v>
      </c>
      <c r="F2611" s="7" t="s">
        <v>821</v>
      </c>
    </row>
    <row r="2612" spans="1:6" ht="18" customHeight="1">
      <c r="A2612" s="7">
        <v>1</v>
      </c>
      <c r="B2612" s="52" t="s">
        <v>822</v>
      </c>
      <c r="C2612" s="7"/>
      <c r="D2612" s="7"/>
      <c r="E2612" s="7"/>
      <c r="F2612" s="53">
        <f>F2613+F2621+F2622</f>
        <v>12788.73352</v>
      </c>
    </row>
    <row r="2613" spans="1:6" ht="18" customHeight="1">
      <c r="A2613" s="7">
        <v>1.1000000000000001</v>
      </c>
      <c r="B2613" s="52" t="s">
        <v>823</v>
      </c>
      <c r="C2613" s="7"/>
      <c r="D2613" s="7"/>
      <c r="E2613" s="7"/>
      <c r="F2613" s="53">
        <f>F2614+F2617+F2620</f>
        <v>12202.99</v>
      </c>
    </row>
    <row r="2614" spans="1:6" ht="18" customHeight="1">
      <c r="A2614" s="7" t="s">
        <v>47</v>
      </c>
      <c r="B2614" s="52" t="s">
        <v>176</v>
      </c>
      <c r="C2614" s="7"/>
      <c r="D2614" s="7"/>
      <c r="E2614" s="7"/>
      <c r="F2614" s="53">
        <f>F2615+F2616</f>
        <v>1279.8399999999999</v>
      </c>
    </row>
    <row r="2615" spans="1:6" ht="18" customHeight="1">
      <c r="A2615" s="7"/>
      <c r="B2615" s="52" t="s">
        <v>824</v>
      </c>
      <c r="C2615" s="7" t="s">
        <v>825</v>
      </c>
      <c r="D2615" s="7">
        <v>8.1</v>
      </c>
      <c r="E2615" s="7">
        <v>123.1</v>
      </c>
      <c r="F2615" s="53">
        <f>D2615*E2615</f>
        <v>997.11</v>
      </c>
    </row>
    <row r="2616" spans="1:6" ht="18" customHeight="1">
      <c r="A2616" s="7"/>
      <c r="B2616" s="52" t="s">
        <v>826</v>
      </c>
      <c r="C2616" s="7" t="s">
        <v>825</v>
      </c>
      <c r="D2616" s="7">
        <v>5.77</v>
      </c>
      <c r="E2616" s="7">
        <v>49</v>
      </c>
      <c r="F2616" s="53">
        <f>D2616*E2616</f>
        <v>282.73</v>
      </c>
    </row>
    <row r="2617" spans="1:6" ht="18" customHeight="1">
      <c r="A2617" s="7" t="s">
        <v>57</v>
      </c>
      <c r="B2617" s="52" t="s">
        <v>177</v>
      </c>
      <c r="C2617" s="7"/>
      <c r="D2617" s="7"/>
      <c r="E2617" s="7"/>
      <c r="F2617" s="53">
        <f>SUM(F2618:F2619)</f>
        <v>10923.15</v>
      </c>
    </row>
    <row r="2618" spans="1:6" ht="18" customHeight="1">
      <c r="A2618" s="7"/>
      <c r="B2618" s="52" t="s">
        <v>1042</v>
      </c>
      <c r="C2618" s="7" t="s">
        <v>386</v>
      </c>
      <c r="D2618" s="7">
        <v>105</v>
      </c>
      <c r="E2618" s="7">
        <v>103</v>
      </c>
      <c r="F2618" s="53">
        <f>D2618*E2618</f>
        <v>10815</v>
      </c>
    </row>
    <row r="2619" spans="1:6" ht="18" customHeight="1">
      <c r="A2619" s="7"/>
      <c r="B2619" s="52" t="s">
        <v>833</v>
      </c>
      <c r="C2619" s="7" t="s">
        <v>834</v>
      </c>
      <c r="D2619" s="7">
        <f>SUM(F2618:F2618)</f>
        <v>10815</v>
      </c>
      <c r="E2619" s="7">
        <v>1</v>
      </c>
      <c r="F2619" s="53">
        <f>D2619*E2619/100</f>
        <v>108.15</v>
      </c>
    </row>
    <row r="2620" spans="1:6" ht="18" customHeight="1">
      <c r="A2620" s="7"/>
      <c r="B2620" s="52"/>
      <c r="C2620" s="52"/>
      <c r="D2620" s="7"/>
      <c r="E2620" s="7"/>
      <c r="F2620" s="53"/>
    </row>
    <row r="2621" spans="1:6" ht="18" customHeight="1">
      <c r="A2621" s="7">
        <v>1.2</v>
      </c>
      <c r="B2621" s="52" t="s">
        <v>841</v>
      </c>
      <c r="C2621" s="52"/>
      <c r="D2621" s="53">
        <f>F2613</f>
        <v>12202.99</v>
      </c>
      <c r="E2621" s="56">
        <f>取费!C9</f>
        <v>4.8000000000000001E-2</v>
      </c>
      <c r="F2621" s="53">
        <f>D2621*E2621</f>
        <v>585.74351999999999</v>
      </c>
    </row>
    <row r="2622" spans="1:6" ht="18" customHeight="1">
      <c r="A2622" s="7">
        <v>1.3</v>
      </c>
      <c r="B2622" s="52" t="s">
        <v>842</v>
      </c>
      <c r="C2622" s="52"/>
      <c r="D2622" s="53">
        <f>F2613</f>
        <v>12202.99</v>
      </c>
      <c r="E2622" s="56">
        <f>取费!D9</f>
        <v>0</v>
      </c>
      <c r="F2622" s="53">
        <f>D2622*E2622</f>
        <v>0</v>
      </c>
    </row>
    <row r="2623" spans="1:6" ht="18" customHeight="1">
      <c r="A2623" s="7">
        <v>2</v>
      </c>
      <c r="B2623" s="52" t="s">
        <v>182</v>
      </c>
      <c r="C2623" s="52"/>
      <c r="D2623" s="53">
        <f>F2612</f>
        <v>12788.73352</v>
      </c>
      <c r="E2623" s="56">
        <f>取费!E9</f>
        <v>7.0000000000000007E-2</v>
      </c>
      <c r="F2623" s="53">
        <f>D2623*E2623</f>
        <v>895.21134640000002</v>
      </c>
    </row>
    <row r="2624" spans="1:6" ht="18" customHeight="1">
      <c r="A2624" s="7">
        <v>3</v>
      </c>
      <c r="B2624" s="52" t="s">
        <v>843</v>
      </c>
      <c r="C2624" s="52"/>
      <c r="D2624" s="53">
        <f>F2623+F2612</f>
        <v>13683.944866399999</v>
      </c>
      <c r="E2624" s="56">
        <f>取费!F9</f>
        <v>7.0000000000000007E-2</v>
      </c>
      <c r="F2624" s="53">
        <f>D2624*E2624</f>
        <v>957.87614064800005</v>
      </c>
    </row>
    <row r="2625" spans="1:6" ht="18" customHeight="1">
      <c r="A2625" s="7">
        <v>4</v>
      </c>
      <c r="B2625" s="52" t="s">
        <v>845</v>
      </c>
      <c r="C2625" s="52"/>
      <c r="D2625" s="53">
        <f>F2612+F2623+F2624</f>
        <v>14641.821007048</v>
      </c>
      <c r="E2625" s="56">
        <f>取费!G9</f>
        <v>0.09</v>
      </c>
      <c r="F2625" s="53">
        <f>D2625*E2625</f>
        <v>1317.76389063432</v>
      </c>
    </row>
    <row r="2626" spans="1:6" ht="18" customHeight="1">
      <c r="A2626" s="7">
        <v>5</v>
      </c>
      <c r="B2626" s="52" t="s">
        <v>7</v>
      </c>
      <c r="C2626" s="52"/>
      <c r="D2626" s="7"/>
      <c r="E2626" s="7"/>
      <c r="F2626" s="53">
        <f>D2625+F2625</f>
        <v>15959.58489768232</v>
      </c>
    </row>
    <row r="2627" spans="1:6" ht="18" customHeight="1">
      <c r="A2627" s="7"/>
      <c r="B2627" s="52" t="s">
        <v>846</v>
      </c>
      <c r="C2627" s="52"/>
      <c r="D2627" s="53">
        <f>F2626</f>
        <v>15959.58489768232</v>
      </c>
      <c r="E2627" s="56">
        <f>取费!H6</f>
        <v>0.03</v>
      </c>
      <c r="F2627" s="53">
        <f>E2627*D2627</f>
        <v>478.7875469304696</v>
      </c>
    </row>
    <row r="2628" spans="1:6" ht="18" customHeight="1">
      <c r="A2628" s="7"/>
      <c r="B2628" s="52" t="s">
        <v>44</v>
      </c>
      <c r="C2628" s="52"/>
      <c r="D2628" s="7"/>
      <c r="E2628" s="7"/>
      <c r="F2628" s="53">
        <f>SUM(F2626:F2627)</f>
        <v>16438.372444612789</v>
      </c>
    </row>
    <row r="2629" spans="1:6" ht="20.25" customHeight="1">
      <c r="A2629" s="461" t="s">
        <v>813</v>
      </c>
      <c r="B2629" s="461"/>
      <c r="C2629" s="461"/>
      <c r="D2629" s="461"/>
      <c r="E2629" s="461"/>
      <c r="F2629" s="461"/>
    </row>
    <row r="2630" spans="1:6" ht="18" customHeight="1">
      <c r="A2630" s="462" t="s">
        <v>1043</v>
      </c>
      <c r="B2630" s="462"/>
      <c r="C2630" s="462"/>
      <c r="D2630" s="462"/>
      <c r="E2630" s="462"/>
      <c r="F2630" s="462"/>
    </row>
    <row r="2631" spans="1:6" ht="18" customHeight="1">
      <c r="A2631" s="47" t="s">
        <v>815</v>
      </c>
      <c r="B2631" s="49" t="s">
        <v>281</v>
      </c>
      <c r="D2631" s="46"/>
      <c r="E2631" s="47" t="s">
        <v>169</v>
      </c>
      <c r="F2631" s="49" t="s">
        <v>871</v>
      </c>
    </row>
    <row r="2632" spans="1:6" ht="18" customHeight="1">
      <c r="A2632" s="50" t="s">
        <v>817</v>
      </c>
      <c r="B2632" s="52"/>
      <c r="C2632" s="52"/>
      <c r="D2632" s="7"/>
      <c r="E2632" s="7"/>
      <c r="F2632" s="7"/>
    </row>
    <row r="2633" spans="1:6" ht="18" customHeight="1">
      <c r="A2633" s="7" t="s">
        <v>1</v>
      </c>
      <c r="B2633" s="52" t="s">
        <v>344</v>
      </c>
      <c r="C2633" s="7" t="s">
        <v>818</v>
      </c>
      <c r="D2633" s="7" t="s">
        <v>819</v>
      </c>
      <c r="E2633" s="7" t="s">
        <v>820</v>
      </c>
      <c r="F2633" s="7" t="s">
        <v>821</v>
      </c>
    </row>
    <row r="2634" spans="1:6" ht="18" customHeight="1">
      <c r="A2634" s="7">
        <v>1</v>
      </c>
      <c r="B2634" s="52" t="s">
        <v>822</v>
      </c>
      <c r="C2634" s="7"/>
      <c r="D2634" s="7"/>
      <c r="E2634" s="7"/>
      <c r="F2634" s="53">
        <f>F2635+F2643+F2644</f>
        <v>5439.12</v>
      </c>
    </row>
    <row r="2635" spans="1:6" ht="18" customHeight="1">
      <c r="A2635" s="7">
        <v>1.1000000000000001</v>
      </c>
      <c r="B2635" s="52" t="s">
        <v>823</v>
      </c>
      <c r="C2635" s="7"/>
      <c r="D2635" s="7"/>
      <c r="E2635" s="7"/>
      <c r="F2635" s="53">
        <f>F2636+F2639+F2642</f>
        <v>5190</v>
      </c>
    </row>
    <row r="2636" spans="1:6" ht="18" customHeight="1">
      <c r="A2636" s="7" t="s">
        <v>47</v>
      </c>
      <c r="B2636" s="52" t="s">
        <v>176</v>
      </c>
      <c r="C2636" s="7"/>
      <c r="D2636" s="7"/>
      <c r="E2636" s="7"/>
      <c r="F2636" s="53">
        <f>F2637+F2638</f>
        <v>508.2</v>
      </c>
    </row>
    <row r="2637" spans="1:6" ht="18" customHeight="1">
      <c r="A2637" s="7"/>
      <c r="B2637" s="52" t="s">
        <v>824</v>
      </c>
      <c r="C2637" s="7" t="s">
        <v>825</v>
      </c>
      <c r="D2637" s="7">
        <v>8.1</v>
      </c>
      <c r="E2637" s="7">
        <v>20</v>
      </c>
      <c r="F2637" s="53">
        <f>D2637*E2637</f>
        <v>162</v>
      </c>
    </row>
    <row r="2638" spans="1:6" ht="18" customHeight="1">
      <c r="A2638" s="7"/>
      <c r="B2638" s="52" t="s">
        <v>826</v>
      </c>
      <c r="C2638" s="7" t="s">
        <v>825</v>
      </c>
      <c r="D2638" s="7">
        <v>5.77</v>
      </c>
      <c r="E2638" s="7">
        <v>60</v>
      </c>
      <c r="F2638" s="53">
        <f>D2638*E2638</f>
        <v>346.2</v>
      </c>
    </row>
    <row r="2639" spans="1:6" ht="18" customHeight="1">
      <c r="A2639" s="7" t="s">
        <v>57</v>
      </c>
      <c r="B2639" s="52" t="s">
        <v>177</v>
      </c>
      <c r="C2639" s="7"/>
      <c r="D2639" s="7"/>
      <c r="E2639" s="7"/>
      <c r="F2639" s="53">
        <f>SUM(F2640:F2641)</f>
        <v>4681.8</v>
      </c>
    </row>
    <row r="2640" spans="1:6" ht="18" customHeight="1">
      <c r="A2640" s="7"/>
      <c r="B2640" s="52" t="s">
        <v>253</v>
      </c>
      <c r="C2640" s="7" t="s">
        <v>88</v>
      </c>
      <c r="D2640" s="7">
        <v>4500</v>
      </c>
      <c r="E2640" s="7">
        <v>1.02</v>
      </c>
      <c r="F2640" s="53">
        <f>E2640*D2640</f>
        <v>4590</v>
      </c>
    </row>
    <row r="2641" spans="1:6" ht="18" customHeight="1">
      <c r="A2641" s="7"/>
      <c r="B2641" s="52" t="s">
        <v>833</v>
      </c>
      <c r="C2641" s="7" t="s">
        <v>834</v>
      </c>
      <c r="D2641" s="53">
        <f>SUM(F2640:F2640)</f>
        <v>4590</v>
      </c>
      <c r="E2641" s="7">
        <v>2</v>
      </c>
      <c r="F2641" s="53">
        <f>D2641*E2641/100</f>
        <v>91.8</v>
      </c>
    </row>
    <row r="2642" spans="1:6" ht="18" customHeight="1">
      <c r="A2642" s="7"/>
      <c r="B2642" s="52"/>
      <c r="C2642" s="52"/>
      <c r="D2642" s="7"/>
      <c r="E2642" s="7"/>
      <c r="F2642" s="53"/>
    </row>
    <row r="2643" spans="1:6" ht="18" customHeight="1">
      <c r="A2643" s="7">
        <v>1.2</v>
      </c>
      <c r="B2643" s="52" t="s">
        <v>841</v>
      </c>
      <c r="C2643" s="52"/>
      <c r="D2643" s="53">
        <f>F2635</f>
        <v>5190</v>
      </c>
      <c r="E2643" s="56">
        <f>E2621</f>
        <v>4.8000000000000001E-2</v>
      </c>
      <c r="F2643" s="53">
        <f>D2643*E2643</f>
        <v>249.12</v>
      </c>
    </row>
    <row r="2644" spans="1:6" ht="18" customHeight="1">
      <c r="A2644" s="7">
        <v>1.3</v>
      </c>
      <c r="B2644" s="52" t="s">
        <v>842</v>
      </c>
      <c r="C2644" s="52"/>
      <c r="D2644" s="53">
        <f>F2635</f>
        <v>5190</v>
      </c>
      <c r="E2644" s="56">
        <f>E2622</f>
        <v>0</v>
      </c>
      <c r="F2644" s="53">
        <f>D2644*E2644</f>
        <v>0</v>
      </c>
    </row>
    <row r="2645" spans="1:6" ht="18" customHeight="1">
      <c r="A2645" s="7">
        <v>2</v>
      </c>
      <c r="B2645" s="52" t="s">
        <v>182</v>
      </c>
      <c r="C2645" s="52"/>
      <c r="D2645" s="53">
        <f>F2634</f>
        <v>5439.12</v>
      </c>
      <c r="E2645" s="56">
        <f>E2623</f>
        <v>7.0000000000000007E-2</v>
      </c>
      <c r="F2645" s="53">
        <f>D2645*E2645</f>
        <v>380.73840000000001</v>
      </c>
    </row>
    <row r="2646" spans="1:6" ht="18" customHeight="1">
      <c r="A2646" s="7">
        <v>3</v>
      </c>
      <c r="B2646" s="52" t="s">
        <v>843</v>
      </c>
      <c r="C2646" s="52"/>
      <c r="D2646" s="53">
        <f>F2645+F2634</f>
        <v>5819.8584000000001</v>
      </c>
      <c r="E2646" s="56">
        <f>E2624</f>
        <v>7.0000000000000007E-2</v>
      </c>
      <c r="F2646" s="53">
        <f>D2646*E2646</f>
        <v>407.39008800000005</v>
      </c>
    </row>
    <row r="2647" spans="1:6" ht="18" customHeight="1">
      <c r="A2647" s="7">
        <v>4</v>
      </c>
      <c r="B2647" s="52" t="s">
        <v>845</v>
      </c>
      <c r="C2647" s="52"/>
      <c r="D2647" s="53">
        <f>F2634+F2645+F2646</f>
        <v>6227.2484880000002</v>
      </c>
      <c r="E2647" s="56">
        <f>E2625</f>
        <v>0.09</v>
      </c>
      <c r="F2647" s="53">
        <f>D2647*E2647</f>
        <v>560.45236392000004</v>
      </c>
    </row>
    <row r="2648" spans="1:6" ht="18" customHeight="1">
      <c r="A2648" s="7">
        <v>5</v>
      </c>
      <c r="B2648" s="52" t="s">
        <v>7</v>
      </c>
      <c r="C2648" s="52"/>
      <c r="D2648" s="7"/>
      <c r="E2648" s="7"/>
      <c r="F2648" s="53">
        <f>D2647+F2647</f>
        <v>6787.7008519199999</v>
      </c>
    </row>
    <row r="2649" spans="1:6" ht="18" customHeight="1">
      <c r="A2649" s="7"/>
      <c r="B2649" s="52" t="s">
        <v>846</v>
      </c>
      <c r="C2649" s="52"/>
      <c r="D2649" s="53">
        <f>F2648</f>
        <v>6787.7008519199999</v>
      </c>
      <c r="E2649" s="56">
        <f>E2627</f>
        <v>0.03</v>
      </c>
      <c r="F2649" s="53">
        <f>E2649*D2649</f>
        <v>203.6310255576</v>
      </c>
    </row>
    <row r="2650" spans="1:6" ht="18" customHeight="1">
      <c r="A2650" s="7"/>
      <c r="B2650" s="52" t="s">
        <v>44</v>
      </c>
      <c r="C2650" s="52"/>
      <c r="D2650" s="7"/>
      <c r="E2650" s="7"/>
      <c r="F2650" s="53">
        <f>SUM(F2648:F2649)</f>
        <v>6991.3318774775998</v>
      </c>
    </row>
    <row r="2651" spans="1:6" ht="20.25" customHeight="1">
      <c r="A2651" s="461" t="s">
        <v>813</v>
      </c>
      <c r="B2651" s="461"/>
      <c r="C2651" s="461"/>
      <c r="D2651" s="461"/>
      <c r="E2651" s="461"/>
      <c r="F2651" s="461"/>
    </row>
    <row r="2652" spans="1:6" ht="18" customHeight="1">
      <c r="A2652" s="462" t="s">
        <v>1044</v>
      </c>
      <c r="B2652" s="462"/>
      <c r="C2652" s="462"/>
      <c r="D2652" s="462"/>
      <c r="E2652" s="462"/>
      <c r="F2652" s="462"/>
    </row>
    <row r="2653" spans="1:6" ht="18" customHeight="1">
      <c r="A2653" s="47" t="s">
        <v>815</v>
      </c>
      <c r="B2653" s="49">
        <v>4289</v>
      </c>
      <c r="D2653" s="46"/>
      <c r="E2653" s="47" t="s">
        <v>169</v>
      </c>
      <c r="F2653" s="49" t="s">
        <v>951</v>
      </c>
    </row>
    <row r="2654" spans="1:6" ht="18" customHeight="1">
      <c r="A2654" s="50" t="s">
        <v>817</v>
      </c>
      <c r="B2654" s="52"/>
      <c r="C2654" s="52"/>
      <c r="D2654" s="7"/>
      <c r="E2654" s="7"/>
      <c r="F2654" s="7"/>
    </row>
    <row r="2655" spans="1:6" ht="18" customHeight="1">
      <c r="A2655" s="7" t="s">
        <v>1</v>
      </c>
      <c r="B2655" s="52" t="s">
        <v>344</v>
      </c>
      <c r="C2655" s="7" t="s">
        <v>818</v>
      </c>
      <c r="D2655" s="7" t="s">
        <v>819</v>
      </c>
      <c r="E2655" s="7" t="s">
        <v>820</v>
      </c>
      <c r="F2655" s="7" t="s">
        <v>821</v>
      </c>
    </row>
    <row r="2656" spans="1:6" ht="18" customHeight="1">
      <c r="A2656" s="7">
        <v>1</v>
      </c>
      <c r="B2656" s="52" t="s">
        <v>822</v>
      </c>
      <c r="C2656" s="7"/>
      <c r="D2656" s="7"/>
      <c r="E2656" s="7"/>
      <c r="F2656" s="53">
        <f>F2657+F2666+F2667</f>
        <v>1897.992976</v>
      </c>
    </row>
    <row r="2657" spans="1:6" ht="18" customHeight="1">
      <c r="A2657" s="7">
        <v>1.1000000000000001</v>
      </c>
      <c r="B2657" s="52" t="s">
        <v>823</v>
      </c>
      <c r="C2657" s="7"/>
      <c r="D2657" s="7"/>
      <c r="E2657" s="7"/>
      <c r="F2657" s="53">
        <f>F2658+F2661+F2665</f>
        <v>1811.0619999999999</v>
      </c>
    </row>
    <row r="2658" spans="1:6" ht="18" customHeight="1">
      <c r="A2658" s="7" t="s">
        <v>47</v>
      </c>
      <c r="B2658" s="52" t="s">
        <v>176</v>
      </c>
      <c r="C2658" s="7"/>
      <c r="D2658" s="7"/>
      <c r="E2658" s="7"/>
      <c r="F2658" s="53">
        <f>F2659+F2660</f>
        <v>525.83699999999999</v>
      </c>
    </row>
    <row r="2659" spans="1:6" ht="18" customHeight="1">
      <c r="A2659" s="7"/>
      <c r="B2659" s="52" t="s">
        <v>824</v>
      </c>
      <c r="C2659" s="7" t="s">
        <v>825</v>
      </c>
      <c r="D2659" s="7">
        <v>8.1</v>
      </c>
      <c r="E2659" s="7">
        <v>50.6</v>
      </c>
      <c r="F2659" s="53">
        <f>D2659*E2659</f>
        <v>409.86</v>
      </c>
    </row>
    <row r="2660" spans="1:6" ht="18" customHeight="1">
      <c r="A2660" s="7"/>
      <c r="B2660" s="52" t="s">
        <v>826</v>
      </c>
      <c r="C2660" s="7" t="s">
        <v>825</v>
      </c>
      <c r="D2660" s="7">
        <v>5.77</v>
      </c>
      <c r="E2660" s="7">
        <v>20.100000000000001</v>
      </c>
      <c r="F2660" s="53">
        <f>D2660*E2660</f>
        <v>115.977</v>
      </c>
    </row>
    <row r="2661" spans="1:6" ht="18" customHeight="1">
      <c r="A2661" s="7" t="s">
        <v>57</v>
      </c>
      <c r="B2661" s="52" t="s">
        <v>177</v>
      </c>
      <c r="C2661" s="7"/>
      <c r="D2661" s="7"/>
      <c r="E2661" s="7"/>
      <c r="F2661" s="53">
        <f>SUM(F2662:F2664)</f>
        <v>1285.2249999999999</v>
      </c>
    </row>
    <row r="2662" spans="1:6" ht="18" customHeight="1">
      <c r="A2662" s="7"/>
      <c r="B2662" s="52" t="s">
        <v>1023</v>
      </c>
      <c r="C2662" s="7" t="s">
        <v>88</v>
      </c>
      <c r="D2662" s="7">
        <v>4600</v>
      </c>
      <c r="E2662" s="7">
        <v>0.26</v>
      </c>
      <c r="F2662" s="53">
        <f>E2662*D2662</f>
        <v>1196</v>
      </c>
    </row>
    <row r="2663" spans="1:6" ht="18" customHeight="1">
      <c r="A2663" s="7"/>
      <c r="B2663" s="52" t="s">
        <v>506</v>
      </c>
      <c r="C2663" s="7" t="s">
        <v>871</v>
      </c>
      <c r="D2663" s="7">
        <v>850</v>
      </c>
      <c r="E2663" s="7">
        <v>0.09</v>
      </c>
      <c r="F2663" s="53">
        <f>E2663*D2663</f>
        <v>76.5</v>
      </c>
    </row>
    <row r="2664" spans="1:6" ht="18" customHeight="1">
      <c r="A2664" s="7"/>
      <c r="B2664" s="52" t="s">
        <v>833</v>
      </c>
      <c r="C2664" s="7" t="s">
        <v>834</v>
      </c>
      <c r="D2664" s="53">
        <f>SUM(F2662:F2663)</f>
        <v>1272.5</v>
      </c>
      <c r="E2664" s="7">
        <v>1</v>
      </c>
      <c r="F2664" s="53">
        <f>D2664*E2664/100</f>
        <v>12.725</v>
      </c>
    </row>
    <row r="2665" spans="1:6" ht="18" customHeight="1">
      <c r="A2665" s="7"/>
      <c r="B2665" s="52"/>
      <c r="C2665" s="52"/>
      <c r="D2665" s="7"/>
      <c r="E2665" s="7"/>
      <c r="F2665" s="53"/>
    </row>
    <row r="2666" spans="1:6" ht="18" customHeight="1">
      <c r="A2666" s="7">
        <v>1.2</v>
      </c>
      <c r="B2666" s="52" t="s">
        <v>841</v>
      </c>
      <c r="C2666" s="52"/>
      <c r="D2666" s="53">
        <f>F2657</f>
        <v>1811.0619999999999</v>
      </c>
      <c r="E2666" s="56">
        <f>E2643</f>
        <v>4.8000000000000001E-2</v>
      </c>
      <c r="F2666" s="53">
        <f>D2666*E2666</f>
        <v>86.930976000000001</v>
      </c>
    </row>
    <row r="2667" spans="1:6" ht="18" customHeight="1">
      <c r="A2667" s="7">
        <v>1.3</v>
      </c>
      <c r="B2667" s="52" t="s">
        <v>842</v>
      </c>
      <c r="C2667" s="52"/>
      <c r="D2667" s="53">
        <f>F2657</f>
        <v>1811.0619999999999</v>
      </c>
      <c r="E2667" s="56">
        <f>E2644</f>
        <v>0</v>
      </c>
      <c r="F2667" s="53">
        <f>D2667*E2667</f>
        <v>0</v>
      </c>
    </row>
    <row r="2668" spans="1:6" ht="18" customHeight="1">
      <c r="A2668" s="7">
        <v>2</v>
      </c>
      <c r="B2668" s="52" t="s">
        <v>182</v>
      </c>
      <c r="C2668" s="52"/>
      <c r="D2668" s="53">
        <f>F2656</f>
        <v>1897.992976</v>
      </c>
      <c r="E2668" s="56">
        <f>E2645</f>
        <v>7.0000000000000007E-2</v>
      </c>
      <c r="F2668" s="53">
        <f>D2668*E2668</f>
        <v>132.85950832</v>
      </c>
    </row>
    <row r="2669" spans="1:6" ht="18" customHeight="1">
      <c r="A2669" s="7">
        <v>3</v>
      </c>
      <c r="B2669" s="52" t="s">
        <v>843</v>
      </c>
      <c r="C2669" s="52"/>
      <c r="D2669" s="53">
        <f>F2668+F2656</f>
        <v>2030.85248432</v>
      </c>
      <c r="E2669" s="56">
        <f>E2646</f>
        <v>7.0000000000000007E-2</v>
      </c>
      <c r="F2669" s="53">
        <f>D2669*E2669</f>
        <v>142.15967390240002</v>
      </c>
    </row>
    <row r="2670" spans="1:6" ht="18" customHeight="1">
      <c r="A2670" s="7">
        <v>4</v>
      </c>
      <c r="B2670" s="52" t="s">
        <v>845</v>
      </c>
      <c r="C2670" s="52"/>
      <c r="D2670" s="53">
        <f>F2656+F2668+F2669</f>
        <v>2173.0121582224001</v>
      </c>
      <c r="E2670" s="56">
        <f>E2647</f>
        <v>0.09</v>
      </c>
      <c r="F2670" s="53">
        <f>D2670*E2670</f>
        <v>195.57109424001601</v>
      </c>
    </row>
    <row r="2671" spans="1:6" ht="18" customHeight="1">
      <c r="A2671" s="7">
        <v>5</v>
      </c>
      <c r="B2671" s="52" t="s">
        <v>7</v>
      </c>
      <c r="C2671" s="52"/>
      <c r="D2671" s="7"/>
      <c r="E2671" s="7"/>
      <c r="F2671" s="53">
        <f>D2670+F2670</f>
        <v>2368.5832524624161</v>
      </c>
    </row>
    <row r="2672" spans="1:6" ht="18" customHeight="1">
      <c r="A2672" s="7"/>
      <c r="B2672" s="52" t="s">
        <v>846</v>
      </c>
      <c r="C2672" s="52"/>
      <c r="D2672" s="53">
        <f>F2671</f>
        <v>2368.5832524624161</v>
      </c>
      <c r="E2672" s="56">
        <f>E2649</f>
        <v>0.03</v>
      </c>
      <c r="F2672" s="53">
        <f>E2672*D2672</f>
        <v>71.057497573872482</v>
      </c>
    </row>
    <row r="2673" spans="1:6" ht="18" customHeight="1">
      <c r="A2673" s="7"/>
      <c r="B2673" s="52" t="s">
        <v>44</v>
      </c>
      <c r="C2673" s="52"/>
      <c r="D2673" s="7"/>
      <c r="E2673" s="7"/>
      <c r="F2673" s="53">
        <f>SUM(F2671:F2672)</f>
        <v>2439.6407500362884</v>
      </c>
    </row>
    <row r="2674" spans="1:6" ht="20.25" customHeight="1">
      <c r="A2674" s="461" t="s">
        <v>813</v>
      </c>
      <c r="B2674" s="461"/>
      <c r="C2674" s="461"/>
      <c r="D2674" s="461"/>
      <c r="E2674" s="461"/>
      <c r="F2674" s="461"/>
    </row>
    <row r="2675" spans="1:6" ht="18" customHeight="1">
      <c r="A2675" s="462" t="s">
        <v>1045</v>
      </c>
      <c r="B2675" s="462"/>
      <c r="C2675" s="462"/>
      <c r="D2675" s="462"/>
      <c r="E2675" s="462"/>
      <c r="F2675" s="462"/>
    </row>
    <row r="2676" spans="1:6" ht="18" customHeight="1">
      <c r="A2676" s="47" t="s">
        <v>815</v>
      </c>
      <c r="B2676" s="49">
        <v>4302</v>
      </c>
      <c r="D2676" s="46"/>
      <c r="E2676" s="47" t="s">
        <v>169</v>
      </c>
      <c r="F2676" s="49" t="s">
        <v>951</v>
      </c>
    </row>
    <row r="2677" spans="1:6" ht="18" customHeight="1">
      <c r="A2677" s="50" t="s">
        <v>817</v>
      </c>
      <c r="B2677" s="52"/>
      <c r="C2677" s="52"/>
      <c r="D2677" s="7"/>
      <c r="E2677" s="7"/>
      <c r="F2677" s="7"/>
    </row>
    <row r="2678" spans="1:6" ht="18" customHeight="1">
      <c r="A2678" s="7" t="s">
        <v>1</v>
      </c>
      <c r="B2678" s="52" t="s">
        <v>344</v>
      </c>
      <c r="C2678" s="7" t="s">
        <v>818</v>
      </c>
      <c r="D2678" s="7" t="s">
        <v>819</v>
      </c>
      <c r="E2678" s="7" t="s">
        <v>820</v>
      </c>
      <c r="F2678" s="7" t="s">
        <v>821</v>
      </c>
    </row>
    <row r="2679" spans="1:6" ht="18" customHeight="1">
      <c r="A2679" s="7">
        <v>1</v>
      </c>
      <c r="B2679" s="52" t="s">
        <v>822</v>
      </c>
      <c r="C2679" s="7"/>
      <c r="D2679" s="7"/>
      <c r="E2679" s="7"/>
      <c r="F2679" s="53">
        <f>F2680+F2692+F2693</f>
        <v>11758.378615132002</v>
      </c>
    </row>
    <row r="2680" spans="1:6" ht="18" customHeight="1">
      <c r="A2680" s="7">
        <v>1.1000000000000001</v>
      </c>
      <c r="B2680" s="52" t="s">
        <v>823</v>
      </c>
      <c r="C2680" s="7"/>
      <c r="D2680" s="7"/>
      <c r="E2680" s="7"/>
      <c r="F2680" s="53">
        <f>F2681+F2684+F2689</f>
        <v>11219.82692283588</v>
      </c>
    </row>
    <row r="2681" spans="1:6" ht="18" customHeight="1">
      <c r="A2681" s="7" t="s">
        <v>47</v>
      </c>
      <c r="B2681" s="52" t="s">
        <v>176</v>
      </c>
      <c r="C2681" s="7"/>
      <c r="D2681" s="7"/>
      <c r="E2681" s="7"/>
      <c r="F2681" s="53">
        <f>F2682+F2683</f>
        <v>1400.3420000000001</v>
      </c>
    </row>
    <row r="2682" spans="1:6" ht="18" customHeight="1">
      <c r="A2682" s="7"/>
      <c r="B2682" s="52" t="s">
        <v>824</v>
      </c>
      <c r="C2682" s="7" t="s">
        <v>825</v>
      </c>
      <c r="D2682" s="7">
        <v>8.1</v>
      </c>
      <c r="E2682" s="7">
        <v>134.69999999999999</v>
      </c>
      <c r="F2682" s="53">
        <f>D2682*E2682</f>
        <v>1091.07</v>
      </c>
    </row>
    <row r="2683" spans="1:6" ht="18" customHeight="1">
      <c r="A2683" s="7"/>
      <c r="B2683" s="52" t="s">
        <v>826</v>
      </c>
      <c r="C2683" s="7" t="s">
        <v>825</v>
      </c>
      <c r="D2683" s="7">
        <v>5.77</v>
      </c>
      <c r="E2683" s="7">
        <v>53.6</v>
      </c>
      <c r="F2683" s="53">
        <f>D2683*E2683</f>
        <v>309.27199999999999</v>
      </c>
    </row>
    <row r="2684" spans="1:6" ht="18" customHeight="1">
      <c r="A2684" s="7" t="s">
        <v>57</v>
      </c>
      <c r="B2684" s="52" t="s">
        <v>177</v>
      </c>
      <c r="C2684" s="7"/>
      <c r="D2684" s="7"/>
      <c r="E2684" s="7"/>
      <c r="F2684" s="53">
        <f>SUM(F2685:F2688)</f>
        <v>9816.7960000000003</v>
      </c>
    </row>
    <row r="2685" spans="1:6" ht="18" customHeight="1">
      <c r="A2685" s="7"/>
      <c r="B2685" s="52" t="s">
        <v>1023</v>
      </c>
      <c r="C2685" s="7" t="s">
        <v>88</v>
      </c>
      <c r="D2685" s="7">
        <v>4600</v>
      </c>
      <c r="E2685" s="7">
        <v>1.83</v>
      </c>
      <c r="F2685" s="53">
        <f>E2685*D2685</f>
        <v>8418</v>
      </c>
    </row>
    <row r="2686" spans="1:6" ht="18" customHeight="1">
      <c r="A2686" s="7"/>
      <c r="B2686" s="52" t="s">
        <v>1046</v>
      </c>
      <c r="C2686" s="7" t="s">
        <v>1047</v>
      </c>
      <c r="D2686" s="7">
        <v>2.6</v>
      </c>
      <c r="E2686" s="7">
        <v>226</v>
      </c>
      <c r="F2686" s="53">
        <f>E2686*D2686</f>
        <v>587.6</v>
      </c>
    </row>
    <row r="2687" spans="1:6" ht="18" customHeight="1">
      <c r="A2687" s="7"/>
      <c r="B2687" s="52" t="s">
        <v>506</v>
      </c>
      <c r="C2687" s="7" t="s">
        <v>871</v>
      </c>
      <c r="D2687" s="7">
        <v>850</v>
      </c>
      <c r="E2687" s="7">
        <v>0.84</v>
      </c>
      <c r="F2687" s="53">
        <f>E2687*D2687</f>
        <v>714</v>
      </c>
    </row>
    <row r="2688" spans="1:6" ht="18" customHeight="1">
      <c r="A2688" s="7"/>
      <c r="B2688" s="52" t="s">
        <v>833</v>
      </c>
      <c r="C2688" s="7" t="s">
        <v>834</v>
      </c>
      <c r="D2688" s="53">
        <f>SUM(F2685:F2687)</f>
        <v>9719.6</v>
      </c>
      <c r="E2688" s="7">
        <v>1</v>
      </c>
      <c r="F2688" s="53">
        <f>D2688*E2688/100</f>
        <v>97.195999999999998</v>
      </c>
    </row>
    <row r="2689" spans="1:6" ht="18" customHeight="1">
      <c r="A2689" s="7" t="s">
        <v>835</v>
      </c>
      <c r="B2689" s="52" t="s">
        <v>836</v>
      </c>
      <c r="C2689" s="7"/>
      <c r="D2689" s="53"/>
      <c r="E2689" s="7"/>
      <c r="F2689" s="53">
        <f>SUM(F2690:F2690)</f>
        <v>2.6889228358793584</v>
      </c>
    </row>
    <row r="2690" spans="1:6" ht="18" customHeight="1">
      <c r="A2690" s="7"/>
      <c r="B2690" s="52" t="s">
        <v>862</v>
      </c>
      <c r="C2690" s="7" t="s">
        <v>863</v>
      </c>
      <c r="D2690" s="53">
        <f>施工机械台时汇总!C19</f>
        <v>0.80266353309831595</v>
      </c>
      <c r="E2690" s="7">
        <v>3.35</v>
      </c>
      <c r="F2690" s="53">
        <f>E2690*D2690</f>
        <v>2.6889228358793584</v>
      </c>
    </row>
    <row r="2691" spans="1:6" ht="18" customHeight="1">
      <c r="A2691" s="7"/>
      <c r="B2691" s="52"/>
      <c r="C2691" s="52"/>
      <c r="D2691" s="7"/>
      <c r="E2691" s="7"/>
      <c r="F2691" s="53"/>
    </row>
    <row r="2692" spans="1:6" ht="18" customHeight="1">
      <c r="A2692" s="7">
        <v>1.2</v>
      </c>
      <c r="B2692" s="52" t="s">
        <v>841</v>
      </c>
      <c r="C2692" s="52"/>
      <c r="D2692" s="53">
        <f>F2680</f>
        <v>11219.82692283588</v>
      </c>
      <c r="E2692" s="56">
        <f>E2666</f>
        <v>4.8000000000000001E-2</v>
      </c>
      <c r="F2692" s="53">
        <f>D2692*E2692</f>
        <v>538.55169229612227</v>
      </c>
    </row>
    <row r="2693" spans="1:6" ht="18" customHeight="1">
      <c r="A2693" s="7">
        <v>1.3</v>
      </c>
      <c r="B2693" s="52" t="s">
        <v>842</v>
      </c>
      <c r="C2693" s="52"/>
      <c r="D2693" s="53">
        <f>F2680</f>
        <v>11219.82692283588</v>
      </c>
      <c r="E2693" s="56">
        <f>E2667</f>
        <v>0</v>
      </c>
      <c r="F2693" s="53">
        <f>D2693*E2693</f>
        <v>0</v>
      </c>
    </row>
    <row r="2694" spans="1:6" ht="18" customHeight="1">
      <c r="A2694" s="7">
        <v>2</v>
      </c>
      <c r="B2694" s="52" t="s">
        <v>182</v>
      </c>
      <c r="C2694" s="52"/>
      <c r="D2694" s="53">
        <f>F2679</f>
        <v>11758.378615132002</v>
      </c>
      <c r="E2694" s="56">
        <f>E2668</f>
        <v>7.0000000000000007E-2</v>
      </c>
      <c r="F2694" s="53">
        <f>D2694*E2694</f>
        <v>823.08650305924016</v>
      </c>
    </row>
    <row r="2695" spans="1:6" ht="18" customHeight="1">
      <c r="A2695" s="7">
        <v>3</v>
      </c>
      <c r="B2695" s="52" t="s">
        <v>843</v>
      </c>
      <c r="C2695" s="52"/>
      <c r="D2695" s="53">
        <f>F2694+F2679</f>
        <v>12581.465118191241</v>
      </c>
      <c r="E2695" s="56">
        <f>E2669</f>
        <v>7.0000000000000007E-2</v>
      </c>
      <c r="F2695" s="53">
        <f>D2695*E2695</f>
        <v>880.70255827338701</v>
      </c>
    </row>
    <row r="2696" spans="1:6" ht="18" customHeight="1">
      <c r="A2696" s="7">
        <v>4</v>
      </c>
      <c r="B2696" s="52" t="s">
        <v>845</v>
      </c>
      <c r="C2696" s="52"/>
      <c r="D2696" s="53">
        <f>F2679+F2694+F2695</f>
        <v>13462.167676464629</v>
      </c>
      <c r="E2696" s="56">
        <f>E2670</f>
        <v>0.09</v>
      </c>
      <c r="F2696" s="53">
        <f>D2696*E2696</f>
        <v>1211.5950908818165</v>
      </c>
    </row>
    <row r="2697" spans="1:6" ht="18" customHeight="1">
      <c r="A2697" s="7">
        <v>5</v>
      </c>
      <c r="B2697" s="52" t="s">
        <v>7</v>
      </c>
      <c r="C2697" s="52"/>
      <c r="D2697" s="7"/>
      <c r="E2697" s="7"/>
      <c r="F2697" s="53">
        <f>D2696+F2696</f>
        <v>14673.762767346445</v>
      </c>
    </row>
    <row r="2698" spans="1:6" ht="18" customHeight="1">
      <c r="A2698" s="7"/>
      <c r="B2698" s="52" t="s">
        <v>846</v>
      </c>
      <c r="C2698" s="52"/>
      <c r="D2698" s="53">
        <f>F2697</f>
        <v>14673.762767346445</v>
      </c>
      <c r="E2698" s="56">
        <f>E2672</f>
        <v>0.03</v>
      </c>
      <c r="F2698" s="53">
        <f>E2698*D2698</f>
        <v>440.21288302039335</v>
      </c>
    </row>
    <row r="2699" spans="1:6" ht="18" customHeight="1">
      <c r="A2699" s="7"/>
      <c r="B2699" s="52" t="s">
        <v>44</v>
      </c>
      <c r="C2699" s="52"/>
      <c r="D2699" s="7"/>
      <c r="E2699" s="7"/>
      <c r="F2699" s="53">
        <f>SUM(F2697:F2698)</f>
        <v>15113.975650366838</v>
      </c>
    </row>
    <row r="2700" spans="1:6" ht="20.25" customHeight="1">
      <c r="A2700" s="461" t="s">
        <v>813</v>
      </c>
      <c r="B2700" s="461"/>
      <c r="C2700" s="461"/>
      <c r="D2700" s="461"/>
      <c r="E2700" s="461"/>
      <c r="F2700" s="461"/>
    </row>
    <row r="2701" spans="1:6" ht="18" customHeight="1">
      <c r="A2701" s="462" t="s">
        <v>1048</v>
      </c>
      <c r="B2701" s="462"/>
      <c r="C2701" s="462"/>
      <c r="D2701" s="462"/>
      <c r="E2701" s="462"/>
      <c r="F2701" s="462"/>
    </row>
    <row r="2702" spans="1:6" ht="18" customHeight="1">
      <c r="A2702" s="47" t="s">
        <v>815</v>
      </c>
      <c r="B2702" s="49">
        <v>4287</v>
      </c>
      <c r="D2702" s="46"/>
      <c r="E2702" s="47" t="s">
        <v>169</v>
      </c>
      <c r="F2702" s="49" t="s">
        <v>951</v>
      </c>
    </row>
    <row r="2703" spans="1:6" ht="18" customHeight="1">
      <c r="A2703" s="50" t="s">
        <v>817</v>
      </c>
      <c r="B2703" s="52"/>
      <c r="C2703" s="52"/>
      <c r="D2703" s="7"/>
      <c r="E2703" s="7"/>
      <c r="F2703" s="7"/>
    </row>
    <row r="2704" spans="1:6" ht="18" customHeight="1">
      <c r="A2704" s="7" t="s">
        <v>1</v>
      </c>
      <c r="B2704" s="52" t="s">
        <v>344</v>
      </c>
      <c r="C2704" s="7" t="s">
        <v>818</v>
      </c>
      <c r="D2704" s="7" t="s">
        <v>819</v>
      </c>
      <c r="E2704" s="7" t="s">
        <v>820</v>
      </c>
      <c r="F2704" s="7" t="s">
        <v>821</v>
      </c>
    </row>
    <row r="2705" spans="1:6" ht="18" customHeight="1">
      <c r="A2705" s="7">
        <v>1</v>
      </c>
      <c r="B2705" s="52" t="s">
        <v>822</v>
      </c>
      <c r="C2705" s="7"/>
      <c r="D2705" s="7"/>
      <c r="E2705" s="7"/>
      <c r="F2705" s="53">
        <f>F2706+F2717+F2718</f>
        <v>894.57857804537559</v>
      </c>
    </row>
    <row r="2706" spans="1:6" ht="18" customHeight="1">
      <c r="A2706" s="7">
        <v>1.1000000000000001</v>
      </c>
      <c r="B2706" s="52" t="s">
        <v>823</v>
      </c>
      <c r="C2706" s="7"/>
      <c r="D2706" s="7"/>
      <c r="E2706" s="7"/>
      <c r="F2706" s="53">
        <f>F2707+F2710+F2714</f>
        <v>853.60551340207599</v>
      </c>
    </row>
    <row r="2707" spans="1:6" ht="18" customHeight="1">
      <c r="A2707" s="7" t="s">
        <v>47</v>
      </c>
      <c r="B2707" s="52" t="s">
        <v>176</v>
      </c>
      <c r="C2707" s="7"/>
      <c r="D2707" s="7"/>
      <c r="E2707" s="7"/>
      <c r="F2707" s="53">
        <f>F2708+F2709</f>
        <v>484.20499999999998</v>
      </c>
    </row>
    <row r="2708" spans="1:6" ht="18" customHeight="1">
      <c r="A2708" s="7"/>
      <c r="B2708" s="52" t="s">
        <v>824</v>
      </c>
      <c r="C2708" s="7" t="s">
        <v>825</v>
      </c>
      <c r="D2708" s="7">
        <v>8.1</v>
      </c>
      <c r="E2708" s="7">
        <v>46.6</v>
      </c>
      <c r="F2708" s="53">
        <f>D2708*E2708</f>
        <v>377.46</v>
      </c>
    </row>
    <row r="2709" spans="1:6" ht="18" customHeight="1">
      <c r="A2709" s="7"/>
      <c r="B2709" s="52" t="s">
        <v>826</v>
      </c>
      <c r="C2709" s="7" t="s">
        <v>825</v>
      </c>
      <c r="D2709" s="7">
        <v>5.77</v>
      </c>
      <c r="E2709" s="7">
        <v>18.5</v>
      </c>
      <c r="F2709" s="53">
        <f>D2709*E2709</f>
        <v>106.745</v>
      </c>
    </row>
    <row r="2710" spans="1:6" ht="18" customHeight="1">
      <c r="A2710" s="7" t="s">
        <v>57</v>
      </c>
      <c r="B2710" s="52" t="s">
        <v>177</v>
      </c>
      <c r="C2710" s="7"/>
      <c r="D2710" s="7"/>
      <c r="E2710" s="7"/>
      <c r="F2710" s="53">
        <f>SUM(F2711:F2713)</f>
        <v>365.10626350000001</v>
      </c>
    </row>
    <row r="2711" spans="1:6" ht="18" customHeight="1">
      <c r="A2711" s="7"/>
      <c r="B2711" s="52" t="s">
        <v>1035</v>
      </c>
      <c r="C2711" s="7" t="s">
        <v>871</v>
      </c>
      <c r="D2711" s="55">
        <f>砼配合!J32</f>
        <v>144.59654</v>
      </c>
      <c r="E2711" s="7">
        <v>2.5</v>
      </c>
      <c r="F2711" s="53">
        <f>E2711*D2711</f>
        <v>361.49135000000001</v>
      </c>
    </row>
    <row r="2712" spans="1:6" ht="18" customHeight="1">
      <c r="A2712" s="7"/>
      <c r="B2712" s="52" t="s">
        <v>506</v>
      </c>
      <c r="C2712" s="7" t="s">
        <v>871</v>
      </c>
      <c r="D2712" s="7">
        <v>850</v>
      </c>
      <c r="E2712" s="7">
        <v>0</v>
      </c>
      <c r="F2712" s="53">
        <f>E2712*D2712</f>
        <v>0</v>
      </c>
    </row>
    <row r="2713" spans="1:6" ht="18" customHeight="1">
      <c r="A2713" s="7"/>
      <c r="B2713" s="52" t="s">
        <v>833</v>
      </c>
      <c r="C2713" s="7" t="s">
        <v>834</v>
      </c>
      <c r="D2713" s="53">
        <f>SUM(F2711:F2712)</f>
        <v>361.49135000000001</v>
      </c>
      <c r="E2713" s="7">
        <v>1</v>
      </c>
      <c r="F2713" s="53">
        <f>D2713*E2713/100</f>
        <v>3.6149135000000001</v>
      </c>
    </row>
    <row r="2714" spans="1:6" ht="18" customHeight="1">
      <c r="A2714" s="7" t="s">
        <v>835</v>
      </c>
      <c r="B2714" s="52" t="s">
        <v>836</v>
      </c>
      <c r="C2714" s="7"/>
      <c r="D2714" s="53"/>
      <c r="E2714" s="7"/>
      <c r="F2714" s="53">
        <f>F2715</f>
        <v>4.2942499020759897</v>
      </c>
    </row>
    <row r="2715" spans="1:6" ht="18" customHeight="1">
      <c r="A2715" s="7"/>
      <c r="B2715" s="52" t="s">
        <v>862</v>
      </c>
      <c r="C2715" s="7" t="s">
        <v>863</v>
      </c>
      <c r="D2715" s="55">
        <f>施工机械台时汇总!C19</f>
        <v>0.80266353309831595</v>
      </c>
      <c r="E2715" s="7">
        <v>5.35</v>
      </c>
      <c r="F2715" s="53">
        <f>E2715*D2715</f>
        <v>4.2942499020759897</v>
      </c>
    </row>
    <row r="2716" spans="1:6" ht="18" customHeight="1">
      <c r="A2716" s="7"/>
      <c r="B2716" s="52"/>
      <c r="C2716" s="7"/>
      <c r="D2716" s="7"/>
      <c r="E2716" s="7"/>
      <c r="F2716" s="53"/>
    </row>
    <row r="2717" spans="1:6" ht="18" customHeight="1">
      <c r="A2717" s="7">
        <v>1.2</v>
      </c>
      <c r="B2717" s="52" t="s">
        <v>841</v>
      </c>
      <c r="C2717" s="52"/>
      <c r="D2717" s="53">
        <f>F2706</f>
        <v>853.60551340207599</v>
      </c>
      <c r="E2717" s="56">
        <f>E2666</f>
        <v>4.8000000000000001E-2</v>
      </c>
      <c r="F2717" s="53">
        <f>D2717*E2717</f>
        <v>40.973064643299651</v>
      </c>
    </row>
    <row r="2718" spans="1:6" ht="18" customHeight="1">
      <c r="A2718" s="7">
        <v>1.3</v>
      </c>
      <c r="B2718" s="52" t="s">
        <v>842</v>
      </c>
      <c r="C2718" s="52"/>
      <c r="D2718" s="53">
        <f>F2706</f>
        <v>853.60551340207599</v>
      </c>
      <c r="E2718" s="56">
        <f>E2667</f>
        <v>0</v>
      </c>
      <c r="F2718" s="53">
        <f>D2718*E2718</f>
        <v>0</v>
      </c>
    </row>
    <row r="2719" spans="1:6" ht="18" customHeight="1">
      <c r="A2719" s="7">
        <v>2</v>
      </c>
      <c r="B2719" s="52" t="s">
        <v>182</v>
      </c>
      <c r="C2719" s="52"/>
      <c r="D2719" s="53">
        <f>F2705</f>
        <v>894.57857804537559</v>
      </c>
      <c r="E2719" s="56">
        <f>E2668</f>
        <v>7.0000000000000007E-2</v>
      </c>
      <c r="F2719" s="53">
        <f>D2719*E2719</f>
        <v>62.620500463176299</v>
      </c>
    </row>
    <row r="2720" spans="1:6" ht="18" customHeight="1">
      <c r="A2720" s="7">
        <v>3</v>
      </c>
      <c r="B2720" s="52" t="s">
        <v>843</v>
      </c>
      <c r="C2720" s="52"/>
      <c r="D2720" s="53">
        <f>F2719+F2705</f>
        <v>957.19907850855191</v>
      </c>
      <c r="E2720" s="56">
        <f>E2669</f>
        <v>7.0000000000000007E-2</v>
      </c>
      <c r="F2720" s="53">
        <f>D2720*E2720</f>
        <v>67.00393549559864</v>
      </c>
    </row>
    <row r="2721" spans="1:6" ht="18" customHeight="1">
      <c r="A2721" s="7">
        <v>4</v>
      </c>
      <c r="B2721" s="52" t="s">
        <v>184</v>
      </c>
      <c r="C2721" s="52"/>
      <c r="D2721" s="66"/>
      <c r="E2721" s="56"/>
      <c r="F2721" s="53">
        <f>SUM(F2722:F2723)</f>
        <v>89.153872712499961</v>
      </c>
    </row>
    <row r="2722" spans="1:6" ht="18" customHeight="1">
      <c r="A2722" s="7"/>
      <c r="B2722" s="52" t="s">
        <v>354</v>
      </c>
      <c r="C2722" s="7" t="s">
        <v>1049</v>
      </c>
      <c r="D2722" s="66">
        <f>A2</f>
        <v>116.41515</v>
      </c>
      <c r="E2722" s="66">
        <f>E2711*砼配合!I33</f>
        <v>0.65574999999999994</v>
      </c>
      <c r="F2722" s="53">
        <f>E2722*D2722</f>
        <v>76.339234612499993</v>
      </c>
    </row>
    <row r="2723" spans="1:6" ht="18" customHeight="1">
      <c r="A2723" s="7"/>
      <c r="B2723" s="52" t="s">
        <v>507</v>
      </c>
      <c r="C2723" s="7" t="s">
        <v>871</v>
      </c>
      <c r="D2723" s="66">
        <f>D2</f>
        <v>4.6598683999999899</v>
      </c>
      <c r="E2723" s="78">
        <f>E2711*砼配合!I34</f>
        <v>2.75</v>
      </c>
      <c r="F2723" s="53">
        <f>E2723*D2723</f>
        <v>12.814638099999971</v>
      </c>
    </row>
    <row r="2724" spans="1:6" ht="18" customHeight="1">
      <c r="A2724" s="7">
        <v>5</v>
      </c>
      <c r="B2724" s="52" t="s">
        <v>845</v>
      </c>
      <c r="C2724" s="52"/>
      <c r="D2724" s="66">
        <f>F2705+F2719+F2720+F2721</f>
        <v>1113.3568867166507</v>
      </c>
      <c r="E2724" s="56">
        <f>E2670</f>
        <v>0.09</v>
      </c>
      <c r="F2724" s="53">
        <f>D2724*E2724</f>
        <v>100.20211980449857</v>
      </c>
    </row>
    <row r="2725" spans="1:6" ht="18" customHeight="1">
      <c r="A2725" s="7">
        <v>6</v>
      </c>
      <c r="B2725" s="52" t="s">
        <v>7</v>
      </c>
      <c r="C2725" s="52"/>
      <c r="D2725" s="7"/>
      <c r="E2725" s="7"/>
      <c r="F2725" s="53">
        <f>D2724+F2724</f>
        <v>1213.5590065211493</v>
      </c>
    </row>
    <row r="2726" spans="1:6" ht="18" customHeight="1">
      <c r="A2726" s="7"/>
      <c r="B2726" s="52" t="s">
        <v>846</v>
      </c>
      <c r="C2726" s="52"/>
      <c r="D2726" s="53">
        <f>F2725</f>
        <v>1213.5590065211493</v>
      </c>
      <c r="E2726" s="56">
        <f>E2672</f>
        <v>0.03</v>
      </c>
      <c r="F2726" s="53">
        <f>E2726*D2726</f>
        <v>36.406770195634479</v>
      </c>
    </row>
    <row r="2727" spans="1:6" ht="18" customHeight="1">
      <c r="A2727" s="7"/>
      <c r="B2727" s="52" t="s">
        <v>44</v>
      </c>
      <c r="C2727" s="52"/>
      <c r="D2727" s="7"/>
      <c r="E2727" s="7"/>
      <c r="F2727" s="53">
        <f>SUM(F2725:F2726)</f>
        <v>1249.9657767167837</v>
      </c>
    </row>
    <row r="2728" spans="1:6" ht="20.25" customHeight="1">
      <c r="A2728" s="461" t="s">
        <v>813</v>
      </c>
      <c r="B2728" s="461"/>
      <c r="C2728" s="461"/>
      <c r="D2728" s="461"/>
      <c r="E2728" s="461"/>
      <c r="F2728" s="461"/>
    </row>
    <row r="2729" spans="1:6" ht="18" customHeight="1">
      <c r="A2729" s="462" t="s">
        <v>1050</v>
      </c>
      <c r="B2729" s="462"/>
      <c r="C2729" s="462"/>
      <c r="D2729" s="462"/>
      <c r="E2729" s="462"/>
      <c r="F2729" s="462"/>
    </row>
    <row r="2730" spans="1:6" ht="18" customHeight="1">
      <c r="A2730" s="47" t="s">
        <v>815</v>
      </c>
      <c r="B2730" s="49">
        <v>4287</v>
      </c>
      <c r="D2730" s="46"/>
      <c r="E2730" s="47" t="s">
        <v>169</v>
      </c>
      <c r="F2730" s="49" t="s">
        <v>869</v>
      </c>
    </row>
    <row r="2731" spans="1:6" ht="18" customHeight="1">
      <c r="A2731" s="50" t="s">
        <v>817</v>
      </c>
      <c r="B2731" s="52"/>
      <c r="C2731" s="52"/>
      <c r="D2731" s="7"/>
      <c r="E2731" s="7"/>
      <c r="F2731" s="7"/>
    </row>
    <row r="2732" spans="1:6" ht="18" customHeight="1">
      <c r="A2732" s="7" t="s">
        <v>1</v>
      </c>
      <c r="B2732" s="52" t="s">
        <v>344</v>
      </c>
      <c r="C2732" s="7" t="s">
        <v>818</v>
      </c>
      <c r="D2732" s="7" t="s">
        <v>819</v>
      </c>
      <c r="E2732" s="7" t="s">
        <v>820</v>
      </c>
      <c r="F2732" s="7" t="s">
        <v>821</v>
      </c>
    </row>
    <row r="2733" spans="1:6" ht="18" customHeight="1">
      <c r="A2733" s="7">
        <v>1</v>
      </c>
      <c r="B2733" s="52" t="s">
        <v>822</v>
      </c>
      <c r="C2733" s="7"/>
      <c r="D2733" s="7"/>
      <c r="E2733" s="7"/>
      <c r="F2733" s="53">
        <f>F2734+F2735+F2736</f>
        <v>1467.2</v>
      </c>
    </row>
    <row r="2734" spans="1:6" ht="18" customHeight="1">
      <c r="A2734" s="7">
        <v>1.1000000000000001</v>
      </c>
      <c r="B2734" s="52" t="s">
        <v>823</v>
      </c>
      <c r="C2734" s="7"/>
      <c r="D2734" s="7"/>
      <c r="E2734" s="7"/>
      <c r="F2734" s="53">
        <v>1400</v>
      </c>
    </row>
    <row r="2735" spans="1:6" ht="18" customHeight="1">
      <c r="A2735" s="7">
        <v>1.2</v>
      </c>
      <c r="B2735" s="52" t="s">
        <v>841</v>
      </c>
      <c r="C2735" s="52"/>
      <c r="D2735" s="66">
        <f>F2734</f>
        <v>1400</v>
      </c>
      <c r="E2735" s="56">
        <f>E2717</f>
        <v>4.8000000000000001E-2</v>
      </c>
      <c r="F2735" s="53">
        <f>D2735*E2735</f>
        <v>67.2</v>
      </c>
    </row>
    <row r="2736" spans="1:6" ht="18" customHeight="1">
      <c r="A2736" s="7">
        <v>1.3</v>
      </c>
      <c r="B2736" s="52" t="s">
        <v>842</v>
      </c>
      <c r="C2736" s="52"/>
      <c r="D2736" s="66">
        <f>F2734</f>
        <v>1400</v>
      </c>
      <c r="E2736" s="56">
        <f>E2718</f>
        <v>0</v>
      </c>
      <c r="F2736" s="53">
        <f>D2736*E2736</f>
        <v>0</v>
      </c>
    </row>
    <row r="2737" spans="1:6" ht="18" customHeight="1">
      <c r="A2737" s="7">
        <v>2</v>
      </c>
      <c r="B2737" s="52" t="s">
        <v>182</v>
      </c>
      <c r="C2737" s="52"/>
      <c r="D2737" s="66">
        <f>F2733</f>
        <v>1467.2</v>
      </c>
      <c r="E2737" s="56">
        <f>E2719</f>
        <v>7.0000000000000007E-2</v>
      </c>
      <c r="F2737" s="53">
        <f>D2737*E2737</f>
        <v>102.70400000000001</v>
      </c>
    </row>
    <row r="2738" spans="1:6" ht="18" customHeight="1">
      <c r="A2738" s="7">
        <v>3</v>
      </c>
      <c r="B2738" s="52" t="s">
        <v>843</v>
      </c>
      <c r="C2738" s="52"/>
      <c r="D2738" s="66">
        <f>F2737+F2733</f>
        <v>1569.904</v>
      </c>
      <c r="E2738" s="56">
        <f>E2720</f>
        <v>7.0000000000000007E-2</v>
      </c>
      <c r="F2738" s="53">
        <f>D2738*E2738</f>
        <v>109.89328</v>
      </c>
    </row>
    <row r="2739" spans="1:6" ht="18" customHeight="1">
      <c r="A2739" s="7">
        <v>4</v>
      </c>
      <c r="B2739" s="52" t="s">
        <v>845</v>
      </c>
      <c r="C2739" s="52"/>
      <c r="D2739" s="66">
        <f>F2733+F2737+F2738</f>
        <v>1679.79728</v>
      </c>
      <c r="E2739" s="56">
        <f>E2724</f>
        <v>0.09</v>
      </c>
      <c r="F2739" s="53">
        <f>D2739*E2739</f>
        <v>151.1817552</v>
      </c>
    </row>
    <row r="2740" spans="1:6" ht="18" customHeight="1">
      <c r="A2740" s="7">
        <v>5</v>
      </c>
      <c r="B2740" s="52" t="s">
        <v>7</v>
      </c>
      <c r="C2740" s="52"/>
      <c r="D2740" s="7"/>
      <c r="E2740" s="7"/>
      <c r="F2740" s="53">
        <f>D2739+F2739</f>
        <v>1830.9790352</v>
      </c>
    </row>
    <row r="2741" spans="1:6" ht="18" customHeight="1">
      <c r="A2741" s="7"/>
      <c r="B2741" s="52" t="s">
        <v>846</v>
      </c>
      <c r="C2741" s="52"/>
      <c r="D2741" s="53">
        <f>F2740</f>
        <v>1830.9790352</v>
      </c>
      <c r="E2741" s="56">
        <f>E2726</f>
        <v>0.03</v>
      </c>
      <c r="F2741" s="53">
        <f>E2741*D2741</f>
        <v>54.929371056000001</v>
      </c>
    </row>
    <row r="2742" spans="1:6" ht="18" customHeight="1">
      <c r="A2742" s="7"/>
      <c r="B2742" s="52" t="s">
        <v>44</v>
      </c>
      <c r="C2742" s="52"/>
      <c r="D2742" s="7"/>
      <c r="E2742" s="7"/>
      <c r="F2742" s="53">
        <f>SUM(F2740:F2741)</f>
        <v>1885.908406256</v>
      </c>
    </row>
    <row r="2743" spans="1:6" ht="22.5" customHeight="1">
      <c r="A2743" s="461" t="s">
        <v>813</v>
      </c>
      <c r="B2743" s="461"/>
      <c r="C2743" s="461"/>
      <c r="D2743" s="461"/>
      <c r="E2743" s="461"/>
      <c r="F2743" s="461"/>
    </row>
    <row r="2744" spans="1:6" ht="18" customHeight="1">
      <c r="A2744" s="481" t="s">
        <v>1051</v>
      </c>
      <c r="B2744" s="481"/>
      <c r="C2744" s="481"/>
      <c r="D2744" s="481"/>
      <c r="E2744" s="481"/>
      <c r="F2744" s="481"/>
    </row>
    <row r="2745" spans="1:6" ht="18" customHeight="1">
      <c r="A2745" s="46" t="s">
        <v>815</v>
      </c>
      <c r="B2745" s="49">
        <v>10188</v>
      </c>
      <c r="D2745" s="46"/>
      <c r="E2745" s="47" t="s">
        <v>169</v>
      </c>
      <c r="F2745" s="49" t="s">
        <v>869</v>
      </c>
    </row>
    <row r="2746" spans="1:6" ht="18" customHeight="1">
      <c r="A2746" s="7" t="s">
        <v>817</v>
      </c>
      <c r="B2746" s="458"/>
      <c r="C2746" s="459"/>
      <c r="D2746" s="459"/>
      <c r="E2746" s="459"/>
      <c r="F2746" s="460"/>
    </row>
    <row r="2747" spans="1:6" ht="18" customHeight="1">
      <c r="A2747" s="7" t="s">
        <v>1</v>
      </c>
      <c r="B2747" s="52" t="s">
        <v>344</v>
      </c>
      <c r="C2747" s="7" t="s">
        <v>818</v>
      </c>
      <c r="D2747" s="7" t="s">
        <v>819</v>
      </c>
      <c r="E2747" s="7" t="s">
        <v>820</v>
      </c>
      <c r="F2747" s="7" t="s">
        <v>821</v>
      </c>
    </row>
    <row r="2748" spans="1:6" ht="18" customHeight="1">
      <c r="A2748" s="7">
        <v>1</v>
      </c>
      <c r="B2748" s="52" t="s">
        <v>822</v>
      </c>
      <c r="C2748" s="7"/>
      <c r="D2748" s="7"/>
      <c r="E2748" s="7"/>
      <c r="F2748" s="53">
        <f>F2749+F2758+F2759</f>
        <v>2958.5058163231579</v>
      </c>
    </row>
    <row r="2749" spans="1:6" ht="18" customHeight="1">
      <c r="A2749" s="7">
        <v>1.1000000000000001</v>
      </c>
      <c r="B2749" s="52" t="s">
        <v>823</v>
      </c>
      <c r="C2749" s="7"/>
      <c r="D2749" s="7"/>
      <c r="E2749" s="7"/>
      <c r="F2749" s="53">
        <f>F2750+F2753+F2757</f>
        <v>2823.0017331327845</v>
      </c>
    </row>
    <row r="2750" spans="1:6" ht="18" customHeight="1">
      <c r="A2750" s="7" t="s">
        <v>47</v>
      </c>
      <c r="B2750" s="52" t="s">
        <v>176</v>
      </c>
      <c r="C2750" s="7"/>
      <c r="D2750" s="7"/>
      <c r="E2750" s="7"/>
      <c r="F2750" s="53">
        <f>F2751+F2752</f>
        <v>1774.2750000000001</v>
      </c>
    </row>
    <row r="2751" spans="1:6" ht="18" customHeight="1">
      <c r="A2751" s="7"/>
      <c r="B2751" s="52" t="s">
        <v>824</v>
      </c>
      <c r="C2751" s="7" t="s">
        <v>825</v>
      </c>
      <c r="D2751" s="7">
        <v>8.1</v>
      </c>
      <c r="E2751" s="7"/>
      <c r="F2751" s="53">
        <f>D2751*E2751</f>
        <v>0</v>
      </c>
    </row>
    <row r="2752" spans="1:6" ht="18" customHeight="1">
      <c r="A2752" s="7"/>
      <c r="B2752" s="52" t="s">
        <v>826</v>
      </c>
      <c r="C2752" s="7" t="s">
        <v>825</v>
      </c>
      <c r="D2752" s="7">
        <v>5.77</v>
      </c>
      <c r="E2752" s="7">
        <v>307.5</v>
      </c>
      <c r="F2752" s="53">
        <f>D2752*E2752</f>
        <v>1774.2750000000001</v>
      </c>
    </row>
    <row r="2753" spans="1:6" ht="18" customHeight="1">
      <c r="A2753" s="7" t="s">
        <v>57</v>
      </c>
      <c r="B2753" s="52" t="s">
        <v>836</v>
      </c>
      <c r="C2753" s="7"/>
      <c r="D2753" s="7"/>
      <c r="E2753" s="7"/>
      <c r="F2753" s="53">
        <f>SUM(F2754:F2756)</f>
        <v>1048.7267331327846</v>
      </c>
    </row>
    <row r="2754" spans="1:6" ht="18" customHeight="1">
      <c r="A2754" s="7"/>
      <c r="B2754" s="52" t="s">
        <v>1052</v>
      </c>
      <c r="C2754" s="7" t="s">
        <v>863</v>
      </c>
      <c r="D2754" s="66">
        <f>施工机械台时汇总!$C$6</f>
        <v>116.55532824128471</v>
      </c>
      <c r="E2754" s="7">
        <v>3.48</v>
      </c>
      <c r="F2754" s="53">
        <f>D2754*E2754</f>
        <v>405.61254227967078</v>
      </c>
    </row>
    <row r="2755" spans="1:6" ht="18" customHeight="1">
      <c r="A2755" s="7"/>
      <c r="B2755" s="52" t="s">
        <v>1053</v>
      </c>
      <c r="C2755" s="7" t="s">
        <v>863</v>
      </c>
      <c r="D2755" s="66">
        <f>施工机械台时汇总!$C$9</f>
        <v>89.065288679984292</v>
      </c>
      <c r="E2755" s="7">
        <v>6.66</v>
      </c>
      <c r="F2755" s="53">
        <f>D2755*E2755</f>
        <v>593.17482260869542</v>
      </c>
    </row>
    <row r="2756" spans="1:6" ht="18" customHeight="1">
      <c r="A2756" s="7"/>
      <c r="B2756" s="52" t="s">
        <v>840</v>
      </c>
      <c r="C2756" s="7" t="s">
        <v>834</v>
      </c>
      <c r="D2756" s="66">
        <f>SUM(F2754:F2755)</f>
        <v>998.78736488836626</v>
      </c>
      <c r="E2756" s="7">
        <v>5</v>
      </c>
      <c r="F2756" s="53">
        <f>D2756*E2756/100</f>
        <v>49.939368244418311</v>
      </c>
    </row>
    <row r="2757" spans="1:6" ht="18" customHeight="1">
      <c r="A2757" s="7"/>
      <c r="B2757" s="52"/>
      <c r="C2757" s="7"/>
      <c r="D2757" s="7"/>
      <c r="E2757" s="7"/>
      <c r="F2757" s="53"/>
    </row>
    <row r="2758" spans="1:6" ht="18" customHeight="1">
      <c r="A2758" s="7">
        <v>1.2</v>
      </c>
      <c r="B2758" s="52" t="s">
        <v>841</v>
      </c>
      <c r="C2758" s="7"/>
      <c r="D2758" s="53">
        <f>F2749</f>
        <v>2823.0017331327845</v>
      </c>
      <c r="E2758" s="56">
        <f>取费!C14</f>
        <v>4.8000000000000001E-2</v>
      </c>
      <c r="F2758" s="53">
        <f>D2758*E2758</f>
        <v>135.50408319037365</v>
      </c>
    </row>
    <row r="2759" spans="1:6" ht="18" customHeight="1">
      <c r="A2759" s="7">
        <v>1.3</v>
      </c>
      <c r="B2759" s="52" t="s">
        <v>842</v>
      </c>
      <c r="C2759" s="7"/>
      <c r="D2759" s="53">
        <f>F2749</f>
        <v>2823.0017331327845</v>
      </c>
      <c r="E2759" s="56">
        <f>取费!D14</f>
        <v>0</v>
      </c>
      <c r="F2759" s="53">
        <f>D2759*E2759</f>
        <v>0</v>
      </c>
    </row>
    <row r="2760" spans="1:6" ht="18" customHeight="1">
      <c r="A2760" s="7">
        <v>2</v>
      </c>
      <c r="B2760" s="52" t="s">
        <v>182</v>
      </c>
      <c r="C2760" s="7"/>
      <c r="D2760" s="53">
        <f>F2748</f>
        <v>2958.5058163231579</v>
      </c>
      <c r="E2760" s="56">
        <f>取费!E14</f>
        <v>7.2499999999999995E-2</v>
      </c>
      <c r="F2760" s="53">
        <f>D2760*E2760</f>
        <v>214.49167168342893</v>
      </c>
    </row>
    <row r="2761" spans="1:6" ht="18" customHeight="1">
      <c r="A2761" s="7">
        <v>3</v>
      </c>
      <c r="B2761" s="52" t="s">
        <v>843</v>
      </c>
      <c r="C2761" s="7"/>
      <c r="D2761" s="53">
        <f>F2760+F2748</f>
        <v>3172.997488006587</v>
      </c>
      <c r="E2761" s="56">
        <f>取费!F14</f>
        <v>7.0000000000000007E-2</v>
      </c>
      <c r="F2761" s="53">
        <f>D2761*E2761</f>
        <v>222.1098241604611</v>
      </c>
    </row>
    <row r="2762" spans="1:6" ht="18" customHeight="1">
      <c r="A2762" s="7">
        <v>4</v>
      </c>
      <c r="B2762" s="52" t="s">
        <v>184</v>
      </c>
      <c r="C2762" s="7"/>
      <c r="D2762" s="7"/>
      <c r="E2762" s="7"/>
      <c r="F2762" s="53">
        <f>SUM(F2763:F2764)</f>
        <v>429.79248000000001</v>
      </c>
    </row>
    <row r="2763" spans="1:6" ht="18" customHeight="1">
      <c r="A2763" s="7"/>
      <c r="B2763" s="52" t="s">
        <v>515</v>
      </c>
      <c r="C2763" s="7" t="s">
        <v>844</v>
      </c>
      <c r="D2763" s="7">
        <f>$G$2</f>
        <v>4.7450000000000001</v>
      </c>
      <c r="E2763" s="77">
        <f>E2446*0.9</f>
        <v>0</v>
      </c>
      <c r="F2763" s="53">
        <f t="shared" ref="F2763:F2765" si="183">D2763*E2763</f>
        <v>0</v>
      </c>
    </row>
    <row r="2764" spans="1:6" ht="18" customHeight="1">
      <c r="A2764" s="7"/>
      <c r="B2764" s="52" t="s">
        <v>516</v>
      </c>
      <c r="C2764" s="7" t="s">
        <v>844</v>
      </c>
      <c r="D2764" s="7">
        <f>$H$2</f>
        <v>3.51</v>
      </c>
      <c r="E2764" s="66">
        <f>E2754*台时!F22+E2755*台时!I22</f>
        <v>122.44800000000001</v>
      </c>
      <c r="F2764" s="53">
        <f t="shared" si="183"/>
        <v>429.79248000000001</v>
      </c>
    </row>
    <row r="2765" spans="1:6" ht="18" customHeight="1">
      <c r="A2765" s="7">
        <v>5</v>
      </c>
      <c r="B2765" s="52" t="s">
        <v>845</v>
      </c>
      <c r="C2765" s="7"/>
      <c r="D2765" s="53">
        <f>F2748+F2760+F2761+F2762</f>
        <v>3824.899792167048</v>
      </c>
      <c r="E2765" s="56">
        <f>E2739</f>
        <v>0.09</v>
      </c>
      <c r="F2765" s="53">
        <f t="shared" si="183"/>
        <v>344.24098129503432</v>
      </c>
    </row>
    <row r="2766" spans="1:6" ht="18" customHeight="1">
      <c r="A2766" s="7">
        <v>6</v>
      </c>
      <c r="B2766" s="52" t="s">
        <v>7</v>
      </c>
      <c r="C2766" s="52"/>
      <c r="D2766" s="7"/>
      <c r="E2766" s="7"/>
      <c r="F2766" s="53">
        <f>D2765+F2765</f>
        <v>4169.1407734620825</v>
      </c>
    </row>
    <row r="2767" spans="1:6" ht="18" customHeight="1">
      <c r="A2767" s="7"/>
      <c r="B2767" s="52" t="s">
        <v>846</v>
      </c>
      <c r="C2767" s="52"/>
      <c r="D2767" s="53">
        <f>F2766</f>
        <v>4169.1407734620825</v>
      </c>
      <c r="E2767" s="56">
        <f>E2741</f>
        <v>0.03</v>
      </c>
      <c r="F2767" s="53">
        <f>E2767*D2767</f>
        <v>125.07422320386247</v>
      </c>
    </row>
    <row r="2768" spans="1:6" ht="18" customHeight="1">
      <c r="A2768" s="7"/>
      <c r="B2768" s="52" t="s">
        <v>44</v>
      </c>
      <c r="C2768" s="52"/>
      <c r="D2768" s="7"/>
      <c r="E2768" s="7"/>
      <c r="F2768" s="53">
        <f>SUM(F2766:F2767)</f>
        <v>4294.2149966659454</v>
      </c>
    </row>
    <row r="2769" ht="20.25" customHeight="1"/>
    <row r="2770" ht="20.25" customHeight="1"/>
    <row r="2771" ht="20.25" customHeight="1"/>
    <row r="2772" ht="20.25" customHeight="1"/>
    <row r="2773" ht="20.25" customHeight="1"/>
    <row r="2774" ht="20.25" customHeight="1"/>
    <row r="2775" ht="20.25" customHeight="1"/>
    <row r="2776" ht="20.25" customHeight="1"/>
    <row r="2777" ht="20.25" customHeight="1"/>
    <row r="2778" ht="20.25" customHeight="1"/>
    <row r="2779" ht="20.25" customHeight="1"/>
    <row r="2780" ht="20.25" customHeight="1"/>
    <row r="2781" ht="20.25" customHeight="1"/>
    <row r="2782" ht="20.25" customHeight="1"/>
    <row r="2783" ht="20.25" customHeight="1"/>
    <row r="2784" ht="20.25" customHeight="1"/>
    <row r="2785" ht="20.25" customHeight="1"/>
    <row r="2786" ht="20.25" customHeight="1"/>
    <row r="2787" ht="20.25" customHeight="1"/>
    <row r="2788" ht="20.25" customHeight="1"/>
    <row r="2789" ht="20.25" customHeight="1"/>
    <row r="2790" ht="20.25" customHeight="1"/>
    <row r="2791" ht="20.25" customHeight="1"/>
    <row r="2792" ht="20.25" customHeight="1"/>
    <row r="2793" ht="20.25" customHeight="1"/>
    <row r="2794" ht="20.25" customHeight="1"/>
    <row r="2795" ht="20.25" customHeight="1"/>
    <row r="2796" ht="20.25" customHeight="1"/>
    <row r="2797" ht="20.25" customHeight="1"/>
    <row r="2798" ht="20.25" customHeight="1"/>
    <row r="2799" ht="20.25" customHeight="1"/>
    <row r="2800" ht="20.25" customHeight="1"/>
    <row r="2801" ht="20.25" customHeight="1"/>
    <row r="2802" ht="20.25" customHeight="1"/>
    <row r="2803" ht="20.25" customHeight="1"/>
    <row r="2804" ht="20.25" customHeight="1"/>
    <row r="2805" ht="20.25" customHeight="1"/>
    <row r="2806" ht="20.25" customHeight="1"/>
    <row r="2807" ht="20.25" customHeight="1"/>
    <row r="2808" ht="20.25" customHeight="1"/>
    <row r="2809" ht="20.25" customHeight="1"/>
    <row r="2810" ht="20.25" customHeight="1"/>
    <row r="2811" ht="20.25" customHeight="1"/>
    <row r="2812" ht="20.25" customHeight="1"/>
    <row r="2813" ht="20.25" customHeight="1"/>
    <row r="2814" ht="20.25" customHeight="1"/>
    <row r="2815" ht="20.25" customHeight="1"/>
    <row r="2816" ht="20.25" customHeight="1"/>
    <row r="2817" ht="20.25" customHeight="1"/>
    <row r="2818" ht="20.25" customHeight="1"/>
    <row r="2819" ht="20.25" customHeight="1"/>
    <row r="2820" ht="20.25" customHeight="1"/>
    <row r="2821" ht="20.25" customHeight="1"/>
    <row r="2822" ht="20.25" customHeight="1"/>
    <row r="2823" ht="20.25" customHeight="1"/>
    <row r="2824" ht="20.25" customHeight="1"/>
    <row r="2825" ht="20.25" customHeight="1"/>
    <row r="2826" ht="20.25" customHeight="1"/>
    <row r="2827" ht="20.25" customHeight="1"/>
    <row r="2828" ht="20.25" customHeight="1"/>
    <row r="2829" ht="20.25" customHeight="1"/>
    <row r="2830" ht="20.25" customHeight="1"/>
    <row r="2831" ht="20.25" customHeight="1"/>
    <row r="2832" ht="20.25" customHeight="1"/>
    <row r="2833" ht="20.25" customHeight="1"/>
    <row r="2834" ht="20.25" customHeight="1"/>
    <row r="2835" ht="20.25" customHeight="1"/>
    <row r="2836" ht="20.25" customHeight="1"/>
    <row r="2837" ht="20.25" customHeight="1"/>
    <row r="2838" ht="20.25" customHeight="1"/>
    <row r="2839" ht="20.25" customHeight="1"/>
    <row r="2840" ht="20.25" customHeight="1"/>
    <row r="2841" ht="20.25" customHeight="1"/>
    <row r="2842" ht="20.25" customHeight="1"/>
    <row r="2843" ht="20.25" customHeight="1"/>
    <row r="2844" ht="20.25" customHeight="1"/>
    <row r="2845" ht="20.25" customHeight="1"/>
    <row r="2846" ht="20.25" customHeight="1"/>
    <row r="2847" ht="20.25" customHeight="1"/>
    <row r="2848" ht="20.25" customHeight="1"/>
    <row r="2849" ht="20.25" customHeight="1"/>
    <row r="2850" ht="20.25" customHeight="1"/>
    <row r="2851" ht="20.25" customHeight="1"/>
    <row r="2852" ht="20.25" customHeight="1"/>
    <row r="2853" ht="20.25" customHeight="1"/>
    <row r="2854" ht="20.25" customHeight="1"/>
    <row r="2855" ht="20.25" customHeight="1"/>
    <row r="2856" ht="20.25" customHeight="1"/>
    <row r="2857" ht="20.25" customHeight="1"/>
    <row r="2858" ht="20.25" customHeight="1"/>
    <row r="2859" ht="20.25" customHeight="1"/>
    <row r="2860" ht="20.25" customHeight="1"/>
    <row r="2861" ht="20.25" customHeight="1"/>
    <row r="2862" ht="20.25" customHeight="1"/>
    <row r="2863" ht="20.25" customHeight="1"/>
    <row r="2864" ht="20.25" customHeight="1"/>
    <row r="2865" ht="20.25" customHeight="1"/>
    <row r="2866" ht="20.25" customHeight="1"/>
    <row r="2867" ht="20.25" customHeight="1"/>
    <row r="2868" ht="20.25" customHeight="1"/>
    <row r="2869" ht="20.25" customHeight="1"/>
    <row r="2870" ht="20.25" customHeight="1"/>
    <row r="2871" ht="20.25" customHeight="1"/>
    <row r="2872" ht="20.25" customHeight="1"/>
    <row r="2873" ht="20.25" customHeight="1"/>
    <row r="2874" ht="20.25" customHeight="1"/>
    <row r="2875" ht="20.25" customHeight="1"/>
    <row r="2876" ht="20.25" customHeight="1"/>
    <row r="2877" ht="20.25" customHeight="1"/>
    <row r="2878" ht="20.25" customHeight="1"/>
    <row r="2879" ht="20.25" customHeight="1"/>
    <row r="2880" ht="20.25" customHeight="1"/>
    <row r="2881" ht="20.25" customHeight="1"/>
    <row r="2882" ht="20.25" customHeight="1"/>
    <row r="2883" ht="20.25" customHeight="1"/>
    <row r="2884" ht="20.25" customHeight="1"/>
    <row r="2885" ht="20.25" customHeight="1"/>
    <row r="2886" ht="20.25" customHeight="1"/>
    <row r="2887" ht="20.25" customHeight="1"/>
    <row r="2888" ht="20.25" customHeight="1"/>
    <row r="2889" ht="20.25" customHeight="1"/>
    <row r="2890" ht="20.25" customHeight="1"/>
    <row r="2891" ht="20.25" customHeight="1"/>
    <row r="2892" ht="20.25" customHeight="1"/>
    <row r="2893" ht="20.25" customHeight="1"/>
    <row r="2894" ht="20.25" customHeight="1"/>
    <row r="2895" ht="20.25" customHeight="1"/>
    <row r="2896" ht="20.25" customHeight="1"/>
    <row r="2897" ht="20.25" customHeight="1"/>
    <row r="2898" ht="20.25" customHeight="1"/>
    <row r="2899" ht="20.25" customHeight="1"/>
    <row r="2900" ht="20.25" customHeight="1"/>
    <row r="2901" ht="20.25" customHeight="1"/>
    <row r="2902" ht="20.25" customHeight="1"/>
    <row r="2903" ht="20.25" customHeight="1"/>
    <row r="2904" ht="20.25" customHeight="1"/>
    <row r="2905" ht="20.25" customHeight="1"/>
    <row r="2906" ht="20.25" customHeight="1"/>
    <row r="2907" ht="20.25" customHeight="1"/>
    <row r="2908" ht="20.25" customHeight="1"/>
    <row r="2909" ht="20.25" customHeight="1"/>
    <row r="2910" ht="20.25" customHeight="1"/>
    <row r="2911" ht="20.25" customHeight="1"/>
    <row r="2912" ht="20.25" customHeight="1"/>
    <row r="2913" ht="20.25" customHeight="1"/>
    <row r="2914" ht="20.25" customHeight="1"/>
    <row r="2915" ht="20.25" customHeight="1"/>
    <row r="2916" ht="20.25" customHeight="1"/>
    <row r="2917" ht="20.25" customHeight="1"/>
    <row r="2918" ht="20.25" customHeight="1"/>
    <row r="2919" ht="20.25" customHeight="1"/>
    <row r="2920" ht="20.25" customHeight="1"/>
    <row r="2921" ht="20.25" customHeight="1"/>
    <row r="2922" ht="20.25" customHeight="1"/>
    <row r="2923" ht="20.25" customHeight="1"/>
    <row r="2924" ht="20.25" customHeight="1"/>
    <row r="2925" ht="20.25" customHeight="1"/>
    <row r="2926" ht="20.25" customHeight="1"/>
    <row r="2927" ht="20.25" customHeight="1"/>
    <row r="2928" ht="20.25" customHeight="1"/>
    <row r="2929" ht="20.25" customHeight="1"/>
    <row r="2930" ht="20.25" customHeight="1"/>
    <row r="2931" ht="20.25" customHeight="1"/>
    <row r="2932" ht="20.25" customHeight="1"/>
    <row r="2933" ht="20.25" customHeight="1"/>
    <row r="2934" ht="20.25" customHeight="1"/>
    <row r="2935" ht="20.25" customHeight="1"/>
    <row r="2936" ht="20.25" customHeight="1"/>
    <row r="2937" ht="20.25" customHeight="1"/>
    <row r="2938" ht="20.25" customHeight="1"/>
    <row r="2939" ht="20.25" customHeight="1"/>
    <row r="2940" ht="20.25" customHeight="1"/>
    <row r="2941" ht="20.25" customHeight="1"/>
    <row r="2942" ht="20.25" customHeight="1"/>
    <row r="2943" ht="20.25" customHeight="1"/>
    <row r="2944" ht="20.25" customHeight="1"/>
    <row r="2945" ht="20.25" customHeight="1"/>
    <row r="2946" ht="20.25" customHeight="1"/>
    <row r="2947" ht="20.25" customHeight="1"/>
    <row r="2948" ht="20.25" customHeight="1"/>
    <row r="2949" ht="20.25" customHeight="1"/>
    <row r="2950" ht="20.25" customHeight="1"/>
    <row r="2951" ht="20.25" customHeight="1"/>
    <row r="2952" ht="20.25" customHeight="1"/>
    <row r="2953" ht="20.25" customHeight="1"/>
    <row r="2954" ht="20.25" customHeight="1"/>
    <row r="2955" ht="20.25" customHeight="1"/>
    <row r="2956" ht="20.25" customHeight="1"/>
    <row r="2957" ht="20.25" customHeight="1"/>
    <row r="2958" ht="20.25" customHeight="1"/>
    <row r="2959" ht="20.25" customHeight="1"/>
    <row r="2960" ht="20.25" customHeight="1"/>
    <row r="2961" ht="20.25" customHeight="1"/>
    <row r="2962" ht="20.25" customHeight="1"/>
    <row r="2963" ht="20.25" customHeight="1"/>
    <row r="2964" ht="20.25" customHeight="1"/>
    <row r="2965" ht="20.25" customHeight="1"/>
    <row r="2966" ht="20.25" customHeight="1"/>
    <row r="2967" ht="20.25" customHeight="1"/>
    <row r="2968" ht="20.25" customHeight="1"/>
    <row r="2969" ht="20.25" customHeight="1"/>
    <row r="2970" ht="20.25" customHeight="1"/>
    <row r="2971" ht="20.25" customHeight="1"/>
    <row r="2972" ht="20.25" customHeight="1"/>
    <row r="2973" ht="20.25" customHeight="1"/>
    <row r="2974" ht="20.25" customHeight="1"/>
    <row r="2975" ht="20.25" customHeight="1"/>
    <row r="2976" ht="20.25" customHeight="1"/>
    <row r="2977" ht="20.25" customHeight="1"/>
    <row r="2978" ht="20.25" customHeight="1"/>
    <row r="2979" ht="20.25" customHeight="1"/>
    <row r="2980" ht="20.25" customHeight="1"/>
    <row r="2981" ht="20.25" customHeight="1"/>
    <row r="2982" ht="20.25" customHeight="1"/>
    <row r="2983" ht="20.25" customHeight="1"/>
    <row r="2984" ht="20.25" customHeight="1"/>
    <row r="2985" ht="20.25" customHeight="1"/>
    <row r="2986" ht="20.25" customHeight="1"/>
    <row r="2987" ht="20.25" customHeight="1"/>
    <row r="2988" ht="20.25" customHeight="1"/>
    <row r="2989" ht="20.25" customHeight="1"/>
    <row r="2990" ht="20.25" customHeight="1"/>
    <row r="2991" ht="20.25" customHeight="1"/>
    <row r="2992" ht="20.25" customHeight="1"/>
    <row r="2993" ht="20.25" customHeight="1"/>
    <row r="2994" ht="20.25" customHeight="1"/>
    <row r="2995" ht="20.25" customHeight="1"/>
    <row r="2996" ht="20.25" customHeight="1"/>
    <row r="2997" ht="20.25" customHeight="1"/>
    <row r="2998" ht="20.25" customHeight="1"/>
    <row r="2999" ht="20.25" customHeight="1"/>
    <row r="3000" ht="20.25" customHeight="1"/>
    <row r="3001" ht="20.25" customHeight="1"/>
    <row r="3002" ht="20.25" customHeight="1"/>
    <row r="3003" ht="20.25" customHeight="1"/>
    <row r="3004" ht="20.25" customHeight="1"/>
    <row r="3005" ht="20.25" customHeight="1"/>
    <row r="3006" ht="20.25" customHeight="1"/>
    <row r="3007" ht="20.25" customHeight="1"/>
    <row r="3008" ht="20.25" customHeight="1"/>
    <row r="3009" ht="20.25" customHeight="1"/>
    <row r="3010" ht="20.25" customHeight="1"/>
    <row r="3011" ht="20.25" customHeight="1"/>
    <row r="3012" ht="20.25" customHeight="1"/>
    <row r="3013" ht="20.25" customHeight="1"/>
    <row r="3014" ht="20.25" customHeight="1"/>
    <row r="3015" ht="20.25" customHeight="1"/>
    <row r="3016" ht="20.25" customHeight="1"/>
    <row r="3017" ht="20.25" customHeight="1"/>
    <row r="3018" ht="20.25" customHeight="1"/>
    <row r="3019" ht="20.25" customHeight="1"/>
    <row r="3020" ht="20.25" customHeight="1"/>
    <row r="3021" ht="20.25" customHeight="1"/>
    <row r="3022" ht="20.25" customHeight="1"/>
    <row r="3023" ht="20.25" customHeight="1"/>
    <row r="3024" ht="20.25" customHeight="1"/>
    <row r="3025" ht="20.25" customHeight="1"/>
    <row r="3026" ht="20.25" customHeight="1"/>
    <row r="3027" ht="20.25" customHeight="1"/>
    <row r="3028" ht="20.25" customHeight="1"/>
    <row r="3029" ht="20.25" customHeight="1"/>
    <row r="3030" ht="20.25" customHeight="1"/>
    <row r="3031" ht="20.25" customHeight="1"/>
    <row r="3032" ht="20.25" customHeight="1"/>
    <row r="3033" ht="20.25" customHeight="1"/>
    <row r="3034" ht="20.25" customHeight="1"/>
    <row r="3035" ht="20.25" customHeight="1"/>
    <row r="3036" ht="20.25" customHeight="1"/>
    <row r="3037" ht="20.25" customHeight="1"/>
    <row r="3038" ht="20.25" customHeight="1"/>
    <row r="3039" ht="20.25" customHeight="1"/>
    <row r="3040" ht="20.25" customHeight="1"/>
    <row r="3041" ht="20.25" customHeight="1"/>
    <row r="3042" ht="20.25" customHeight="1"/>
    <row r="3043" ht="20.25" customHeight="1"/>
    <row r="3044" ht="20.25" customHeight="1"/>
    <row r="3045" ht="20.25" customHeight="1"/>
    <row r="3046" ht="20.25" customHeight="1"/>
    <row r="3047" ht="20.25" customHeight="1"/>
    <row r="3048" ht="20.25" customHeight="1"/>
    <row r="3049" ht="20.25" customHeight="1"/>
    <row r="3050" ht="20.25" customHeight="1"/>
    <row r="3051" ht="20.25" customHeight="1"/>
    <row r="3052" ht="20.25" customHeight="1"/>
    <row r="3053" ht="20.25" customHeight="1"/>
    <row r="3054" ht="20.25" customHeight="1"/>
    <row r="3055" ht="20.25" customHeight="1"/>
    <row r="3056" ht="20.25" customHeight="1"/>
    <row r="3057" ht="20.25" customHeight="1"/>
    <row r="3058" ht="20.25" customHeight="1"/>
    <row r="3059" ht="20.25" customHeight="1"/>
    <row r="3060" ht="20.25" customHeight="1"/>
    <row r="3061" ht="20.25" customHeight="1"/>
    <row r="3062" ht="20.25" customHeight="1"/>
    <row r="3063" ht="20.25" customHeight="1"/>
    <row r="3064" ht="20.25" customHeight="1"/>
    <row r="3065" ht="20.25" customHeight="1"/>
    <row r="3066" ht="20.25" customHeight="1"/>
    <row r="3067" ht="20.25" customHeight="1"/>
    <row r="3068" ht="20.25" customHeight="1"/>
    <row r="3069" ht="20.25" customHeight="1"/>
    <row r="3070" ht="20.25" customHeight="1"/>
    <row r="3071" ht="20.25" customHeight="1"/>
    <row r="3072" ht="20.25" customHeight="1"/>
    <row r="3073" ht="20.25" customHeight="1"/>
    <row r="3074" ht="20.25" customHeight="1"/>
    <row r="3075" ht="20.25" customHeight="1"/>
    <row r="3076" ht="20.25" customHeight="1"/>
    <row r="3077" ht="20.25" customHeight="1"/>
    <row r="3078" ht="20.25" customHeight="1"/>
    <row r="3079" ht="20.25" customHeight="1"/>
    <row r="3080" ht="20.25" customHeight="1"/>
    <row r="3081" ht="20.25" customHeight="1"/>
    <row r="3082" ht="20.25" customHeight="1"/>
    <row r="3083" ht="20.25" customHeight="1"/>
    <row r="3084" ht="20.25" customHeight="1"/>
    <row r="3085" ht="20.25" customHeight="1"/>
    <row r="3086" ht="20.25" customHeight="1"/>
    <row r="3087" ht="20.25" customHeight="1"/>
    <row r="3088" ht="20.25" customHeight="1"/>
    <row r="3089" ht="20.25" customHeight="1"/>
    <row r="3090" ht="20.25" customHeight="1"/>
    <row r="3091" ht="20.25" customHeight="1"/>
    <row r="3092" ht="20.25" customHeight="1"/>
    <row r="3093" ht="20.25" customHeight="1"/>
    <row r="3094" ht="20.25" customHeight="1"/>
    <row r="3095" ht="20.25" customHeight="1"/>
    <row r="3096" ht="20.25" customHeight="1"/>
    <row r="3097" ht="20.25" customHeight="1"/>
    <row r="3098" ht="20.25" customHeight="1"/>
    <row r="3099" ht="20.25" customHeight="1"/>
    <row r="3100" ht="20.25" customHeight="1"/>
    <row r="3101" ht="20.25" customHeight="1"/>
    <row r="3102" ht="20.25" customHeight="1"/>
    <row r="3103" ht="20.25" customHeight="1"/>
    <row r="3104" ht="20.25" customHeight="1"/>
    <row r="3105" ht="20.25" customHeight="1"/>
    <row r="3106" ht="20.25" customHeight="1"/>
    <row r="3107" ht="20.25" customHeight="1"/>
    <row r="3108" ht="20.25" customHeight="1"/>
    <row r="3109" ht="20.25" customHeight="1"/>
    <row r="3110" ht="20.25" customHeight="1"/>
    <row r="3111" ht="20.25" customHeight="1"/>
    <row r="3112" ht="20.25" customHeight="1"/>
    <row r="3113" ht="20.25" customHeight="1"/>
    <row r="3114" ht="20.25" customHeight="1"/>
    <row r="3115" ht="20.25" customHeight="1"/>
    <row r="3116" ht="20.25" customHeight="1"/>
    <row r="3117" ht="20.25" customHeight="1"/>
    <row r="3118" ht="20.25" customHeight="1"/>
    <row r="3119" ht="20.25" customHeight="1"/>
    <row r="3120" ht="20.25" customHeight="1"/>
    <row r="3121" ht="20.25" customHeight="1"/>
    <row r="3122" ht="20.25" customHeight="1"/>
    <row r="3123" ht="20.25" customHeight="1"/>
    <row r="3124" ht="20.25" customHeight="1"/>
    <row r="3125" ht="20.25" customHeight="1"/>
    <row r="3126" ht="20.25" customHeight="1"/>
    <row r="3127" ht="20.25" customHeight="1"/>
    <row r="3128" ht="20.25" customHeight="1"/>
    <row r="3129" ht="20.25" customHeight="1"/>
    <row r="3130" ht="20.25" customHeight="1"/>
    <row r="3131" ht="20.25" customHeight="1"/>
    <row r="3132" ht="20.25" customHeight="1"/>
    <row r="3133" ht="20.25" customHeight="1"/>
    <row r="3134" ht="20.25" customHeight="1"/>
    <row r="3135" ht="20.25" customHeight="1"/>
    <row r="3136" ht="20.25" customHeight="1"/>
    <row r="3137" ht="20.25" customHeight="1"/>
    <row r="3138" ht="20.25" customHeight="1"/>
    <row r="3139" ht="20.25" customHeight="1"/>
    <row r="3140" ht="20.25" customHeight="1"/>
    <row r="3141" ht="20.25" customHeight="1"/>
    <row r="3142" ht="20.25" customHeight="1"/>
    <row r="3143" ht="20.25" customHeight="1"/>
    <row r="3144" ht="20.25" customHeight="1"/>
    <row r="3145" ht="20.25" customHeight="1"/>
    <row r="3146" ht="20.25" customHeight="1"/>
    <row r="3147" ht="20.25" customHeight="1"/>
    <row r="3148" ht="20.25" customHeight="1"/>
    <row r="3149" ht="20.25" customHeight="1"/>
    <row r="3150" ht="20.25" customHeight="1"/>
    <row r="3151" ht="20.25" customHeight="1"/>
    <row r="3152" ht="20.25" customHeight="1"/>
    <row r="3153" ht="20.25" customHeight="1"/>
    <row r="3154" ht="20.25" customHeight="1"/>
    <row r="3155" ht="20.25" customHeight="1"/>
    <row r="3156" ht="20.25" customHeight="1"/>
    <row r="3157" ht="20.25" customHeight="1"/>
    <row r="3158" ht="20.25" customHeight="1"/>
    <row r="3159" ht="20.25" customHeight="1"/>
    <row r="3160" ht="20.25" customHeight="1"/>
    <row r="3161" ht="20.25" customHeight="1"/>
    <row r="3162" ht="20.25" customHeight="1"/>
    <row r="3163" ht="20.25" customHeight="1"/>
    <row r="3164" ht="20.25" customHeight="1"/>
    <row r="3165" ht="20.25" customHeight="1"/>
    <row r="3166" ht="20.25" customHeight="1"/>
    <row r="3167" ht="20.25" customHeight="1"/>
    <row r="3168" ht="20.25" customHeight="1"/>
    <row r="3169" ht="20.25" customHeight="1"/>
    <row r="3170" ht="20.25" customHeight="1"/>
    <row r="3171" ht="20.25" customHeight="1"/>
    <row r="3172" ht="20.25" customHeight="1"/>
    <row r="3173" ht="20.25" customHeight="1"/>
    <row r="3174" ht="20.25" customHeight="1"/>
    <row r="3175" ht="20.25" customHeight="1"/>
    <row r="3176" ht="20.25" customHeight="1"/>
    <row r="3177" ht="20.25" customHeight="1"/>
    <row r="3178" ht="20.25" customHeight="1"/>
    <row r="3179" ht="20.25" customHeight="1"/>
    <row r="3180" ht="20.25" customHeight="1"/>
    <row r="3181" ht="20.25" customHeight="1"/>
    <row r="3182" ht="20.25" customHeight="1"/>
    <row r="3183" ht="20.25" customHeight="1"/>
    <row r="3184" ht="20.25" customHeight="1"/>
    <row r="3185" ht="20.25" customHeight="1"/>
    <row r="3186" ht="20.25" customHeight="1"/>
    <row r="3187" ht="20.25" customHeight="1"/>
    <row r="3188" ht="20.25" customHeight="1"/>
    <row r="3189" ht="20.25" customHeight="1"/>
    <row r="3190" ht="20.25" customHeight="1"/>
    <row r="3191" ht="20.25" customHeight="1"/>
    <row r="3192" ht="20.25" customHeight="1"/>
    <row r="3193" ht="20.25" customHeight="1"/>
    <row r="3194" ht="20.25" customHeight="1"/>
    <row r="3195" ht="20.25" customHeight="1"/>
    <row r="3196" ht="20.25" customHeight="1"/>
    <row r="3197" ht="20.25" customHeight="1"/>
    <row r="3198" ht="20.25" customHeight="1"/>
    <row r="3199" ht="20.25" customHeight="1"/>
    <row r="3200" ht="20.25" customHeight="1"/>
    <row r="3201" ht="20.25" customHeight="1"/>
    <row r="3202" ht="20.25" customHeight="1"/>
    <row r="3203" ht="20.25" customHeight="1"/>
    <row r="3204" ht="20.25" customHeight="1"/>
    <row r="3205" ht="20.25" customHeight="1"/>
    <row r="3206" ht="20.25" customHeight="1"/>
    <row r="3207" ht="20.25" customHeight="1"/>
    <row r="3208" ht="20.25" customHeight="1"/>
    <row r="3209" ht="20.25" customHeight="1"/>
    <row r="3210" ht="20.25" customHeight="1"/>
    <row r="3211" ht="20.25" customHeight="1"/>
    <row r="3212" ht="20.25" customHeight="1"/>
    <row r="3213" ht="20.25" customHeight="1"/>
    <row r="3214" ht="20.25" customHeight="1"/>
    <row r="3215" ht="20.25" customHeight="1"/>
    <row r="3216" ht="20.25" customHeight="1"/>
    <row r="3217" ht="20.25" customHeight="1"/>
    <row r="3218" ht="20.25" customHeight="1"/>
    <row r="3219" ht="20.25" customHeight="1"/>
    <row r="3220" ht="20.25" customHeight="1"/>
    <row r="3221" ht="20.25" customHeight="1"/>
    <row r="3222" ht="20.25" customHeight="1"/>
    <row r="3223" ht="20.25" customHeight="1"/>
    <row r="3224" ht="20.25" customHeight="1"/>
    <row r="3225" ht="20.25" customHeight="1"/>
    <row r="3226" ht="20.25" customHeight="1"/>
    <row r="3227" ht="20.25" customHeight="1"/>
    <row r="3228" ht="20.25" customHeight="1"/>
    <row r="3229" ht="20.25" customHeight="1"/>
    <row r="3230" ht="20.25" customHeight="1"/>
    <row r="3231" ht="20.25" customHeight="1"/>
    <row r="3232" ht="20.25" customHeight="1"/>
    <row r="3233" ht="20.25" customHeight="1"/>
    <row r="3234" ht="20.25" customHeight="1"/>
    <row r="3235" ht="20.25" customHeight="1"/>
    <row r="3236" ht="20.25" customHeight="1"/>
    <row r="3237" ht="20.25" customHeight="1"/>
    <row r="3238" ht="20.25" customHeight="1"/>
    <row r="3239" ht="20.25" customHeight="1"/>
    <row r="3240" ht="20.25" customHeight="1"/>
    <row r="3241" ht="20.25" customHeight="1"/>
    <row r="3242" ht="20.25" customHeight="1"/>
    <row r="3243" ht="20.25" customHeight="1"/>
    <row r="3244" ht="20.25" customHeight="1"/>
    <row r="3245" ht="20.25" customHeight="1"/>
    <row r="3246" ht="20.25" customHeight="1"/>
    <row r="3247" ht="20.25" customHeight="1"/>
    <row r="3248" ht="20.25" customHeight="1"/>
    <row r="3249" ht="20.25" customHeight="1"/>
    <row r="3250" ht="20.25" customHeight="1"/>
    <row r="3251" ht="20.25" customHeight="1"/>
    <row r="3252" ht="20.25" customHeight="1"/>
    <row r="3253" ht="20.25" customHeight="1"/>
    <row r="3254" ht="20.25" customHeight="1"/>
    <row r="3255" ht="20.25" customHeight="1"/>
    <row r="3256" ht="20.25" customHeight="1"/>
    <row r="3257" ht="20.25" customHeight="1"/>
    <row r="3258" ht="20.25" customHeight="1"/>
    <row r="3259" ht="20.25" customHeight="1"/>
    <row r="3260" ht="20.25" customHeight="1"/>
    <row r="3261" ht="20.25" customHeight="1"/>
    <row r="3262" ht="20.25" customHeight="1"/>
    <row r="3263" ht="20.25" customHeight="1"/>
    <row r="3264" ht="20.25" customHeight="1"/>
    <row r="3265" ht="20.25" customHeight="1"/>
    <row r="3266" ht="20.25" customHeight="1"/>
    <row r="3267" ht="20.25" customHeight="1"/>
    <row r="3268" ht="20.25" customHeight="1"/>
    <row r="3269" ht="20.25" customHeight="1"/>
    <row r="3270" ht="20.25" customHeight="1"/>
    <row r="3271" ht="20.25" customHeight="1"/>
    <row r="3272" ht="20.25" customHeight="1"/>
    <row r="3273" ht="20.25" customHeight="1"/>
    <row r="3274" ht="20.25" customHeight="1"/>
    <row r="3275" ht="20.25" customHeight="1"/>
    <row r="3276" ht="20.25" customHeight="1"/>
    <row r="3277" ht="20.25" customHeight="1"/>
    <row r="3278" ht="20.25" customHeight="1"/>
  </sheetData>
  <mergeCells count="213">
    <mergeCell ref="A2728:F2728"/>
    <mergeCell ref="A2729:F2729"/>
    <mergeCell ref="A2743:F2743"/>
    <mergeCell ref="A2744:F2744"/>
    <mergeCell ref="B2746:F2746"/>
    <mergeCell ref="A2608:F2608"/>
    <mergeCell ref="A2629:F2629"/>
    <mergeCell ref="A2630:F2630"/>
    <mergeCell ref="A2651:F2651"/>
    <mergeCell ref="A2652:F2652"/>
    <mergeCell ref="A2674:F2674"/>
    <mergeCell ref="A2675:F2675"/>
    <mergeCell ref="A2700:F2700"/>
    <mergeCell ref="A2701:F2701"/>
    <mergeCell ref="B2460:F2460"/>
    <mergeCell ref="A2496:F2496"/>
    <mergeCell ref="A2497:F2497"/>
    <mergeCell ref="A2533:F2533"/>
    <mergeCell ref="A2534:F2534"/>
    <mergeCell ref="B2536:F2536"/>
    <mergeCell ref="A2570:F2570"/>
    <mergeCell ref="A2571:F2571"/>
    <mergeCell ref="A2607:F2607"/>
    <mergeCell ref="A2381:F2381"/>
    <mergeCell ref="H2381:M2381"/>
    <mergeCell ref="B2383:F2383"/>
    <mergeCell ref="I2383:M2383"/>
    <mergeCell ref="A2418:F2418"/>
    <mergeCell ref="A2419:F2419"/>
    <mergeCell ref="B2421:F2421"/>
    <mergeCell ref="A2457:F2457"/>
    <mergeCell ref="A2458:F2458"/>
    <mergeCell ref="B2263:F2263"/>
    <mergeCell ref="A2302:F2302"/>
    <mergeCell ref="A2303:F2303"/>
    <mergeCell ref="B2305:F2305"/>
    <mergeCell ref="A2341:F2341"/>
    <mergeCell ref="A2342:F2342"/>
    <mergeCell ref="B2344:F2344"/>
    <mergeCell ref="A2380:F2380"/>
    <mergeCell ref="H2380:M2380"/>
    <mergeCell ref="B2140:F2140"/>
    <mergeCell ref="A2171:F2171"/>
    <mergeCell ref="A2172:F2172"/>
    <mergeCell ref="B2174:F2174"/>
    <mergeCell ref="A2215:F2215"/>
    <mergeCell ref="A2216:F2216"/>
    <mergeCell ref="B2218:F2218"/>
    <mergeCell ref="A2260:F2260"/>
    <mergeCell ref="A2261:F2261"/>
    <mergeCell ref="B2039:F2039"/>
    <mergeCell ref="A2079:F2079"/>
    <mergeCell ref="A2080:F2080"/>
    <mergeCell ref="B2082:F2082"/>
    <mergeCell ref="A2108:F2108"/>
    <mergeCell ref="A2109:F2109"/>
    <mergeCell ref="B2111:F2111"/>
    <mergeCell ref="A2137:F2137"/>
    <mergeCell ref="A2138:F2138"/>
    <mergeCell ref="B1957:F1957"/>
    <mergeCell ref="I1957:M1957"/>
    <mergeCell ref="P1957:T1957"/>
    <mergeCell ref="W1957:AA1957"/>
    <mergeCell ref="A1995:F1995"/>
    <mergeCell ref="A1996:F1996"/>
    <mergeCell ref="B1998:F1998"/>
    <mergeCell ref="A2036:F2036"/>
    <mergeCell ref="A2037:F2037"/>
    <mergeCell ref="A1914:F1914"/>
    <mergeCell ref="B1916:F1916"/>
    <mergeCell ref="A1954:F1954"/>
    <mergeCell ref="H1954:M1954"/>
    <mergeCell ref="O1954:T1954"/>
    <mergeCell ref="V1954:AA1954"/>
    <mergeCell ref="A1955:F1955"/>
    <mergeCell ref="H1955:M1955"/>
    <mergeCell ref="O1955:T1955"/>
    <mergeCell ref="V1955:AA1955"/>
    <mergeCell ref="A1748:F1748"/>
    <mergeCell ref="A1789:F1789"/>
    <mergeCell ref="A1790:F1790"/>
    <mergeCell ref="A1831:F1831"/>
    <mergeCell ref="A1832:F1832"/>
    <mergeCell ref="A1873:F1873"/>
    <mergeCell ref="A1874:F1874"/>
    <mergeCell ref="B1876:F1876"/>
    <mergeCell ref="A1913:F1913"/>
    <mergeCell ref="A1628:F1628"/>
    <mergeCell ref="A1629:F1629"/>
    <mergeCell ref="B1631:F1631"/>
    <mergeCell ref="A1666:F1666"/>
    <mergeCell ref="A1667:F1667"/>
    <mergeCell ref="B1669:F1669"/>
    <mergeCell ref="A1704:F1704"/>
    <mergeCell ref="A1705:F1705"/>
    <mergeCell ref="A1747:F1747"/>
    <mergeCell ref="A1515:F1515"/>
    <mergeCell ref="A1516:F1516"/>
    <mergeCell ref="B1518:F1518"/>
    <mergeCell ref="A1559:F1559"/>
    <mergeCell ref="A1560:F1560"/>
    <mergeCell ref="B1562:F1562"/>
    <mergeCell ref="A1597:F1597"/>
    <mergeCell ref="A1598:F1598"/>
    <mergeCell ref="B1600:F1600"/>
    <mergeCell ref="A1371:F1371"/>
    <mergeCell ref="A1372:F1372"/>
    <mergeCell ref="B1374:F1374"/>
    <mergeCell ref="A1419:F1419"/>
    <mergeCell ref="A1420:F1420"/>
    <mergeCell ref="B1422:F1422"/>
    <mergeCell ref="A1467:F1467"/>
    <mergeCell ref="A1468:F1468"/>
    <mergeCell ref="B1470:F1470"/>
    <mergeCell ref="A1255:F1255"/>
    <mergeCell ref="A1256:F1256"/>
    <mergeCell ref="B1258:F1258"/>
    <mergeCell ref="A1297:F1297"/>
    <mergeCell ref="A1298:F1298"/>
    <mergeCell ref="B1300:F1300"/>
    <mergeCell ref="A1334:F1334"/>
    <mergeCell ref="A1335:F1335"/>
    <mergeCell ref="B1337:F1337"/>
    <mergeCell ref="A1127:F1127"/>
    <mergeCell ref="A1128:F1128"/>
    <mergeCell ref="B1130:F1130"/>
    <mergeCell ref="A1171:F1171"/>
    <mergeCell ref="A1172:F1172"/>
    <mergeCell ref="B1174:F1174"/>
    <mergeCell ref="A1213:F1213"/>
    <mergeCell ref="A1214:F1214"/>
    <mergeCell ref="B1216:F1216"/>
    <mergeCell ref="A995:F995"/>
    <mergeCell ref="A996:F996"/>
    <mergeCell ref="B998:F998"/>
    <mergeCell ref="A1040:F1040"/>
    <mergeCell ref="A1041:F1041"/>
    <mergeCell ref="B1043:F1043"/>
    <mergeCell ref="A1085:F1085"/>
    <mergeCell ref="A1086:F1086"/>
    <mergeCell ref="B1088:F1088"/>
    <mergeCell ref="A860:F860"/>
    <mergeCell ref="A861:F861"/>
    <mergeCell ref="B863:F863"/>
    <mergeCell ref="A905:F905"/>
    <mergeCell ref="A906:F906"/>
    <mergeCell ref="B908:F908"/>
    <mergeCell ref="A950:F950"/>
    <mergeCell ref="A951:F951"/>
    <mergeCell ref="B953:F953"/>
    <mergeCell ref="A718:F718"/>
    <mergeCell ref="A719:F719"/>
    <mergeCell ref="B721:F721"/>
    <mergeCell ref="A765:F765"/>
    <mergeCell ref="A766:F766"/>
    <mergeCell ref="B768:F768"/>
    <mergeCell ref="A812:F812"/>
    <mergeCell ref="A813:F813"/>
    <mergeCell ref="B815:F815"/>
    <mergeCell ref="A672:F672"/>
    <mergeCell ref="H672:M672"/>
    <mergeCell ref="O672:T672"/>
    <mergeCell ref="A673:F673"/>
    <mergeCell ref="H673:M673"/>
    <mergeCell ref="O673:T673"/>
    <mergeCell ref="B675:F675"/>
    <mergeCell ref="I675:M675"/>
    <mergeCell ref="P675:T675"/>
    <mergeCell ref="A531:F531"/>
    <mergeCell ref="A532:F532"/>
    <mergeCell ref="B534:F534"/>
    <mergeCell ref="A578:F578"/>
    <mergeCell ref="A579:F579"/>
    <mergeCell ref="B581:F581"/>
    <mergeCell ref="A625:F625"/>
    <mergeCell ref="A626:F626"/>
    <mergeCell ref="B628:F628"/>
    <mergeCell ref="A388:F388"/>
    <mergeCell ref="A389:F389"/>
    <mergeCell ref="B391:F391"/>
    <mergeCell ref="A436:F436"/>
    <mergeCell ref="A437:F437"/>
    <mergeCell ref="B439:F439"/>
    <mergeCell ref="A484:F484"/>
    <mergeCell ref="A485:F485"/>
    <mergeCell ref="B487:F487"/>
    <mergeCell ref="A244:F244"/>
    <mergeCell ref="A245:F245"/>
    <mergeCell ref="B247:F247"/>
    <mergeCell ref="A292:F292"/>
    <mergeCell ref="A293:F293"/>
    <mergeCell ref="B295:F295"/>
    <mergeCell ref="A340:F340"/>
    <mergeCell ref="A341:F341"/>
    <mergeCell ref="B343:F343"/>
    <mergeCell ref="A148:F148"/>
    <mergeCell ref="A149:F149"/>
    <mergeCell ref="B151:F151"/>
    <mergeCell ref="A196:F196"/>
    <mergeCell ref="H196:M196"/>
    <mergeCell ref="A197:F197"/>
    <mergeCell ref="H197:M197"/>
    <mergeCell ref="B199:F199"/>
    <mergeCell ref="I199:M199"/>
    <mergeCell ref="A3:F3"/>
    <mergeCell ref="A4:F4"/>
    <mergeCell ref="B6:F6"/>
    <mergeCell ref="A52:F52"/>
    <mergeCell ref="A53:F53"/>
    <mergeCell ref="B55:F55"/>
    <mergeCell ref="A100:F100"/>
    <mergeCell ref="A101:F101"/>
    <mergeCell ref="B103:F103"/>
  </mergeCells>
  <phoneticPr fontId="79" type="noConversion"/>
  <printOptions horizontalCentered="1"/>
  <pageMargins left="0.94444444444444398" right="0.74791666666666701" top="0.98402777777777795" bottom="0.98402777777777795" header="0.51180555555555596" footer="0.51180555555555596"/>
  <pageSetup paperSize="9" orientation="portrait" horizontalDpi="1200" verticalDpi="1200"/>
  <headerFooter alignWithMargins="0"/>
</worksheet>
</file>

<file path=xl/worksheets/sheet15.xml><?xml version="1.0" encoding="utf-8"?>
<worksheet xmlns="http://schemas.openxmlformats.org/spreadsheetml/2006/main" xmlns:r="http://schemas.openxmlformats.org/officeDocument/2006/relationships">
  <dimension ref="A1:F170"/>
  <sheetViews>
    <sheetView workbookViewId="0">
      <pane ySplit="2" topLeftCell="A3" activePane="bottomLeft" state="frozen"/>
      <selection pane="bottomLeft" activeCell="D14" sqref="D14"/>
    </sheetView>
  </sheetViews>
  <sheetFormatPr defaultColWidth="9" defaultRowHeight="14.25"/>
  <cols>
    <col min="1" max="1" width="8.5" customWidth="1"/>
    <col min="2" max="2" width="24.75" customWidth="1"/>
    <col min="3" max="6" width="9.625" customWidth="1"/>
  </cols>
  <sheetData>
    <row r="1" spans="1:6">
      <c r="A1" s="46"/>
      <c r="B1" s="46" t="s">
        <v>33</v>
      </c>
      <c r="C1" s="46" t="s">
        <v>506</v>
      </c>
      <c r="D1" s="46"/>
      <c r="E1" s="46" t="s">
        <v>515</v>
      </c>
      <c r="F1" s="46" t="s">
        <v>516</v>
      </c>
    </row>
    <row r="2" spans="1:6">
      <c r="A2" s="46"/>
      <c r="B2" s="46">
        <f>材料预算价格表!M7</f>
        <v>1494.7134599999999</v>
      </c>
      <c r="C2" s="46">
        <f>材料预算价格表!M8</f>
        <v>0</v>
      </c>
      <c r="D2" s="46"/>
      <c r="E2" s="46">
        <f>材料预算价格表!M13/1000</f>
        <v>4.7450000000000001</v>
      </c>
      <c r="F2" s="46">
        <f>材料预算价格表!M14/1000</f>
        <v>3.51</v>
      </c>
    </row>
    <row r="3" spans="1:6" ht="20.25" customHeight="1">
      <c r="A3" s="479" t="s">
        <v>813</v>
      </c>
      <c r="B3" s="479"/>
      <c r="C3" s="479"/>
      <c r="D3" s="479"/>
      <c r="E3" s="479"/>
      <c r="F3" s="479"/>
    </row>
    <row r="4" spans="1:6" ht="18.75" customHeight="1">
      <c r="A4" s="462" t="s">
        <v>1054</v>
      </c>
      <c r="B4" s="462"/>
      <c r="C4" s="462"/>
      <c r="D4" s="462"/>
      <c r="E4" s="462"/>
      <c r="F4" s="462"/>
    </row>
    <row r="5" spans="1:6" ht="18.75" customHeight="1">
      <c r="A5" s="47" t="s">
        <v>894</v>
      </c>
      <c r="B5" s="49">
        <v>40123</v>
      </c>
      <c r="C5" s="46"/>
      <c r="D5" s="46"/>
      <c r="E5" s="47" t="s">
        <v>169</v>
      </c>
      <c r="F5" s="49" t="s">
        <v>1055</v>
      </c>
    </row>
    <row r="6" spans="1:6" ht="18.75" customHeight="1">
      <c r="A6" s="50" t="s">
        <v>817</v>
      </c>
      <c r="B6" s="52"/>
      <c r="C6" s="7"/>
      <c r="D6" s="7"/>
      <c r="E6" s="7"/>
      <c r="F6" s="7"/>
    </row>
    <row r="7" spans="1:6" ht="18.75" customHeight="1">
      <c r="A7" s="7" t="s">
        <v>1</v>
      </c>
      <c r="B7" s="52" t="s">
        <v>344</v>
      </c>
      <c r="C7" s="7" t="s">
        <v>818</v>
      </c>
      <c r="D7" s="7" t="s">
        <v>819</v>
      </c>
      <c r="E7" s="7" t="s">
        <v>820</v>
      </c>
      <c r="F7" s="7" t="s">
        <v>821</v>
      </c>
    </row>
    <row r="8" spans="1:6" ht="18.75" customHeight="1">
      <c r="A8" s="7">
        <v>1</v>
      </c>
      <c r="B8" s="52" t="s">
        <v>822</v>
      </c>
      <c r="C8" s="7"/>
      <c r="D8" s="7"/>
      <c r="E8" s="7"/>
      <c r="F8" s="66">
        <f>F9+F29+F30</f>
        <v>4076.3146382180967</v>
      </c>
    </row>
    <row r="9" spans="1:6" ht="18.75" customHeight="1">
      <c r="A9" s="7">
        <v>1.1000000000000001</v>
      </c>
      <c r="B9" s="52" t="s">
        <v>823</v>
      </c>
      <c r="C9" s="7"/>
      <c r="D9" s="7"/>
      <c r="E9" s="7"/>
      <c r="F9" s="66">
        <f>F10+F13+F18</f>
        <v>3889.6132044065807</v>
      </c>
    </row>
    <row r="10" spans="1:6" ht="18.75" customHeight="1">
      <c r="A10" s="7" t="s">
        <v>47</v>
      </c>
      <c r="B10" s="52" t="s">
        <v>176</v>
      </c>
      <c r="C10" s="7"/>
      <c r="D10" s="7"/>
      <c r="E10" s="7"/>
      <c r="F10" s="66">
        <f>F11+F12</f>
        <v>814.07600000000002</v>
      </c>
    </row>
    <row r="11" spans="1:6" ht="18.75" customHeight="1">
      <c r="A11" s="7"/>
      <c r="B11" s="52" t="s">
        <v>824</v>
      </c>
      <c r="C11" s="7" t="s">
        <v>825</v>
      </c>
      <c r="D11" s="7">
        <v>8.1</v>
      </c>
      <c r="E11" s="7">
        <v>80.7</v>
      </c>
      <c r="F11" s="66">
        <f>D11*E11</f>
        <v>653.66999999999996</v>
      </c>
    </row>
    <row r="12" spans="1:6" ht="18.75" customHeight="1">
      <c r="A12" s="7"/>
      <c r="B12" s="52" t="s">
        <v>826</v>
      </c>
      <c r="C12" s="7" t="s">
        <v>825</v>
      </c>
      <c r="D12" s="7">
        <v>5.77</v>
      </c>
      <c r="E12" s="7">
        <v>27.8</v>
      </c>
      <c r="F12" s="66">
        <f>D12*E12</f>
        <v>160.40600000000001</v>
      </c>
    </row>
    <row r="13" spans="1:6" ht="18.75" customHeight="1">
      <c r="A13" s="7" t="s">
        <v>57</v>
      </c>
      <c r="B13" s="52" t="s">
        <v>177</v>
      </c>
      <c r="C13" s="7"/>
      <c r="D13" s="7"/>
      <c r="E13" s="7"/>
      <c r="F13" s="66">
        <f>F14+F15+F16+F17</f>
        <v>2724.3235</v>
      </c>
    </row>
    <row r="14" spans="1:6" ht="18.75" customHeight="1">
      <c r="A14" s="7"/>
      <c r="B14" s="52" t="s">
        <v>33</v>
      </c>
      <c r="C14" s="7" t="s">
        <v>88</v>
      </c>
      <c r="D14" s="7">
        <f>材料预算价格表!L7</f>
        <v>2560</v>
      </c>
      <c r="E14" s="7">
        <v>1.02</v>
      </c>
      <c r="F14" s="66">
        <f>D14*E14</f>
        <v>2611.1999999999998</v>
      </c>
    </row>
    <row r="15" spans="1:6" ht="18.75" customHeight="1">
      <c r="A15" s="7"/>
      <c r="B15" s="52" t="s">
        <v>972</v>
      </c>
      <c r="C15" s="7" t="s">
        <v>829</v>
      </c>
      <c r="D15" s="7">
        <f>次要材料汇总!$F$8</f>
        <v>8</v>
      </c>
      <c r="E15" s="7">
        <v>4</v>
      </c>
      <c r="F15" s="66">
        <f>D15*E15</f>
        <v>32</v>
      </c>
    </row>
    <row r="16" spans="1:6" ht="18.75" customHeight="1">
      <c r="A16" s="7"/>
      <c r="B16" s="52" t="s">
        <v>876</v>
      </c>
      <c r="C16" s="7" t="s">
        <v>829</v>
      </c>
      <c r="D16" s="7">
        <f>次要材料汇总!$F$12</f>
        <v>7.5</v>
      </c>
      <c r="E16" s="7">
        <v>7.22</v>
      </c>
      <c r="F16" s="66">
        <f>D16*E16</f>
        <v>54.15</v>
      </c>
    </row>
    <row r="17" spans="1:6" ht="18.75" customHeight="1">
      <c r="A17" s="7"/>
      <c r="B17" s="52" t="s">
        <v>833</v>
      </c>
      <c r="C17" s="7" t="s">
        <v>834</v>
      </c>
      <c r="D17" s="7">
        <f>F14+F15+F16</f>
        <v>2697.35</v>
      </c>
      <c r="E17" s="7">
        <v>1</v>
      </c>
      <c r="F17" s="66">
        <f>D17*E17/100</f>
        <v>26.973499999999998</v>
      </c>
    </row>
    <row r="18" spans="1:6" ht="18.75" customHeight="1">
      <c r="A18" s="7" t="s">
        <v>835</v>
      </c>
      <c r="B18" s="52" t="s">
        <v>836</v>
      </c>
      <c r="C18" s="7"/>
      <c r="D18" s="7"/>
      <c r="E18" s="7"/>
      <c r="F18" s="66">
        <f>F19+F20+F21+F22+F23+F24+F25+F26+F27</f>
        <v>351.21370440658052</v>
      </c>
    </row>
    <row r="19" spans="1:6" ht="18.75" customHeight="1">
      <c r="A19" s="7"/>
      <c r="B19" s="52" t="s">
        <v>1056</v>
      </c>
      <c r="C19" s="7" t="s">
        <v>863</v>
      </c>
      <c r="D19" s="66">
        <f>施工机械台时汇总!$C$70</f>
        <v>22.200727771249507</v>
      </c>
      <c r="E19" s="7">
        <v>0.6</v>
      </c>
      <c r="F19" s="66">
        <f t="shared" ref="F19:F26" si="0">D19*E19</f>
        <v>13.320436662749705</v>
      </c>
    </row>
    <row r="20" spans="1:6" ht="18.75" customHeight="1">
      <c r="A20" s="7"/>
      <c r="B20" s="52" t="s">
        <v>1057</v>
      </c>
      <c r="C20" s="7" t="s">
        <v>863</v>
      </c>
      <c r="D20" s="7">
        <f>施工机械台时汇总!$C$31</f>
        <v>43.447247943595769</v>
      </c>
      <c r="E20" s="7">
        <v>1.5</v>
      </c>
      <c r="F20" s="66">
        <f t="shared" si="0"/>
        <v>65.170871915393661</v>
      </c>
    </row>
    <row r="21" spans="1:6" ht="18.75" customHeight="1">
      <c r="A21" s="7"/>
      <c r="B21" s="52" t="s">
        <v>1058</v>
      </c>
      <c r="C21" s="7" t="s">
        <v>863</v>
      </c>
      <c r="D21" s="66">
        <f>施工机械台时汇总!$C$71</f>
        <v>31.092627497062281</v>
      </c>
      <c r="E21" s="7">
        <v>0.4</v>
      </c>
      <c r="F21" s="66">
        <f t="shared" si="0"/>
        <v>12.437050998824914</v>
      </c>
    </row>
    <row r="22" spans="1:6" ht="18.75" customHeight="1">
      <c r="A22" s="7"/>
      <c r="B22" s="52" t="s">
        <v>1059</v>
      </c>
      <c r="C22" s="7" t="s">
        <v>863</v>
      </c>
      <c r="D22" s="66">
        <f>施工机械台时汇总!$C$68</f>
        <v>18.7171758715237</v>
      </c>
      <c r="E22" s="7">
        <v>1.05</v>
      </c>
      <c r="F22" s="66">
        <f t="shared" si="0"/>
        <v>19.653034665099888</v>
      </c>
    </row>
    <row r="23" spans="1:6" ht="18.75" customHeight="1">
      <c r="A23" s="7"/>
      <c r="B23" s="52" t="s">
        <v>1060</v>
      </c>
      <c r="C23" s="7" t="s">
        <v>863</v>
      </c>
      <c r="D23" s="66">
        <f>施工机械台时汇总!$C$40</f>
        <v>15.582226792009401</v>
      </c>
      <c r="E23" s="7">
        <v>10</v>
      </c>
      <c r="F23" s="66">
        <f t="shared" si="0"/>
        <v>155.82226792009402</v>
      </c>
    </row>
    <row r="24" spans="1:6" ht="18.75" customHeight="1">
      <c r="A24" s="7"/>
      <c r="B24" s="52" t="s">
        <v>1061</v>
      </c>
      <c r="C24" s="7" t="s">
        <v>863</v>
      </c>
      <c r="D24" s="66">
        <f>施工机械台时汇总!$C$69</f>
        <v>110.9568715236976</v>
      </c>
      <c r="E24" s="7">
        <v>0.4</v>
      </c>
      <c r="F24" s="66">
        <f t="shared" si="0"/>
        <v>44.382748609479044</v>
      </c>
    </row>
    <row r="25" spans="1:6" ht="18.75" customHeight="1">
      <c r="A25" s="7"/>
      <c r="B25" s="52" t="s">
        <v>1062</v>
      </c>
      <c r="C25" s="7" t="s">
        <v>863</v>
      </c>
      <c r="D25" s="66">
        <f>施工机械台时汇总!$C$42</f>
        <v>49.210305522914197</v>
      </c>
      <c r="E25" s="7">
        <v>0.45</v>
      </c>
      <c r="F25" s="66">
        <f t="shared" si="0"/>
        <v>22.144637485311389</v>
      </c>
    </row>
    <row r="26" spans="1:6" ht="18.75" customHeight="1">
      <c r="A26" s="7"/>
      <c r="B26" s="52" t="s">
        <v>1063</v>
      </c>
      <c r="C26" s="7" t="s">
        <v>863</v>
      </c>
      <c r="D26" s="66">
        <f>施工机械台时汇总!$C$55</f>
        <v>113.9611292596945</v>
      </c>
      <c r="E26" s="7">
        <v>0.1</v>
      </c>
      <c r="F26" s="66">
        <f t="shared" si="0"/>
        <v>11.396112925969451</v>
      </c>
    </row>
    <row r="27" spans="1:6" ht="18.75" customHeight="1">
      <c r="A27" s="7"/>
      <c r="B27" s="52" t="s">
        <v>840</v>
      </c>
      <c r="C27" s="7" t="s">
        <v>834</v>
      </c>
      <c r="D27" s="66">
        <f>F19+F20+F21+F22+F23+F24+F25+F26</f>
        <v>344.32716118292205</v>
      </c>
      <c r="E27" s="7">
        <v>2</v>
      </c>
      <c r="F27" s="66">
        <f>D27*E27/100</f>
        <v>6.8865432236584407</v>
      </c>
    </row>
    <row r="28" spans="1:6" ht="18.75" customHeight="1">
      <c r="A28" s="7"/>
      <c r="B28" s="52"/>
      <c r="C28" s="7"/>
      <c r="D28" s="7"/>
      <c r="E28" s="7"/>
      <c r="F28" s="66"/>
    </row>
    <row r="29" spans="1:6" ht="18.75" customHeight="1">
      <c r="A29" s="7">
        <v>1.2</v>
      </c>
      <c r="B29" s="52" t="s">
        <v>841</v>
      </c>
      <c r="C29" s="7"/>
      <c r="D29" s="66">
        <f>F9</f>
        <v>3889.6132044065807</v>
      </c>
      <c r="E29" s="56">
        <f>取费!C10</f>
        <v>4.8000000000000001E-2</v>
      </c>
      <c r="F29" s="66">
        <f>D29*E29</f>
        <v>186.70143381151587</v>
      </c>
    </row>
    <row r="30" spans="1:6" ht="18.75" customHeight="1">
      <c r="A30" s="7">
        <v>1.3</v>
      </c>
      <c r="B30" s="52" t="s">
        <v>842</v>
      </c>
      <c r="C30" s="7"/>
      <c r="D30" s="66">
        <f>F9</f>
        <v>3889.6132044065807</v>
      </c>
      <c r="E30" s="56">
        <f>取费!D10</f>
        <v>0</v>
      </c>
      <c r="F30" s="66">
        <f>D30*E30</f>
        <v>0</v>
      </c>
    </row>
    <row r="31" spans="1:6" ht="18.75" customHeight="1">
      <c r="A31" s="7">
        <v>2</v>
      </c>
      <c r="B31" s="52" t="s">
        <v>182</v>
      </c>
      <c r="C31" s="7"/>
      <c r="D31" s="66">
        <f>F8</f>
        <v>4076.3146382180967</v>
      </c>
      <c r="E31" s="56">
        <f>取费!E10</f>
        <v>0.05</v>
      </c>
      <c r="F31" s="66">
        <f>D31*E31</f>
        <v>203.81573191090484</v>
      </c>
    </row>
    <row r="32" spans="1:6" ht="18.75" customHeight="1">
      <c r="A32" s="7">
        <v>3</v>
      </c>
      <c r="B32" s="52" t="s">
        <v>843</v>
      </c>
      <c r="C32" s="7"/>
      <c r="D32" s="66">
        <f>F8+F31</f>
        <v>4280.1303701290017</v>
      </c>
      <c r="E32" s="56">
        <f>取费!F10</f>
        <v>7.0000000000000007E-2</v>
      </c>
      <c r="F32" s="66">
        <f>D32*E32</f>
        <v>299.60912590903013</v>
      </c>
    </row>
    <row r="33" spans="1:6" ht="18.75" customHeight="1">
      <c r="A33" s="7">
        <v>4</v>
      </c>
      <c r="B33" s="52" t="s">
        <v>184</v>
      </c>
      <c r="C33" s="7"/>
      <c r="D33" s="7"/>
      <c r="E33" s="7"/>
      <c r="F33" s="66">
        <f>F34+F35</f>
        <v>1539.9815292000001</v>
      </c>
    </row>
    <row r="34" spans="1:6" ht="18.75" customHeight="1">
      <c r="A34" s="7"/>
      <c r="B34" s="52" t="s">
        <v>33</v>
      </c>
      <c r="C34" s="7" t="s">
        <v>88</v>
      </c>
      <c r="D34" s="7">
        <f>B2</f>
        <v>1494.7134599999999</v>
      </c>
      <c r="E34" s="7">
        <f>E14</f>
        <v>1.02</v>
      </c>
      <c r="F34" s="66">
        <f>D34*E34</f>
        <v>1524.6077292</v>
      </c>
    </row>
    <row r="35" spans="1:6" ht="18.75" customHeight="1">
      <c r="A35" s="7"/>
      <c r="B35" s="52" t="s">
        <v>515</v>
      </c>
      <c r="C35" s="7" t="s">
        <v>829</v>
      </c>
      <c r="D35" s="7">
        <f>E2</f>
        <v>4.7450000000000001</v>
      </c>
      <c r="E35" s="7">
        <f>E25*台时!AK19</f>
        <v>3.24</v>
      </c>
      <c r="F35" s="66">
        <f>D35*E35</f>
        <v>15.373800000000001</v>
      </c>
    </row>
    <row r="36" spans="1:6" ht="18.75" customHeight="1">
      <c r="A36" s="7">
        <v>5</v>
      </c>
      <c r="B36" s="52" t="s">
        <v>845</v>
      </c>
      <c r="C36" s="7"/>
      <c r="D36" s="66">
        <f>F8+F31+F32+F33</f>
        <v>6119.7210252380319</v>
      </c>
      <c r="E36" s="56">
        <f>取费!G10</f>
        <v>0.09</v>
      </c>
      <c r="F36" s="66">
        <f>D36*E36</f>
        <v>550.7748922714228</v>
      </c>
    </row>
    <row r="37" spans="1:6" ht="18.75" customHeight="1">
      <c r="A37" s="7">
        <v>6</v>
      </c>
      <c r="B37" s="52" t="s">
        <v>7</v>
      </c>
      <c r="C37" s="7"/>
      <c r="D37" s="7"/>
      <c r="E37" s="7"/>
      <c r="F37" s="66">
        <f>F8+F31+F32+F33+F36</f>
        <v>6670.4959175094546</v>
      </c>
    </row>
    <row r="38" spans="1:6" ht="18.75" customHeight="1">
      <c r="A38" s="7"/>
      <c r="B38" s="52" t="s">
        <v>846</v>
      </c>
      <c r="C38" s="7"/>
      <c r="D38" s="66">
        <f>F37</f>
        <v>6670.4959175094546</v>
      </c>
      <c r="E38" s="56">
        <f>取费!H6</f>
        <v>0.03</v>
      </c>
      <c r="F38" s="66">
        <f>E38*D38</f>
        <v>200.11487752528362</v>
      </c>
    </row>
    <row r="39" spans="1:6" ht="18.75" customHeight="1">
      <c r="A39" s="7"/>
      <c r="B39" s="52" t="s">
        <v>44</v>
      </c>
      <c r="C39" s="7"/>
      <c r="D39" s="7"/>
      <c r="E39" s="7"/>
      <c r="F39" s="66">
        <f>SUM(F37:F38)</f>
        <v>6870.6107950347377</v>
      </c>
    </row>
    <row r="40" spans="1:6" ht="20.25" customHeight="1">
      <c r="A40" s="461" t="s">
        <v>813</v>
      </c>
      <c r="B40" s="461"/>
      <c r="C40" s="461"/>
      <c r="D40" s="461"/>
      <c r="E40" s="461"/>
      <c r="F40" s="461"/>
    </row>
    <row r="41" spans="1:6" ht="18.75" customHeight="1">
      <c r="A41" s="462" t="s">
        <v>1064</v>
      </c>
      <c r="B41" s="462"/>
      <c r="C41" s="462"/>
      <c r="D41" s="462"/>
      <c r="E41" s="462"/>
      <c r="F41" s="462"/>
    </row>
    <row r="42" spans="1:6" ht="20.25" customHeight="1">
      <c r="A42" s="49" t="s">
        <v>894</v>
      </c>
      <c r="B42" s="49">
        <v>6096</v>
      </c>
      <c r="D42" s="46"/>
      <c r="E42" s="47" t="s">
        <v>169</v>
      </c>
      <c r="F42" s="49" t="s">
        <v>1055</v>
      </c>
    </row>
    <row r="43" spans="1:6" ht="19.5" customHeight="1">
      <c r="A43" s="68" t="s">
        <v>817</v>
      </c>
      <c r="B43" s="52"/>
      <c r="C43" s="7"/>
      <c r="D43" s="7"/>
      <c r="E43" s="7"/>
      <c r="F43" s="7"/>
    </row>
    <row r="44" spans="1:6" ht="18.75" customHeight="1">
      <c r="A44" s="7" t="s">
        <v>1</v>
      </c>
      <c r="B44" s="52" t="s">
        <v>344</v>
      </c>
      <c r="C44" s="7" t="s">
        <v>818</v>
      </c>
      <c r="D44" s="7" t="s">
        <v>819</v>
      </c>
      <c r="E44" s="7" t="s">
        <v>820</v>
      </c>
      <c r="F44" s="7" t="s">
        <v>821</v>
      </c>
    </row>
    <row r="45" spans="1:6" ht="18.75" customHeight="1">
      <c r="A45" s="7">
        <v>1</v>
      </c>
      <c r="B45" s="52" t="s">
        <v>822</v>
      </c>
      <c r="C45" s="7"/>
      <c r="D45" s="7"/>
      <c r="E45" s="7"/>
      <c r="F45" s="66">
        <f>F46+F66+F67</f>
        <v>4561.6775208701665</v>
      </c>
    </row>
    <row r="46" spans="1:6" ht="18.75" customHeight="1">
      <c r="A46" s="7">
        <v>1.1000000000000001</v>
      </c>
      <c r="B46" s="52" t="s">
        <v>823</v>
      </c>
      <c r="C46" s="7"/>
      <c r="D46" s="7"/>
      <c r="E46" s="7"/>
      <c r="F46" s="66">
        <f>F47+F50+F55</f>
        <v>4352.7457260211513</v>
      </c>
    </row>
    <row r="47" spans="1:6" ht="18.75" customHeight="1">
      <c r="A47" s="7" t="s">
        <v>47</v>
      </c>
      <c r="B47" s="52" t="s">
        <v>176</v>
      </c>
      <c r="C47" s="7"/>
      <c r="D47" s="7"/>
      <c r="E47" s="7"/>
      <c r="F47" s="66">
        <f>F48+F49</f>
        <v>1090.3399999999999</v>
      </c>
    </row>
    <row r="48" spans="1:6" ht="18.75" customHeight="1">
      <c r="A48" s="7"/>
      <c r="B48" s="52" t="s">
        <v>824</v>
      </c>
      <c r="C48" s="7" t="s">
        <v>825</v>
      </c>
      <c r="D48" s="7">
        <v>8.1</v>
      </c>
      <c r="E48" s="7">
        <v>64.8</v>
      </c>
      <c r="F48" s="66">
        <f>D48*E48</f>
        <v>524.88</v>
      </c>
    </row>
    <row r="49" spans="1:6" ht="18.75" customHeight="1">
      <c r="A49" s="7"/>
      <c r="B49" s="52" t="s">
        <v>826</v>
      </c>
      <c r="C49" s="7" t="s">
        <v>825</v>
      </c>
      <c r="D49" s="7">
        <v>5.77</v>
      </c>
      <c r="E49" s="7">
        <v>98</v>
      </c>
      <c r="F49" s="66">
        <f>D49*E49</f>
        <v>565.46</v>
      </c>
    </row>
    <row r="50" spans="1:6" ht="18.75" customHeight="1">
      <c r="A50" s="7" t="s">
        <v>57</v>
      </c>
      <c r="B50" s="52" t="s">
        <v>177</v>
      </c>
      <c r="C50" s="7"/>
      <c r="D50" s="7"/>
      <c r="E50" s="7"/>
      <c r="F50" s="66">
        <f>F51+F52+F53+F54</f>
        <v>2724.3235</v>
      </c>
    </row>
    <row r="51" spans="1:6" ht="18.75" customHeight="1">
      <c r="A51" s="7"/>
      <c r="B51" s="52" t="s">
        <v>33</v>
      </c>
      <c r="C51" s="7" t="s">
        <v>88</v>
      </c>
      <c r="D51" s="7">
        <f>D14</f>
        <v>2560</v>
      </c>
      <c r="E51" s="7">
        <v>1.02</v>
      </c>
      <c r="F51" s="66">
        <f>D51*E51</f>
        <v>2611.1999999999998</v>
      </c>
    </row>
    <row r="52" spans="1:6" ht="18.75" customHeight="1">
      <c r="A52" s="7"/>
      <c r="B52" s="52" t="s">
        <v>972</v>
      </c>
      <c r="C52" s="7" t="s">
        <v>829</v>
      </c>
      <c r="D52" s="7">
        <f>D15</f>
        <v>8</v>
      </c>
      <c r="E52" s="7">
        <v>4</v>
      </c>
      <c r="F52" s="66">
        <f>D52*E52</f>
        <v>32</v>
      </c>
    </row>
    <row r="53" spans="1:6" ht="18.75" customHeight="1">
      <c r="A53" s="7"/>
      <c r="B53" s="52" t="s">
        <v>876</v>
      </c>
      <c r="C53" s="7" t="s">
        <v>829</v>
      </c>
      <c r="D53" s="7">
        <f>D16</f>
        <v>7.5</v>
      </c>
      <c r="E53" s="7">
        <v>7.22</v>
      </c>
      <c r="F53" s="66">
        <f>D53*E53</f>
        <v>54.15</v>
      </c>
    </row>
    <row r="54" spans="1:6" ht="18.75" customHeight="1">
      <c r="A54" s="7"/>
      <c r="B54" s="52" t="s">
        <v>833</v>
      </c>
      <c r="C54" s="7" t="s">
        <v>834</v>
      </c>
      <c r="D54" s="7">
        <f>F51+F52+F53</f>
        <v>2697.35</v>
      </c>
      <c r="E54" s="7">
        <v>1</v>
      </c>
      <c r="F54" s="66">
        <f>D54*E54/100</f>
        <v>26.973499999999998</v>
      </c>
    </row>
    <row r="55" spans="1:6" ht="18.75" customHeight="1">
      <c r="A55" s="7" t="s">
        <v>835</v>
      </c>
      <c r="B55" s="52" t="s">
        <v>836</v>
      </c>
      <c r="C55" s="7"/>
      <c r="D55" s="7"/>
      <c r="E55" s="7"/>
      <c r="F55" s="66">
        <f>F56+F57+F58+F59+F60+F61+F62+F63+F64</f>
        <v>538.08222602115166</v>
      </c>
    </row>
    <row r="56" spans="1:6" ht="18.75" customHeight="1">
      <c r="A56" s="7"/>
      <c r="B56" s="52" t="s">
        <v>1065</v>
      </c>
      <c r="C56" s="7" t="s">
        <v>863</v>
      </c>
      <c r="D56" s="66">
        <f t="shared" ref="D56:D62" si="1">D19</f>
        <v>22.200727771249507</v>
      </c>
      <c r="E56" s="7">
        <v>0.7</v>
      </c>
      <c r="F56" s="66">
        <f t="shared" ref="F56:F63" si="2">D56*E56</f>
        <v>15.540509439874654</v>
      </c>
    </row>
    <row r="57" spans="1:6" ht="18.75" customHeight="1">
      <c r="A57" s="7"/>
      <c r="B57" s="52" t="s">
        <v>1057</v>
      </c>
      <c r="C57" s="7" t="s">
        <v>863</v>
      </c>
      <c r="D57" s="66">
        <f t="shared" si="1"/>
        <v>43.447247943595769</v>
      </c>
      <c r="E57" s="7">
        <v>0</v>
      </c>
      <c r="F57" s="66">
        <f t="shared" si="2"/>
        <v>0</v>
      </c>
    </row>
    <row r="58" spans="1:6" ht="18.75" customHeight="1">
      <c r="A58" s="7"/>
      <c r="B58" s="52" t="s">
        <v>1066</v>
      </c>
      <c r="C58" s="7" t="s">
        <v>863</v>
      </c>
      <c r="D58" s="66">
        <f t="shared" si="1"/>
        <v>31.092627497062281</v>
      </c>
      <c r="E58" s="7">
        <v>0.5</v>
      </c>
      <c r="F58" s="66">
        <f t="shared" si="2"/>
        <v>15.546313748531141</v>
      </c>
    </row>
    <row r="59" spans="1:6" ht="18.75" customHeight="1">
      <c r="A59" s="7"/>
      <c r="B59" s="52" t="s">
        <v>1067</v>
      </c>
      <c r="C59" s="7" t="s">
        <v>863</v>
      </c>
      <c r="D59" s="66">
        <f t="shared" si="1"/>
        <v>18.7171758715237</v>
      </c>
      <c r="E59" s="7">
        <v>1.2</v>
      </c>
      <c r="F59" s="66">
        <f t="shared" si="2"/>
        <v>22.46061104582844</v>
      </c>
    </row>
    <row r="60" spans="1:6" ht="18.75" customHeight="1">
      <c r="A60" s="7"/>
      <c r="B60" s="52" t="s">
        <v>1068</v>
      </c>
      <c r="C60" s="7" t="s">
        <v>863</v>
      </c>
      <c r="D60" s="66">
        <f t="shared" si="1"/>
        <v>15.582226792009401</v>
      </c>
      <c r="E60" s="7">
        <v>9</v>
      </c>
      <c r="F60" s="66">
        <f t="shared" si="2"/>
        <v>140.24004112808461</v>
      </c>
    </row>
    <row r="61" spans="1:6" ht="18.75" customHeight="1">
      <c r="A61" s="7"/>
      <c r="B61" s="52" t="s">
        <v>1069</v>
      </c>
      <c r="C61" s="7" t="s">
        <v>863</v>
      </c>
      <c r="D61" s="66">
        <f t="shared" si="1"/>
        <v>110.9568715236976</v>
      </c>
      <c r="E61" s="7">
        <v>0</v>
      </c>
      <c r="F61" s="66">
        <f t="shared" si="2"/>
        <v>0</v>
      </c>
    </row>
    <row r="62" spans="1:6" ht="18.75" customHeight="1">
      <c r="A62" s="7"/>
      <c r="B62" s="52" t="s">
        <v>1070</v>
      </c>
      <c r="C62" s="7" t="s">
        <v>863</v>
      </c>
      <c r="D62" s="66">
        <f t="shared" si="1"/>
        <v>49.210305522914197</v>
      </c>
      <c r="E62" s="7">
        <v>0.2</v>
      </c>
      <c r="F62" s="66">
        <f t="shared" si="2"/>
        <v>9.8420611045828394</v>
      </c>
    </row>
    <row r="63" spans="1:6" ht="18.75" customHeight="1">
      <c r="A63" s="7"/>
      <c r="B63" s="52" t="s">
        <v>1071</v>
      </c>
      <c r="C63" s="7" t="s">
        <v>863</v>
      </c>
      <c r="D63" s="66">
        <f>施工机械台时汇总!C59</f>
        <v>122.7478112025069</v>
      </c>
      <c r="E63" s="7">
        <v>2.4</v>
      </c>
      <c r="F63" s="66">
        <f t="shared" si="2"/>
        <v>294.59474688601654</v>
      </c>
    </row>
    <row r="64" spans="1:6" ht="18.75" customHeight="1">
      <c r="A64" s="7"/>
      <c r="B64" s="52" t="s">
        <v>840</v>
      </c>
      <c r="C64" s="7" t="s">
        <v>834</v>
      </c>
      <c r="D64" s="66">
        <f>SUM(F56:F63)</f>
        <v>498.22428335291823</v>
      </c>
      <c r="E64" s="7">
        <v>8</v>
      </c>
      <c r="F64" s="66">
        <f>D64*E64/100</f>
        <v>39.857942668233456</v>
      </c>
    </row>
    <row r="65" spans="1:6" ht="18.75" customHeight="1">
      <c r="A65" s="7"/>
      <c r="B65" s="52"/>
      <c r="C65" s="7"/>
      <c r="D65" s="7"/>
      <c r="E65" s="7"/>
      <c r="F65" s="66"/>
    </row>
    <row r="66" spans="1:6" ht="18.75" customHeight="1">
      <c r="A66" s="7">
        <v>1.2</v>
      </c>
      <c r="B66" s="52" t="s">
        <v>841</v>
      </c>
      <c r="C66" s="7"/>
      <c r="D66" s="66">
        <f>F46</f>
        <v>4352.7457260211513</v>
      </c>
      <c r="E66" s="56">
        <f>E29</f>
        <v>4.8000000000000001E-2</v>
      </c>
      <c r="F66" s="66">
        <f>D66*E66</f>
        <v>208.93179484901526</v>
      </c>
    </row>
    <row r="67" spans="1:6" ht="18.75" customHeight="1">
      <c r="A67" s="7">
        <v>1.3</v>
      </c>
      <c r="B67" s="52" t="s">
        <v>842</v>
      </c>
      <c r="C67" s="7"/>
      <c r="D67" s="66">
        <f>F46</f>
        <v>4352.7457260211513</v>
      </c>
      <c r="E67" s="56">
        <f>E30</f>
        <v>0</v>
      </c>
      <c r="F67" s="66">
        <f>D67*E67</f>
        <v>0</v>
      </c>
    </row>
    <row r="68" spans="1:6" ht="18.75" customHeight="1">
      <c r="A68" s="7">
        <v>2</v>
      </c>
      <c r="B68" s="52" t="s">
        <v>182</v>
      </c>
      <c r="C68" s="7"/>
      <c r="D68" s="66">
        <f>F45</f>
        <v>4561.6775208701665</v>
      </c>
      <c r="E68" s="56">
        <f>E31</f>
        <v>0.05</v>
      </c>
      <c r="F68" s="66">
        <f>D68*E68</f>
        <v>228.08387604350833</v>
      </c>
    </row>
    <row r="69" spans="1:6" ht="18.75" customHeight="1">
      <c r="A69" s="7">
        <v>3</v>
      </c>
      <c r="B69" s="52" t="s">
        <v>843</v>
      </c>
      <c r="C69" s="7"/>
      <c r="D69" s="66">
        <f>F45+F68</f>
        <v>4789.7613969136746</v>
      </c>
      <c r="E69" s="56">
        <f>E32</f>
        <v>7.0000000000000007E-2</v>
      </c>
      <c r="F69" s="66">
        <f>D69*E69</f>
        <v>335.28329778395727</v>
      </c>
    </row>
    <row r="70" spans="1:6" ht="18.75" customHeight="1">
      <c r="A70" s="7">
        <v>4</v>
      </c>
      <c r="B70" s="52" t="s">
        <v>184</v>
      </c>
      <c r="C70" s="7"/>
      <c r="D70" s="7"/>
      <c r="E70" s="7"/>
      <c r="F70" s="66">
        <f>SUM(F71:F73)</f>
        <v>1557.6030291999998</v>
      </c>
    </row>
    <row r="71" spans="1:6" ht="18.75" customHeight="1">
      <c r="A71" s="7"/>
      <c r="B71" s="52" t="s">
        <v>33</v>
      </c>
      <c r="C71" s="7" t="s">
        <v>88</v>
      </c>
      <c r="D71" s="7">
        <f>B2</f>
        <v>1494.7134599999999</v>
      </c>
      <c r="E71" s="7">
        <f>E51</f>
        <v>1.02</v>
      </c>
      <c r="F71" s="66">
        <f>D71*E71</f>
        <v>1524.6077292</v>
      </c>
    </row>
    <row r="72" spans="1:6" ht="18.75" customHeight="1">
      <c r="A72" s="7"/>
      <c r="B72" s="52" t="s">
        <v>515</v>
      </c>
      <c r="C72" s="7" t="s">
        <v>829</v>
      </c>
      <c r="D72" s="7">
        <f>E2</f>
        <v>4.7450000000000001</v>
      </c>
      <c r="E72" s="7">
        <f>E62*[1]台时!AF13</f>
        <v>0.74</v>
      </c>
      <c r="F72" s="66">
        <f>D72*E72</f>
        <v>3.5112999999999999</v>
      </c>
    </row>
    <row r="73" spans="1:6" ht="18.75" customHeight="1">
      <c r="A73" s="7"/>
      <c r="B73" s="52" t="s">
        <v>516</v>
      </c>
      <c r="C73" s="7" t="s">
        <v>829</v>
      </c>
      <c r="D73" s="7">
        <f>F2</f>
        <v>3.51</v>
      </c>
      <c r="E73" s="7">
        <f>E63*[1]台时!AT16</f>
        <v>8.4</v>
      </c>
      <c r="F73" s="66">
        <f>D73*E73</f>
        <v>29.483999999999998</v>
      </c>
    </row>
    <row r="74" spans="1:6" ht="18.75" customHeight="1">
      <c r="A74" s="7">
        <v>5</v>
      </c>
      <c r="B74" s="52" t="s">
        <v>845</v>
      </c>
      <c r="C74" s="7"/>
      <c r="D74" s="66">
        <f>F45+F68+F69+F70</f>
        <v>6682.6477238976313</v>
      </c>
      <c r="E74" s="56">
        <f>E36</f>
        <v>0.09</v>
      </c>
      <c r="F74" s="66">
        <f>D74*E74</f>
        <v>601.43829515078676</v>
      </c>
    </row>
    <row r="75" spans="1:6" ht="18.75" customHeight="1">
      <c r="A75" s="7">
        <v>6</v>
      </c>
      <c r="B75" s="52" t="s">
        <v>809</v>
      </c>
      <c r="C75" s="7"/>
      <c r="D75" s="66"/>
      <c r="E75" s="7"/>
      <c r="F75" s="66">
        <f>F45+F68+F69+F70+F74</f>
        <v>7284.0860190484182</v>
      </c>
    </row>
    <row r="76" spans="1:6" ht="18.75" customHeight="1">
      <c r="A76" s="7"/>
      <c r="B76" s="52" t="s">
        <v>846</v>
      </c>
      <c r="C76" s="7"/>
      <c r="D76" s="66">
        <f>F75</f>
        <v>7284.0860190484182</v>
      </c>
      <c r="E76" s="56">
        <f>E38</f>
        <v>0.03</v>
      </c>
      <c r="F76" s="66">
        <f>D76*E76</f>
        <v>218.52258057145255</v>
      </c>
    </row>
    <row r="77" spans="1:6" ht="18.75" customHeight="1">
      <c r="A77" s="7"/>
      <c r="B77" s="52" t="s">
        <v>7</v>
      </c>
      <c r="C77" s="7"/>
      <c r="D77" s="7"/>
      <c r="E77" s="7"/>
      <c r="F77" s="66">
        <f>SUM(F75:F76)</f>
        <v>7502.6085996198708</v>
      </c>
    </row>
    <row r="78" spans="1:6" ht="20.25" customHeight="1">
      <c r="A78" s="461" t="s">
        <v>813</v>
      </c>
      <c r="B78" s="461"/>
      <c r="C78" s="461"/>
      <c r="D78" s="461"/>
      <c r="E78" s="461"/>
      <c r="F78" s="461"/>
    </row>
    <row r="79" spans="1:6" ht="18.75" customHeight="1">
      <c r="A79" s="462" t="s">
        <v>1072</v>
      </c>
      <c r="B79" s="462"/>
      <c r="C79" s="462"/>
      <c r="D79" s="462"/>
      <c r="E79" s="462"/>
      <c r="F79" s="462"/>
    </row>
    <row r="80" spans="1:6" ht="18.75" customHeight="1">
      <c r="A80" s="46" t="s">
        <v>815</v>
      </c>
      <c r="B80" s="49">
        <v>8098</v>
      </c>
      <c r="D80" s="46"/>
      <c r="E80" s="46" t="s">
        <v>169</v>
      </c>
      <c r="F80" s="46" t="s">
        <v>1073</v>
      </c>
    </row>
    <row r="81" spans="1:6" ht="18.75" customHeight="1">
      <c r="A81" s="7" t="s">
        <v>817</v>
      </c>
      <c r="B81" s="52"/>
      <c r="C81" s="7"/>
      <c r="D81" s="7"/>
      <c r="E81" s="7"/>
      <c r="F81" s="7"/>
    </row>
    <row r="82" spans="1:6" ht="18.75" customHeight="1">
      <c r="A82" s="7" t="s">
        <v>1</v>
      </c>
      <c r="B82" s="52" t="s">
        <v>344</v>
      </c>
      <c r="C82" s="7" t="s">
        <v>818</v>
      </c>
      <c r="D82" s="7" t="s">
        <v>819</v>
      </c>
      <c r="E82" s="7" t="s">
        <v>820</v>
      </c>
      <c r="F82" s="7" t="s">
        <v>821</v>
      </c>
    </row>
    <row r="83" spans="1:6" ht="18.75" customHeight="1">
      <c r="A83" s="7">
        <v>1</v>
      </c>
      <c r="B83" s="52" t="s">
        <v>822</v>
      </c>
      <c r="C83" s="7"/>
      <c r="D83" s="7"/>
      <c r="E83" s="7"/>
      <c r="F83" s="66">
        <f>F84+F101+F102</f>
        <v>9439.5054406400013</v>
      </c>
    </row>
    <row r="84" spans="1:6" ht="18.75" customHeight="1">
      <c r="A84" s="7">
        <v>1.1000000000000001</v>
      </c>
      <c r="B84" s="52" t="s">
        <v>823</v>
      </c>
      <c r="C84" s="7"/>
      <c r="D84" s="7"/>
      <c r="E84" s="7"/>
      <c r="F84" s="66">
        <f>F85+F88+F96</f>
        <v>9007.1616800000011</v>
      </c>
    </row>
    <row r="85" spans="1:6" ht="18.75" customHeight="1">
      <c r="A85" s="7" t="s">
        <v>47</v>
      </c>
      <c r="B85" s="52" t="s">
        <v>176</v>
      </c>
      <c r="C85" s="7"/>
      <c r="D85" s="7"/>
      <c r="E85" s="7"/>
      <c r="F85" s="66">
        <f>F86+F87</f>
        <v>2310.6260000000002</v>
      </c>
    </row>
    <row r="86" spans="1:6" ht="18.75" customHeight="1">
      <c r="A86" s="7"/>
      <c r="B86" s="52" t="s">
        <v>824</v>
      </c>
      <c r="C86" s="7" t="s">
        <v>825</v>
      </c>
      <c r="D86" s="7">
        <v>8.1</v>
      </c>
      <c r="E86" s="7">
        <v>250.5</v>
      </c>
      <c r="F86" s="66">
        <f>D86*E86</f>
        <v>2029.05</v>
      </c>
    </row>
    <row r="87" spans="1:6" ht="18.75" customHeight="1">
      <c r="A87" s="7"/>
      <c r="B87" s="52" t="s">
        <v>826</v>
      </c>
      <c r="C87" s="7" t="s">
        <v>825</v>
      </c>
      <c r="D87" s="7">
        <v>5.77</v>
      </c>
      <c r="E87" s="7">
        <v>48.8</v>
      </c>
      <c r="F87" s="66">
        <f>D87*E87</f>
        <v>281.57600000000002</v>
      </c>
    </row>
    <row r="88" spans="1:6" ht="18.75" customHeight="1">
      <c r="A88" s="7" t="s">
        <v>57</v>
      </c>
      <c r="B88" s="52" t="s">
        <v>177</v>
      </c>
      <c r="C88" s="7"/>
      <c r="D88" s="7"/>
      <c r="E88" s="7"/>
      <c r="F88" s="66">
        <f>SUM(F89:F95)</f>
        <v>6397.4604000000008</v>
      </c>
    </row>
    <row r="89" spans="1:6" ht="18.75" customHeight="1">
      <c r="A89" s="7"/>
      <c r="B89" s="52" t="s">
        <v>831</v>
      </c>
      <c r="C89" s="7" t="s">
        <v>357</v>
      </c>
      <c r="D89" s="7">
        <v>500</v>
      </c>
      <c r="E89" s="7">
        <v>10</v>
      </c>
      <c r="F89" s="66">
        <f t="shared" ref="F89:F94" si="3">D89*E89</f>
        <v>5000</v>
      </c>
    </row>
    <row r="90" spans="1:6" ht="18.75" customHeight="1">
      <c r="A90" s="7"/>
      <c r="B90" s="52" t="s">
        <v>832</v>
      </c>
      <c r="C90" s="7" t="s">
        <v>357</v>
      </c>
      <c r="D90" s="7">
        <v>150</v>
      </c>
      <c r="E90" s="7">
        <v>4.3</v>
      </c>
      <c r="F90" s="66">
        <f t="shared" si="3"/>
        <v>645</v>
      </c>
    </row>
    <row r="91" spans="1:6" ht="18.75" customHeight="1">
      <c r="A91" s="7"/>
      <c r="B91" s="52" t="s">
        <v>876</v>
      </c>
      <c r="C91" s="7" t="s">
        <v>371</v>
      </c>
      <c r="D91" s="7">
        <f>D53</f>
        <v>7.5</v>
      </c>
      <c r="E91" s="7">
        <v>20</v>
      </c>
      <c r="F91" s="66">
        <f t="shared" si="3"/>
        <v>150</v>
      </c>
    </row>
    <row r="92" spans="1:6" ht="18.75" customHeight="1">
      <c r="A92" s="7"/>
      <c r="B92" s="52" t="s">
        <v>515</v>
      </c>
      <c r="C92" s="7" t="s">
        <v>371</v>
      </c>
      <c r="D92" s="7">
        <f>材料预算价格表!L13/1000</f>
        <v>3.0750000000000002</v>
      </c>
      <c r="E92" s="7">
        <v>4</v>
      </c>
      <c r="F92" s="66">
        <f t="shared" si="3"/>
        <v>12.3</v>
      </c>
    </row>
    <row r="93" spans="1:6" ht="18.75" customHeight="1">
      <c r="A93" s="7"/>
      <c r="B93" s="52" t="s">
        <v>33</v>
      </c>
      <c r="C93" s="7" t="s">
        <v>371</v>
      </c>
      <c r="D93" s="7">
        <f>材料预算价格表!L7/1000</f>
        <v>2.56</v>
      </c>
      <c r="E93" s="7">
        <v>37</v>
      </c>
      <c r="F93" s="66">
        <f t="shared" si="3"/>
        <v>94.72</v>
      </c>
    </row>
    <row r="94" spans="1:6" ht="18.75" customHeight="1">
      <c r="A94" s="7"/>
      <c r="B94" s="52" t="s">
        <v>1074</v>
      </c>
      <c r="C94" s="7" t="s">
        <v>371</v>
      </c>
      <c r="D94" s="7">
        <v>10</v>
      </c>
      <c r="E94" s="7">
        <v>37</v>
      </c>
      <c r="F94" s="66">
        <f t="shared" si="3"/>
        <v>370</v>
      </c>
    </row>
    <row r="95" spans="1:6" ht="18.75" customHeight="1">
      <c r="A95" s="7"/>
      <c r="B95" s="52" t="s">
        <v>833</v>
      </c>
      <c r="C95" s="7" t="s">
        <v>834</v>
      </c>
      <c r="D95" s="7">
        <f>F89+F90+F91+F92+F93+F94</f>
        <v>6272.02</v>
      </c>
      <c r="E95" s="7">
        <v>2</v>
      </c>
      <c r="F95" s="66">
        <f>D95*E95/100</f>
        <v>125.44040000000001</v>
      </c>
    </row>
    <row r="96" spans="1:6" ht="18.75" customHeight="1">
      <c r="A96" s="7" t="s">
        <v>835</v>
      </c>
      <c r="B96" s="52" t="s">
        <v>836</v>
      </c>
      <c r="C96" s="7"/>
      <c r="D96" s="7"/>
      <c r="E96" s="7"/>
      <c r="F96" s="66">
        <f>F97+F98+F99</f>
        <v>299.07528000000002</v>
      </c>
    </row>
    <row r="97" spans="1:6" ht="18.75" customHeight="1">
      <c r="A97" s="7"/>
      <c r="B97" s="52" t="s">
        <v>1068</v>
      </c>
      <c r="C97" s="7" t="s">
        <v>863</v>
      </c>
      <c r="D97" s="66">
        <f>[1]施机台!$C$29</f>
        <v>11.305</v>
      </c>
      <c r="E97" s="7">
        <v>16</v>
      </c>
      <c r="F97" s="66">
        <f>D97*E97</f>
        <v>180.88</v>
      </c>
    </row>
    <row r="98" spans="1:6" ht="18.75" customHeight="1">
      <c r="A98" s="7"/>
      <c r="B98" s="52" t="s">
        <v>1075</v>
      </c>
      <c r="C98" s="7" t="s">
        <v>863</v>
      </c>
      <c r="D98" s="66">
        <f>[1]施机台!$C$44</f>
        <v>64.971000000000004</v>
      </c>
      <c r="E98" s="7">
        <v>1.6</v>
      </c>
      <c r="F98" s="66">
        <f>D98*E98</f>
        <v>103.95359999999999</v>
      </c>
    </row>
    <row r="99" spans="1:6" ht="18.75" customHeight="1">
      <c r="A99" s="7"/>
      <c r="B99" s="52" t="s">
        <v>840</v>
      </c>
      <c r="C99" s="7" t="s">
        <v>834</v>
      </c>
      <c r="D99" s="66">
        <f>F97+F98</f>
        <v>284.83359999999999</v>
      </c>
      <c r="E99" s="7">
        <v>5</v>
      </c>
      <c r="F99" s="66">
        <f>D99*E99/100</f>
        <v>14.241680000000001</v>
      </c>
    </row>
    <row r="100" spans="1:6" ht="18.75" customHeight="1">
      <c r="A100" s="7"/>
      <c r="B100" s="52"/>
      <c r="C100" s="7"/>
      <c r="D100" s="7"/>
      <c r="E100" s="7"/>
      <c r="F100" s="66"/>
    </row>
    <row r="101" spans="1:6" ht="18.75" customHeight="1">
      <c r="A101" s="7">
        <v>1.2</v>
      </c>
      <c r="B101" s="52" t="s">
        <v>841</v>
      </c>
      <c r="C101" s="7"/>
      <c r="D101" s="66">
        <f>F84</f>
        <v>9007.1616800000011</v>
      </c>
      <c r="E101" s="56">
        <f>E66</f>
        <v>4.8000000000000001E-2</v>
      </c>
      <c r="F101" s="66">
        <f>D101*E101</f>
        <v>432.34376064000008</v>
      </c>
    </row>
    <row r="102" spans="1:6" ht="18.75" customHeight="1">
      <c r="A102" s="7">
        <v>1.3</v>
      </c>
      <c r="B102" s="52" t="s">
        <v>842</v>
      </c>
      <c r="C102" s="7"/>
      <c r="D102" s="66">
        <f>F84</f>
        <v>9007.1616800000011</v>
      </c>
      <c r="E102" s="56">
        <f>E67</f>
        <v>0</v>
      </c>
      <c r="F102" s="66">
        <f>D102*E102</f>
        <v>0</v>
      </c>
    </row>
    <row r="103" spans="1:6" ht="18.75" customHeight="1">
      <c r="A103" s="7">
        <v>2</v>
      </c>
      <c r="B103" s="52" t="s">
        <v>182</v>
      </c>
      <c r="C103" s="7"/>
      <c r="D103" s="66">
        <f>F83</f>
        <v>9439.5054406400013</v>
      </c>
      <c r="E103" s="56">
        <f>E68</f>
        <v>0.05</v>
      </c>
      <c r="F103" s="66">
        <f>D103*E103</f>
        <v>471.97527203200008</v>
      </c>
    </row>
    <row r="104" spans="1:6" ht="18.75" customHeight="1">
      <c r="A104" s="7">
        <v>3</v>
      </c>
      <c r="B104" s="52" t="s">
        <v>843</v>
      </c>
      <c r="C104" s="7"/>
      <c r="D104" s="66">
        <f>F83+F103</f>
        <v>9911.4807126720007</v>
      </c>
      <c r="E104" s="56">
        <f>E69</f>
        <v>7.0000000000000007E-2</v>
      </c>
      <c r="F104" s="66">
        <f>D104*E104</f>
        <v>693.80364988704014</v>
      </c>
    </row>
    <row r="105" spans="1:6" ht="18.75" customHeight="1">
      <c r="A105" s="7">
        <v>4</v>
      </c>
      <c r="B105" s="52" t="s">
        <v>184</v>
      </c>
      <c r="C105" s="7"/>
      <c r="D105" s="7"/>
      <c r="E105" s="7"/>
      <c r="F105" s="66">
        <f>F106+F107</f>
        <v>118.31799802</v>
      </c>
    </row>
    <row r="106" spans="1:6" ht="18.75" customHeight="1">
      <c r="A106" s="7"/>
      <c r="B106" s="52" t="s">
        <v>33</v>
      </c>
      <c r="C106" s="7" t="s">
        <v>371</v>
      </c>
      <c r="D106" s="66">
        <f>B2/1000</f>
        <v>1.49471346</v>
      </c>
      <c r="E106" s="7">
        <f>E93</f>
        <v>37</v>
      </c>
      <c r="F106" s="66">
        <f>E106*D106</f>
        <v>55.304398020000001</v>
      </c>
    </row>
    <row r="107" spans="1:6" ht="18.75" customHeight="1">
      <c r="A107" s="7"/>
      <c r="B107" s="52" t="s">
        <v>515</v>
      </c>
      <c r="C107" s="7" t="s">
        <v>371</v>
      </c>
      <c r="D107" s="7">
        <f>E2</f>
        <v>4.7450000000000001</v>
      </c>
      <c r="E107" s="7">
        <f>E92+E98*台时!AZ19</f>
        <v>13.28</v>
      </c>
      <c r="F107" s="66">
        <f>D107*E107</f>
        <v>63.013599999999997</v>
      </c>
    </row>
    <row r="108" spans="1:6" ht="18.75" customHeight="1">
      <c r="A108" s="7">
        <v>5</v>
      </c>
      <c r="B108" s="52" t="s">
        <v>845</v>
      </c>
      <c r="C108" s="7"/>
      <c r="D108" s="66">
        <f>F83+F103+F104+F105</f>
        <v>10723.602360579041</v>
      </c>
      <c r="E108" s="56">
        <f>E74</f>
        <v>0.09</v>
      </c>
      <c r="F108" s="66">
        <f>D108*E108</f>
        <v>965.12421245211374</v>
      </c>
    </row>
    <row r="109" spans="1:6" ht="18.75" customHeight="1">
      <c r="A109" s="7">
        <v>6</v>
      </c>
      <c r="B109" s="52" t="s">
        <v>809</v>
      </c>
      <c r="C109" s="7"/>
      <c r="D109" s="66"/>
      <c r="E109" s="7"/>
      <c r="F109" s="66">
        <f>F83+F103+F104+F105+F108</f>
        <v>11688.726573031156</v>
      </c>
    </row>
    <row r="110" spans="1:6" ht="18.75" customHeight="1">
      <c r="A110" s="7"/>
      <c r="B110" s="52" t="s">
        <v>846</v>
      </c>
      <c r="C110" s="7"/>
      <c r="D110" s="66">
        <f>F109</f>
        <v>11688.726573031156</v>
      </c>
      <c r="E110" s="56">
        <f>E76</f>
        <v>0.03</v>
      </c>
      <c r="F110" s="66">
        <f>D110*E110</f>
        <v>350.66179719093464</v>
      </c>
    </row>
    <row r="111" spans="1:6" ht="18.75" customHeight="1">
      <c r="A111" s="7"/>
      <c r="B111" s="52" t="s">
        <v>7</v>
      </c>
      <c r="C111" s="7"/>
      <c r="D111" s="7"/>
      <c r="E111" s="7"/>
      <c r="F111" s="66">
        <f>SUM(F109:F110)</f>
        <v>12039.38837022209</v>
      </c>
    </row>
    <row r="112" spans="1:6" ht="19.5">
      <c r="A112" s="461" t="s">
        <v>813</v>
      </c>
      <c r="B112" s="461"/>
      <c r="C112" s="461"/>
      <c r="D112" s="461"/>
      <c r="E112" s="461"/>
      <c r="F112" s="461"/>
    </row>
    <row r="113" spans="1:6" ht="18.75" customHeight="1">
      <c r="A113" s="462" t="s">
        <v>1076</v>
      </c>
      <c r="B113" s="462"/>
      <c r="C113" s="462"/>
      <c r="D113" s="462"/>
      <c r="E113" s="462"/>
      <c r="F113" s="462"/>
    </row>
    <row r="114" spans="1:6" ht="18.75" customHeight="1">
      <c r="A114" s="46" t="s">
        <v>815</v>
      </c>
      <c r="B114" s="49">
        <v>8007</v>
      </c>
      <c r="D114" s="46"/>
      <c r="E114" s="47" t="s">
        <v>169</v>
      </c>
      <c r="F114" s="49" t="s">
        <v>816</v>
      </c>
    </row>
    <row r="115" spans="1:6" ht="18.75" customHeight="1">
      <c r="A115" s="7" t="s">
        <v>817</v>
      </c>
      <c r="B115" s="52"/>
      <c r="C115" s="7"/>
      <c r="D115" s="7"/>
      <c r="E115" s="7"/>
      <c r="F115" s="7"/>
    </row>
    <row r="116" spans="1:6" ht="18.75" customHeight="1">
      <c r="A116" s="7" t="s">
        <v>1</v>
      </c>
      <c r="B116" s="52" t="s">
        <v>344</v>
      </c>
      <c r="C116" s="7" t="s">
        <v>818</v>
      </c>
      <c r="D116" s="7" t="s">
        <v>819</v>
      </c>
      <c r="E116" s="7" t="s">
        <v>820</v>
      </c>
      <c r="F116" s="7" t="s">
        <v>821</v>
      </c>
    </row>
    <row r="117" spans="1:6" ht="18.75" customHeight="1">
      <c r="A117" s="7">
        <v>1</v>
      </c>
      <c r="B117" s="52" t="s">
        <v>822</v>
      </c>
      <c r="C117" s="7"/>
      <c r="D117" s="7"/>
      <c r="E117" s="7"/>
      <c r="F117" s="66">
        <f>F118+F137+F138</f>
        <v>3063.5521036382233</v>
      </c>
    </row>
    <row r="118" spans="1:6" ht="18.75" customHeight="1">
      <c r="A118" s="7">
        <v>1.1000000000000001</v>
      </c>
      <c r="B118" s="52" t="s">
        <v>823</v>
      </c>
      <c r="C118" s="7"/>
      <c r="D118" s="7"/>
      <c r="E118" s="7"/>
      <c r="F118" s="66">
        <f>F119+F122+F131</f>
        <v>2923.2367401128085</v>
      </c>
    </row>
    <row r="119" spans="1:6" ht="18.75" customHeight="1">
      <c r="A119" s="7" t="s">
        <v>47</v>
      </c>
      <c r="B119" s="52" t="s">
        <v>176</v>
      </c>
      <c r="C119" s="7"/>
      <c r="D119" s="7"/>
      <c r="E119" s="7"/>
      <c r="F119" s="66">
        <f>F120+F121</f>
        <v>485.16480000000001</v>
      </c>
    </row>
    <row r="120" spans="1:6" ht="18.75" customHeight="1">
      <c r="A120" s="7"/>
      <c r="B120" s="52" t="s">
        <v>824</v>
      </c>
      <c r="C120" s="7" t="s">
        <v>825</v>
      </c>
      <c r="D120" s="7">
        <v>8.1</v>
      </c>
      <c r="E120" s="7">
        <v>40.92</v>
      </c>
      <c r="F120" s="66">
        <f>D120*E120</f>
        <v>331.452</v>
      </c>
    </row>
    <row r="121" spans="1:6" ht="18.75" customHeight="1">
      <c r="A121" s="7"/>
      <c r="B121" s="52" t="s">
        <v>826</v>
      </c>
      <c r="C121" s="7" t="s">
        <v>825</v>
      </c>
      <c r="D121" s="7">
        <v>5.77</v>
      </c>
      <c r="E121" s="7">
        <v>26.64</v>
      </c>
      <c r="F121" s="66">
        <f>D121*E121</f>
        <v>153.71279999999999</v>
      </c>
    </row>
    <row r="122" spans="1:6" ht="18.75" customHeight="1">
      <c r="A122" s="7" t="s">
        <v>57</v>
      </c>
      <c r="B122" s="52" t="s">
        <v>177</v>
      </c>
      <c r="C122" s="7"/>
      <c r="D122" s="7"/>
      <c r="E122" s="7"/>
      <c r="F122" s="66">
        <f>SUM(F123:F130)</f>
        <v>2292.64705</v>
      </c>
    </row>
    <row r="123" spans="1:6" ht="18.75" customHeight="1">
      <c r="A123" s="7"/>
      <c r="B123" s="52" t="s">
        <v>831</v>
      </c>
      <c r="C123" s="7" t="s">
        <v>357</v>
      </c>
      <c r="D123" s="7">
        <v>500</v>
      </c>
      <c r="E123" s="7">
        <v>3.3</v>
      </c>
      <c r="F123" s="7">
        <f>D123*E123</f>
        <v>1650</v>
      </c>
    </row>
    <row r="124" spans="1:6" ht="18.75" customHeight="1">
      <c r="A124" s="7"/>
      <c r="B124" s="52" t="s">
        <v>832</v>
      </c>
      <c r="C124" s="7" t="s">
        <v>357</v>
      </c>
      <c r="D124" s="7">
        <v>150</v>
      </c>
      <c r="E124" s="7">
        <v>1.9</v>
      </c>
      <c r="F124" s="7">
        <f>D124*E124</f>
        <v>285</v>
      </c>
    </row>
    <row r="125" spans="1:6" ht="18.75" customHeight="1">
      <c r="A125" s="7"/>
      <c r="B125" s="52" t="s">
        <v>876</v>
      </c>
      <c r="C125" s="7" t="s">
        <v>371</v>
      </c>
      <c r="D125" s="7">
        <f>D91</f>
        <v>7.5</v>
      </c>
      <c r="E125" s="7">
        <v>7.47</v>
      </c>
      <c r="F125" s="7">
        <f>D125*E125</f>
        <v>56.024999999999999</v>
      </c>
    </row>
    <row r="126" spans="1:6" ht="18.75" customHeight="1">
      <c r="A126" s="7"/>
      <c r="B126" s="52" t="s">
        <v>515</v>
      </c>
      <c r="C126" s="7" t="s">
        <v>371</v>
      </c>
      <c r="D126" s="7">
        <f>材料预算价格表!L13/1000</f>
        <v>3.0750000000000002</v>
      </c>
      <c r="E126" s="7">
        <v>4</v>
      </c>
      <c r="F126" s="7">
        <f>D126*E126</f>
        <v>12.3</v>
      </c>
    </row>
    <row r="127" spans="1:6" ht="18.75" customHeight="1">
      <c r="A127" s="7"/>
      <c r="B127" s="52" t="s">
        <v>1077</v>
      </c>
      <c r="C127" s="7" t="s">
        <v>386</v>
      </c>
      <c r="D127" s="7"/>
      <c r="E127" s="7">
        <v>10.199999999999999</v>
      </c>
      <c r="F127" s="7"/>
    </row>
    <row r="128" spans="1:6" ht="18.75" customHeight="1">
      <c r="A128" s="7"/>
      <c r="B128" s="52" t="s">
        <v>1078</v>
      </c>
      <c r="C128" s="7" t="s">
        <v>371</v>
      </c>
      <c r="D128" s="7">
        <v>8</v>
      </c>
      <c r="E128" s="7">
        <v>6.36</v>
      </c>
      <c r="F128" s="7">
        <f>D128*E128</f>
        <v>50.88</v>
      </c>
    </row>
    <row r="129" spans="1:6" ht="18.75" customHeight="1">
      <c r="A129" s="7"/>
      <c r="B129" s="52" t="s">
        <v>1074</v>
      </c>
      <c r="C129" s="7" t="s">
        <v>371</v>
      </c>
      <c r="D129" s="7">
        <v>10</v>
      </c>
      <c r="E129" s="7">
        <v>14</v>
      </c>
      <c r="F129" s="7">
        <f>D129*E129</f>
        <v>140</v>
      </c>
    </row>
    <row r="130" spans="1:6" ht="18.75" customHeight="1">
      <c r="A130" s="7"/>
      <c r="B130" s="52" t="s">
        <v>833</v>
      </c>
      <c r="C130" s="7" t="s">
        <v>834</v>
      </c>
      <c r="D130" s="66">
        <f>F123+F124+F125+F126+F128+F129+750*10.2</f>
        <v>9844.2049999999981</v>
      </c>
      <c r="E130" s="66">
        <v>1</v>
      </c>
      <c r="F130" s="66">
        <f>D130*E130/100</f>
        <v>98.442049999999981</v>
      </c>
    </row>
    <row r="131" spans="1:6" ht="18.75" customHeight="1">
      <c r="A131" s="7" t="s">
        <v>835</v>
      </c>
      <c r="B131" s="52" t="s">
        <v>836</v>
      </c>
      <c r="C131" s="7"/>
      <c r="D131" s="66"/>
      <c r="E131" s="66"/>
      <c r="F131" s="66">
        <f>F132+F134+F135</f>
        <v>145.42489011280841</v>
      </c>
    </row>
    <row r="132" spans="1:6" ht="18.75" customHeight="1">
      <c r="A132" s="7"/>
      <c r="B132" s="52" t="s">
        <v>1068</v>
      </c>
      <c r="C132" s="7" t="s">
        <v>863</v>
      </c>
      <c r="D132" s="66">
        <f>D97</f>
        <v>11.305</v>
      </c>
      <c r="E132" s="66">
        <v>5.4</v>
      </c>
      <c r="F132" s="66">
        <f>D132*E132</f>
        <v>61.046999999999997</v>
      </c>
    </row>
    <row r="133" spans="1:6" ht="18.75" customHeight="1">
      <c r="A133" s="7"/>
      <c r="B133" s="52" t="s">
        <v>1079</v>
      </c>
      <c r="C133" s="7" t="s">
        <v>863</v>
      </c>
      <c r="D133" s="66">
        <f>施工机械台时汇总!C62</f>
        <v>109.45121151586369</v>
      </c>
      <c r="E133" s="66">
        <v>1.3</v>
      </c>
      <c r="F133" s="66">
        <f>D133*E133</f>
        <v>142.28657497062281</v>
      </c>
    </row>
    <row r="134" spans="1:6" ht="18.75" customHeight="1">
      <c r="A134" s="7"/>
      <c r="B134" s="52" t="s">
        <v>1080</v>
      </c>
      <c r="C134" s="7" t="s">
        <v>863</v>
      </c>
      <c r="D134" s="66">
        <f>施工机械台时汇总!C42</f>
        <v>49.210305522914197</v>
      </c>
      <c r="E134" s="66">
        <v>1.6</v>
      </c>
      <c r="F134" s="66">
        <f>D134*E134</f>
        <v>78.736488836662716</v>
      </c>
    </row>
    <row r="135" spans="1:6" ht="18.75" customHeight="1">
      <c r="A135" s="7"/>
      <c r="B135" s="52" t="s">
        <v>840</v>
      </c>
      <c r="C135" s="7" t="s">
        <v>834</v>
      </c>
      <c r="D135" s="66">
        <f>F132+F133+F134</f>
        <v>282.07006380728552</v>
      </c>
      <c r="E135" s="66">
        <v>2</v>
      </c>
      <c r="F135" s="66">
        <f>D135*E135/100</f>
        <v>5.6414012761457109</v>
      </c>
    </row>
    <row r="136" spans="1:6" ht="18.75" customHeight="1">
      <c r="A136" s="7"/>
      <c r="B136" s="52"/>
      <c r="C136" s="7"/>
      <c r="D136" s="7"/>
      <c r="E136" s="7"/>
      <c r="F136" s="7"/>
    </row>
    <row r="137" spans="1:6" ht="18.75" customHeight="1">
      <c r="A137" s="7">
        <v>1.2</v>
      </c>
      <c r="B137" s="52" t="s">
        <v>841</v>
      </c>
      <c r="C137" s="7" t="s">
        <v>834</v>
      </c>
      <c r="D137" s="66">
        <f>F118</f>
        <v>2923.2367401128085</v>
      </c>
      <c r="E137" s="56">
        <f>E101</f>
        <v>4.8000000000000001E-2</v>
      </c>
      <c r="F137" s="66">
        <f>D137*E137</f>
        <v>140.31536352541482</v>
      </c>
    </row>
    <row r="138" spans="1:6" ht="18.75" customHeight="1">
      <c r="A138" s="7">
        <v>1.3</v>
      </c>
      <c r="B138" s="52" t="s">
        <v>842</v>
      </c>
      <c r="C138" s="7" t="s">
        <v>834</v>
      </c>
      <c r="D138" s="66">
        <f>F118</f>
        <v>2923.2367401128085</v>
      </c>
      <c r="E138" s="56">
        <f>E102</f>
        <v>0</v>
      </c>
      <c r="F138" s="66">
        <f>D138*E138</f>
        <v>0</v>
      </c>
    </row>
    <row r="139" spans="1:6" ht="18.75" customHeight="1">
      <c r="A139" s="7">
        <v>2</v>
      </c>
      <c r="B139" s="52" t="s">
        <v>182</v>
      </c>
      <c r="C139" s="7" t="s">
        <v>834</v>
      </c>
      <c r="D139" s="66">
        <f>F117</f>
        <v>3063.5521036382233</v>
      </c>
      <c r="E139" s="56">
        <f>E103</f>
        <v>0.05</v>
      </c>
      <c r="F139" s="66">
        <f>D139*E139</f>
        <v>153.17760518191116</v>
      </c>
    </row>
    <row r="140" spans="1:6" ht="18.75" customHeight="1">
      <c r="A140" s="7">
        <v>3</v>
      </c>
      <c r="B140" s="52" t="s">
        <v>843</v>
      </c>
      <c r="C140" s="7" t="s">
        <v>834</v>
      </c>
      <c r="D140" s="66">
        <f>F117+F139</f>
        <v>3216.7297088201344</v>
      </c>
      <c r="E140" s="56">
        <f>E104</f>
        <v>7.0000000000000007E-2</v>
      </c>
      <c r="F140" s="66">
        <f>D140*E140</f>
        <v>225.17107961740942</v>
      </c>
    </row>
    <row r="141" spans="1:6" ht="18.75" customHeight="1">
      <c r="A141" s="7">
        <v>4</v>
      </c>
      <c r="B141" s="52" t="s">
        <v>184</v>
      </c>
      <c r="C141" s="7"/>
      <c r="D141" s="7"/>
      <c r="E141" s="7"/>
      <c r="F141" s="66">
        <f>F142+F143</f>
        <v>127.94210000000001</v>
      </c>
    </row>
    <row r="142" spans="1:6" ht="18.75" customHeight="1">
      <c r="A142" s="7"/>
      <c r="B142" s="52" t="s">
        <v>516</v>
      </c>
      <c r="C142" s="7" t="s">
        <v>371</v>
      </c>
      <c r="D142" s="7">
        <f>F2</f>
        <v>3.51</v>
      </c>
      <c r="E142" s="7">
        <f>E133*台时!BE22</f>
        <v>15.47</v>
      </c>
      <c r="F142" s="66">
        <f>E142*D142</f>
        <v>54.299700000000001</v>
      </c>
    </row>
    <row r="143" spans="1:6" ht="18.75" customHeight="1">
      <c r="A143" s="7"/>
      <c r="B143" s="52" t="s">
        <v>515</v>
      </c>
      <c r="C143" s="7" t="s">
        <v>371</v>
      </c>
      <c r="D143" s="7">
        <f>E2</f>
        <v>4.7450000000000001</v>
      </c>
      <c r="E143" s="7">
        <f>E126+E134*台时!AK19</f>
        <v>15.520000000000001</v>
      </c>
      <c r="F143" s="66">
        <f>D143*E143</f>
        <v>73.642400000000009</v>
      </c>
    </row>
    <row r="144" spans="1:6" ht="18.75" customHeight="1">
      <c r="A144" s="7">
        <v>5</v>
      </c>
      <c r="B144" s="52" t="s">
        <v>845</v>
      </c>
      <c r="C144" s="7" t="s">
        <v>834</v>
      </c>
      <c r="D144" s="66">
        <f>F117+F139+F140+F141</f>
        <v>3569.8428884375439</v>
      </c>
      <c r="E144" s="56">
        <f>E108</f>
        <v>0.09</v>
      </c>
      <c r="F144" s="66">
        <f>D144*E144</f>
        <v>321.28585995937897</v>
      </c>
    </row>
    <row r="145" spans="1:6" ht="18.75" customHeight="1">
      <c r="A145" s="7">
        <v>6</v>
      </c>
      <c r="B145" s="52" t="s">
        <v>7</v>
      </c>
      <c r="C145" s="7"/>
      <c r="D145" s="66"/>
      <c r="E145" s="66"/>
      <c r="F145" s="66">
        <f>F117+F139+F140+F141+F144</f>
        <v>3891.1287483969227</v>
      </c>
    </row>
    <row r="146" spans="1:6" ht="18.75" customHeight="1">
      <c r="A146" s="7"/>
      <c r="B146" s="52" t="s">
        <v>846</v>
      </c>
      <c r="C146" s="7"/>
      <c r="D146" s="66">
        <f>F145</f>
        <v>3891.1287483969227</v>
      </c>
      <c r="E146" s="56">
        <f>E110</f>
        <v>0.03</v>
      </c>
      <c r="F146" s="66">
        <f>D146*E146</f>
        <v>116.73386245190767</v>
      </c>
    </row>
    <row r="147" spans="1:6" ht="18.75" customHeight="1">
      <c r="A147" s="7"/>
      <c r="B147" s="52" t="s">
        <v>7</v>
      </c>
      <c r="C147" s="7"/>
      <c r="D147" s="66"/>
      <c r="E147" s="66"/>
      <c r="F147" s="66">
        <f>SUM(F145:F146)</f>
        <v>4007.8626108488302</v>
      </c>
    </row>
    <row r="148" spans="1:6" ht="18.75" customHeight="1">
      <c r="A148" s="462" t="s">
        <v>1081</v>
      </c>
      <c r="B148" s="462"/>
      <c r="C148" s="462"/>
      <c r="D148" s="462"/>
      <c r="E148" s="462"/>
      <c r="F148" s="462"/>
    </row>
    <row r="149" spans="1:6" ht="18.75" customHeight="1">
      <c r="A149" s="46" t="s">
        <v>815</v>
      </c>
      <c r="B149" s="49">
        <v>10082</v>
      </c>
      <c r="D149" s="46"/>
      <c r="E149" s="47" t="s">
        <v>169</v>
      </c>
      <c r="F149" s="49" t="s">
        <v>951</v>
      </c>
    </row>
    <row r="150" spans="1:6" ht="18.75" customHeight="1">
      <c r="A150" s="7" t="s">
        <v>817</v>
      </c>
      <c r="B150" s="52"/>
      <c r="C150" s="7"/>
      <c r="D150" s="7"/>
      <c r="E150" s="7"/>
      <c r="F150" s="7"/>
    </row>
    <row r="151" spans="1:6" ht="18.75" customHeight="1">
      <c r="A151" s="7" t="s">
        <v>1</v>
      </c>
      <c r="B151" s="52" t="s">
        <v>344</v>
      </c>
      <c r="C151" s="7" t="s">
        <v>818</v>
      </c>
      <c r="D151" s="7" t="s">
        <v>819</v>
      </c>
      <c r="E151" s="7" t="s">
        <v>820</v>
      </c>
      <c r="F151" s="7" t="s">
        <v>821</v>
      </c>
    </row>
    <row r="152" spans="1:6" ht="18.75" customHeight="1">
      <c r="A152" s="7">
        <v>1</v>
      </c>
      <c r="B152" s="52" t="s">
        <v>822</v>
      </c>
      <c r="C152" s="7"/>
      <c r="D152" s="7"/>
      <c r="E152" s="7"/>
      <c r="F152" s="53">
        <f>F153+F163+F164</f>
        <v>10185.052975999999</v>
      </c>
    </row>
    <row r="153" spans="1:6" ht="18.75" customHeight="1">
      <c r="A153" s="7">
        <v>1.1000000000000001</v>
      </c>
      <c r="B153" s="52" t="s">
        <v>823</v>
      </c>
      <c r="C153" s="7"/>
      <c r="D153" s="7"/>
      <c r="E153" s="7"/>
      <c r="F153" s="53">
        <f>F154+F157</f>
        <v>9718.5619999999999</v>
      </c>
    </row>
    <row r="154" spans="1:6" ht="18.75" customHeight="1">
      <c r="A154" s="7" t="s">
        <v>47</v>
      </c>
      <c r="B154" s="52" t="s">
        <v>176</v>
      </c>
      <c r="C154" s="7"/>
      <c r="D154" s="7"/>
      <c r="E154" s="7"/>
      <c r="F154" s="53">
        <f>F155+F156</f>
        <v>261.63200000000001</v>
      </c>
    </row>
    <row r="155" spans="1:6" ht="18.75" customHeight="1">
      <c r="A155" s="7"/>
      <c r="B155" s="52" t="s">
        <v>824</v>
      </c>
      <c r="C155" s="7" t="s">
        <v>825</v>
      </c>
      <c r="D155" s="7">
        <v>8.1</v>
      </c>
      <c r="E155" s="7">
        <v>21.9</v>
      </c>
      <c r="F155" s="53">
        <f>D155*E155</f>
        <v>177.39</v>
      </c>
    </row>
    <row r="156" spans="1:6" ht="18.75" customHeight="1">
      <c r="A156" s="7"/>
      <c r="B156" s="52" t="s">
        <v>826</v>
      </c>
      <c r="C156" s="7" t="s">
        <v>825</v>
      </c>
      <c r="D156" s="7">
        <v>5.77</v>
      </c>
      <c r="E156" s="7">
        <v>14.6</v>
      </c>
      <c r="F156" s="53">
        <f>D156*E156</f>
        <v>84.242000000000004</v>
      </c>
    </row>
    <row r="157" spans="1:6" ht="18.75" customHeight="1">
      <c r="A157" s="7" t="s">
        <v>57</v>
      </c>
      <c r="B157" s="52" t="s">
        <v>177</v>
      </c>
      <c r="C157" s="7"/>
      <c r="D157" s="7"/>
      <c r="E157" s="7"/>
      <c r="F157" s="53">
        <f>SUM(F158:F161)</f>
        <v>9456.93</v>
      </c>
    </row>
    <row r="158" spans="1:6" ht="18.75" customHeight="1">
      <c r="A158" s="7"/>
      <c r="B158" s="52" t="s">
        <v>1077</v>
      </c>
      <c r="C158" s="7" t="s">
        <v>353</v>
      </c>
      <c r="D158" s="7">
        <v>4300</v>
      </c>
      <c r="E158" s="7">
        <v>1.532</v>
      </c>
      <c r="F158" s="74">
        <f>D158*E158</f>
        <v>6587.6</v>
      </c>
    </row>
    <row r="159" spans="1:6" ht="18.75" customHeight="1">
      <c r="A159" s="7"/>
      <c r="B159" s="52" t="s">
        <v>874</v>
      </c>
      <c r="C159" s="7" t="s">
        <v>371</v>
      </c>
      <c r="D159" s="7">
        <f>次要材料汇总!F11</f>
        <v>6.5</v>
      </c>
      <c r="E159" s="7">
        <v>356</v>
      </c>
      <c r="F159" s="7">
        <f>D159*E159</f>
        <v>2314</v>
      </c>
    </row>
    <row r="160" spans="1:6" ht="18.75" customHeight="1">
      <c r="A160" s="7"/>
      <c r="B160" s="52" t="s">
        <v>1082</v>
      </c>
      <c r="C160" s="7" t="s">
        <v>141</v>
      </c>
      <c r="D160" s="7">
        <v>10</v>
      </c>
      <c r="E160" s="7">
        <v>10.5</v>
      </c>
      <c r="F160" s="7">
        <f>D160*E160</f>
        <v>105</v>
      </c>
    </row>
    <row r="161" spans="1:6" ht="18.75" customHeight="1">
      <c r="A161" s="7"/>
      <c r="B161" s="52" t="s">
        <v>833</v>
      </c>
      <c r="C161" s="7" t="s">
        <v>834</v>
      </c>
      <c r="D161" s="66">
        <f>SUM(F158:F160)</f>
        <v>9006.6</v>
      </c>
      <c r="E161" s="66">
        <v>5</v>
      </c>
      <c r="F161" s="53">
        <f>D161*E161/100</f>
        <v>450.33</v>
      </c>
    </row>
    <row r="162" spans="1:6" ht="18.75" customHeight="1">
      <c r="A162" s="7"/>
      <c r="B162" s="52"/>
      <c r="C162" s="7"/>
      <c r="D162" s="7"/>
      <c r="E162" s="7"/>
      <c r="F162" s="7"/>
    </row>
    <row r="163" spans="1:6" ht="18.75" customHeight="1">
      <c r="A163" s="7">
        <v>1.2</v>
      </c>
      <c r="B163" s="52" t="s">
        <v>841</v>
      </c>
      <c r="C163" s="7" t="s">
        <v>834</v>
      </c>
      <c r="D163" s="66">
        <f>F153</f>
        <v>9718.5619999999999</v>
      </c>
      <c r="E163" s="56">
        <f>E137</f>
        <v>4.8000000000000001E-2</v>
      </c>
      <c r="F163" s="53">
        <f>D163*E163</f>
        <v>466.49097599999999</v>
      </c>
    </row>
    <row r="164" spans="1:6" ht="18.75" customHeight="1">
      <c r="A164" s="7">
        <v>1.3</v>
      </c>
      <c r="B164" s="52" t="s">
        <v>842</v>
      </c>
      <c r="C164" s="7" t="s">
        <v>834</v>
      </c>
      <c r="D164" s="66">
        <f>F153</f>
        <v>9718.5619999999999</v>
      </c>
      <c r="E164" s="56">
        <f>E138</f>
        <v>0</v>
      </c>
      <c r="F164" s="53">
        <f>D164*E164</f>
        <v>0</v>
      </c>
    </row>
    <row r="165" spans="1:6" ht="18.75" customHeight="1">
      <c r="A165" s="7">
        <v>2</v>
      </c>
      <c r="B165" s="52" t="s">
        <v>182</v>
      </c>
      <c r="C165" s="7" t="s">
        <v>834</v>
      </c>
      <c r="D165" s="66">
        <f>F152</f>
        <v>10185.052975999999</v>
      </c>
      <c r="E165" s="56">
        <f>E139</f>
        <v>0.05</v>
      </c>
      <c r="F165" s="53">
        <f>D165*E165</f>
        <v>509.25264879999997</v>
      </c>
    </row>
    <row r="166" spans="1:6" ht="18.75" customHeight="1">
      <c r="A166" s="7">
        <v>3</v>
      </c>
      <c r="B166" s="52" t="s">
        <v>843</v>
      </c>
      <c r="C166" s="7" t="s">
        <v>834</v>
      </c>
      <c r="D166" s="66">
        <f>F152+F165</f>
        <v>10694.305624799999</v>
      </c>
      <c r="E166" s="56">
        <f>E140</f>
        <v>7.0000000000000007E-2</v>
      </c>
      <c r="F166" s="53">
        <f>D166*E166</f>
        <v>748.60139373599998</v>
      </c>
    </row>
    <row r="167" spans="1:6" ht="18.75" customHeight="1">
      <c r="A167" s="7">
        <v>4</v>
      </c>
      <c r="B167" s="52" t="s">
        <v>845</v>
      </c>
      <c r="C167" s="7" t="s">
        <v>834</v>
      </c>
      <c r="D167" s="66">
        <f>F152+F165+F166</f>
        <v>11442.907018536</v>
      </c>
      <c r="E167" s="56">
        <f>E144</f>
        <v>0.09</v>
      </c>
      <c r="F167" s="53">
        <f>D167*E167</f>
        <v>1029.8616316682399</v>
      </c>
    </row>
    <row r="168" spans="1:6" ht="18.75" customHeight="1">
      <c r="A168" s="7">
        <v>5</v>
      </c>
      <c r="B168" s="52" t="s">
        <v>7</v>
      </c>
      <c r="C168" s="7"/>
      <c r="D168" s="66"/>
      <c r="E168" s="66"/>
      <c r="F168" s="53">
        <f>F152+F165+F166+F167</f>
        <v>12472.76865020424</v>
      </c>
    </row>
    <row r="169" spans="1:6" ht="18.75" customHeight="1">
      <c r="A169" s="7"/>
      <c r="B169" s="52" t="s">
        <v>846</v>
      </c>
      <c r="C169" s="7"/>
      <c r="D169" s="66">
        <f>F168</f>
        <v>12472.76865020424</v>
      </c>
      <c r="E169" s="56">
        <f>E146</f>
        <v>0.03</v>
      </c>
      <c r="F169" s="53">
        <f>D169*E169</f>
        <v>374.18305950612717</v>
      </c>
    </row>
    <row r="170" spans="1:6" ht="18.75" customHeight="1">
      <c r="A170" s="7"/>
      <c r="B170" s="52" t="s">
        <v>7</v>
      </c>
      <c r="C170" s="7"/>
      <c r="D170" s="66"/>
      <c r="E170" s="66"/>
      <c r="F170" s="53">
        <f>SUM(F168:F169)</f>
        <v>12846.951709710367</v>
      </c>
    </row>
  </sheetData>
  <mergeCells count="9">
    <mergeCell ref="A79:F79"/>
    <mergeCell ref="A112:F112"/>
    <mergeCell ref="A113:F113"/>
    <mergeCell ref="A148:F148"/>
    <mergeCell ref="A3:F3"/>
    <mergeCell ref="A4:F4"/>
    <mergeCell ref="A40:F40"/>
    <mergeCell ref="A41:F41"/>
    <mergeCell ref="A78:F78"/>
  </mergeCells>
  <phoneticPr fontId="79" type="noConversion"/>
  <printOptions horizontalCentered="1"/>
  <pageMargins left="0.94444444444444398" right="0.74791666666666701" top="0.98402777777777795" bottom="0.98402777777777795" header="0.51180555555555596" footer="0.51180555555555596"/>
  <pageSetup paperSize="9" orientation="portrait" horizontalDpi="1200" verticalDpi="1200"/>
  <headerFooter alignWithMargins="0"/>
</worksheet>
</file>

<file path=xl/worksheets/sheet16.xml><?xml version="1.0" encoding="utf-8"?>
<worksheet xmlns="http://schemas.openxmlformats.org/spreadsheetml/2006/main" xmlns:r="http://schemas.openxmlformats.org/officeDocument/2006/relationships">
  <dimension ref="A1:H820"/>
  <sheetViews>
    <sheetView workbookViewId="0">
      <pane ySplit="2" topLeftCell="A759" activePane="bottomLeft" state="frozen"/>
      <selection pane="bottomLeft" activeCell="A770" sqref="A770:F770"/>
    </sheetView>
  </sheetViews>
  <sheetFormatPr defaultColWidth="9" defaultRowHeight="14.25"/>
  <cols>
    <col min="1" max="1" width="9.125" customWidth="1"/>
    <col min="2" max="2" width="26.75" customWidth="1"/>
    <col min="3" max="6" width="9.625" customWidth="1"/>
    <col min="7" max="7" width="9.125" customWidth="1"/>
  </cols>
  <sheetData>
    <row r="1" spans="1:8">
      <c r="A1" s="46" t="s">
        <v>354</v>
      </c>
      <c r="B1" s="46" t="s">
        <v>33</v>
      </c>
      <c r="C1" s="46" t="s">
        <v>506</v>
      </c>
      <c r="D1" s="46" t="s">
        <v>507</v>
      </c>
      <c r="E1" s="46" t="s">
        <v>509</v>
      </c>
      <c r="F1" s="46" t="s">
        <v>511</v>
      </c>
      <c r="G1" s="46" t="s">
        <v>515</v>
      </c>
      <c r="H1" s="46" t="s">
        <v>516</v>
      </c>
    </row>
    <row r="2" spans="1:8">
      <c r="A2" s="46">
        <f>材料预算价格表!M6</f>
        <v>116.41515</v>
      </c>
      <c r="B2" s="46">
        <f>材料预算价格表!M7</f>
        <v>1494.7134599999999</v>
      </c>
      <c r="C2" s="46">
        <f>材料预算价格表!M8</f>
        <v>0</v>
      </c>
      <c r="D2" s="72">
        <f>材料预算价格表!M9</f>
        <v>4.6598683999999899</v>
      </c>
      <c r="E2" s="72">
        <f>材料预算价格表!M10</f>
        <v>6.2457299999999902</v>
      </c>
      <c r="F2" s="72">
        <f>材料预算价格表!M11</f>
        <v>38.516649999999998</v>
      </c>
      <c r="G2" s="46">
        <f>材料预算价格表!M13/1000</f>
        <v>4.7450000000000001</v>
      </c>
      <c r="H2" s="46">
        <f>材料预算价格表!M14/1000</f>
        <v>3.51</v>
      </c>
    </row>
    <row r="3" spans="1:8" ht="22.5" customHeight="1">
      <c r="A3" s="479" t="s">
        <v>813</v>
      </c>
      <c r="B3" s="479"/>
      <c r="C3" s="479"/>
      <c r="D3" s="479"/>
      <c r="E3" s="479"/>
      <c r="F3" s="479"/>
    </row>
    <row r="4" spans="1:8" ht="18.75" customHeight="1">
      <c r="A4" s="462" t="s">
        <v>1083</v>
      </c>
      <c r="B4" s="462"/>
      <c r="C4" s="462"/>
      <c r="D4" s="462"/>
      <c r="E4" s="462"/>
      <c r="F4" s="462"/>
    </row>
    <row r="5" spans="1:8" ht="18.75" customHeight="1">
      <c r="A5" s="47" t="s">
        <v>815</v>
      </c>
      <c r="B5" s="49">
        <v>3021</v>
      </c>
      <c r="D5" s="71"/>
      <c r="E5" s="47" t="s">
        <v>169</v>
      </c>
      <c r="F5" s="49" t="s">
        <v>869</v>
      </c>
    </row>
    <row r="6" spans="1:8" ht="18.75" customHeight="1">
      <c r="A6" s="50" t="s">
        <v>817</v>
      </c>
      <c r="B6" s="458"/>
      <c r="C6" s="459"/>
      <c r="D6" s="459"/>
      <c r="E6" s="459"/>
      <c r="F6" s="460"/>
    </row>
    <row r="7" spans="1:8" ht="18.75" customHeight="1">
      <c r="A7" s="7" t="s">
        <v>1</v>
      </c>
      <c r="B7" s="52" t="s">
        <v>344</v>
      </c>
      <c r="C7" s="7" t="s">
        <v>818</v>
      </c>
      <c r="D7" s="7" t="s">
        <v>819</v>
      </c>
      <c r="E7" s="7" t="s">
        <v>820</v>
      </c>
      <c r="F7" s="7" t="s">
        <v>821</v>
      </c>
    </row>
    <row r="8" spans="1:8" ht="18.75" customHeight="1">
      <c r="A8" s="7">
        <v>1</v>
      </c>
      <c r="B8" s="52" t="s">
        <v>822</v>
      </c>
      <c r="C8" s="7"/>
      <c r="D8" s="7"/>
      <c r="E8" s="7"/>
      <c r="F8" s="53">
        <f>F9+F21+F22</f>
        <v>19630.46706404108</v>
      </c>
    </row>
    <row r="9" spans="1:8" ht="18.75" customHeight="1">
      <c r="A9" s="7">
        <v>1.1000000000000001</v>
      </c>
      <c r="B9" s="52" t="s">
        <v>823</v>
      </c>
      <c r="C9" s="7"/>
      <c r="D9" s="7"/>
      <c r="E9" s="7"/>
      <c r="F9" s="53">
        <f>F10+F13+F17+F20</f>
        <v>18731.361702329275</v>
      </c>
    </row>
    <row r="10" spans="1:8" ht="18.75" customHeight="1">
      <c r="A10" s="7" t="s">
        <v>47</v>
      </c>
      <c r="B10" s="52" t="s">
        <v>176</v>
      </c>
      <c r="C10" s="7"/>
      <c r="D10" s="7"/>
      <c r="E10" s="7"/>
      <c r="F10" s="53">
        <f>F11+F12</f>
        <v>5482.31</v>
      </c>
    </row>
    <row r="11" spans="1:8" ht="18.75" customHeight="1">
      <c r="A11" s="7"/>
      <c r="B11" s="52" t="s">
        <v>824</v>
      </c>
      <c r="C11" s="7" t="s">
        <v>825</v>
      </c>
      <c r="D11" s="7">
        <v>8.1</v>
      </c>
      <c r="E11" s="7">
        <v>346.3</v>
      </c>
      <c r="F11" s="53">
        <f>D11*E11</f>
        <v>2805.03</v>
      </c>
    </row>
    <row r="12" spans="1:8" ht="18.75" customHeight="1">
      <c r="A12" s="7"/>
      <c r="B12" s="52" t="s">
        <v>826</v>
      </c>
      <c r="C12" s="7" t="s">
        <v>825</v>
      </c>
      <c r="D12" s="7">
        <v>5.77</v>
      </c>
      <c r="E12" s="7">
        <v>464</v>
      </c>
      <c r="F12" s="53">
        <f>D12*E12</f>
        <v>2677.28</v>
      </c>
    </row>
    <row r="13" spans="1:8" ht="18.75" customHeight="1">
      <c r="A13" s="7" t="s">
        <v>57</v>
      </c>
      <c r="B13" s="52" t="s">
        <v>177</v>
      </c>
      <c r="C13" s="7"/>
      <c r="D13" s="7"/>
      <c r="E13" s="7"/>
      <c r="F13" s="53">
        <f>F14+F15+F16</f>
        <v>12948.541580880001</v>
      </c>
    </row>
    <row r="14" spans="1:8" ht="18.75" customHeight="1">
      <c r="A14" s="7"/>
      <c r="B14" s="52" t="s">
        <v>511</v>
      </c>
      <c r="C14" s="7" t="s">
        <v>871</v>
      </c>
      <c r="D14" s="7">
        <f>材料预算价格表!L11</f>
        <v>70</v>
      </c>
      <c r="E14" s="7">
        <v>113</v>
      </c>
      <c r="F14" s="53">
        <f>D14*E14</f>
        <v>7910</v>
      </c>
    </row>
    <row r="15" spans="1:8" ht="18.75" customHeight="1">
      <c r="A15" s="7"/>
      <c r="B15" s="52" t="s">
        <v>975</v>
      </c>
      <c r="C15" s="7" t="s">
        <v>871</v>
      </c>
      <c r="D15" s="66">
        <f>砼配合!J32</f>
        <v>144.59654</v>
      </c>
      <c r="E15" s="7">
        <v>34.4</v>
      </c>
      <c r="F15" s="53">
        <f>D15*E15</f>
        <v>4974.1209760000002</v>
      </c>
    </row>
    <row r="16" spans="1:8" ht="18.75" customHeight="1">
      <c r="A16" s="7"/>
      <c r="B16" s="52" t="s">
        <v>833</v>
      </c>
      <c r="C16" s="7" t="s">
        <v>834</v>
      </c>
      <c r="D16" s="66">
        <f>F14+F15</f>
        <v>12884.120976</v>
      </c>
      <c r="E16" s="7">
        <v>0.5</v>
      </c>
      <c r="F16" s="53">
        <f>D16*E16/100</f>
        <v>64.420604879999999</v>
      </c>
    </row>
    <row r="17" spans="1:6" ht="18.75" customHeight="1">
      <c r="A17" s="7" t="s">
        <v>835</v>
      </c>
      <c r="B17" s="52" t="s">
        <v>932</v>
      </c>
      <c r="C17" s="7"/>
      <c r="D17" s="7"/>
      <c r="E17" s="7"/>
      <c r="F17" s="53">
        <f>F18+F19</f>
        <v>300.5101214492754</v>
      </c>
    </row>
    <row r="18" spans="1:6" ht="18.75" customHeight="1">
      <c r="A18" s="7"/>
      <c r="B18" s="52" t="s">
        <v>1084</v>
      </c>
      <c r="C18" s="7" t="s">
        <v>863</v>
      </c>
      <c r="D18" s="66">
        <f>施工机械台时汇总!$C$21</f>
        <v>28.129680376028197</v>
      </c>
      <c r="E18" s="7">
        <v>6.19</v>
      </c>
      <c r="F18" s="53">
        <f>D18*E18</f>
        <v>174.12272152761454</v>
      </c>
    </row>
    <row r="19" spans="1:6" ht="18.75" customHeight="1">
      <c r="A19" s="7"/>
      <c r="B19" s="52" t="s">
        <v>862</v>
      </c>
      <c r="C19" s="7" t="s">
        <v>863</v>
      </c>
      <c r="D19" s="7">
        <f>施工机械台时汇总!$C$19</f>
        <v>0.80266353309831595</v>
      </c>
      <c r="E19" s="7">
        <v>157.46</v>
      </c>
      <c r="F19" s="53">
        <f>D19*E19</f>
        <v>126.38739992166083</v>
      </c>
    </row>
    <row r="20" spans="1:6" ht="18.75" customHeight="1">
      <c r="A20" s="7"/>
      <c r="B20" s="52"/>
      <c r="C20" s="7"/>
      <c r="D20" s="7"/>
      <c r="E20" s="7"/>
      <c r="F20" s="53"/>
    </row>
    <row r="21" spans="1:6" ht="18.75" customHeight="1">
      <c r="A21" s="7">
        <v>1.2</v>
      </c>
      <c r="B21" s="52" t="s">
        <v>841</v>
      </c>
      <c r="C21" s="7"/>
      <c r="D21" s="53">
        <f>F9</f>
        <v>18731.361702329275</v>
      </c>
      <c r="E21" s="56">
        <f>取费!C8</f>
        <v>4.8000000000000001E-2</v>
      </c>
      <c r="F21" s="53">
        <f>D21*E21</f>
        <v>899.10536171180524</v>
      </c>
    </row>
    <row r="22" spans="1:6" ht="18.75" customHeight="1">
      <c r="A22" s="7">
        <v>1.3</v>
      </c>
      <c r="B22" s="52" t="s">
        <v>842</v>
      </c>
      <c r="C22" s="7"/>
      <c r="D22" s="53">
        <f>F9</f>
        <v>18731.361702329275</v>
      </c>
      <c r="E22" s="56">
        <f>取费!D8</f>
        <v>0</v>
      </c>
      <c r="F22" s="53">
        <f>D22*E22</f>
        <v>0</v>
      </c>
    </row>
    <row r="23" spans="1:6" ht="18.75" customHeight="1">
      <c r="A23" s="7">
        <v>2</v>
      </c>
      <c r="B23" s="52" t="s">
        <v>182</v>
      </c>
      <c r="C23" s="7"/>
      <c r="D23" s="53">
        <f>F8</f>
        <v>19630.46706404108</v>
      </c>
      <c r="E23" s="56">
        <f>取费!E8</f>
        <v>8.5000000000000006E-2</v>
      </c>
      <c r="F23" s="53">
        <f>D23*E23</f>
        <v>1668.5897004434919</v>
      </c>
    </row>
    <row r="24" spans="1:6" ht="18.75" customHeight="1">
      <c r="A24" s="7">
        <v>3</v>
      </c>
      <c r="B24" s="52" t="s">
        <v>843</v>
      </c>
      <c r="C24" s="7"/>
      <c r="D24" s="53">
        <f>F8+F23</f>
        <v>21299.056764484572</v>
      </c>
      <c r="E24" s="56">
        <f>取费!F8</f>
        <v>7.0000000000000007E-2</v>
      </c>
      <c r="F24" s="53">
        <f>D24*E24</f>
        <v>1490.9339735139201</v>
      </c>
    </row>
    <row r="25" spans="1:6" ht="18.75" customHeight="1">
      <c r="A25" s="7">
        <v>4</v>
      </c>
      <c r="B25" s="52" t="s">
        <v>184</v>
      </c>
      <c r="C25" s="7"/>
      <c r="D25" s="7"/>
      <c r="E25" s="7"/>
      <c r="F25" s="53">
        <f>SUM(F26:F28)</f>
        <v>5579.1387385239996</v>
      </c>
    </row>
    <row r="26" spans="1:6" ht="18.75" customHeight="1">
      <c r="A26" s="7"/>
      <c r="B26" s="52" t="s">
        <v>354</v>
      </c>
      <c r="C26" s="7" t="s">
        <v>88</v>
      </c>
      <c r="D26" s="7">
        <f>A2</f>
        <v>116.41515</v>
      </c>
      <c r="E26" s="7">
        <f>E15*砼配合!I33</f>
        <v>9.0231199999999987</v>
      </c>
      <c r="F26" s="53">
        <f>D26*E26</f>
        <v>1050.4278682679999</v>
      </c>
    </row>
    <row r="27" spans="1:6" ht="18.75" customHeight="1">
      <c r="A27" s="7"/>
      <c r="B27" s="52" t="s">
        <v>507</v>
      </c>
      <c r="C27" s="7" t="s">
        <v>871</v>
      </c>
      <c r="D27" s="66">
        <f>D2</f>
        <v>4.6598683999999899</v>
      </c>
      <c r="E27" s="7">
        <f>E15*砼配合!I34</f>
        <v>37.840000000000003</v>
      </c>
      <c r="F27" s="53">
        <f>D27*E27</f>
        <v>176.32942025599962</v>
      </c>
    </row>
    <row r="28" spans="1:6" ht="18.75" customHeight="1">
      <c r="A28" s="7"/>
      <c r="B28" s="52" t="s">
        <v>511</v>
      </c>
      <c r="C28" s="7" t="s">
        <v>871</v>
      </c>
      <c r="D28" s="66">
        <f>F2</f>
        <v>38.516649999999998</v>
      </c>
      <c r="E28" s="7">
        <f>E14</f>
        <v>113</v>
      </c>
      <c r="F28" s="53">
        <f>D28*E28</f>
        <v>4352.3814499999999</v>
      </c>
    </row>
    <row r="29" spans="1:6" ht="18.75" customHeight="1">
      <c r="A29" s="7">
        <v>5</v>
      </c>
      <c r="B29" s="52" t="s">
        <v>845</v>
      </c>
      <c r="C29" s="7"/>
      <c r="D29" s="53">
        <f>F8+F23+F24+F25</f>
        <v>28369.129476522496</v>
      </c>
      <c r="E29" s="56">
        <f>取费!G8</f>
        <v>0.09</v>
      </c>
      <c r="F29" s="53">
        <f>D29*E29</f>
        <v>2553.2216528870244</v>
      </c>
    </row>
    <row r="30" spans="1:6" ht="18.75" customHeight="1">
      <c r="A30" s="7">
        <v>6</v>
      </c>
      <c r="B30" s="52" t="s">
        <v>7</v>
      </c>
      <c r="C30" s="7"/>
      <c r="D30" s="7"/>
      <c r="E30" s="7"/>
      <c r="F30" s="53">
        <f>F8+F23+F24+F25+F29</f>
        <v>30922.351129409519</v>
      </c>
    </row>
    <row r="31" spans="1:6" ht="18.75" customHeight="1">
      <c r="A31" s="7"/>
      <c r="B31" s="52" t="s">
        <v>846</v>
      </c>
      <c r="C31" s="7"/>
      <c r="D31" s="53">
        <f>F30</f>
        <v>30922.351129409519</v>
      </c>
      <c r="E31" s="56">
        <f>取费!H6</f>
        <v>0.03</v>
      </c>
      <c r="F31" s="53">
        <f>E31*D31</f>
        <v>927.67053388228555</v>
      </c>
    </row>
    <row r="32" spans="1:6" ht="18.75" customHeight="1">
      <c r="A32" s="7"/>
      <c r="B32" s="52" t="s">
        <v>44</v>
      </c>
      <c r="C32" s="7"/>
      <c r="D32" s="7"/>
      <c r="E32" s="7"/>
      <c r="F32" s="53">
        <f>SUM(F30:F31)</f>
        <v>31850.021663291805</v>
      </c>
    </row>
    <row r="33" spans="1:6" ht="22.5" customHeight="1">
      <c r="A33" s="461" t="s">
        <v>813</v>
      </c>
      <c r="B33" s="461"/>
      <c r="C33" s="461"/>
      <c r="D33" s="461"/>
      <c r="E33" s="461"/>
      <c r="F33" s="461"/>
    </row>
    <row r="34" spans="1:6" ht="18.75" customHeight="1">
      <c r="A34" s="462" t="s">
        <v>1085</v>
      </c>
      <c r="B34" s="462"/>
      <c r="C34" s="462"/>
      <c r="D34" s="462"/>
      <c r="E34" s="462"/>
      <c r="F34" s="462"/>
    </row>
    <row r="35" spans="1:6" ht="18.75" customHeight="1">
      <c r="A35" s="47" t="s">
        <v>815</v>
      </c>
      <c r="B35" s="49">
        <v>3023</v>
      </c>
      <c r="D35" s="71"/>
      <c r="E35" s="47" t="s">
        <v>169</v>
      </c>
      <c r="F35" s="49" t="s">
        <v>869</v>
      </c>
    </row>
    <row r="36" spans="1:6" ht="18.75" customHeight="1">
      <c r="A36" s="50" t="s">
        <v>817</v>
      </c>
      <c r="B36" s="458"/>
      <c r="C36" s="459"/>
      <c r="D36" s="459"/>
      <c r="E36" s="459"/>
      <c r="F36" s="460"/>
    </row>
    <row r="37" spans="1:6" ht="18.75" customHeight="1">
      <c r="A37" s="7" t="s">
        <v>1</v>
      </c>
      <c r="B37" s="52" t="s">
        <v>344</v>
      </c>
      <c r="C37" s="7" t="s">
        <v>818</v>
      </c>
      <c r="D37" s="7" t="s">
        <v>819</v>
      </c>
      <c r="E37" s="7" t="s">
        <v>820</v>
      </c>
      <c r="F37" s="7" t="s">
        <v>821</v>
      </c>
    </row>
    <row r="38" spans="1:6" ht="18.75" customHeight="1">
      <c r="A38" s="7">
        <v>1</v>
      </c>
      <c r="B38" s="52" t="s">
        <v>822</v>
      </c>
      <c r="C38" s="7"/>
      <c r="D38" s="7"/>
      <c r="E38" s="7"/>
      <c r="F38" s="53">
        <f>F39+F51+F52</f>
        <v>20256.48242123015</v>
      </c>
    </row>
    <row r="39" spans="1:6" ht="18.75" customHeight="1">
      <c r="A39" s="7">
        <v>1.1000000000000001</v>
      </c>
      <c r="B39" s="52" t="s">
        <v>823</v>
      </c>
      <c r="C39" s="7"/>
      <c r="D39" s="7"/>
      <c r="E39" s="7"/>
      <c r="F39" s="53">
        <f>F40+F43+F47+F50</f>
        <v>19328.704600410449</v>
      </c>
    </row>
    <row r="40" spans="1:6" ht="18.75" customHeight="1">
      <c r="A40" s="7" t="s">
        <v>47</v>
      </c>
      <c r="B40" s="52" t="s">
        <v>176</v>
      </c>
      <c r="C40" s="7"/>
      <c r="D40" s="7"/>
      <c r="E40" s="7"/>
      <c r="F40" s="53">
        <f>F41+F42</f>
        <v>6020.32</v>
      </c>
    </row>
    <row r="41" spans="1:6" ht="18.75" customHeight="1">
      <c r="A41" s="7"/>
      <c r="B41" s="52" t="s">
        <v>824</v>
      </c>
      <c r="C41" s="7" t="s">
        <v>825</v>
      </c>
      <c r="D41" s="7">
        <v>8.1</v>
      </c>
      <c r="E41" s="7">
        <v>394.2</v>
      </c>
      <c r="F41" s="53">
        <f>D41*E41</f>
        <v>3193.02</v>
      </c>
    </row>
    <row r="42" spans="1:6" ht="18.75" customHeight="1">
      <c r="A42" s="7"/>
      <c r="B42" s="52" t="s">
        <v>826</v>
      </c>
      <c r="C42" s="7" t="s">
        <v>825</v>
      </c>
      <c r="D42" s="7">
        <v>5.77</v>
      </c>
      <c r="E42" s="7">
        <v>490</v>
      </c>
      <c r="F42" s="53">
        <f>D42*E42</f>
        <v>2827.3</v>
      </c>
    </row>
    <row r="43" spans="1:6" ht="18.75" customHeight="1">
      <c r="A43" s="7" t="s">
        <v>57</v>
      </c>
      <c r="B43" s="52" t="s">
        <v>177</v>
      </c>
      <c r="C43" s="7"/>
      <c r="D43" s="7"/>
      <c r="E43" s="7"/>
      <c r="F43" s="53">
        <f>F44+F45+F46</f>
        <v>13006.66938996</v>
      </c>
    </row>
    <row r="44" spans="1:6" ht="18.75" customHeight="1">
      <c r="A44" s="7"/>
      <c r="B44" s="52" t="s">
        <v>511</v>
      </c>
      <c r="C44" s="7" t="s">
        <v>871</v>
      </c>
      <c r="D44" s="7">
        <f>材料预算价格表!L11</f>
        <v>70</v>
      </c>
      <c r="E44" s="7">
        <v>113</v>
      </c>
      <c r="F44" s="53">
        <f>D44*E44</f>
        <v>7910</v>
      </c>
    </row>
    <row r="45" spans="1:6" ht="18.75" customHeight="1">
      <c r="A45" s="7"/>
      <c r="B45" s="52" t="s">
        <v>975</v>
      </c>
      <c r="C45" s="7" t="s">
        <v>871</v>
      </c>
      <c r="D45" s="55">
        <f>砼配合!J32</f>
        <v>144.59654</v>
      </c>
      <c r="E45" s="7">
        <v>34.799999999999997</v>
      </c>
      <c r="F45" s="53">
        <f>D45*E45</f>
        <v>5031.9595920000002</v>
      </c>
    </row>
    <row r="46" spans="1:6" ht="18.75" customHeight="1">
      <c r="A46" s="7"/>
      <c r="B46" s="52" t="s">
        <v>833</v>
      </c>
      <c r="C46" s="7" t="s">
        <v>834</v>
      </c>
      <c r="D46" s="66">
        <f>F44+F45</f>
        <v>12941.959591999999</v>
      </c>
      <c r="E46" s="7">
        <v>0.5</v>
      </c>
      <c r="F46" s="53">
        <f>D46*E46/100</f>
        <v>64.709797960000003</v>
      </c>
    </row>
    <row r="47" spans="1:6" ht="18.75" customHeight="1">
      <c r="A47" s="7" t="s">
        <v>835</v>
      </c>
      <c r="B47" s="52" t="s">
        <v>932</v>
      </c>
      <c r="C47" s="7"/>
      <c r="D47" s="7"/>
      <c r="E47" s="7"/>
      <c r="F47" s="53">
        <f>F48+F49</f>
        <v>301.71521045045046</v>
      </c>
    </row>
    <row r="48" spans="1:6" ht="18.75" customHeight="1">
      <c r="A48" s="7"/>
      <c r="B48" s="52" t="s">
        <v>935</v>
      </c>
      <c r="C48" s="7" t="s">
        <v>863</v>
      </c>
      <c r="D48" s="66">
        <f>施工机械台时汇总!$C$21</f>
        <v>28.129680376028197</v>
      </c>
      <c r="E48" s="7">
        <v>6.22</v>
      </c>
      <c r="F48" s="53">
        <f>D48*E48</f>
        <v>174.96661193889537</v>
      </c>
    </row>
    <row r="49" spans="1:6" ht="18.75" customHeight="1">
      <c r="A49" s="7"/>
      <c r="B49" s="52" t="s">
        <v>862</v>
      </c>
      <c r="C49" s="7" t="s">
        <v>863</v>
      </c>
      <c r="D49" s="7">
        <f>施工机械台时汇总!$C$19</f>
        <v>0.80266353309831595</v>
      </c>
      <c r="E49" s="7">
        <v>157.91</v>
      </c>
      <c r="F49" s="53">
        <f>D49*E49</f>
        <v>126.74859851155507</v>
      </c>
    </row>
    <row r="50" spans="1:6" ht="18.75" customHeight="1">
      <c r="A50" s="7"/>
      <c r="B50" s="52"/>
      <c r="C50" s="7"/>
      <c r="D50" s="7"/>
      <c r="E50" s="7"/>
      <c r="F50" s="53"/>
    </row>
    <row r="51" spans="1:6" ht="18.75" customHeight="1">
      <c r="A51" s="7">
        <v>1.2</v>
      </c>
      <c r="B51" s="52" t="s">
        <v>841</v>
      </c>
      <c r="C51" s="7"/>
      <c r="D51" s="53">
        <f>F39</f>
        <v>19328.704600410449</v>
      </c>
      <c r="E51" s="56">
        <f>E21</f>
        <v>4.8000000000000001E-2</v>
      </c>
      <c r="F51" s="53">
        <f>D51*E51</f>
        <v>927.77782081970156</v>
      </c>
    </row>
    <row r="52" spans="1:6" ht="18.75" customHeight="1">
      <c r="A52" s="7">
        <v>1.3</v>
      </c>
      <c r="B52" s="52" t="s">
        <v>842</v>
      </c>
      <c r="C52" s="7"/>
      <c r="D52" s="53">
        <f>F39</f>
        <v>19328.704600410449</v>
      </c>
      <c r="E52" s="56">
        <f>E22</f>
        <v>0</v>
      </c>
      <c r="F52" s="53">
        <f>D52*E52</f>
        <v>0</v>
      </c>
    </row>
    <row r="53" spans="1:6" ht="18.75" customHeight="1">
      <c r="A53" s="7">
        <v>2</v>
      </c>
      <c r="B53" s="52" t="s">
        <v>182</v>
      </c>
      <c r="C53" s="7"/>
      <c r="D53" s="53">
        <f>F38</f>
        <v>20256.48242123015</v>
      </c>
      <c r="E53" s="56">
        <f>E23</f>
        <v>8.5000000000000006E-2</v>
      </c>
      <c r="F53" s="53">
        <f>D53*E53</f>
        <v>1721.8010058045629</v>
      </c>
    </row>
    <row r="54" spans="1:6" ht="18.75" customHeight="1">
      <c r="A54" s="7">
        <v>3</v>
      </c>
      <c r="B54" s="52" t="s">
        <v>843</v>
      </c>
      <c r="C54" s="7"/>
      <c r="D54" s="53">
        <f>F38+F53</f>
        <v>21978.283427034712</v>
      </c>
      <c r="E54" s="56">
        <f>E24</f>
        <v>7.0000000000000007E-2</v>
      </c>
      <c r="F54" s="53">
        <f>D54*E54</f>
        <v>1538.4798398924299</v>
      </c>
    </row>
    <row r="55" spans="1:6" ht="18.75" customHeight="1">
      <c r="A55" s="7">
        <v>4</v>
      </c>
      <c r="B55" s="52" t="s">
        <v>184</v>
      </c>
      <c r="C55" s="7"/>
      <c r="D55" s="7"/>
      <c r="E55" s="7"/>
      <c r="F55" s="53">
        <f>SUM(F56:F58)</f>
        <v>5593.4033581579997</v>
      </c>
    </row>
    <row r="56" spans="1:6" ht="18.75" customHeight="1">
      <c r="A56" s="7"/>
      <c r="B56" s="52" t="s">
        <v>354</v>
      </c>
      <c r="C56" s="7" t="s">
        <v>88</v>
      </c>
      <c r="D56" s="7">
        <f>A2</f>
        <v>116.41515</v>
      </c>
      <c r="E56" s="7">
        <f>E45*砼配合!I33</f>
        <v>9.1280399999999986</v>
      </c>
      <c r="F56" s="53">
        <f>D56*E56</f>
        <v>1062.6421458059999</v>
      </c>
    </row>
    <row r="57" spans="1:6" ht="18.75" customHeight="1">
      <c r="A57" s="7"/>
      <c r="B57" s="52" t="s">
        <v>507</v>
      </c>
      <c r="C57" s="7" t="s">
        <v>871</v>
      </c>
      <c r="D57" s="66">
        <f>D2</f>
        <v>4.6598683999999899</v>
      </c>
      <c r="E57" s="7">
        <f>E45*砼配合!I34</f>
        <v>38.28</v>
      </c>
      <c r="F57" s="53">
        <f>D57*E57</f>
        <v>178.37976235199963</v>
      </c>
    </row>
    <row r="58" spans="1:6" ht="18.75" customHeight="1">
      <c r="A58" s="7"/>
      <c r="B58" s="52" t="s">
        <v>511</v>
      </c>
      <c r="C58" s="7" t="s">
        <v>871</v>
      </c>
      <c r="D58" s="66">
        <f>F2</f>
        <v>38.516649999999998</v>
      </c>
      <c r="E58" s="7">
        <f>E44</f>
        <v>113</v>
      </c>
      <c r="F58" s="53">
        <f>D58*E58</f>
        <v>4352.3814499999999</v>
      </c>
    </row>
    <row r="59" spans="1:6" ht="18.75" customHeight="1">
      <c r="A59" s="7">
        <v>5</v>
      </c>
      <c r="B59" s="52" t="s">
        <v>845</v>
      </c>
      <c r="C59" s="7"/>
      <c r="D59" s="53">
        <f>F38+F53+F54+F55</f>
        <v>29110.166625085141</v>
      </c>
      <c r="E59" s="56">
        <f>E29</f>
        <v>0.09</v>
      </c>
      <c r="F59" s="53">
        <f>D59*E59</f>
        <v>2619.9149962576626</v>
      </c>
    </row>
    <row r="60" spans="1:6" ht="18.75" customHeight="1">
      <c r="A60" s="7">
        <v>6</v>
      </c>
      <c r="B60" s="52" t="s">
        <v>7</v>
      </c>
      <c r="C60" s="7"/>
      <c r="D60" s="7"/>
      <c r="E60" s="7"/>
      <c r="F60" s="53">
        <f>F38+F53+F54+F55+F59</f>
        <v>31730.081621342804</v>
      </c>
    </row>
    <row r="61" spans="1:6" ht="18.75" customHeight="1">
      <c r="A61" s="7"/>
      <c r="B61" s="52" t="s">
        <v>846</v>
      </c>
      <c r="C61" s="7"/>
      <c r="D61" s="53">
        <f>F60</f>
        <v>31730.081621342804</v>
      </c>
      <c r="E61" s="56">
        <f>E31</f>
        <v>0.03</v>
      </c>
      <c r="F61" s="53">
        <f>E61*D61</f>
        <v>951.90244864028409</v>
      </c>
    </row>
    <row r="62" spans="1:6" ht="18.75" customHeight="1">
      <c r="A62" s="7"/>
      <c r="B62" s="52" t="s">
        <v>44</v>
      </c>
      <c r="C62" s="7"/>
      <c r="D62" s="7"/>
      <c r="E62" s="7"/>
      <c r="F62" s="53">
        <f>SUM(F60:F61)</f>
        <v>32681.984069983089</v>
      </c>
    </row>
    <row r="63" spans="1:6" ht="22.5" customHeight="1">
      <c r="A63" s="461" t="s">
        <v>813</v>
      </c>
      <c r="B63" s="461"/>
      <c r="C63" s="461"/>
      <c r="D63" s="461"/>
      <c r="E63" s="461"/>
      <c r="F63" s="461"/>
    </row>
    <row r="64" spans="1:6" ht="18.75" customHeight="1">
      <c r="A64" s="462" t="s">
        <v>1086</v>
      </c>
      <c r="B64" s="462"/>
      <c r="C64" s="462"/>
      <c r="D64" s="462"/>
      <c r="E64" s="462"/>
      <c r="F64" s="462"/>
    </row>
    <row r="65" spans="1:6" ht="18.75" customHeight="1">
      <c r="A65" s="46" t="s">
        <v>815</v>
      </c>
      <c r="B65" s="49">
        <v>3017</v>
      </c>
      <c r="D65" s="71"/>
      <c r="E65" s="47" t="s">
        <v>169</v>
      </c>
      <c r="F65" s="49" t="s">
        <v>869</v>
      </c>
    </row>
    <row r="66" spans="1:6" ht="18.75" customHeight="1">
      <c r="A66" s="7" t="s">
        <v>817</v>
      </c>
      <c r="B66" s="458"/>
      <c r="C66" s="459"/>
      <c r="D66" s="459"/>
      <c r="E66" s="459"/>
      <c r="F66" s="460"/>
    </row>
    <row r="67" spans="1:6" ht="18.75" customHeight="1">
      <c r="A67" s="7" t="s">
        <v>1</v>
      </c>
      <c r="B67" s="52" t="s">
        <v>344</v>
      </c>
      <c r="C67" s="7" t="s">
        <v>818</v>
      </c>
      <c r="D67" s="7" t="s">
        <v>819</v>
      </c>
      <c r="E67" s="7" t="s">
        <v>820</v>
      </c>
      <c r="F67" s="7" t="s">
        <v>821</v>
      </c>
    </row>
    <row r="68" spans="1:6" ht="18.75" customHeight="1">
      <c r="A68" s="7">
        <v>1</v>
      </c>
      <c r="B68" s="52" t="s">
        <v>822</v>
      </c>
      <c r="C68" s="7"/>
      <c r="D68" s="7"/>
      <c r="E68" s="7"/>
      <c r="F68" s="53">
        <f>F69+F81+F82</f>
        <v>19979.086254172878</v>
      </c>
    </row>
    <row r="69" spans="1:6" ht="18.75" customHeight="1">
      <c r="A69" s="7">
        <v>1.1000000000000001</v>
      </c>
      <c r="B69" s="52" t="s">
        <v>823</v>
      </c>
      <c r="C69" s="7"/>
      <c r="D69" s="7"/>
      <c r="E69" s="7"/>
      <c r="F69" s="53">
        <f>F70+F73+F77</f>
        <v>19064.013601309998</v>
      </c>
    </row>
    <row r="70" spans="1:6" ht="18.75" customHeight="1">
      <c r="A70" s="7" t="s">
        <v>47</v>
      </c>
      <c r="B70" s="52" t="s">
        <v>176</v>
      </c>
      <c r="C70" s="7"/>
      <c r="D70" s="7"/>
      <c r="E70" s="7"/>
      <c r="F70" s="53">
        <f>F71+F72</f>
        <v>5684.8559999999998</v>
      </c>
    </row>
    <row r="71" spans="1:6" ht="18.75" customHeight="1">
      <c r="A71" s="7"/>
      <c r="B71" s="52" t="s">
        <v>824</v>
      </c>
      <c r="C71" s="7" t="s">
        <v>825</v>
      </c>
      <c r="D71" s="7">
        <v>8.1</v>
      </c>
      <c r="E71" s="7">
        <v>362.9</v>
      </c>
      <c r="F71" s="53">
        <f>D71*E71</f>
        <v>2939.49</v>
      </c>
    </row>
    <row r="72" spans="1:6" ht="18.75" customHeight="1">
      <c r="A72" s="7"/>
      <c r="B72" s="52" t="s">
        <v>826</v>
      </c>
      <c r="C72" s="7" t="s">
        <v>825</v>
      </c>
      <c r="D72" s="7">
        <v>5.77</v>
      </c>
      <c r="E72" s="7">
        <v>475.8</v>
      </c>
      <c r="F72" s="53">
        <f>D72*E72</f>
        <v>2745.366</v>
      </c>
    </row>
    <row r="73" spans="1:6" ht="18.75" customHeight="1">
      <c r="A73" s="7" t="s">
        <v>57</v>
      </c>
      <c r="B73" s="52" t="s">
        <v>177</v>
      </c>
      <c r="C73" s="7"/>
      <c r="D73" s="7"/>
      <c r="E73" s="7"/>
      <c r="F73" s="53">
        <f>F74+F75+F76</f>
        <v>13079.329151309999</v>
      </c>
    </row>
    <row r="74" spans="1:6" ht="18.75" customHeight="1">
      <c r="A74" s="7"/>
      <c r="B74" s="52" t="s">
        <v>511</v>
      </c>
      <c r="C74" s="7" t="s">
        <v>871</v>
      </c>
      <c r="D74" s="66">
        <f>D44</f>
        <v>70</v>
      </c>
      <c r="E74" s="7">
        <v>113</v>
      </c>
      <c r="F74" s="53">
        <f>D74*E74</f>
        <v>7910</v>
      </c>
    </row>
    <row r="75" spans="1:6" ht="18.75" customHeight="1">
      <c r="A75" s="7"/>
      <c r="B75" s="52" t="s">
        <v>975</v>
      </c>
      <c r="C75" s="7" t="s">
        <v>871</v>
      </c>
      <c r="D75" s="66">
        <f>D45</f>
        <v>144.59654</v>
      </c>
      <c r="E75" s="7">
        <v>35.299999999999997</v>
      </c>
      <c r="F75" s="53">
        <f>D75*E75</f>
        <v>5104.2578619999995</v>
      </c>
    </row>
    <row r="76" spans="1:6" ht="18.75" customHeight="1">
      <c r="A76" s="7"/>
      <c r="B76" s="52" t="s">
        <v>833</v>
      </c>
      <c r="C76" s="7" t="s">
        <v>834</v>
      </c>
      <c r="D76" s="66">
        <f>F74+F75</f>
        <v>13014.257861999999</v>
      </c>
      <c r="E76" s="7">
        <v>0.5</v>
      </c>
      <c r="F76" s="53">
        <f>D76*E76/100</f>
        <v>65.071289309999997</v>
      </c>
    </row>
    <row r="77" spans="1:6" ht="18.75" customHeight="1">
      <c r="A77" s="7" t="s">
        <v>835</v>
      </c>
      <c r="B77" s="52" t="s">
        <v>932</v>
      </c>
      <c r="C77" s="7"/>
      <c r="D77" s="7"/>
      <c r="E77" s="7"/>
      <c r="F77" s="53">
        <f>F78+F79</f>
        <v>299.82844999999998</v>
      </c>
    </row>
    <row r="78" spans="1:6" ht="18.75" customHeight="1">
      <c r="A78" s="7"/>
      <c r="B78" s="52" t="s">
        <v>935</v>
      </c>
      <c r="C78" s="7" t="s">
        <v>863</v>
      </c>
      <c r="D78" s="7">
        <f>[1]施机台!$C$17</f>
        <v>24.727</v>
      </c>
      <c r="E78" s="7">
        <v>6.35</v>
      </c>
      <c r="F78" s="53">
        <f>D78*E78</f>
        <v>157.01644999999999</v>
      </c>
    </row>
    <row r="79" spans="1:6" ht="18.75" customHeight="1">
      <c r="A79" s="7"/>
      <c r="B79" s="52" t="s">
        <v>862</v>
      </c>
      <c r="C79" s="7" t="s">
        <v>863</v>
      </c>
      <c r="D79" s="7">
        <f>[1]施机台!$C$15</f>
        <v>0.9</v>
      </c>
      <c r="E79" s="7">
        <v>158.68</v>
      </c>
      <c r="F79" s="53">
        <f>D79*E79</f>
        <v>142.81200000000001</v>
      </c>
    </row>
    <row r="80" spans="1:6" ht="18.75" customHeight="1">
      <c r="A80" s="7"/>
      <c r="B80" s="52"/>
      <c r="C80" s="7"/>
      <c r="D80" s="7"/>
      <c r="E80" s="7"/>
      <c r="F80" s="53"/>
    </row>
    <row r="81" spans="1:6" ht="18.75" customHeight="1">
      <c r="A81" s="7">
        <v>1.2</v>
      </c>
      <c r="B81" s="52" t="s">
        <v>841</v>
      </c>
      <c r="C81" s="7"/>
      <c r="D81" s="53">
        <f>F69</f>
        <v>19064.013601309998</v>
      </c>
      <c r="E81" s="56">
        <f>E51</f>
        <v>4.8000000000000001E-2</v>
      </c>
      <c r="F81" s="53">
        <f>D81*E81</f>
        <v>915.07265286287998</v>
      </c>
    </row>
    <row r="82" spans="1:6" ht="18.75" customHeight="1">
      <c r="A82" s="7">
        <v>1.3</v>
      </c>
      <c r="B82" s="52" t="s">
        <v>842</v>
      </c>
      <c r="C82" s="7"/>
      <c r="D82" s="53">
        <f>F69</f>
        <v>19064.013601309998</v>
      </c>
      <c r="E82" s="56">
        <f>E52</f>
        <v>0</v>
      </c>
      <c r="F82" s="53">
        <f>D82*E82</f>
        <v>0</v>
      </c>
    </row>
    <row r="83" spans="1:6" ht="18.75" customHeight="1">
      <c r="A83" s="7">
        <v>2</v>
      </c>
      <c r="B83" s="52" t="s">
        <v>182</v>
      </c>
      <c r="C83" s="7"/>
      <c r="D83" s="53">
        <f>F68</f>
        <v>19979.086254172878</v>
      </c>
      <c r="E83" s="56">
        <f>E53</f>
        <v>8.5000000000000006E-2</v>
      </c>
      <c r="F83" s="53">
        <f>D83*E83</f>
        <v>1698.2223316046948</v>
      </c>
    </row>
    <row r="84" spans="1:6" ht="18.75" customHeight="1">
      <c r="A84" s="7">
        <v>3</v>
      </c>
      <c r="B84" s="52" t="s">
        <v>843</v>
      </c>
      <c r="C84" s="7"/>
      <c r="D84" s="53">
        <f>F68+F83</f>
        <v>21677.308585777573</v>
      </c>
      <c r="E84" s="56">
        <f>E54</f>
        <v>7.0000000000000007E-2</v>
      </c>
      <c r="F84" s="53">
        <f>D84*E84</f>
        <v>1517.4116010044302</v>
      </c>
    </row>
    <row r="85" spans="1:6" ht="18.75" customHeight="1">
      <c r="A85" s="7">
        <v>4</v>
      </c>
      <c r="B85" s="52" t="s">
        <v>184</v>
      </c>
      <c r="C85" s="7"/>
      <c r="D85" s="7"/>
      <c r="E85" s="7"/>
      <c r="F85" s="53">
        <f>SUM(F86:F88)</f>
        <v>5611.2341327004997</v>
      </c>
    </row>
    <row r="86" spans="1:6" ht="18.75" customHeight="1">
      <c r="A86" s="7"/>
      <c r="B86" s="52" t="s">
        <v>354</v>
      </c>
      <c r="C86" s="7" t="s">
        <v>88</v>
      </c>
      <c r="D86" s="66">
        <f>A2</f>
        <v>116.41515</v>
      </c>
      <c r="E86" s="66">
        <f>E75*砼配合!I33</f>
        <v>9.2591899999999985</v>
      </c>
      <c r="F86" s="53">
        <f>D86*E86</f>
        <v>1077.9099927284999</v>
      </c>
    </row>
    <row r="87" spans="1:6" ht="18.75" customHeight="1">
      <c r="A87" s="7"/>
      <c r="B87" s="52" t="s">
        <v>507</v>
      </c>
      <c r="C87" s="7" t="s">
        <v>871</v>
      </c>
      <c r="D87" s="66">
        <f>D2</f>
        <v>4.6598683999999899</v>
      </c>
      <c r="E87" s="7">
        <f>E75*砼配合!I34</f>
        <v>38.83</v>
      </c>
      <c r="F87" s="53">
        <f>D87*E87</f>
        <v>180.94268997199961</v>
      </c>
    </row>
    <row r="88" spans="1:6" ht="18.75" customHeight="1">
      <c r="A88" s="7"/>
      <c r="B88" s="52" t="s">
        <v>511</v>
      </c>
      <c r="C88" s="7" t="s">
        <v>871</v>
      </c>
      <c r="D88" s="66">
        <f>F2</f>
        <v>38.516649999999998</v>
      </c>
      <c r="E88" s="7">
        <f>E74</f>
        <v>113</v>
      </c>
      <c r="F88" s="53">
        <f>D88*E88</f>
        <v>4352.3814499999999</v>
      </c>
    </row>
    <row r="89" spans="1:6" ht="18.75" customHeight="1">
      <c r="A89" s="7">
        <v>5</v>
      </c>
      <c r="B89" s="52" t="s">
        <v>845</v>
      </c>
      <c r="C89" s="7"/>
      <c r="D89" s="53">
        <f>F68+F83+F84+F85</f>
        <v>28805.954319482502</v>
      </c>
      <c r="E89" s="56">
        <f>E59</f>
        <v>0.09</v>
      </c>
      <c r="F89" s="53">
        <f>D89*E89</f>
        <v>2592.5358887534253</v>
      </c>
    </row>
    <row r="90" spans="1:6" ht="18.75" customHeight="1">
      <c r="A90" s="7">
        <v>6</v>
      </c>
      <c r="B90" s="52" t="s">
        <v>809</v>
      </c>
      <c r="C90" s="7"/>
      <c r="D90" s="53"/>
      <c r="E90" s="7"/>
      <c r="F90" s="53">
        <f>F68+F83+F84+F85+F89</f>
        <v>31398.490208235926</v>
      </c>
    </row>
    <row r="91" spans="1:6" ht="18.75" customHeight="1">
      <c r="A91" s="7"/>
      <c r="B91" s="52" t="s">
        <v>846</v>
      </c>
      <c r="C91" s="7"/>
      <c r="D91" s="53">
        <f>F90</f>
        <v>31398.490208235926</v>
      </c>
      <c r="E91" s="56">
        <f>E61</f>
        <v>0.03</v>
      </c>
      <c r="F91" s="53">
        <f>D91*E91</f>
        <v>941.95470624707775</v>
      </c>
    </row>
    <row r="92" spans="1:6" ht="18.75" customHeight="1">
      <c r="A92" s="7"/>
      <c r="B92" s="52" t="s">
        <v>7</v>
      </c>
      <c r="C92" s="7"/>
      <c r="D92" s="7"/>
      <c r="E92" s="7"/>
      <c r="F92" s="53">
        <f>SUM(F90:F91)</f>
        <v>32340.444914483003</v>
      </c>
    </row>
    <row r="93" spans="1:6" ht="22.5" customHeight="1">
      <c r="A93" s="461" t="s">
        <v>813</v>
      </c>
      <c r="B93" s="461"/>
      <c r="C93" s="461"/>
      <c r="D93" s="461"/>
      <c r="E93" s="461"/>
      <c r="F93" s="461"/>
    </row>
    <row r="94" spans="1:6" ht="18.75" customHeight="1">
      <c r="A94" s="481" t="s">
        <v>1087</v>
      </c>
      <c r="B94" s="481"/>
      <c r="C94" s="481"/>
      <c r="D94" s="481"/>
      <c r="E94" s="481"/>
      <c r="F94" s="481"/>
    </row>
    <row r="95" spans="1:6" ht="18.75" customHeight="1">
      <c r="A95" s="46" t="s">
        <v>815</v>
      </c>
      <c r="B95" s="49">
        <v>3018</v>
      </c>
      <c r="D95" s="71"/>
      <c r="E95" s="47" t="s">
        <v>169</v>
      </c>
      <c r="F95" s="49" t="s">
        <v>869</v>
      </c>
    </row>
    <row r="96" spans="1:6" ht="18.75" customHeight="1">
      <c r="A96" s="7" t="s">
        <v>817</v>
      </c>
      <c r="B96" s="458"/>
      <c r="C96" s="459"/>
      <c r="D96" s="459"/>
      <c r="E96" s="459"/>
      <c r="F96" s="460"/>
    </row>
    <row r="97" spans="1:6" ht="18.75" customHeight="1">
      <c r="A97" s="7" t="s">
        <v>1</v>
      </c>
      <c r="B97" s="52" t="s">
        <v>344</v>
      </c>
      <c r="C97" s="7" t="s">
        <v>818</v>
      </c>
      <c r="D97" s="7" t="s">
        <v>819</v>
      </c>
      <c r="E97" s="7" t="s">
        <v>820</v>
      </c>
      <c r="F97" s="7" t="s">
        <v>821</v>
      </c>
    </row>
    <row r="98" spans="1:6" ht="18.75" customHeight="1">
      <c r="A98" s="7">
        <v>1</v>
      </c>
      <c r="B98" s="52" t="s">
        <v>822</v>
      </c>
      <c r="C98" s="7"/>
      <c r="D98" s="7"/>
      <c r="E98" s="7"/>
      <c r="F98" s="53">
        <f>F99+F111+F112</f>
        <v>20897.766198172882</v>
      </c>
    </row>
    <row r="99" spans="1:6" ht="18.75" customHeight="1">
      <c r="A99" s="7">
        <v>1.1000000000000001</v>
      </c>
      <c r="B99" s="52" t="s">
        <v>823</v>
      </c>
      <c r="C99" s="7"/>
      <c r="D99" s="7"/>
      <c r="E99" s="7"/>
      <c r="F99" s="53">
        <f>F100+F103+F107</f>
        <v>19940.616601310001</v>
      </c>
    </row>
    <row r="100" spans="1:6" ht="18.75" customHeight="1">
      <c r="A100" s="7" t="s">
        <v>47</v>
      </c>
      <c r="B100" s="52" t="s">
        <v>176</v>
      </c>
      <c r="C100" s="7"/>
      <c r="D100" s="7"/>
      <c r="E100" s="7"/>
      <c r="F100" s="53">
        <f>F101+F102</f>
        <v>6561.4589999999998</v>
      </c>
    </row>
    <row r="101" spans="1:6" ht="18.75" customHeight="1">
      <c r="A101" s="7"/>
      <c r="B101" s="52" t="s">
        <v>824</v>
      </c>
      <c r="C101" s="7" t="s">
        <v>825</v>
      </c>
      <c r="D101" s="7">
        <v>8.1</v>
      </c>
      <c r="E101" s="7">
        <v>442.7</v>
      </c>
      <c r="F101" s="53">
        <f>D101*E101</f>
        <v>3585.87</v>
      </c>
    </row>
    <row r="102" spans="1:6" ht="18.75" customHeight="1">
      <c r="A102" s="7"/>
      <c r="B102" s="52" t="s">
        <v>826</v>
      </c>
      <c r="C102" s="7" t="s">
        <v>825</v>
      </c>
      <c r="D102" s="7">
        <v>5.77</v>
      </c>
      <c r="E102" s="7">
        <v>515.70000000000005</v>
      </c>
      <c r="F102" s="53">
        <f>D102*E102</f>
        <v>2975.5889999999999</v>
      </c>
    </row>
    <row r="103" spans="1:6" ht="18.75" customHeight="1">
      <c r="A103" s="7" t="s">
        <v>57</v>
      </c>
      <c r="B103" s="52" t="s">
        <v>177</v>
      </c>
      <c r="C103" s="7"/>
      <c r="D103" s="7"/>
      <c r="E103" s="7"/>
      <c r="F103" s="53">
        <f>F104+F105+F106</f>
        <v>13079.329151309999</v>
      </c>
    </row>
    <row r="104" spans="1:6" ht="18.75" customHeight="1">
      <c r="A104" s="7"/>
      <c r="B104" s="52" t="s">
        <v>511</v>
      </c>
      <c r="C104" s="7" t="s">
        <v>871</v>
      </c>
      <c r="D104" s="66">
        <f>D74</f>
        <v>70</v>
      </c>
      <c r="E104" s="7">
        <v>113</v>
      </c>
      <c r="F104" s="53">
        <f>D104*E104</f>
        <v>7910</v>
      </c>
    </row>
    <row r="105" spans="1:6" ht="18.75" customHeight="1">
      <c r="A105" s="7"/>
      <c r="B105" s="52" t="s">
        <v>975</v>
      </c>
      <c r="C105" s="7" t="s">
        <v>871</v>
      </c>
      <c r="D105" s="66">
        <f>D75</f>
        <v>144.59654</v>
      </c>
      <c r="E105" s="7">
        <v>35.299999999999997</v>
      </c>
      <c r="F105" s="53">
        <f>D105*E105</f>
        <v>5104.2578619999995</v>
      </c>
    </row>
    <row r="106" spans="1:6" ht="18.75" customHeight="1">
      <c r="A106" s="7"/>
      <c r="B106" s="52" t="s">
        <v>833</v>
      </c>
      <c r="C106" s="7" t="s">
        <v>834</v>
      </c>
      <c r="D106" s="66">
        <f>F104+F105</f>
        <v>13014.257861999999</v>
      </c>
      <c r="E106" s="7">
        <v>0.5</v>
      </c>
      <c r="F106" s="53">
        <f>D106*E106/100</f>
        <v>65.071289309999997</v>
      </c>
    </row>
    <row r="107" spans="1:6" ht="18.75" customHeight="1">
      <c r="A107" s="7" t="s">
        <v>835</v>
      </c>
      <c r="B107" s="52" t="s">
        <v>932</v>
      </c>
      <c r="C107" s="7"/>
      <c r="D107" s="7"/>
      <c r="E107" s="7"/>
      <c r="F107" s="53">
        <f>F108+F109</f>
        <v>299.82844999999998</v>
      </c>
    </row>
    <row r="108" spans="1:6" ht="18.75" customHeight="1">
      <c r="A108" s="7"/>
      <c r="B108" s="52" t="s">
        <v>935</v>
      </c>
      <c r="C108" s="7" t="s">
        <v>863</v>
      </c>
      <c r="D108" s="7">
        <f>[1]施机台!$C$17</f>
        <v>24.727</v>
      </c>
      <c r="E108" s="7">
        <v>6.35</v>
      </c>
      <c r="F108" s="53">
        <f>D108*E108</f>
        <v>157.01644999999999</v>
      </c>
    </row>
    <row r="109" spans="1:6" ht="18.75" customHeight="1">
      <c r="A109" s="7"/>
      <c r="B109" s="52" t="s">
        <v>862</v>
      </c>
      <c r="C109" s="7" t="s">
        <v>863</v>
      </c>
      <c r="D109" s="7">
        <f>[1]施机台!$C$15</f>
        <v>0.9</v>
      </c>
      <c r="E109" s="7">
        <v>158.68</v>
      </c>
      <c r="F109" s="53">
        <f>D109*E109</f>
        <v>142.81200000000001</v>
      </c>
    </row>
    <row r="110" spans="1:6" ht="18.75" customHeight="1">
      <c r="A110" s="7"/>
      <c r="B110" s="52"/>
      <c r="C110" s="7"/>
      <c r="D110" s="7"/>
      <c r="E110" s="7"/>
      <c r="F110" s="53"/>
    </row>
    <row r="111" spans="1:6" ht="18.75" customHeight="1">
      <c r="A111" s="7">
        <v>1.2</v>
      </c>
      <c r="B111" s="52" t="s">
        <v>841</v>
      </c>
      <c r="C111" s="7"/>
      <c r="D111" s="53">
        <f>F99</f>
        <v>19940.616601310001</v>
      </c>
      <c r="E111" s="56">
        <f>E81</f>
        <v>4.8000000000000001E-2</v>
      </c>
      <c r="F111" s="53">
        <f>D111*E111</f>
        <v>957.14959686288012</v>
      </c>
    </row>
    <row r="112" spans="1:6" ht="18.75" customHeight="1">
      <c r="A112" s="7">
        <v>1.3</v>
      </c>
      <c r="B112" s="52" t="s">
        <v>842</v>
      </c>
      <c r="C112" s="7"/>
      <c r="D112" s="53">
        <f>F99</f>
        <v>19940.616601310001</v>
      </c>
      <c r="E112" s="56">
        <f>E82</f>
        <v>0</v>
      </c>
      <c r="F112" s="53">
        <f>D112*E112</f>
        <v>0</v>
      </c>
    </row>
    <row r="113" spans="1:6" ht="18.75" customHeight="1">
      <c r="A113" s="7">
        <v>2</v>
      </c>
      <c r="B113" s="52" t="s">
        <v>182</v>
      </c>
      <c r="C113" s="7"/>
      <c r="D113" s="53">
        <f>F98</f>
        <v>20897.766198172882</v>
      </c>
      <c r="E113" s="56">
        <f>E83</f>
        <v>8.5000000000000006E-2</v>
      </c>
      <c r="F113" s="53">
        <f>D113*E113</f>
        <v>1776.3101268446951</v>
      </c>
    </row>
    <row r="114" spans="1:6" ht="18.75" customHeight="1">
      <c r="A114" s="7">
        <v>3</v>
      </c>
      <c r="B114" s="52" t="s">
        <v>843</v>
      </c>
      <c r="C114" s="7"/>
      <c r="D114" s="53">
        <f>F98+F113</f>
        <v>22674.076325017577</v>
      </c>
      <c r="E114" s="56">
        <f>E84</f>
        <v>7.0000000000000007E-2</v>
      </c>
      <c r="F114" s="53">
        <f>D114*E114</f>
        <v>1587.1853427512306</v>
      </c>
    </row>
    <row r="115" spans="1:6" ht="18.75" customHeight="1">
      <c r="A115" s="7">
        <v>4</v>
      </c>
      <c r="B115" s="52" t="s">
        <v>184</v>
      </c>
      <c r="C115" s="7"/>
      <c r="D115" s="7"/>
      <c r="E115" s="7"/>
      <c r="F115" s="53">
        <f>SUM(F116:F118)</f>
        <v>5611.2341327004997</v>
      </c>
    </row>
    <row r="116" spans="1:6" ht="18.75" customHeight="1">
      <c r="A116" s="7"/>
      <c r="B116" s="52" t="s">
        <v>354</v>
      </c>
      <c r="C116" s="7" t="s">
        <v>88</v>
      </c>
      <c r="D116" s="66">
        <f>A2</f>
        <v>116.41515</v>
      </c>
      <c r="E116" s="66">
        <f>E105*砼配合!I33</f>
        <v>9.2591899999999985</v>
      </c>
      <c r="F116" s="53">
        <f>D116*E116</f>
        <v>1077.9099927284999</v>
      </c>
    </row>
    <row r="117" spans="1:6" ht="18.75" customHeight="1">
      <c r="A117" s="7"/>
      <c r="B117" s="52" t="s">
        <v>507</v>
      </c>
      <c r="C117" s="7" t="s">
        <v>871</v>
      </c>
      <c r="D117" s="66">
        <f>D2</f>
        <v>4.6598683999999899</v>
      </c>
      <c r="E117" s="7">
        <f>E105*砼配合!I34</f>
        <v>38.83</v>
      </c>
      <c r="F117" s="53">
        <f>D117*E117</f>
        <v>180.94268997199961</v>
      </c>
    </row>
    <row r="118" spans="1:6" ht="18.75" customHeight="1">
      <c r="A118" s="7"/>
      <c r="B118" s="52" t="s">
        <v>511</v>
      </c>
      <c r="C118" s="7" t="s">
        <v>871</v>
      </c>
      <c r="D118" s="66">
        <f>F2</f>
        <v>38.516649999999998</v>
      </c>
      <c r="E118" s="7">
        <f>E104</f>
        <v>113</v>
      </c>
      <c r="F118" s="53">
        <f>D118*E118</f>
        <v>4352.3814499999999</v>
      </c>
    </row>
    <row r="119" spans="1:6" ht="18.75" customHeight="1">
      <c r="A119" s="7">
        <v>5</v>
      </c>
      <c r="B119" s="52" t="s">
        <v>845</v>
      </c>
      <c r="C119" s="7"/>
      <c r="D119" s="53">
        <f>F98+F113+F114+F115</f>
        <v>29872.495800469304</v>
      </c>
      <c r="E119" s="56">
        <f>E89</f>
        <v>0.09</v>
      </c>
      <c r="F119" s="53">
        <f>D119*E119</f>
        <v>2688.5246220422373</v>
      </c>
    </row>
    <row r="120" spans="1:6" ht="18.75" customHeight="1">
      <c r="A120" s="7">
        <v>6</v>
      </c>
      <c r="B120" s="52" t="s">
        <v>809</v>
      </c>
      <c r="C120" s="7"/>
      <c r="D120" s="53"/>
      <c r="E120" s="7"/>
      <c r="F120" s="53">
        <f>F98+F113+F114+F115+F119</f>
        <v>32561.020422511541</v>
      </c>
    </row>
    <row r="121" spans="1:6" ht="18.75" customHeight="1">
      <c r="A121" s="7"/>
      <c r="B121" s="52" t="s">
        <v>846</v>
      </c>
      <c r="C121" s="7"/>
      <c r="D121" s="53">
        <f>F120</f>
        <v>32561.020422511541</v>
      </c>
      <c r="E121" s="56">
        <f>E91</f>
        <v>0.03</v>
      </c>
      <c r="F121" s="53">
        <f>D121*E121</f>
        <v>976.83061267534617</v>
      </c>
    </row>
    <row r="122" spans="1:6" ht="18.75" customHeight="1">
      <c r="A122" s="7"/>
      <c r="B122" s="52" t="s">
        <v>7</v>
      </c>
      <c r="C122" s="7"/>
      <c r="D122" s="7"/>
      <c r="E122" s="7"/>
      <c r="F122" s="53">
        <f>SUM(F120:F121)</f>
        <v>33537.85103518689</v>
      </c>
    </row>
    <row r="123" spans="1:6" ht="22.5" customHeight="1">
      <c r="A123" s="461" t="s">
        <v>813</v>
      </c>
      <c r="B123" s="461"/>
      <c r="C123" s="461"/>
      <c r="D123" s="461"/>
      <c r="E123" s="461"/>
      <c r="F123" s="461"/>
    </row>
    <row r="124" spans="1:6" ht="18.75" customHeight="1">
      <c r="A124" s="462" t="s">
        <v>1088</v>
      </c>
      <c r="B124" s="462"/>
      <c r="C124" s="462"/>
      <c r="D124" s="462"/>
      <c r="E124" s="462"/>
      <c r="F124" s="462"/>
    </row>
    <row r="125" spans="1:6" ht="18.75" customHeight="1">
      <c r="A125" s="47" t="s">
        <v>815</v>
      </c>
      <c r="B125" s="49">
        <v>3019</v>
      </c>
      <c r="D125" s="71"/>
      <c r="E125" s="47" t="s">
        <v>169</v>
      </c>
      <c r="F125" s="49" t="s">
        <v>869</v>
      </c>
    </row>
    <row r="126" spans="1:6" ht="18.75" customHeight="1">
      <c r="A126" s="50" t="s">
        <v>817</v>
      </c>
      <c r="B126" s="458"/>
      <c r="C126" s="459"/>
      <c r="D126" s="459"/>
      <c r="E126" s="459"/>
      <c r="F126" s="460"/>
    </row>
    <row r="127" spans="1:6" ht="18.75" customHeight="1">
      <c r="A127" s="7" t="s">
        <v>1</v>
      </c>
      <c r="B127" s="52" t="s">
        <v>344</v>
      </c>
      <c r="C127" s="7" t="s">
        <v>818</v>
      </c>
      <c r="D127" s="7" t="s">
        <v>819</v>
      </c>
      <c r="E127" s="7" t="s">
        <v>820</v>
      </c>
      <c r="F127" s="7" t="s">
        <v>821</v>
      </c>
    </row>
    <row r="128" spans="1:6" ht="18.75" customHeight="1">
      <c r="A128" s="7">
        <v>1</v>
      </c>
      <c r="B128" s="52" t="s">
        <v>822</v>
      </c>
      <c r="C128" s="7"/>
      <c r="D128" s="7"/>
      <c r="E128" s="7"/>
      <c r="F128" s="53">
        <f>F129+F141+F142</f>
        <v>19250.211340144051</v>
      </c>
    </row>
    <row r="129" spans="1:6" ht="18.75" customHeight="1">
      <c r="A129" s="7">
        <v>1.1000000000000001</v>
      </c>
      <c r="B129" s="52" t="s">
        <v>823</v>
      </c>
      <c r="C129" s="7"/>
      <c r="D129" s="7"/>
      <c r="E129" s="7"/>
      <c r="F129" s="53">
        <f>F130+F133+F137+F140</f>
        <v>18368.522271129819</v>
      </c>
    </row>
    <row r="130" spans="1:6" ht="18.75" customHeight="1">
      <c r="A130" s="7" t="s">
        <v>47</v>
      </c>
      <c r="B130" s="52" t="s">
        <v>176</v>
      </c>
      <c r="C130" s="7"/>
      <c r="D130" s="7"/>
      <c r="E130" s="7"/>
      <c r="F130" s="53">
        <f>F131+F132</f>
        <v>4983.2030000000004</v>
      </c>
    </row>
    <row r="131" spans="1:6" ht="18.75" customHeight="1">
      <c r="A131" s="7"/>
      <c r="B131" s="52" t="s">
        <v>824</v>
      </c>
      <c r="C131" s="7" t="s">
        <v>825</v>
      </c>
      <c r="D131" s="7">
        <v>8.1</v>
      </c>
      <c r="E131" s="7">
        <v>299</v>
      </c>
      <c r="F131" s="53">
        <f>D131*E131</f>
        <v>2421.9</v>
      </c>
    </row>
    <row r="132" spans="1:6" ht="18.75" customHeight="1">
      <c r="A132" s="7"/>
      <c r="B132" s="52" t="s">
        <v>826</v>
      </c>
      <c r="C132" s="7" t="s">
        <v>825</v>
      </c>
      <c r="D132" s="7">
        <v>5.77</v>
      </c>
      <c r="E132" s="7">
        <v>443.9</v>
      </c>
      <c r="F132" s="53">
        <f>D132*E132</f>
        <v>2561.3029999999999</v>
      </c>
    </row>
    <row r="133" spans="1:6" ht="18.75" customHeight="1">
      <c r="A133" s="7" t="s">
        <v>57</v>
      </c>
      <c r="B133" s="52" t="s">
        <v>177</v>
      </c>
      <c r="C133" s="7"/>
      <c r="D133" s="7"/>
      <c r="E133" s="7"/>
      <c r="F133" s="53">
        <f>F134+F135+F136</f>
        <v>13079.329151309999</v>
      </c>
    </row>
    <row r="134" spans="1:6" ht="18.75" customHeight="1">
      <c r="A134" s="7"/>
      <c r="B134" s="52" t="s">
        <v>511</v>
      </c>
      <c r="C134" s="7" t="s">
        <v>871</v>
      </c>
      <c r="D134" s="7">
        <f>D14</f>
        <v>70</v>
      </c>
      <c r="E134" s="7">
        <v>113</v>
      </c>
      <c r="F134" s="53">
        <f>D134*E134</f>
        <v>7910</v>
      </c>
    </row>
    <row r="135" spans="1:6" ht="18.75" customHeight="1">
      <c r="A135" s="7"/>
      <c r="B135" s="52" t="s">
        <v>975</v>
      </c>
      <c r="C135" s="7" t="s">
        <v>871</v>
      </c>
      <c r="D135" s="66">
        <f>D15</f>
        <v>144.59654</v>
      </c>
      <c r="E135" s="7">
        <v>35.299999999999997</v>
      </c>
      <c r="F135" s="53">
        <f>D135*E135</f>
        <v>5104.2578619999995</v>
      </c>
    </row>
    <row r="136" spans="1:6" ht="18.75" customHeight="1">
      <c r="A136" s="7"/>
      <c r="B136" s="52" t="s">
        <v>833</v>
      </c>
      <c r="C136" s="7" t="s">
        <v>834</v>
      </c>
      <c r="D136" s="66">
        <f>F134+F135</f>
        <v>13014.257861999999</v>
      </c>
      <c r="E136" s="7">
        <v>0.5</v>
      </c>
      <c r="F136" s="53">
        <f>D136*E136/100</f>
        <v>65.071289309999997</v>
      </c>
    </row>
    <row r="137" spans="1:6" ht="18.75" customHeight="1">
      <c r="A137" s="7" t="s">
        <v>835</v>
      </c>
      <c r="B137" s="52" t="s">
        <v>932</v>
      </c>
      <c r="C137" s="7"/>
      <c r="D137" s="7"/>
      <c r="E137" s="7"/>
      <c r="F137" s="53">
        <f>F138+F139</f>
        <v>305.99011981981982</v>
      </c>
    </row>
    <row r="138" spans="1:6" ht="18.75" customHeight="1">
      <c r="A138" s="7"/>
      <c r="B138" s="52" t="s">
        <v>935</v>
      </c>
      <c r="C138" s="7" t="s">
        <v>863</v>
      </c>
      <c r="D138" s="66">
        <f>施工机械台时汇总!$C$21</f>
        <v>28.129680376028197</v>
      </c>
      <c r="E138" s="7">
        <v>6.35</v>
      </c>
      <c r="F138" s="53">
        <f>D138*E138</f>
        <v>178.62347038777904</v>
      </c>
    </row>
    <row r="139" spans="1:6" ht="18.75" customHeight="1">
      <c r="A139" s="7"/>
      <c r="B139" s="52" t="s">
        <v>862</v>
      </c>
      <c r="C139" s="7" t="s">
        <v>863</v>
      </c>
      <c r="D139" s="7">
        <f>施工机械台时汇总!$C$19</f>
        <v>0.80266353309831595</v>
      </c>
      <c r="E139" s="7">
        <v>158.68</v>
      </c>
      <c r="F139" s="53">
        <f>D139*E139</f>
        <v>127.36664943204077</v>
      </c>
    </row>
    <row r="140" spans="1:6" ht="18.75" customHeight="1">
      <c r="A140" s="7"/>
      <c r="B140" s="52"/>
      <c r="C140" s="7"/>
      <c r="D140" s="7"/>
      <c r="E140" s="7"/>
      <c r="F140" s="53"/>
    </row>
    <row r="141" spans="1:6" ht="18.75" customHeight="1">
      <c r="A141" s="7">
        <v>1.2</v>
      </c>
      <c r="B141" s="52" t="s">
        <v>841</v>
      </c>
      <c r="C141" s="7"/>
      <c r="D141" s="53">
        <f>F129</f>
        <v>18368.522271129819</v>
      </c>
      <c r="E141" s="56">
        <f>E81</f>
        <v>4.8000000000000001E-2</v>
      </c>
      <c r="F141" s="53">
        <f>D141*E141</f>
        <v>881.68906901423134</v>
      </c>
    </row>
    <row r="142" spans="1:6" ht="18.75" customHeight="1">
      <c r="A142" s="7">
        <v>1.3</v>
      </c>
      <c r="B142" s="52" t="s">
        <v>842</v>
      </c>
      <c r="C142" s="7"/>
      <c r="D142" s="53">
        <f>F129</f>
        <v>18368.522271129819</v>
      </c>
      <c r="E142" s="56">
        <f>E82</f>
        <v>0</v>
      </c>
      <c r="F142" s="53">
        <f>D142*E142</f>
        <v>0</v>
      </c>
    </row>
    <row r="143" spans="1:6" ht="18.75" customHeight="1">
      <c r="A143" s="7">
        <v>2</v>
      </c>
      <c r="B143" s="52" t="s">
        <v>182</v>
      </c>
      <c r="C143" s="7"/>
      <c r="D143" s="53">
        <f>F128</f>
        <v>19250.211340144051</v>
      </c>
      <c r="E143" s="56">
        <f>E83</f>
        <v>8.5000000000000006E-2</v>
      </c>
      <c r="F143" s="53">
        <f>D143*E143</f>
        <v>1636.2679639122446</v>
      </c>
    </row>
    <row r="144" spans="1:6" ht="18.75" customHeight="1">
      <c r="A144" s="7">
        <v>3</v>
      </c>
      <c r="B144" s="52" t="s">
        <v>843</v>
      </c>
      <c r="C144" s="7"/>
      <c r="D144" s="53">
        <f>F128+F143</f>
        <v>20886.479304056294</v>
      </c>
      <c r="E144" s="56">
        <f>E84</f>
        <v>7.0000000000000007E-2</v>
      </c>
      <c r="F144" s="53">
        <f>D144*E144</f>
        <v>1462.0535512839408</v>
      </c>
    </row>
    <row r="145" spans="1:6" ht="18.75" customHeight="1">
      <c r="A145" s="7">
        <v>4</v>
      </c>
      <c r="B145" s="52" t="s">
        <v>184</v>
      </c>
      <c r="C145" s="7"/>
      <c r="D145" s="7"/>
      <c r="E145" s="7"/>
      <c r="F145" s="53">
        <f>SUM(F146:F148)</f>
        <v>5611.2341327004997</v>
      </c>
    </row>
    <row r="146" spans="1:6" ht="18.75" customHeight="1">
      <c r="A146" s="7"/>
      <c r="B146" s="52" t="s">
        <v>354</v>
      </c>
      <c r="C146" s="7" t="s">
        <v>88</v>
      </c>
      <c r="D146" s="7">
        <f>D26</f>
        <v>116.41515</v>
      </c>
      <c r="E146" s="66">
        <f>E135*砼配合!I33</f>
        <v>9.2591899999999985</v>
      </c>
      <c r="F146" s="53">
        <f>D146*E146</f>
        <v>1077.9099927284999</v>
      </c>
    </row>
    <row r="147" spans="1:6" ht="18.75" customHeight="1">
      <c r="A147" s="7"/>
      <c r="B147" s="52" t="s">
        <v>507</v>
      </c>
      <c r="C147" s="7" t="s">
        <v>871</v>
      </c>
      <c r="D147" s="66">
        <f>D27</f>
        <v>4.6598683999999899</v>
      </c>
      <c r="E147" s="7">
        <f>E135*砼配合!I34</f>
        <v>38.83</v>
      </c>
      <c r="F147" s="53">
        <f>D147*E147</f>
        <v>180.94268997199961</v>
      </c>
    </row>
    <row r="148" spans="1:6" ht="18.75" customHeight="1">
      <c r="A148" s="7"/>
      <c r="B148" s="52" t="s">
        <v>511</v>
      </c>
      <c r="C148" s="7" t="s">
        <v>871</v>
      </c>
      <c r="D148" s="66">
        <f>D28</f>
        <v>38.516649999999998</v>
      </c>
      <c r="E148" s="7">
        <f>E134</f>
        <v>113</v>
      </c>
      <c r="F148" s="53">
        <f>D148*E148</f>
        <v>4352.3814499999999</v>
      </c>
    </row>
    <row r="149" spans="1:6" ht="18.75" customHeight="1">
      <c r="A149" s="7">
        <v>5</v>
      </c>
      <c r="B149" s="52" t="s">
        <v>845</v>
      </c>
      <c r="C149" s="7"/>
      <c r="D149" s="53">
        <f>F128+F143+F144+F145</f>
        <v>27959.766988040734</v>
      </c>
      <c r="E149" s="56">
        <f>E89</f>
        <v>0.09</v>
      </c>
      <c r="F149" s="53">
        <f>D149*E149</f>
        <v>2516.3790289236658</v>
      </c>
    </row>
    <row r="150" spans="1:6" ht="18.75" customHeight="1">
      <c r="A150" s="7">
        <v>6</v>
      </c>
      <c r="B150" s="52" t="s">
        <v>7</v>
      </c>
      <c r="C150" s="7"/>
      <c r="D150" s="7"/>
      <c r="E150" s="7"/>
      <c r="F150" s="53">
        <f>F128+F143+F144+F145+F149</f>
        <v>30476.146016964398</v>
      </c>
    </row>
    <row r="151" spans="1:6" ht="18.75" customHeight="1">
      <c r="A151" s="7"/>
      <c r="B151" s="52" t="s">
        <v>846</v>
      </c>
      <c r="C151" s="7"/>
      <c r="D151" s="53">
        <f>F150</f>
        <v>30476.146016964398</v>
      </c>
      <c r="E151" s="56">
        <f>E91</f>
        <v>0.03</v>
      </c>
      <c r="F151" s="53">
        <f>E151*D151</f>
        <v>914.28438050893192</v>
      </c>
    </row>
    <row r="152" spans="1:6" ht="18.75" customHeight="1">
      <c r="A152" s="7"/>
      <c r="B152" s="52" t="s">
        <v>44</v>
      </c>
      <c r="C152" s="7"/>
      <c r="D152" s="7"/>
      <c r="E152" s="7"/>
      <c r="F152" s="53">
        <f>SUM(F150:F151)</f>
        <v>31390.43039747333</v>
      </c>
    </row>
    <row r="153" spans="1:6" ht="22.5" customHeight="1">
      <c r="A153" s="461" t="s">
        <v>813</v>
      </c>
      <c r="B153" s="461"/>
      <c r="C153" s="461"/>
      <c r="D153" s="461"/>
      <c r="E153" s="461"/>
      <c r="F153" s="461"/>
    </row>
    <row r="154" spans="1:6" ht="18.75" customHeight="1">
      <c r="A154" s="462" t="s">
        <v>1089</v>
      </c>
      <c r="B154" s="462"/>
      <c r="C154" s="462"/>
      <c r="D154" s="462"/>
      <c r="E154" s="462"/>
      <c r="F154" s="462"/>
    </row>
    <row r="155" spans="1:6" ht="18.75" customHeight="1">
      <c r="A155" s="46" t="s">
        <v>815</v>
      </c>
      <c r="B155" s="49">
        <v>3020</v>
      </c>
      <c r="D155" s="71"/>
      <c r="E155" s="47" t="s">
        <v>169</v>
      </c>
      <c r="F155" s="49" t="s">
        <v>869</v>
      </c>
    </row>
    <row r="156" spans="1:6" ht="18.75" customHeight="1">
      <c r="A156" s="7" t="s">
        <v>817</v>
      </c>
      <c r="B156" s="458"/>
      <c r="C156" s="459"/>
      <c r="D156" s="459"/>
      <c r="E156" s="459"/>
      <c r="F156" s="460"/>
    </row>
    <row r="157" spans="1:6" ht="18.75" customHeight="1">
      <c r="A157" s="7" t="s">
        <v>1</v>
      </c>
      <c r="B157" s="52" t="s">
        <v>344</v>
      </c>
      <c r="C157" s="7" t="s">
        <v>818</v>
      </c>
      <c r="D157" s="7" t="s">
        <v>819</v>
      </c>
      <c r="E157" s="7" t="s">
        <v>820</v>
      </c>
      <c r="F157" s="7" t="s">
        <v>821</v>
      </c>
    </row>
    <row r="158" spans="1:6" ht="18.75" customHeight="1">
      <c r="A158" s="7">
        <v>1</v>
      </c>
      <c r="B158" s="52" t="s">
        <v>822</v>
      </c>
      <c r="C158" s="7"/>
      <c r="D158" s="7"/>
      <c r="E158" s="7"/>
      <c r="F158" s="53">
        <f>F159+F171+F172</f>
        <v>18447.83673549044</v>
      </c>
    </row>
    <row r="159" spans="1:6" ht="18.75" customHeight="1">
      <c r="A159" s="7">
        <v>1.1000000000000001</v>
      </c>
      <c r="B159" s="52" t="s">
        <v>823</v>
      </c>
      <c r="C159" s="7"/>
      <c r="D159" s="7"/>
      <c r="E159" s="7"/>
      <c r="F159" s="53">
        <f>F160+F163+F167+F170</f>
        <v>17602.89764836874</v>
      </c>
    </row>
    <row r="160" spans="1:6" ht="18.75" customHeight="1">
      <c r="A160" s="7" t="s">
        <v>47</v>
      </c>
      <c r="B160" s="52" t="s">
        <v>176</v>
      </c>
      <c r="C160" s="7"/>
      <c r="D160" s="7"/>
      <c r="E160" s="7"/>
      <c r="F160" s="53">
        <f>F161+F162</f>
        <v>4415.5</v>
      </c>
    </row>
    <row r="161" spans="1:6" ht="18.75" customHeight="1">
      <c r="A161" s="7"/>
      <c r="B161" s="52" t="s">
        <v>824</v>
      </c>
      <c r="C161" s="7" t="s">
        <v>825</v>
      </c>
      <c r="D161" s="7">
        <v>8.1</v>
      </c>
      <c r="E161" s="7">
        <v>249.5</v>
      </c>
      <c r="F161" s="53">
        <f>D161*E161</f>
        <v>2020.95</v>
      </c>
    </row>
    <row r="162" spans="1:6" ht="18.75" customHeight="1">
      <c r="A162" s="7"/>
      <c r="B162" s="52" t="s">
        <v>826</v>
      </c>
      <c r="C162" s="7" t="s">
        <v>825</v>
      </c>
      <c r="D162" s="7">
        <v>5.77</v>
      </c>
      <c r="E162" s="7">
        <v>415</v>
      </c>
      <c r="F162" s="53">
        <f>D162*E162</f>
        <v>2394.5500000000002</v>
      </c>
    </row>
    <row r="163" spans="1:6" ht="18.75" customHeight="1">
      <c r="A163" s="7" t="s">
        <v>57</v>
      </c>
      <c r="B163" s="52" t="s">
        <v>177</v>
      </c>
      <c r="C163" s="7"/>
      <c r="D163" s="7"/>
      <c r="E163" s="7"/>
      <c r="F163" s="53">
        <f>F164+F165+F166</f>
        <v>12890.4137718</v>
      </c>
    </row>
    <row r="164" spans="1:6" ht="18.75" customHeight="1">
      <c r="A164" s="7"/>
      <c r="B164" s="52" t="s">
        <v>511</v>
      </c>
      <c r="C164" s="7" t="s">
        <v>871</v>
      </c>
      <c r="D164" s="7">
        <f>D134</f>
        <v>70</v>
      </c>
      <c r="E164" s="7">
        <v>113</v>
      </c>
      <c r="F164" s="53">
        <f>D164*E164</f>
        <v>7910</v>
      </c>
    </row>
    <row r="165" spans="1:6" ht="18.75" customHeight="1">
      <c r="A165" s="7"/>
      <c r="B165" s="52" t="s">
        <v>975</v>
      </c>
      <c r="C165" s="7" t="s">
        <v>871</v>
      </c>
      <c r="D165" s="66">
        <f>D135</f>
        <v>144.59654</v>
      </c>
      <c r="E165" s="7">
        <v>34</v>
      </c>
      <c r="F165" s="53">
        <f>D165*E165</f>
        <v>4916.2823600000002</v>
      </c>
    </row>
    <row r="166" spans="1:6" ht="18.75" customHeight="1">
      <c r="A166" s="7"/>
      <c r="B166" s="52" t="s">
        <v>833</v>
      </c>
      <c r="C166" s="7" t="s">
        <v>834</v>
      </c>
      <c r="D166" s="66">
        <f>F164+F165</f>
        <v>12826.282360000001</v>
      </c>
      <c r="E166" s="7">
        <v>0.5</v>
      </c>
      <c r="F166" s="53">
        <f>D166*E166/100</f>
        <v>64.131411800000009</v>
      </c>
    </row>
    <row r="167" spans="1:6" ht="18.75" customHeight="1">
      <c r="A167" s="7" t="s">
        <v>835</v>
      </c>
      <c r="B167" s="52" t="s">
        <v>932</v>
      </c>
      <c r="C167" s="7"/>
      <c r="D167" s="7"/>
      <c r="E167" s="7"/>
      <c r="F167" s="53">
        <f>F168+F169</f>
        <v>296.98387656874269</v>
      </c>
    </row>
    <row r="168" spans="1:6" ht="18.75" customHeight="1">
      <c r="A168" s="7"/>
      <c r="B168" s="52" t="s">
        <v>935</v>
      </c>
      <c r="C168" s="7" t="s">
        <v>863</v>
      </c>
      <c r="D168" s="7">
        <f>施工机械台时汇总!$C$21</f>
        <v>28.129680376028197</v>
      </c>
      <c r="E168" s="7">
        <v>6.12</v>
      </c>
      <c r="F168" s="53">
        <f>D168*E168</f>
        <v>172.15364390129258</v>
      </c>
    </row>
    <row r="169" spans="1:6" ht="18.75" customHeight="1">
      <c r="A169" s="7"/>
      <c r="B169" s="52" t="s">
        <v>862</v>
      </c>
      <c r="C169" s="7" t="s">
        <v>863</v>
      </c>
      <c r="D169" s="7">
        <f>施工机械台时汇总!$C$19</f>
        <v>0.80266353309831595</v>
      </c>
      <c r="E169" s="7">
        <v>155.52000000000001</v>
      </c>
      <c r="F169" s="53">
        <f>D169*E169</f>
        <v>124.8302326674501</v>
      </c>
    </row>
    <row r="170" spans="1:6" ht="18.75" customHeight="1">
      <c r="A170" s="7"/>
      <c r="B170" s="52"/>
      <c r="C170" s="7"/>
      <c r="D170" s="7"/>
      <c r="E170" s="7"/>
      <c r="F170" s="53"/>
    </row>
    <row r="171" spans="1:6" ht="18.75" customHeight="1">
      <c r="A171" s="7">
        <v>1.2</v>
      </c>
      <c r="B171" s="52" t="s">
        <v>841</v>
      </c>
      <c r="C171" s="7"/>
      <c r="D171" s="53">
        <f>F159</f>
        <v>17602.89764836874</v>
      </c>
      <c r="E171" s="56">
        <f>E141</f>
        <v>4.8000000000000001E-2</v>
      </c>
      <c r="F171" s="53">
        <f>D171*E171</f>
        <v>844.93908712169957</v>
      </c>
    </row>
    <row r="172" spans="1:6" ht="18.75" customHeight="1">
      <c r="A172" s="7">
        <v>1.3</v>
      </c>
      <c r="B172" s="52" t="s">
        <v>842</v>
      </c>
      <c r="C172" s="7"/>
      <c r="D172" s="53">
        <f>F159</f>
        <v>17602.89764836874</v>
      </c>
      <c r="E172" s="56">
        <f>E142</f>
        <v>0</v>
      </c>
      <c r="F172" s="53">
        <f>D172*E172</f>
        <v>0</v>
      </c>
    </row>
    <row r="173" spans="1:6" ht="18.75" customHeight="1">
      <c r="A173" s="7">
        <v>2</v>
      </c>
      <c r="B173" s="52" t="s">
        <v>182</v>
      </c>
      <c r="C173" s="7"/>
      <c r="D173" s="53">
        <f>F158</f>
        <v>18447.83673549044</v>
      </c>
      <c r="E173" s="56">
        <f>E143</f>
        <v>8.5000000000000006E-2</v>
      </c>
      <c r="F173" s="53">
        <f>D173*E173</f>
        <v>1568.0661225166875</v>
      </c>
    </row>
    <row r="174" spans="1:6" ht="18.75" customHeight="1">
      <c r="A174" s="7">
        <v>3</v>
      </c>
      <c r="B174" s="52" t="s">
        <v>843</v>
      </c>
      <c r="C174" s="7"/>
      <c r="D174" s="53">
        <f>F158+F173</f>
        <v>20015.902858007128</v>
      </c>
      <c r="E174" s="56">
        <f>E144</f>
        <v>7.0000000000000007E-2</v>
      </c>
      <c r="F174" s="53">
        <f>D174*E174</f>
        <v>1401.1132000604991</v>
      </c>
    </row>
    <row r="175" spans="1:6" ht="18.75" customHeight="1">
      <c r="A175" s="7">
        <v>4</v>
      </c>
      <c r="B175" s="52" t="s">
        <v>184</v>
      </c>
      <c r="C175" s="7"/>
      <c r="D175" s="7"/>
      <c r="E175" s="7"/>
      <c r="F175" s="53">
        <f>SUM(F176:F178)</f>
        <v>5564.8741188899994</v>
      </c>
    </row>
    <row r="176" spans="1:6" ht="18.75" customHeight="1">
      <c r="A176" s="7"/>
      <c r="B176" s="52" t="s">
        <v>354</v>
      </c>
      <c r="C176" s="7" t="s">
        <v>88</v>
      </c>
      <c r="D176" s="7">
        <f>D146</f>
        <v>116.41515</v>
      </c>
      <c r="E176" s="7">
        <f>E165*砼配合!I33</f>
        <v>8.9181999999999988</v>
      </c>
      <c r="F176" s="53">
        <f>D176*E176</f>
        <v>1038.2135907299999</v>
      </c>
    </row>
    <row r="177" spans="1:6" ht="18.75" customHeight="1">
      <c r="A177" s="7"/>
      <c r="B177" s="52" t="s">
        <v>507</v>
      </c>
      <c r="C177" s="7" t="s">
        <v>871</v>
      </c>
      <c r="D177" s="66">
        <f>D147</f>
        <v>4.6598683999999899</v>
      </c>
      <c r="E177" s="7">
        <f>E165*砼配合!I34</f>
        <v>37.400000000000006</v>
      </c>
      <c r="F177" s="53">
        <f>D177*E177</f>
        <v>174.27907815999964</v>
      </c>
    </row>
    <row r="178" spans="1:6" ht="18.75" customHeight="1">
      <c r="A178" s="7"/>
      <c r="B178" s="52" t="s">
        <v>511</v>
      </c>
      <c r="C178" s="7" t="s">
        <v>871</v>
      </c>
      <c r="D178" s="66">
        <f>D148</f>
        <v>38.516649999999998</v>
      </c>
      <c r="E178" s="7">
        <f>E164</f>
        <v>113</v>
      </c>
      <c r="F178" s="53">
        <f>D178*E178</f>
        <v>4352.3814499999999</v>
      </c>
    </row>
    <row r="179" spans="1:6" ht="18.75" customHeight="1">
      <c r="A179" s="7">
        <v>5</v>
      </c>
      <c r="B179" s="52" t="s">
        <v>845</v>
      </c>
      <c r="C179" s="7"/>
      <c r="D179" s="53">
        <f>F158+F173+F174+F175</f>
        <v>26981.890176957626</v>
      </c>
      <c r="E179" s="56">
        <f>E149</f>
        <v>0.09</v>
      </c>
      <c r="F179" s="53">
        <f>D179*E179</f>
        <v>2428.3701159261864</v>
      </c>
    </row>
    <row r="180" spans="1:6" ht="18.75" customHeight="1">
      <c r="A180" s="7">
        <v>6</v>
      </c>
      <c r="B180" s="52" t="s">
        <v>7</v>
      </c>
      <c r="C180" s="7"/>
      <c r="D180" s="53"/>
      <c r="E180" s="7"/>
      <c r="F180" s="53">
        <f>F158+F173+F174+F175+F179</f>
        <v>29410.260292883813</v>
      </c>
    </row>
    <row r="181" spans="1:6" ht="18.75" customHeight="1">
      <c r="A181" s="7"/>
      <c r="B181" s="52" t="s">
        <v>846</v>
      </c>
      <c r="C181" s="7"/>
      <c r="D181" s="53">
        <f>F180</f>
        <v>29410.260292883813</v>
      </c>
      <c r="E181" s="56">
        <f>E151</f>
        <v>0.03</v>
      </c>
      <c r="F181" s="53">
        <f>E181*D181</f>
        <v>882.30780878651433</v>
      </c>
    </row>
    <row r="182" spans="1:6" ht="18.75" customHeight="1">
      <c r="A182" s="7"/>
      <c r="B182" s="52" t="s">
        <v>44</v>
      </c>
      <c r="C182" s="7"/>
      <c r="D182" s="7"/>
      <c r="E182" s="7"/>
      <c r="F182" s="53">
        <f>SUM(F180:F181)</f>
        <v>30292.568101670327</v>
      </c>
    </row>
    <row r="183" spans="1:6" ht="22.5" customHeight="1">
      <c r="A183" s="461" t="s">
        <v>813</v>
      </c>
      <c r="B183" s="461"/>
      <c r="C183" s="461"/>
      <c r="D183" s="461"/>
      <c r="E183" s="461"/>
      <c r="F183" s="461"/>
    </row>
    <row r="184" spans="1:6" ht="18.75" customHeight="1">
      <c r="A184" s="462" t="s">
        <v>1090</v>
      </c>
      <c r="B184" s="462"/>
      <c r="C184" s="462"/>
      <c r="D184" s="462"/>
      <c r="E184" s="462"/>
      <c r="F184" s="462"/>
    </row>
    <row r="185" spans="1:6" ht="18.75" customHeight="1">
      <c r="A185" s="46" t="s">
        <v>815</v>
      </c>
      <c r="B185" s="49">
        <v>3025</v>
      </c>
      <c r="D185" s="71"/>
      <c r="E185" s="47" t="s">
        <v>169</v>
      </c>
      <c r="F185" s="49" t="s">
        <v>869</v>
      </c>
    </row>
    <row r="186" spans="1:6" ht="18.75" customHeight="1">
      <c r="A186" s="7" t="s">
        <v>817</v>
      </c>
      <c r="B186" s="458"/>
      <c r="C186" s="459"/>
      <c r="D186" s="459"/>
      <c r="E186" s="459"/>
      <c r="F186" s="460"/>
    </row>
    <row r="187" spans="1:6" ht="18.75" customHeight="1">
      <c r="A187" s="7" t="s">
        <v>1</v>
      </c>
      <c r="B187" s="52" t="s">
        <v>344</v>
      </c>
      <c r="C187" s="7" t="s">
        <v>818</v>
      </c>
      <c r="D187" s="7" t="s">
        <v>819</v>
      </c>
      <c r="E187" s="7" t="s">
        <v>820</v>
      </c>
      <c r="F187" s="7" t="s">
        <v>821</v>
      </c>
    </row>
    <row r="188" spans="1:6" ht="18.75" customHeight="1">
      <c r="A188" s="7">
        <v>1</v>
      </c>
      <c r="B188" s="52" t="s">
        <v>822</v>
      </c>
      <c r="C188" s="7"/>
      <c r="D188" s="7"/>
      <c r="E188" s="7"/>
      <c r="F188" s="53">
        <f>F189+F201+F202</f>
        <v>17800.770095490443</v>
      </c>
    </row>
    <row r="189" spans="1:6" ht="18.75" customHeight="1">
      <c r="A189" s="7">
        <v>1.1000000000000001</v>
      </c>
      <c r="B189" s="52" t="s">
        <v>823</v>
      </c>
      <c r="C189" s="7"/>
      <c r="D189" s="7"/>
      <c r="E189" s="7"/>
      <c r="F189" s="53">
        <f>F190+F193+F197+F200</f>
        <v>16985.467648368744</v>
      </c>
    </row>
    <row r="190" spans="1:6" ht="18.75" customHeight="1">
      <c r="A190" s="7" t="s">
        <v>47</v>
      </c>
      <c r="B190" s="52" t="s">
        <v>176</v>
      </c>
      <c r="C190" s="7"/>
      <c r="D190" s="7"/>
      <c r="E190" s="7"/>
      <c r="F190" s="53">
        <f>F191+F192</f>
        <v>3798.07</v>
      </c>
    </row>
    <row r="191" spans="1:6" ht="18.75" customHeight="1">
      <c r="A191" s="7"/>
      <c r="B191" s="52" t="s">
        <v>824</v>
      </c>
      <c r="C191" s="7" t="s">
        <v>825</v>
      </c>
      <c r="D191" s="7">
        <v>8.1</v>
      </c>
      <c r="E191" s="7">
        <v>226.7</v>
      </c>
      <c r="F191" s="53">
        <f>D191*E191</f>
        <v>1836.27</v>
      </c>
    </row>
    <row r="192" spans="1:6" ht="18.75" customHeight="1">
      <c r="A192" s="7"/>
      <c r="B192" s="52" t="s">
        <v>826</v>
      </c>
      <c r="C192" s="7" t="s">
        <v>825</v>
      </c>
      <c r="D192" s="7">
        <v>5.77</v>
      </c>
      <c r="E192" s="7">
        <v>340</v>
      </c>
      <c r="F192" s="53">
        <f>D192*E192</f>
        <v>1961.8</v>
      </c>
    </row>
    <row r="193" spans="1:6" ht="18.75" customHeight="1">
      <c r="A193" s="7" t="s">
        <v>57</v>
      </c>
      <c r="B193" s="52" t="s">
        <v>177</v>
      </c>
      <c r="C193" s="7"/>
      <c r="D193" s="7"/>
      <c r="E193" s="7"/>
      <c r="F193" s="53">
        <f>F194+F195+F196</f>
        <v>12890.4137718</v>
      </c>
    </row>
    <row r="194" spans="1:6" ht="18.75" customHeight="1">
      <c r="A194" s="7"/>
      <c r="B194" s="52" t="s">
        <v>511</v>
      </c>
      <c r="C194" s="7" t="s">
        <v>871</v>
      </c>
      <c r="D194" s="7">
        <f>D164</f>
        <v>70</v>
      </c>
      <c r="E194" s="7">
        <v>113</v>
      </c>
      <c r="F194" s="53">
        <f>D194*E194</f>
        <v>7910</v>
      </c>
    </row>
    <row r="195" spans="1:6" ht="18.75" customHeight="1">
      <c r="A195" s="7"/>
      <c r="B195" s="52" t="s">
        <v>975</v>
      </c>
      <c r="C195" s="7" t="s">
        <v>871</v>
      </c>
      <c r="D195" s="66">
        <f>D165</f>
        <v>144.59654</v>
      </c>
      <c r="E195" s="7">
        <v>34</v>
      </c>
      <c r="F195" s="53">
        <f>D195*E195</f>
        <v>4916.2823600000002</v>
      </c>
    </row>
    <row r="196" spans="1:6" ht="18.75" customHeight="1">
      <c r="A196" s="7"/>
      <c r="B196" s="52" t="s">
        <v>833</v>
      </c>
      <c r="C196" s="7" t="s">
        <v>834</v>
      </c>
      <c r="D196" s="66">
        <f>F194+F195</f>
        <v>12826.282360000001</v>
      </c>
      <c r="E196" s="7">
        <v>0.5</v>
      </c>
      <c r="F196" s="53">
        <f>D196*E196/100</f>
        <v>64.131411800000009</v>
      </c>
    </row>
    <row r="197" spans="1:6" ht="18.75" customHeight="1">
      <c r="A197" s="7" t="s">
        <v>835</v>
      </c>
      <c r="B197" s="52" t="s">
        <v>932</v>
      </c>
      <c r="C197" s="7"/>
      <c r="D197" s="7"/>
      <c r="E197" s="7"/>
      <c r="F197" s="53">
        <f>F198+F199</f>
        <v>296.98387656874269</v>
      </c>
    </row>
    <row r="198" spans="1:6" ht="18.75" customHeight="1">
      <c r="A198" s="7"/>
      <c r="B198" s="52" t="s">
        <v>935</v>
      </c>
      <c r="C198" s="7" t="s">
        <v>863</v>
      </c>
      <c r="D198" s="7">
        <f>施工机械台时汇总!$C$21</f>
        <v>28.129680376028197</v>
      </c>
      <c r="E198" s="7">
        <v>6.12</v>
      </c>
      <c r="F198" s="53">
        <f>D198*E198</f>
        <v>172.15364390129258</v>
      </c>
    </row>
    <row r="199" spans="1:6" ht="18.75" customHeight="1">
      <c r="A199" s="7"/>
      <c r="B199" s="52" t="s">
        <v>862</v>
      </c>
      <c r="C199" s="7" t="s">
        <v>863</v>
      </c>
      <c r="D199" s="7">
        <f>施工机械台时汇总!$C$19</f>
        <v>0.80266353309831595</v>
      </c>
      <c r="E199" s="7">
        <v>155.52000000000001</v>
      </c>
      <c r="F199" s="53">
        <f>D199*E199</f>
        <v>124.8302326674501</v>
      </c>
    </row>
    <row r="200" spans="1:6" ht="18.75" customHeight="1">
      <c r="A200" s="7"/>
      <c r="B200" s="52"/>
      <c r="C200" s="7"/>
      <c r="D200" s="7"/>
      <c r="E200" s="7"/>
      <c r="F200" s="53"/>
    </row>
    <row r="201" spans="1:6" ht="18.75" customHeight="1">
      <c r="A201" s="7">
        <v>1.2</v>
      </c>
      <c r="B201" s="52" t="s">
        <v>841</v>
      </c>
      <c r="C201" s="7"/>
      <c r="D201" s="53">
        <f>F189</f>
        <v>16985.467648368744</v>
      </c>
      <c r="E201" s="56">
        <f>E171</f>
        <v>4.8000000000000001E-2</v>
      </c>
      <c r="F201" s="53">
        <f>D201*E201</f>
        <v>815.30244712169974</v>
      </c>
    </row>
    <row r="202" spans="1:6" ht="18.75" customHeight="1">
      <c r="A202" s="7">
        <v>1.3</v>
      </c>
      <c r="B202" s="52" t="s">
        <v>842</v>
      </c>
      <c r="C202" s="7"/>
      <c r="D202" s="53">
        <f>F189</f>
        <v>16985.467648368744</v>
      </c>
      <c r="E202" s="56">
        <f>E172</f>
        <v>0</v>
      </c>
      <c r="F202" s="53">
        <f>D202*E202</f>
        <v>0</v>
      </c>
    </row>
    <row r="203" spans="1:6" ht="18.75" customHeight="1">
      <c r="A203" s="7">
        <v>2</v>
      </c>
      <c r="B203" s="52" t="s">
        <v>182</v>
      </c>
      <c r="C203" s="7"/>
      <c r="D203" s="53">
        <f>F188</f>
        <v>17800.770095490443</v>
      </c>
      <c r="E203" s="56">
        <f>E173</f>
        <v>8.5000000000000006E-2</v>
      </c>
      <c r="F203" s="53">
        <f>D203*E203</f>
        <v>1513.0654581166878</v>
      </c>
    </row>
    <row r="204" spans="1:6" ht="18.75" customHeight="1">
      <c r="A204" s="7">
        <v>3</v>
      </c>
      <c r="B204" s="52" t="s">
        <v>843</v>
      </c>
      <c r="C204" s="7"/>
      <c r="D204" s="53">
        <f>F188+F203</f>
        <v>19313.835553607132</v>
      </c>
      <c r="E204" s="56">
        <f>E174</f>
        <v>7.0000000000000007E-2</v>
      </c>
      <c r="F204" s="53">
        <f>D204*E204</f>
        <v>1351.9684887524993</v>
      </c>
    </row>
    <row r="205" spans="1:6" ht="18.75" customHeight="1">
      <c r="A205" s="7">
        <v>4</v>
      </c>
      <c r="B205" s="52" t="s">
        <v>184</v>
      </c>
      <c r="C205" s="7"/>
      <c r="D205" s="7"/>
      <c r="E205" s="7"/>
      <c r="F205" s="53">
        <f>SUM(F206:F208)</f>
        <v>5564.8741188899994</v>
      </c>
    </row>
    <row r="206" spans="1:6" ht="18.75" customHeight="1">
      <c r="A206" s="7"/>
      <c r="B206" s="52" t="s">
        <v>354</v>
      </c>
      <c r="C206" s="7" t="s">
        <v>88</v>
      </c>
      <c r="D206" s="7">
        <f>D176</f>
        <v>116.41515</v>
      </c>
      <c r="E206" s="7">
        <f>E195*砼配合!I33</f>
        <v>8.9181999999999988</v>
      </c>
      <c r="F206" s="53">
        <f>D206*E206</f>
        <v>1038.2135907299999</v>
      </c>
    </row>
    <row r="207" spans="1:6" ht="18.75" customHeight="1">
      <c r="A207" s="7"/>
      <c r="B207" s="52" t="s">
        <v>507</v>
      </c>
      <c r="C207" s="7" t="s">
        <v>871</v>
      </c>
      <c r="D207" s="66">
        <f>D177</f>
        <v>4.6598683999999899</v>
      </c>
      <c r="E207" s="7">
        <f>E195*砼配合!I34</f>
        <v>37.400000000000006</v>
      </c>
      <c r="F207" s="53">
        <f>D207*E207</f>
        <v>174.27907815999964</v>
      </c>
    </row>
    <row r="208" spans="1:6" ht="18.75" customHeight="1">
      <c r="A208" s="7"/>
      <c r="B208" s="52" t="s">
        <v>511</v>
      </c>
      <c r="C208" s="7" t="s">
        <v>871</v>
      </c>
      <c r="D208" s="66">
        <f>D178</f>
        <v>38.516649999999998</v>
      </c>
      <c r="E208" s="7">
        <f>E194</f>
        <v>113</v>
      </c>
      <c r="F208" s="53">
        <f>D208*E208</f>
        <v>4352.3814499999999</v>
      </c>
    </row>
    <row r="209" spans="1:6" ht="18.75" customHeight="1">
      <c r="A209" s="7">
        <v>5</v>
      </c>
      <c r="B209" s="52" t="s">
        <v>845</v>
      </c>
      <c r="C209" s="7"/>
      <c r="D209" s="53">
        <f>F188+F203+F204+F205</f>
        <v>26230.678161249631</v>
      </c>
      <c r="E209" s="56">
        <f>E179</f>
        <v>0.09</v>
      </c>
      <c r="F209" s="53">
        <f>D209*E209</f>
        <v>2360.7610345124667</v>
      </c>
    </row>
    <row r="210" spans="1:6" ht="18.75" customHeight="1">
      <c r="A210" s="7">
        <v>6</v>
      </c>
      <c r="B210" s="52" t="s">
        <v>7</v>
      </c>
      <c r="C210" s="7"/>
      <c r="D210" s="53"/>
      <c r="E210" s="7"/>
      <c r="F210" s="53">
        <f>F188+F203+F204+F205+F209</f>
        <v>28591.439195762097</v>
      </c>
    </row>
    <row r="211" spans="1:6" ht="18.75" customHeight="1">
      <c r="A211" s="7"/>
      <c r="B211" s="52" t="s">
        <v>846</v>
      </c>
      <c r="C211" s="7"/>
      <c r="D211" s="53">
        <f>F210</f>
        <v>28591.439195762097</v>
      </c>
      <c r="E211" s="56">
        <f>E181</f>
        <v>0.03</v>
      </c>
      <c r="F211" s="53">
        <f>E211*D211</f>
        <v>857.74317587286293</v>
      </c>
    </row>
    <row r="212" spans="1:6" ht="18.75" customHeight="1">
      <c r="A212" s="7"/>
      <c r="B212" s="52" t="s">
        <v>44</v>
      </c>
      <c r="C212" s="7"/>
      <c r="D212" s="7"/>
      <c r="E212" s="7"/>
      <c r="F212" s="53">
        <f>SUM(F210:F211)</f>
        <v>29449.182371634961</v>
      </c>
    </row>
    <row r="213" spans="1:6" ht="22.5" customHeight="1">
      <c r="A213" s="461" t="s">
        <v>813</v>
      </c>
      <c r="B213" s="461"/>
      <c r="C213" s="461"/>
      <c r="D213" s="461"/>
      <c r="E213" s="461"/>
      <c r="F213" s="461"/>
    </row>
    <row r="214" spans="1:6" ht="18.75" customHeight="1">
      <c r="A214" s="462" t="s">
        <v>1091</v>
      </c>
      <c r="B214" s="462"/>
      <c r="C214" s="462"/>
      <c r="D214" s="462"/>
      <c r="E214" s="462"/>
      <c r="F214" s="462"/>
    </row>
    <row r="215" spans="1:6" ht="18.75" customHeight="1">
      <c r="A215" s="47" t="s">
        <v>815</v>
      </c>
      <c r="B215" s="49">
        <v>3009</v>
      </c>
      <c r="D215" s="71"/>
      <c r="E215" s="47" t="s">
        <v>169</v>
      </c>
      <c r="F215" s="49" t="s">
        <v>869</v>
      </c>
    </row>
    <row r="216" spans="1:6" ht="18.75" customHeight="1">
      <c r="A216" s="50" t="s">
        <v>817</v>
      </c>
      <c r="B216" s="458"/>
      <c r="C216" s="459"/>
      <c r="D216" s="459"/>
      <c r="E216" s="459"/>
      <c r="F216" s="460"/>
    </row>
    <row r="217" spans="1:6" ht="18.75" customHeight="1">
      <c r="A217" s="7" t="s">
        <v>1</v>
      </c>
      <c r="B217" s="52" t="s">
        <v>344</v>
      </c>
      <c r="C217" s="7" t="s">
        <v>818</v>
      </c>
      <c r="D217" s="7" t="s">
        <v>819</v>
      </c>
      <c r="E217" s="7" t="s">
        <v>820</v>
      </c>
      <c r="F217" s="7" t="s">
        <v>821</v>
      </c>
    </row>
    <row r="218" spans="1:6" ht="18.75" customHeight="1">
      <c r="A218" s="7">
        <v>1</v>
      </c>
      <c r="B218" s="52" t="s">
        <v>822</v>
      </c>
      <c r="C218" s="7"/>
      <c r="D218" s="7"/>
      <c r="E218" s="7"/>
      <c r="F218" s="53">
        <f>F219+F231+F232</f>
        <v>12545.810845264396</v>
      </c>
    </row>
    <row r="219" spans="1:6" ht="18.75" customHeight="1">
      <c r="A219" s="7">
        <v>1.1000000000000001</v>
      </c>
      <c r="B219" s="52" t="s">
        <v>823</v>
      </c>
      <c r="C219" s="7"/>
      <c r="D219" s="7"/>
      <c r="E219" s="7"/>
      <c r="F219" s="53">
        <f>F220+F223+F227+F230</f>
        <v>11971.193554641599</v>
      </c>
    </row>
    <row r="220" spans="1:6" ht="18.75" customHeight="1">
      <c r="A220" s="7" t="s">
        <v>47</v>
      </c>
      <c r="B220" s="52" t="s">
        <v>176</v>
      </c>
      <c r="C220" s="7"/>
      <c r="D220" s="7"/>
      <c r="E220" s="7"/>
      <c r="F220" s="53">
        <f>F221+F222</f>
        <v>3707.145</v>
      </c>
    </row>
    <row r="221" spans="1:6" ht="18.75" customHeight="1">
      <c r="A221" s="7"/>
      <c r="B221" s="52" t="s">
        <v>824</v>
      </c>
      <c r="C221" s="7" t="s">
        <v>825</v>
      </c>
      <c r="D221" s="7">
        <v>8.1</v>
      </c>
      <c r="E221" s="7">
        <v>185.2</v>
      </c>
      <c r="F221" s="53">
        <f>D221*E221</f>
        <v>1500.12</v>
      </c>
    </row>
    <row r="222" spans="1:6" ht="18.75" customHeight="1">
      <c r="A222" s="7"/>
      <c r="B222" s="52" t="s">
        <v>826</v>
      </c>
      <c r="C222" s="7" t="s">
        <v>825</v>
      </c>
      <c r="D222" s="7">
        <v>5.77</v>
      </c>
      <c r="E222" s="7">
        <v>382.5</v>
      </c>
      <c r="F222" s="53">
        <f>D222*E222</f>
        <v>2207.0250000000001</v>
      </c>
    </row>
    <row r="223" spans="1:6" ht="18.75" customHeight="1">
      <c r="A223" s="7" t="s">
        <v>57</v>
      </c>
      <c r="B223" s="52" t="s">
        <v>177</v>
      </c>
      <c r="C223" s="7"/>
      <c r="D223" s="7"/>
      <c r="E223" s="7"/>
      <c r="F223" s="53">
        <f>F224+F225+F226</f>
        <v>8201.2000000000007</v>
      </c>
    </row>
    <row r="224" spans="1:6" ht="18.75" customHeight="1">
      <c r="A224" s="7"/>
      <c r="B224" s="52" t="s">
        <v>511</v>
      </c>
      <c r="C224" s="7" t="s">
        <v>871</v>
      </c>
      <c r="D224" s="7">
        <f>D164</f>
        <v>70</v>
      </c>
      <c r="E224" s="7">
        <v>116</v>
      </c>
      <c r="F224" s="53">
        <f>D224*E224</f>
        <v>8120</v>
      </c>
    </row>
    <row r="225" spans="1:6" ht="18.75" customHeight="1">
      <c r="A225" s="7"/>
      <c r="B225" s="52" t="s">
        <v>975</v>
      </c>
      <c r="C225" s="7" t="s">
        <v>871</v>
      </c>
      <c r="D225" s="66">
        <f>砼配合!J32</f>
        <v>144.59654</v>
      </c>
      <c r="E225" s="7">
        <v>0</v>
      </c>
      <c r="F225" s="53">
        <f>D225*E225</f>
        <v>0</v>
      </c>
    </row>
    <row r="226" spans="1:6" ht="18.75" customHeight="1">
      <c r="A226" s="7"/>
      <c r="B226" s="52" t="s">
        <v>833</v>
      </c>
      <c r="C226" s="7" t="s">
        <v>834</v>
      </c>
      <c r="D226" s="7">
        <f>F224+F225</f>
        <v>8120</v>
      </c>
      <c r="E226" s="7">
        <v>1</v>
      </c>
      <c r="F226" s="53">
        <f>D226*E226/100</f>
        <v>81.2</v>
      </c>
    </row>
    <row r="227" spans="1:6" ht="18.75" customHeight="1">
      <c r="A227" s="7" t="s">
        <v>835</v>
      </c>
      <c r="B227" s="52" t="s">
        <v>932</v>
      </c>
      <c r="C227" s="7"/>
      <c r="D227" s="7"/>
      <c r="E227" s="7"/>
      <c r="F227" s="53">
        <f>F228+F229</f>
        <v>62.848554641598135</v>
      </c>
    </row>
    <row r="228" spans="1:6" ht="18.75" customHeight="1">
      <c r="A228" s="7"/>
      <c r="B228" s="52" t="s">
        <v>935</v>
      </c>
      <c r="C228" s="7" t="s">
        <v>863</v>
      </c>
      <c r="D228" s="7">
        <f>施工机械台时汇总!$C$21</f>
        <v>28.129680376028197</v>
      </c>
      <c r="E228" s="7">
        <v>0</v>
      </c>
      <c r="F228" s="53">
        <f>D228*E228</f>
        <v>0</v>
      </c>
    </row>
    <row r="229" spans="1:6" ht="18.75" customHeight="1">
      <c r="A229" s="7"/>
      <c r="B229" s="52" t="s">
        <v>862</v>
      </c>
      <c r="C229" s="7" t="s">
        <v>863</v>
      </c>
      <c r="D229" s="7">
        <f>施工机械台时汇总!$C$19</f>
        <v>0.80266353309831595</v>
      </c>
      <c r="E229" s="7">
        <v>78.3</v>
      </c>
      <c r="F229" s="53">
        <f>D229*E229</f>
        <v>62.848554641598135</v>
      </c>
    </row>
    <row r="230" spans="1:6" ht="18.75" customHeight="1">
      <c r="A230" s="7"/>
      <c r="B230" s="52"/>
      <c r="C230" s="7"/>
      <c r="D230" s="7"/>
      <c r="E230" s="7"/>
      <c r="F230" s="53"/>
    </row>
    <row r="231" spans="1:6" ht="18.75" customHeight="1">
      <c r="A231" s="7">
        <v>1.2</v>
      </c>
      <c r="B231" s="52" t="s">
        <v>841</v>
      </c>
      <c r="C231" s="7"/>
      <c r="D231" s="53">
        <f>F219</f>
        <v>11971.193554641599</v>
      </c>
      <c r="E231" s="56">
        <f>E171</f>
        <v>4.8000000000000001E-2</v>
      </c>
      <c r="F231" s="53">
        <f>D231*E231</f>
        <v>574.61729062279676</v>
      </c>
    </row>
    <row r="232" spans="1:6" ht="18.75" customHeight="1">
      <c r="A232" s="7">
        <v>1.3</v>
      </c>
      <c r="B232" s="52" t="s">
        <v>842</v>
      </c>
      <c r="C232" s="7"/>
      <c r="D232" s="53">
        <f>F219</f>
        <v>11971.193554641599</v>
      </c>
      <c r="E232" s="56">
        <f>E172</f>
        <v>0</v>
      </c>
      <c r="F232" s="53">
        <f>D232*E232</f>
        <v>0</v>
      </c>
    </row>
    <row r="233" spans="1:6" ht="18.75" customHeight="1">
      <c r="A233" s="7">
        <v>2</v>
      </c>
      <c r="B233" s="52" t="s">
        <v>182</v>
      </c>
      <c r="C233" s="7"/>
      <c r="D233" s="53">
        <f>F218</f>
        <v>12545.810845264396</v>
      </c>
      <c r="E233" s="56">
        <f>E173</f>
        <v>8.5000000000000006E-2</v>
      </c>
      <c r="F233" s="53">
        <f>D233*E233</f>
        <v>1066.3939218474736</v>
      </c>
    </row>
    <row r="234" spans="1:6" ht="18.75" customHeight="1">
      <c r="A234" s="7">
        <v>3</v>
      </c>
      <c r="B234" s="52" t="s">
        <v>843</v>
      </c>
      <c r="C234" s="7"/>
      <c r="D234" s="53">
        <f>F218+F233</f>
        <v>13612.204767111869</v>
      </c>
      <c r="E234" s="56">
        <f>E174</f>
        <v>7.0000000000000007E-2</v>
      </c>
      <c r="F234" s="53">
        <f>D234*E234</f>
        <v>952.85433369783095</v>
      </c>
    </row>
    <row r="235" spans="1:6" ht="18.75" customHeight="1">
      <c r="A235" s="7">
        <v>4</v>
      </c>
      <c r="B235" s="52" t="s">
        <v>184</v>
      </c>
      <c r="C235" s="7"/>
      <c r="D235" s="7"/>
      <c r="E235" s="7"/>
      <c r="F235" s="53">
        <f>F236</f>
        <v>4467.9313999999995</v>
      </c>
    </row>
    <row r="236" spans="1:6" ht="18.75" customHeight="1">
      <c r="A236" s="7"/>
      <c r="B236" s="52" t="s">
        <v>511</v>
      </c>
      <c r="C236" s="7" t="s">
        <v>871</v>
      </c>
      <c r="D236" s="66">
        <f>D178</f>
        <v>38.516649999999998</v>
      </c>
      <c r="E236" s="7">
        <f>E224</f>
        <v>116</v>
      </c>
      <c r="F236" s="53">
        <f>D236*E236</f>
        <v>4467.9313999999995</v>
      </c>
    </row>
    <row r="237" spans="1:6" ht="18.75" customHeight="1">
      <c r="A237" s="7">
        <v>5</v>
      </c>
      <c r="B237" s="52" t="s">
        <v>845</v>
      </c>
      <c r="C237" s="7"/>
      <c r="D237" s="53">
        <f>F218+F233+F235+F234</f>
        <v>19032.990500809698</v>
      </c>
      <c r="E237" s="56">
        <f>E179</f>
        <v>0.09</v>
      </c>
      <c r="F237" s="53">
        <f>D237*E237</f>
        <v>1712.9691450728726</v>
      </c>
    </row>
    <row r="238" spans="1:6" ht="18.75" customHeight="1">
      <c r="A238" s="7">
        <v>6</v>
      </c>
      <c r="B238" s="52" t="s">
        <v>7</v>
      </c>
      <c r="C238" s="7"/>
      <c r="D238" s="7"/>
      <c r="E238" s="7"/>
      <c r="F238" s="53">
        <f>F218+F233+F234+F235+F237</f>
        <v>20745.959645882569</v>
      </c>
    </row>
    <row r="239" spans="1:6" ht="18.75" customHeight="1">
      <c r="A239" s="7"/>
      <c r="B239" s="52" t="s">
        <v>846</v>
      </c>
      <c r="C239" s="7"/>
      <c r="D239" s="53">
        <f>F238</f>
        <v>20745.959645882569</v>
      </c>
      <c r="E239" s="56">
        <f>E181</f>
        <v>0.03</v>
      </c>
      <c r="F239" s="53">
        <f>E239*D239</f>
        <v>622.37878937647702</v>
      </c>
    </row>
    <row r="240" spans="1:6" ht="18.75" customHeight="1">
      <c r="A240" s="7"/>
      <c r="B240" s="52" t="s">
        <v>44</v>
      </c>
      <c r="C240" s="7"/>
      <c r="D240" s="7"/>
      <c r="E240" s="7"/>
      <c r="F240" s="53">
        <f>SUM(F238:F239)</f>
        <v>21368.338435259047</v>
      </c>
    </row>
    <row r="241" spans="1:6" ht="22.5" customHeight="1">
      <c r="A241" s="461" t="s">
        <v>813</v>
      </c>
      <c r="B241" s="461"/>
      <c r="C241" s="461"/>
      <c r="D241" s="461"/>
      <c r="E241" s="461"/>
      <c r="F241" s="461"/>
    </row>
    <row r="242" spans="1:6" ht="18.75" customHeight="1">
      <c r="A242" s="462" t="s">
        <v>1092</v>
      </c>
      <c r="B242" s="462"/>
      <c r="C242" s="462"/>
      <c r="D242" s="462"/>
      <c r="E242" s="462"/>
      <c r="F242" s="462"/>
    </row>
    <row r="243" spans="1:6" ht="18.75" customHeight="1">
      <c r="A243" s="47" t="s">
        <v>815</v>
      </c>
      <c r="B243" s="49">
        <v>3011</v>
      </c>
      <c r="D243" s="71"/>
      <c r="E243" s="47" t="s">
        <v>169</v>
      </c>
      <c r="F243" s="49" t="s">
        <v>869</v>
      </c>
    </row>
    <row r="244" spans="1:6" ht="18.75" customHeight="1">
      <c r="A244" s="50" t="s">
        <v>817</v>
      </c>
      <c r="B244" s="458"/>
      <c r="C244" s="459"/>
      <c r="D244" s="459"/>
      <c r="E244" s="459"/>
      <c r="F244" s="460"/>
    </row>
    <row r="245" spans="1:6" ht="18.75" customHeight="1">
      <c r="A245" s="7" t="s">
        <v>1</v>
      </c>
      <c r="B245" s="52" t="s">
        <v>344</v>
      </c>
      <c r="C245" s="7" t="s">
        <v>818</v>
      </c>
      <c r="D245" s="7" t="s">
        <v>819</v>
      </c>
      <c r="E245" s="7" t="s">
        <v>820</v>
      </c>
      <c r="F245" s="7" t="s">
        <v>821</v>
      </c>
    </row>
    <row r="246" spans="1:6" ht="18.75" customHeight="1">
      <c r="A246" s="7">
        <v>1</v>
      </c>
      <c r="B246" s="52" t="s">
        <v>822</v>
      </c>
      <c r="C246" s="7"/>
      <c r="D246" s="7"/>
      <c r="E246" s="7"/>
      <c r="F246" s="53">
        <f>F247+F259+F260</f>
        <v>12007.987725264395</v>
      </c>
    </row>
    <row r="247" spans="1:6" ht="18.75" customHeight="1">
      <c r="A247" s="7">
        <v>1.1000000000000001</v>
      </c>
      <c r="B247" s="52" t="s">
        <v>823</v>
      </c>
      <c r="C247" s="7"/>
      <c r="D247" s="7"/>
      <c r="E247" s="7"/>
      <c r="F247" s="53">
        <f>F248+F251+F255+F258</f>
        <v>11458.003554641598</v>
      </c>
    </row>
    <row r="248" spans="1:6" ht="18.75" customHeight="1">
      <c r="A248" s="7" t="s">
        <v>47</v>
      </c>
      <c r="B248" s="52" t="s">
        <v>176</v>
      </c>
      <c r="C248" s="7"/>
      <c r="D248" s="7"/>
      <c r="E248" s="7"/>
      <c r="F248" s="53">
        <f>F249+F250</f>
        <v>3193.9549999999999</v>
      </c>
    </row>
    <row r="249" spans="1:6" ht="18.75" customHeight="1">
      <c r="A249" s="7"/>
      <c r="B249" s="52" t="s">
        <v>824</v>
      </c>
      <c r="C249" s="7" t="s">
        <v>825</v>
      </c>
      <c r="D249" s="7">
        <v>8.1</v>
      </c>
      <c r="E249" s="7">
        <v>148.19999999999999</v>
      </c>
      <c r="F249" s="53">
        <f>D249*E249</f>
        <v>1200.42</v>
      </c>
    </row>
    <row r="250" spans="1:6" ht="18.75" customHeight="1">
      <c r="A250" s="7"/>
      <c r="B250" s="52" t="s">
        <v>826</v>
      </c>
      <c r="C250" s="7" t="s">
        <v>825</v>
      </c>
      <c r="D250" s="7">
        <v>5.77</v>
      </c>
      <c r="E250" s="7">
        <v>345.5</v>
      </c>
      <c r="F250" s="53">
        <f>D250*E250</f>
        <v>1993.5350000000001</v>
      </c>
    </row>
    <row r="251" spans="1:6" ht="18.75" customHeight="1">
      <c r="A251" s="7" t="s">
        <v>57</v>
      </c>
      <c r="B251" s="52" t="s">
        <v>177</v>
      </c>
      <c r="C251" s="7"/>
      <c r="D251" s="7"/>
      <c r="E251" s="7"/>
      <c r="F251" s="53">
        <f>F252+F253+F254</f>
        <v>8201.2000000000007</v>
      </c>
    </row>
    <row r="252" spans="1:6" ht="18.75" customHeight="1">
      <c r="A252" s="7"/>
      <c r="B252" s="52" t="s">
        <v>511</v>
      </c>
      <c r="C252" s="7" t="s">
        <v>871</v>
      </c>
      <c r="D252" s="7">
        <f>D224</f>
        <v>70</v>
      </c>
      <c r="E252" s="7">
        <v>116</v>
      </c>
      <c r="F252" s="53">
        <f>D252*E252</f>
        <v>8120</v>
      </c>
    </row>
    <row r="253" spans="1:6" ht="18.75" customHeight="1">
      <c r="A253" s="7"/>
      <c r="B253" s="52" t="s">
        <v>975</v>
      </c>
      <c r="C253" s="7" t="s">
        <v>871</v>
      </c>
      <c r="D253" s="66">
        <f>D225</f>
        <v>144.59654</v>
      </c>
      <c r="E253" s="7">
        <v>0</v>
      </c>
      <c r="F253" s="53">
        <f>D253*E253</f>
        <v>0</v>
      </c>
    </row>
    <row r="254" spans="1:6" ht="18.75" customHeight="1">
      <c r="A254" s="7"/>
      <c r="B254" s="52" t="s">
        <v>833</v>
      </c>
      <c r="C254" s="7" t="s">
        <v>834</v>
      </c>
      <c r="D254" s="7">
        <f>F252+F253</f>
        <v>8120</v>
      </c>
      <c r="E254" s="7">
        <v>1</v>
      </c>
      <c r="F254" s="53">
        <f>D254*E254/100</f>
        <v>81.2</v>
      </c>
    </row>
    <row r="255" spans="1:6" ht="18.75" customHeight="1">
      <c r="A255" s="7" t="s">
        <v>835</v>
      </c>
      <c r="B255" s="52" t="s">
        <v>932</v>
      </c>
      <c r="C255" s="7"/>
      <c r="D255" s="7"/>
      <c r="E255" s="7"/>
      <c r="F255" s="53">
        <f>F256+F257</f>
        <v>62.848554641598135</v>
      </c>
    </row>
    <row r="256" spans="1:6" ht="18.75" customHeight="1">
      <c r="A256" s="7"/>
      <c r="B256" s="52" t="s">
        <v>935</v>
      </c>
      <c r="C256" s="7" t="s">
        <v>863</v>
      </c>
      <c r="D256" s="66">
        <f>施工机械台时汇总!$C$21</f>
        <v>28.129680376028197</v>
      </c>
      <c r="E256" s="7">
        <v>0</v>
      </c>
      <c r="F256" s="53">
        <f>D256*E256</f>
        <v>0</v>
      </c>
    </row>
    <row r="257" spans="1:6" ht="18.75" customHeight="1">
      <c r="A257" s="7"/>
      <c r="B257" s="52" t="s">
        <v>862</v>
      </c>
      <c r="C257" s="7" t="s">
        <v>863</v>
      </c>
      <c r="D257" s="7">
        <f>施工机械台时汇总!$C$19</f>
        <v>0.80266353309831595</v>
      </c>
      <c r="E257" s="7">
        <v>78.3</v>
      </c>
      <c r="F257" s="53">
        <f>D257*E257</f>
        <v>62.848554641598135</v>
      </c>
    </row>
    <row r="258" spans="1:6" ht="18.75" customHeight="1">
      <c r="A258" s="7"/>
      <c r="B258" s="52"/>
      <c r="C258" s="7"/>
      <c r="D258" s="7"/>
      <c r="E258" s="7"/>
      <c r="F258" s="53"/>
    </row>
    <row r="259" spans="1:6" ht="18.75" customHeight="1">
      <c r="A259" s="7">
        <v>1.2</v>
      </c>
      <c r="B259" s="52" t="s">
        <v>841</v>
      </c>
      <c r="C259" s="7"/>
      <c r="D259" s="53">
        <f>F247</f>
        <v>11458.003554641598</v>
      </c>
      <c r="E259" s="56">
        <f>E231</f>
        <v>4.8000000000000001E-2</v>
      </c>
      <c r="F259" s="53">
        <f>D259*E259</f>
        <v>549.98417062279668</v>
      </c>
    </row>
    <row r="260" spans="1:6" ht="18.75" customHeight="1">
      <c r="A260" s="7">
        <v>1.3</v>
      </c>
      <c r="B260" s="52" t="s">
        <v>842</v>
      </c>
      <c r="C260" s="7"/>
      <c r="D260" s="53">
        <f>F247</f>
        <v>11458.003554641598</v>
      </c>
      <c r="E260" s="56">
        <f>E232</f>
        <v>0</v>
      </c>
      <c r="F260" s="53">
        <f>D260*E260</f>
        <v>0</v>
      </c>
    </row>
    <row r="261" spans="1:6" ht="18.75" customHeight="1">
      <c r="A261" s="7">
        <v>2</v>
      </c>
      <c r="B261" s="52" t="s">
        <v>182</v>
      </c>
      <c r="C261" s="7"/>
      <c r="D261" s="53">
        <f>F246</f>
        <v>12007.987725264395</v>
      </c>
      <c r="E261" s="56">
        <f>E233</f>
        <v>8.5000000000000006E-2</v>
      </c>
      <c r="F261" s="53">
        <f>D261*E261</f>
        <v>1020.6789566474736</v>
      </c>
    </row>
    <row r="262" spans="1:6" ht="18.75" customHeight="1">
      <c r="A262" s="7">
        <v>3</v>
      </c>
      <c r="B262" s="52" t="s">
        <v>843</v>
      </c>
      <c r="C262" s="7"/>
      <c r="D262" s="53">
        <f>F246+F261</f>
        <v>13028.666681911869</v>
      </c>
      <c r="E262" s="56">
        <f>E234</f>
        <v>7.0000000000000007E-2</v>
      </c>
      <c r="F262" s="53">
        <f>D262*E262</f>
        <v>912.00666773383091</v>
      </c>
    </row>
    <row r="263" spans="1:6" ht="18.75" customHeight="1">
      <c r="A263" s="7">
        <v>4</v>
      </c>
      <c r="B263" s="52" t="s">
        <v>184</v>
      </c>
      <c r="C263" s="7"/>
      <c r="D263" s="7"/>
      <c r="E263" s="7"/>
      <c r="F263" s="53">
        <f>F264</f>
        <v>4467.9313999999995</v>
      </c>
    </row>
    <row r="264" spans="1:6" ht="18.75" customHeight="1">
      <c r="A264" s="7"/>
      <c r="B264" s="52" t="s">
        <v>511</v>
      </c>
      <c r="C264" s="7" t="s">
        <v>871</v>
      </c>
      <c r="D264" s="66">
        <f>D236</f>
        <v>38.516649999999998</v>
      </c>
      <c r="E264" s="7">
        <f>E252</f>
        <v>116</v>
      </c>
      <c r="F264" s="53">
        <f>D264*E264</f>
        <v>4467.9313999999995</v>
      </c>
    </row>
    <row r="265" spans="1:6" ht="18.75" customHeight="1">
      <c r="A265" s="7">
        <v>5</v>
      </c>
      <c r="B265" s="52" t="s">
        <v>845</v>
      </c>
      <c r="C265" s="7"/>
      <c r="D265" s="53">
        <f>F246+F261+F263+F262</f>
        <v>18408.604749645703</v>
      </c>
      <c r="E265" s="56">
        <f>E237</f>
        <v>0.09</v>
      </c>
      <c r="F265" s="53">
        <f>D265*E265</f>
        <v>1656.7744274681131</v>
      </c>
    </row>
    <row r="266" spans="1:6" ht="18.75" customHeight="1">
      <c r="A266" s="7">
        <v>6</v>
      </c>
      <c r="B266" s="52" t="s">
        <v>7</v>
      </c>
      <c r="C266" s="7"/>
      <c r="D266" s="7"/>
      <c r="E266" s="7"/>
      <c r="F266" s="53">
        <f>F246+F261+F262+F263+F265</f>
        <v>20065.379177113813</v>
      </c>
    </row>
    <row r="267" spans="1:6" ht="18.75" customHeight="1">
      <c r="A267" s="7"/>
      <c r="B267" s="52" t="s">
        <v>846</v>
      </c>
      <c r="C267" s="7"/>
      <c r="D267" s="53">
        <f>F266</f>
        <v>20065.379177113813</v>
      </c>
      <c r="E267" s="56">
        <f>E239</f>
        <v>0.03</v>
      </c>
      <c r="F267" s="53">
        <f>E267*D267</f>
        <v>601.96137531341435</v>
      </c>
    </row>
    <row r="268" spans="1:6" ht="18.75" customHeight="1">
      <c r="A268" s="7"/>
      <c r="B268" s="52" t="s">
        <v>44</v>
      </c>
      <c r="C268" s="7"/>
      <c r="D268" s="7"/>
      <c r="E268" s="7"/>
      <c r="F268" s="53">
        <f>SUM(F266:F267)</f>
        <v>20667.340552427228</v>
      </c>
    </row>
    <row r="269" spans="1:6" ht="22.5" customHeight="1">
      <c r="A269" s="461" t="s">
        <v>813</v>
      </c>
      <c r="B269" s="461"/>
      <c r="C269" s="461"/>
      <c r="D269" s="461"/>
      <c r="E269" s="461"/>
      <c r="F269" s="461"/>
    </row>
    <row r="270" spans="1:6" ht="18.75" customHeight="1">
      <c r="A270" s="481" t="s">
        <v>1093</v>
      </c>
      <c r="B270" s="481"/>
      <c r="C270" s="481"/>
      <c r="D270" s="481"/>
      <c r="E270" s="481"/>
      <c r="F270" s="481"/>
    </row>
    <row r="271" spans="1:6" ht="18.75" customHeight="1">
      <c r="A271" s="47" t="s">
        <v>815</v>
      </c>
      <c r="B271" s="49">
        <v>9013</v>
      </c>
      <c r="D271" s="71"/>
      <c r="E271" s="47" t="s">
        <v>169</v>
      </c>
      <c r="F271" s="49" t="s">
        <v>869</v>
      </c>
    </row>
    <row r="272" spans="1:6" ht="18.75" customHeight="1">
      <c r="A272" s="50" t="s">
        <v>817</v>
      </c>
      <c r="B272" s="458"/>
      <c r="C272" s="459"/>
      <c r="D272" s="459"/>
      <c r="E272" s="459"/>
      <c r="F272" s="460"/>
    </row>
    <row r="273" spans="1:6" ht="18.75" customHeight="1">
      <c r="A273" s="7" t="s">
        <v>1</v>
      </c>
      <c r="B273" s="52" t="s">
        <v>344</v>
      </c>
      <c r="C273" s="7" t="s">
        <v>818</v>
      </c>
      <c r="D273" s="7" t="s">
        <v>819</v>
      </c>
      <c r="E273" s="7" t="s">
        <v>820</v>
      </c>
      <c r="F273" s="7" t="s">
        <v>821</v>
      </c>
    </row>
    <row r="274" spans="1:6" ht="18.75" customHeight="1">
      <c r="A274" s="7">
        <v>1</v>
      </c>
      <c r="B274" s="52" t="s">
        <v>822</v>
      </c>
      <c r="C274" s="7"/>
      <c r="D274" s="7"/>
      <c r="E274" s="7"/>
      <c r="F274" s="53">
        <f>F275+F287+F288</f>
        <v>12176.813189264394</v>
      </c>
    </row>
    <row r="275" spans="1:6" ht="18.75" customHeight="1">
      <c r="A275" s="7">
        <v>1.1000000000000001</v>
      </c>
      <c r="B275" s="52" t="s">
        <v>823</v>
      </c>
      <c r="C275" s="7"/>
      <c r="D275" s="7"/>
      <c r="E275" s="7"/>
      <c r="F275" s="53">
        <f>F276+F279+F283+F286</f>
        <v>11619.096554641597</v>
      </c>
    </row>
    <row r="276" spans="1:6" ht="18.75" customHeight="1">
      <c r="A276" s="7" t="s">
        <v>47</v>
      </c>
      <c r="B276" s="52" t="s">
        <v>176</v>
      </c>
      <c r="C276" s="7"/>
      <c r="D276" s="7"/>
      <c r="E276" s="7"/>
      <c r="F276" s="53">
        <f>F277+F278</f>
        <v>3395.6480000000001</v>
      </c>
    </row>
    <row r="277" spans="1:6" ht="18.75" customHeight="1">
      <c r="A277" s="7"/>
      <c r="B277" s="52" t="s">
        <v>824</v>
      </c>
      <c r="C277" s="7" t="s">
        <v>825</v>
      </c>
      <c r="D277" s="7">
        <v>8.1</v>
      </c>
      <c r="E277" s="7">
        <v>157.5</v>
      </c>
      <c r="F277" s="53">
        <f>D277*E277</f>
        <v>1275.75</v>
      </c>
    </row>
    <row r="278" spans="1:6" ht="18.75" customHeight="1">
      <c r="A278" s="7"/>
      <c r="B278" s="52" t="s">
        <v>826</v>
      </c>
      <c r="C278" s="7" t="s">
        <v>825</v>
      </c>
      <c r="D278" s="7">
        <v>5.77</v>
      </c>
      <c r="E278" s="7">
        <v>367.4</v>
      </c>
      <c r="F278" s="53">
        <f>D278*E278</f>
        <v>2119.8980000000001</v>
      </c>
    </row>
    <row r="279" spans="1:6" ht="18.75" customHeight="1">
      <c r="A279" s="7" t="s">
        <v>57</v>
      </c>
      <c r="B279" s="52" t="s">
        <v>177</v>
      </c>
      <c r="C279" s="7"/>
      <c r="D279" s="7"/>
      <c r="E279" s="7"/>
      <c r="F279" s="53">
        <f>F280+F281+F282</f>
        <v>8160.6</v>
      </c>
    </row>
    <row r="280" spans="1:6" ht="18.75" customHeight="1">
      <c r="A280" s="7"/>
      <c r="B280" s="52" t="s">
        <v>511</v>
      </c>
      <c r="C280" s="7" t="s">
        <v>871</v>
      </c>
      <c r="D280" s="7">
        <f>D252</f>
        <v>70</v>
      </c>
      <c r="E280" s="7">
        <v>116</v>
      </c>
      <c r="F280" s="53">
        <f>D280*E280</f>
        <v>8120</v>
      </c>
    </row>
    <row r="281" spans="1:6" ht="18.75" customHeight="1">
      <c r="A281" s="7"/>
      <c r="B281" s="52" t="s">
        <v>975</v>
      </c>
      <c r="C281" s="7" t="s">
        <v>871</v>
      </c>
      <c r="D281" s="66">
        <f>D253</f>
        <v>144.59654</v>
      </c>
      <c r="E281" s="7">
        <v>0</v>
      </c>
      <c r="F281" s="53">
        <f>D281*E281</f>
        <v>0</v>
      </c>
    </row>
    <row r="282" spans="1:6" ht="18.75" customHeight="1">
      <c r="A282" s="7"/>
      <c r="B282" s="52" t="s">
        <v>833</v>
      </c>
      <c r="C282" s="7" t="s">
        <v>834</v>
      </c>
      <c r="D282" s="7">
        <f>F280+F281</f>
        <v>8120</v>
      </c>
      <c r="E282" s="7">
        <v>0.5</v>
      </c>
      <c r="F282" s="53">
        <f>D282*E282/100</f>
        <v>40.6</v>
      </c>
    </row>
    <row r="283" spans="1:6" ht="18.75" customHeight="1">
      <c r="A283" s="7" t="s">
        <v>835</v>
      </c>
      <c r="B283" s="52" t="s">
        <v>932</v>
      </c>
      <c r="C283" s="7"/>
      <c r="D283" s="7"/>
      <c r="E283" s="7"/>
      <c r="F283" s="53">
        <f>F284+F285</f>
        <v>62.848554641598135</v>
      </c>
    </row>
    <row r="284" spans="1:6" ht="18.75" customHeight="1">
      <c r="A284" s="7"/>
      <c r="B284" s="52" t="s">
        <v>935</v>
      </c>
      <c r="C284" s="7" t="s">
        <v>863</v>
      </c>
      <c r="D284" s="66">
        <f>施工机械台时汇总!$C$21</f>
        <v>28.129680376028197</v>
      </c>
      <c r="E284" s="7">
        <v>0</v>
      </c>
      <c r="F284" s="53">
        <f>D284*E284</f>
        <v>0</v>
      </c>
    </row>
    <row r="285" spans="1:6" ht="18.75" customHeight="1">
      <c r="A285" s="7"/>
      <c r="B285" s="52" t="s">
        <v>862</v>
      </c>
      <c r="C285" s="7" t="s">
        <v>863</v>
      </c>
      <c r="D285" s="7">
        <f>施工机械台时汇总!$C$19</f>
        <v>0.80266353309831595</v>
      </c>
      <c r="E285" s="7">
        <v>78.3</v>
      </c>
      <c r="F285" s="53">
        <f>D285*E285</f>
        <v>62.848554641598135</v>
      </c>
    </row>
    <row r="286" spans="1:6" ht="18.75" customHeight="1">
      <c r="A286" s="7"/>
      <c r="B286" s="52"/>
      <c r="C286" s="7"/>
      <c r="D286" s="7"/>
      <c r="E286" s="7"/>
      <c r="F286" s="53"/>
    </row>
    <row r="287" spans="1:6" ht="18.75" customHeight="1">
      <c r="A287" s="7">
        <v>1.2</v>
      </c>
      <c r="B287" s="52" t="s">
        <v>841</v>
      </c>
      <c r="C287" s="7"/>
      <c r="D287" s="53">
        <f>F275</f>
        <v>11619.096554641597</v>
      </c>
      <c r="E287" s="56">
        <f>E259</f>
        <v>4.8000000000000001E-2</v>
      </c>
      <c r="F287" s="53">
        <f>D287*E287</f>
        <v>557.71663462279673</v>
      </c>
    </row>
    <row r="288" spans="1:6" ht="18.75" customHeight="1">
      <c r="A288" s="7">
        <v>1.3</v>
      </c>
      <c r="B288" s="52" t="s">
        <v>842</v>
      </c>
      <c r="C288" s="7"/>
      <c r="D288" s="53">
        <f>F275</f>
        <v>11619.096554641597</v>
      </c>
      <c r="E288" s="56">
        <f>E260</f>
        <v>0</v>
      </c>
      <c r="F288" s="53">
        <f>D288*E288</f>
        <v>0</v>
      </c>
    </row>
    <row r="289" spans="1:6" ht="18.75" customHeight="1">
      <c r="A289" s="7">
        <v>2</v>
      </c>
      <c r="B289" s="52" t="s">
        <v>182</v>
      </c>
      <c r="C289" s="7"/>
      <c r="D289" s="53">
        <f>F274</f>
        <v>12176.813189264394</v>
      </c>
      <c r="E289" s="56">
        <f>E261</f>
        <v>8.5000000000000006E-2</v>
      </c>
      <c r="F289" s="53">
        <f>D289*E289</f>
        <v>1035.0291210874736</v>
      </c>
    </row>
    <row r="290" spans="1:6" ht="18.75" customHeight="1">
      <c r="A290" s="7">
        <v>3</v>
      </c>
      <c r="B290" s="52" t="s">
        <v>843</v>
      </c>
      <c r="C290" s="7"/>
      <c r="D290" s="53">
        <f>F274+F289</f>
        <v>13211.842310351867</v>
      </c>
      <c r="E290" s="56">
        <f>E262</f>
        <v>7.0000000000000007E-2</v>
      </c>
      <c r="F290" s="53">
        <f>D290*E290</f>
        <v>924.82896172463074</v>
      </c>
    </row>
    <row r="291" spans="1:6" ht="18.75" customHeight="1">
      <c r="A291" s="7">
        <v>4</v>
      </c>
      <c r="B291" s="52" t="s">
        <v>184</v>
      </c>
      <c r="C291" s="7"/>
      <c r="D291" s="7"/>
      <c r="E291" s="7"/>
      <c r="F291" s="53">
        <f>F292</f>
        <v>4467.9313999999995</v>
      </c>
    </row>
    <row r="292" spans="1:6" ht="18.75" customHeight="1">
      <c r="A292" s="7"/>
      <c r="B292" s="52" t="s">
        <v>511</v>
      </c>
      <c r="C292" s="7" t="s">
        <v>871</v>
      </c>
      <c r="D292" s="66">
        <f>D264</f>
        <v>38.516649999999998</v>
      </c>
      <c r="E292" s="7">
        <f>E280</f>
        <v>116</v>
      </c>
      <c r="F292" s="53">
        <f>D292*E292</f>
        <v>4467.9313999999995</v>
      </c>
    </row>
    <row r="293" spans="1:6" ht="18.75" customHeight="1">
      <c r="A293" s="7">
        <v>5</v>
      </c>
      <c r="B293" s="52" t="s">
        <v>845</v>
      </c>
      <c r="C293" s="7"/>
      <c r="D293" s="53">
        <f>F274+F289+F291+F290</f>
        <v>18604.602672076497</v>
      </c>
      <c r="E293" s="56">
        <f>E265</f>
        <v>0.09</v>
      </c>
      <c r="F293" s="53">
        <f>D293*E293</f>
        <v>1674.4142404868846</v>
      </c>
    </row>
    <row r="294" spans="1:6" ht="18.75" customHeight="1">
      <c r="A294" s="7">
        <v>6</v>
      </c>
      <c r="B294" s="52" t="s">
        <v>7</v>
      </c>
      <c r="C294" s="7"/>
      <c r="D294" s="7"/>
      <c r="E294" s="7"/>
      <c r="F294" s="53">
        <f>F274+F289+F290+F291+F293</f>
        <v>20279.01691256338</v>
      </c>
    </row>
    <row r="295" spans="1:6" ht="18.75" customHeight="1">
      <c r="A295" s="7"/>
      <c r="B295" s="52" t="s">
        <v>846</v>
      </c>
      <c r="C295" s="7"/>
      <c r="D295" s="53">
        <f>F294</f>
        <v>20279.01691256338</v>
      </c>
      <c r="E295" s="56">
        <f>E267</f>
        <v>0.03</v>
      </c>
      <c r="F295" s="53">
        <f>E295*D295</f>
        <v>608.3705073769014</v>
      </c>
    </row>
    <row r="296" spans="1:6" ht="18.75" customHeight="1">
      <c r="A296" s="7"/>
      <c r="B296" s="52" t="s">
        <v>44</v>
      </c>
      <c r="C296" s="7"/>
      <c r="D296" s="7"/>
      <c r="E296" s="7"/>
      <c r="F296" s="53">
        <f>SUM(F294:F295)</f>
        <v>20887.387419940282</v>
      </c>
    </row>
    <row r="297" spans="1:6" ht="22.5" customHeight="1">
      <c r="A297" s="461" t="s">
        <v>813</v>
      </c>
      <c r="B297" s="461"/>
      <c r="C297" s="461"/>
      <c r="D297" s="461"/>
      <c r="E297" s="461"/>
      <c r="F297" s="461"/>
    </row>
    <row r="298" spans="1:6" ht="18.75" customHeight="1">
      <c r="A298" s="481" t="s">
        <v>1094</v>
      </c>
      <c r="B298" s="481"/>
      <c r="C298" s="481"/>
      <c r="D298" s="481"/>
      <c r="E298" s="481"/>
      <c r="F298" s="481"/>
    </row>
    <row r="299" spans="1:6" ht="18.75" customHeight="1">
      <c r="A299" s="47" t="s">
        <v>815</v>
      </c>
      <c r="B299" s="49">
        <v>9014</v>
      </c>
      <c r="D299" s="71"/>
      <c r="E299" s="47" t="s">
        <v>169</v>
      </c>
      <c r="F299" s="49" t="s">
        <v>869</v>
      </c>
    </row>
    <row r="300" spans="1:6" ht="18.75" customHeight="1">
      <c r="A300" s="50" t="s">
        <v>817</v>
      </c>
      <c r="B300" s="458"/>
      <c r="C300" s="459"/>
      <c r="D300" s="459"/>
      <c r="E300" s="459"/>
      <c r="F300" s="460"/>
    </row>
    <row r="301" spans="1:6" ht="18.75" customHeight="1">
      <c r="A301" s="7" t="s">
        <v>1</v>
      </c>
      <c r="B301" s="52" t="s">
        <v>344</v>
      </c>
      <c r="C301" s="7" t="s">
        <v>818</v>
      </c>
      <c r="D301" s="7" t="s">
        <v>819</v>
      </c>
      <c r="E301" s="7" t="s">
        <v>820</v>
      </c>
      <c r="F301" s="7" t="s">
        <v>821</v>
      </c>
    </row>
    <row r="302" spans="1:6" ht="18.75" customHeight="1">
      <c r="A302" s="7">
        <v>1</v>
      </c>
      <c r="B302" s="52" t="s">
        <v>822</v>
      </c>
      <c r="C302" s="7"/>
      <c r="D302" s="7"/>
      <c r="E302" s="7"/>
      <c r="F302" s="53">
        <f>F303+F315+F316</f>
        <v>10710.305858563261</v>
      </c>
    </row>
    <row r="303" spans="1:6" ht="18.75" customHeight="1">
      <c r="A303" s="7">
        <v>1.1000000000000001</v>
      </c>
      <c r="B303" s="52" t="s">
        <v>823</v>
      </c>
      <c r="C303" s="7"/>
      <c r="D303" s="7"/>
      <c r="E303" s="7"/>
      <c r="F303" s="53">
        <f>F304+F307+F311+F314</f>
        <v>10219.757498629066</v>
      </c>
    </row>
    <row r="304" spans="1:6" ht="18.75" customHeight="1">
      <c r="A304" s="7" t="s">
        <v>47</v>
      </c>
      <c r="B304" s="52" t="s">
        <v>176</v>
      </c>
      <c r="C304" s="7"/>
      <c r="D304" s="7"/>
      <c r="E304" s="7"/>
      <c r="F304" s="53">
        <f>F305+F306</f>
        <v>2350.788</v>
      </c>
    </row>
    <row r="305" spans="1:6" ht="18.75" customHeight="1">
      <c r="A305" s="7"/>
      <c r="B305" s="52" t="s">
        <v>824</v>
      </c>
      <c r="C305" s="7" t="s">
        <v>825</v>
      </c>
      <c r="D305" s="7">
        <v>8.1</v>
      </c>
      <c r="E305" s="7">
        <v>109</v>
      </c>
      <c r="F305" s="53">
        <f>D305*E305</f>
        <v>882.9</v>
      </c>
    </row>
    <row r="306" spans="1:6" ht="18.75" customHeight="1">
      <c r="A306" s="7"/>
      <c r="B306" s="52" t="s">
        <v>826</v>
      </c>
      <c r="C306" s="7" t="s">
        <v>825</v>
      </c>
      <c r="D306" s="7">
        <v>5.77</v>
      </c>
      <c r="E306" s="7">
        <v>254.4</v>
      </c>
      <c r="F306" s="53">
        <f>D306*E306</f>
        <v>1467.8879999999999</v>
      </c>
    </row>
    <row r="307" spans="1:6" ht="18.75" customHeight="1">
      <c r="A307" s="7" t="s">
        <v>57</v>
      </c>
      <c r="B307" s="52" t="s">
        <v>177</v>
      </c>
      <c r="C307" s="7"/>
      <c r="D307" s="7"/>
      <c r="E307" s="7"/>
      <c r="F307" s="53">
        <f>F308+F309+F310</f>
        <v>7808.85</v>
      </c>
    </row>
    <row r="308" spans="1:6" ht="18.75" customHeight="1">
      <c r="A308" s="7"/>
      <c r="B308" s="52" t="s">
        <v>511</v>
      </c>
      <c r="C308" s="7" t="s">
        <v>871</v>
      </c>
      <c r="D308" s="7">
        <f>D280</f>
        <v>70</v>
      </c>
      <c r="E308" s="7">
        <v>111</v>
      </c>
      <c r="F308" s="53">
        <f>D308*E308</f>
        <v>7770</v>
      </c>
    </row>
    <row r="309" spans="1:6" ht="18.75" customHeight="1">
      <c r="A309" s="7"/>
      <c r="B309" s="52" t="s">
        <v>975</v>
      </c>
      <c r="C309" s="7" t="s">
        <v>871</v>
      </c>
      <c r="D309" s="66">
        <f>D281</f>
        <v>144.59654</v>
      </c>
      <c r="E309" s="7">
        <v>0</v>
      </c>
      <c r="F309" s="53">
        <f>D309*E309</f>
        <v>0</v>
      </c>
    </row>
    <row r="310" spans="1:6" ht="18.75" customHeight="1">
      <c r="A310" s="7"/>
      <c r="B310" s="52" t="s">
        <v>833</v>
      </c>
      <c r="C310" s="7" t="s">
        <v>834</v>
      </c>
      <c r="D310" s="7">
        <f>F308+F309</f>
        <v>7770</v>
      </c>
      <c r="E310" s="7">
        <v>0.5</v>
      </c>
      <c r="F310" s="53">
        <f>D310*E310/100</f>
        <v>38.85</v>
      </c>
    </row>
    <row r="311" spans="1:6" ht="18.75" customHeight="1">
      <c r="A311" s="7" t="s">
        <v>835</v>
      </c>
      <c r="B311" s="52" t="s">
        <v>932</v>
      </c>
      <c r="C311" s="7"/>
      <c r="D311" s="7"/>
      <c r="E311" s="7"/>
      <c r="F311" s="53">
        <f>F312+F313</f>
        <v>60.11949862906387</v>
      </c>
    </row>
    <row r="312" spans="1:6" ht="18.75" customHeight="1">
      <c r="A312" s="7"/>
      <c r="B312" s="52" t="s">
        <v>935</v>
      </c>
      <c r="C312" s="7" t="s">
        <v>863</v>
      </c>
      <c r="D312" s="66">
        <f>施工机械台时汇总!$C$21</f>
        <v>28.129680376028197</v>
      </c>
      <c r="E312" s="7">
        <v>0</v>
      </c>
      <c r="F312" s="53">
        <f>D312*E312</f>
        <v>0</v>
      </c>
    </row>
    <row r="313" spans="1:6" ht="18.75" customHeight="1">
      <c r="A313" s="7"/>
      <c r="B313" s="52" t="s">
        <v>862</v>
      </c>
      <c r="C313" s="7" t="s">
        <v>863</v>
      </c>
      <c r="D313" s="7">
        <f>施工机械台时汇总!$C$19</f>
        <v>0.80266353309831595</v>
      </c>
      <c r="E313" s="7">
        <v>74.900000000000006</v>
      </c>
      <c r="F313" s="53">
        <f>D313*E313</f>
        <v>60.11949862906387</v>
      </c>
    </row>
    <row r="314" spans="1:6" ht="18.75" customHeight="1">
      <c r="A314" s="7"/>
      <c r="B314" s="52"/>
      <c r="C314" s="7"/>
      <c r="D314" s="7"/>
      <c r="E314" s="7"/>
      <c r="F314" s="53"/>
    </row>
    <row r="315" spans="1:6" ht="18.75" customHeight="1">
      <c r="A315" s="7">
        <v>1.2</v>
      </c>
      <c r="B315" s="52" t="s">
        <v>841</v>
      </c>
      <c r="C315" s="7"/>
      <c r="D315" s="53">
        <f>F303</f>
        <v>10219.757498629066</v>
      </c>
      <c r="E315" s="56">
        <f>E287</f>
        <v>4.8000000000000001E-2</v>
      </c>
      <c r="F315" s="53">
        <f>D315*E315</f>
        <v>490.54835993419516</v>
      </c>
    </row>
    <row r="316" spans="1:6" ht="18.75" customHeight="1">
      <c r="A316" s="7">
        <v>1.3</v>
      </c>
      <c r="B316" s="52" t="s">
        <v>842</v>
      </c>
      <c r="C316" s="7"/>
      <c r="D316" s="53">
        <f>F303</f>
        <v>10219.757498629066</v>
      </c>
      <c r="E316" s="56">
        <f>E288</f>
        <v>0</v>
      </c>
      <c r="F316" s="53">
        <f>D316*E316</f>
        <v>0</v>
      </c>
    </row>
    <row r="317" spans="1:6" ht="18.75" customHeight="1">
      <c r="A317" s="7">
        <v>2</v>
      </c>
      <c r="B317" s="52" t="s">
        <v>182</v>
      </c>
      <c r="C317" s="7"/>
      <c r="D317" s="53">
        <f>F302</f>
        <v>10710.305858563261</v>
      </c>
      <c r="E317" s="56">
        <f>E289</f>
        <v>8.5000000000000006E-2</v>
      </c>
      <c r="F317" s="53">
        <f>D317*E317</f>
        <v>910.3759979778772</v>
      </c>
    </row>
    <row r="318" spans="1:6" ht="18.75" customHeight="1">
      <c r="A318" s="7">
        <v>3</v>
      </c>
      <c r="B318" s="52" t="s">
        <v>843</v>
      </c>
      <c r="C318" s="7"/>
      <c r="D318" s="53">
        <f>F302+F317</f>
        <v>11620.681856541138</v>
      </c>
      <c r="E318" s="56">
        <f>E290</f>
        <v>7.0000000000000007E-2</v>
      </c>
      <c r="F318" s="53">
        <f>D318*E318</f>
        <v>813.44772995787969</v>
      </c>
    </row>
    <row r="319" spans="1:6" ht="18.75" customHeight="1">
      <c r="A319" s="7">
        <v>4</v>
      </c>
      <c r="B319" s="52" t="s">
        <v>184</v>
      </c>
      <c r="C319" s="7"/>
      <c r="D319" s="7"/>
      <c r="E319" s="7"/>
      <c r="F319" s="53">
        <f>F320</f>
        <v>4275.3481499999998</v>
      </c>
    </row>
    <row r="320" spans="1:6" ht="18.75" customHeight="1">
      <c r="A320" s="7"/>
      <c r="B320" s="52" t="s">
        <v>511</v>
      </c>
      <c r="C320" s="7" t="s">
        <v>871</v>
      </c>
      <c r="D320" s="66">
        <f>D292</f>
        <v>38.516649999999998</v>
      </c>
      <c r="E320" s="7">
        <f>E308</f>
        <v>111</v>
      </c>
      <c r="F320" s="53">
        <f>D320*E320</f>
        <v>4275.3481499999998</v>
      </c>
    </row>
    <row r="321" spans="1:6" ht="18.75" customHeight="1">
      <c r="A321" s="7">
        <v>5</v>
      </c>
      <c r="B321" s="52" t="s">
        <v>845</v>
      </c>
      <c r="C321" s="7"/>
      <c r="D321" s="53">
        <f>F302+F317+F319+F318</f>
        <v>16709.477736499019</v>
      </c>
      <c r="E321" s="56">
        <f>E293</f>
        <v>0.09</v>
      </c>
      <c r="F321" s="53">
        <f>D321*E321</f>
        <v>1503.8529962849116</v>
      </c>
    </row>
    <row r="322" spans="1:6" ht="18.75" customHeight="1">
      <c r="A322" s="7">
        <v>6</v>
      </c>
      <c r="B322" s="52" t="s">
        <v>7</v>
      </c>
      <c r="C322" s="7"/>
      <c r="D322" s="7"/>
      <c r="E322" s="7"/>
      <c r="F322" s="53">
        <f>F302+F317+F318+F319+F321</f>
        <v>18213.330732783928</v>
      </c>
    </row>
    <row r="323" spans="1:6" ht="18.75" customHeight="1">
      <c r="A323" s="7"/>
      <c r="B323" s="52" t="s">
        <v>846</v>
      </c>
      <c r="C323" s="7"/>
      <c r="D323" s="53">
        <f>F322</f>
        <v>18213.330732783928</v>
      </c>
      <c r="E323" s="56">
        <f>E295</f>
        <v>0.03</v>
      </c>
      <c r="F323" s="53">
        <f>E323*D323</f>
        <v>546.39992198351786</v>
      </c>
    </row>
    <row r="324" spans="1:6" ht="18.75" customHeight="1">
      <c r="A324" s="7"/>
      <c r="B324" s="52" t="s">
        <v>44</v>
      </c>
      <c r="C324" s="7"/>
      <c r="D324" s="7"/>
      <c r="E324" s="7"/>
      <c r="F324" s="53">
        <f>SUM(F322:F323)</f>
        <v>18759.730654767445</v>
      </c>
    </row>
    <row r="325" spans="1:6" ht="22.5" customHeight="1">
      <c r="A325" s="461" t="s">
        <v>813</v>
      </c>
      <c r="B325" s="461"/>
      <c r="C325" s="461"/>
      <c r="D325" s="461"/>
      <c r="E325" s="461"/>
      <c r="F325" s="461"/>
    </row>
    <row r="326" spans="1:6" ht="18.75" customHeight="1">
      <c r="A326" s="481" t="s">
        <v>1095</v>
      </c>
      <c r="B326" s="481"/>
      <c r="C326" s="481"/>
      <c r="D326" s="481"/>
      <c r="E326" s="481"/>
      <c r="F326" s="481"/>
    </row>
    <row r="327" spans="1:6" ht="18.75" customHeight="1">
      <c r="A327" s="47" t="s">
        <v>815</v>
      </c>
      <c r="B327" s="49">
        <v>9012</v>
      </c>
      <c r="D327" s="71"/>
      <c r="E327" s="47" t="s">
        <v>169</v>
      </c>
      <c r="F327" s="49" t="s">
        <v>869</v>
      </c>
    </row>
    <row r="328" spans="1:6" ht="18.75" customHeight="1">
      <c r="A328" s="50" t="s">
        <v>817</v>
      </c>
      <c r="B328" s="458"/>
      <c r="C328" s="459"/>
      <c r="D328" s="459"/>
      <c r="E328" s="459"/>
      <c r="F328" s="460"/>
    </row>
    <row r="329" spans="1:6" ht="18.75" customHeight="1">
      <c r="A329" s="7" t="s">
        <v>1</v>
      </c>
      <c r="B329" s="52" t="s">
        <v>344</v>
      </c>
      <c r="C329" s="7" t="s">
        <v>818</v>
      </c>
      <c r="D329" s="7" t="s">
        <v>819</v>
      </c>
      <c r="E329" s="7" t="s">
        <v>820</v>
      </c>
      <c r="F329" s="7" t="s">
        <v>821</v>
      </c>
    </row>
    <row r="330" spans="1:6" ht="18.75" customHeight="1">
      <c r="A330" s="7">
        <v>1</v>
      </c>
      <c r="B330" s="52" t="s">
        <v>822</v>
      </c>
      <c r="C330" s="7"/>
      <c r="D330" s="7"/>
      <c r="E330" s="7"/>
      <c r="F330" s="53">
        <f>F331+F343+F344</f>
        <v>14359.558715694477</v>
      </c>
    </row>
    <row r="331" spans="1:6" ht="18.75" customHeight="1">
      <c r="A331" s="7">
        <v>1.1000000000000001</v>
      </c>
      <c r="B331" s="52" t="s">
        <v>823</v>
      </c>
      <c r="C331" s="7"/>
      <c r="D331" s="7"/>
      <c r="E331" s="7"/>
      <c r="F331" s="53">
        <f>F332+F335+F339+F342</f>
        <v>13701.869003525264</v>
      </c>
    </row>
    <row r="332" spans="1:6" ht="18.75" customHeight="1">
      <c r="A332" s="7" t="s">
        <v>47</v>
      </c>
      <c r="B332" s="52" t="s">
        <v>176</v>
      </c>
      <c r="C332" s="7"/>
      <c r="D332" s="7"/>
      <c r="E332" s="7"/>
      <c r="F332" s="53">
        <f>F333+F334</f>
        <v>1754.6569999999999</v>
      </c>
    </row>
    <row r="333" spans="1:6" ht="18.75" customHeight="1">
      <c r="A333" s="7"/>
      <c r="B333" s="52" t="s">
        <v>824</v>
      </c>
      <c r="C333" s="7" t="s">
        <v>825</v>
      </c>
      <c r="D333" s="7">
        <v>8.1</v>
      </c>
      <c r="E333" s="7">
        <v>0</v>
      </c>
      <c r="F333" s="53">
        <f>D333*E333</f>
        <v>0</v>
      </c>
    </row>
    <row r="334" spans="1:6" ht="18.75" customHeight="1">
      <c r="A334" s="7"/>
      <c r="B334" s="52" t="s">
        <v>826</v>
      </c>
      <c r="C334" s="7" t="s">
        <v>825</v>
      </c>
      <c r="D334" s="7">
        <v>5.77</v>
      </c>
      <c r="E334" s="7">
        <v>304.10000000000002</v>
      </c>
      <c r="F334" s="53">
        <f>D334*E334</f>
        <v>1754.6569999999999</v>
      </c>
    </row>
    <row r="335" spans="1:6" ht="18.75" customHeight="1">
      <c r="A335" s="7" t="s">
        <v>57</v>
      </c>
      <c r="B335" s="52" t="s">
        <v>177</v>
      </c>
      <c r="C335" s="7"/>
      <c r="D335" s="7"/>
      <c r="E335" s="7"/>
      <c r="F335" s="53">
        <f>F336+F337+F338</f>
        <v>11896.885</v>
      </c>
    </row>
    <row r="336" spans="1:6" ht="18.75" customHeight="1">
      <c r="A336" s="7"/>
      <c r="B336" s="52" t="s">
        <v>511</v>
      </c>
      <c r="C336" s="7" t="s">
        <v>871</v>
      </c>
      <c r="D336" s="7">
        <f>D308</f>
        <v>70</v>
      </c>
      <c r="E336" s="7">
        <v>103</v>
      </c>
      <c r="F336" s="53">
        <f>D336*E336</f>
        <v>7210</v>
      </c>
    </row>
    <row r="337" spans="1:6" ht="18.75" customHeight="1">
      <c r="A337" s="7"/>
      <c r="B337" s="52" t="s">
        <v>1096</v>
      </c>
      <c r="C337" s="7" t="s">
        <v>844</v>
      </c>
      <c r="D337" s="66">
        <v>5.5</v>
      </c>
      <c r="E337" s="7">
        <v>850</v>
      </c>
      <c r="F337" s="53">
        <f>D337*E337</f>
        <v>4675</v>
      </c>
    </row>
    <row r="338" spans="1:6" ht="18.75" customHeight="1">
      <c r="A338" s="7"/>
      <c r="B338" s="52" t="s">
        <v>833</v>
      </c>
      <c r="C338" s="7" t="s">
        <v>834</v>
      </c>
      <c r="D338" s="7">
        <f>F336+F337</f>
        <v>11885</v>
      </c>
      <c r="E338" s="7">
        <v>0.1</v>
      </c>
      <c r="F338" s="53">
        <f>D338*E338/100</f>
        <v>11.885</v>
      </c>
    </row>
    <row r="339" spans="1:6" ht="18.75" customHeight="1">
      <c r="A339" s="7" t="s">
        <v>835</v>
      </c>
      <c r="B339" s="52" t="s">
        <v>932</v>
      </c>
      <c r="C339" s="7"/>
      <c r="D339" s="7"/>
      <c r="E339" s="7"/>
      <c r="F339" s="53">
        <f>F340+F341</f>
        <v>50.327003525264409</v>
      </c>
    </row>
    <row r="340" spans="1:6" ht="18.75" customHeight="1">
      <c r="A340" s="7"/>
      <c r="B340" s="52" t="s">
        <v>935</v>
      </c>
      <c r="C340" s="7" t="s">
        <v>863</v>
      </c>
      <c r="D340" s="66">
        <f>施工机械台时汇总!$C$21</f>
        <v>28.129680376028197</v>
      </c>
      <c r="E340" s="7">
        <v>0</v>
      </c>
      <c r="F340" s="53">
        <f>D340*E340</f>
        <v>0</v>
      </c>
    </row>
    <row r="341" spans="1:6" ht="18.75" customHeight="1">
      <c r="A341" s="7"/>
      <c r="B341" s="52" t="s">
        <v>862</v>
      </c>
      <c r="C341" s="7" t="s">
        <v>863</v>
      </c>
      <c r="D341" s="7">
        <f>施工机械台时汇总!$C$19</f>
        <v>0.80266353309831595</v>
      </c>
      <c r="E341" s="7">
        <v>62.7</v>
      </c>
      <c r="F341" s="53">
        <f>D341*E341</f>
        <v>50.327003525264409</v>
      </c>
    </row>
    <row r="342" spans="1:6" ht="18.75" customHeight="1">
      <c r="A342" s="7"/>
      <c r="B342" s="52"/>
      <c r="C342" s="7"/>
      <c r="D342" s="7"/>
      <c r="E342" s="7"/>
      <c r="F342" s="53"/>
    </row>
    <row r="343" spans="1:6" ht="18.75" customHeight="1">
      <c r="A343" s="7">
        <v>1.2</v>
      </c>
      <c r="B343" s="52" t="s">
        <v>841</v>
      </c>
      <c r="C343" s="7"/>
      <c r="D343" s="53">
        <f>F331</f>
        <v>13701.869003525264</v>
      </c>
      <c r="E343" s="56">
        <f>E315</f>
        <v>4.8000000000000001E-2</v>
      </c>
      <c r="F343" s="53">
        <f>D343*E343</f>
        <v>657.68971216921273</v>
      </c>
    </row>
    <row r="344" spans="1:6" ht="18.75" customHeight="1">
      <c r="A344" s="7">
        <v>1.3</v>
      </c>
      <c r="B344" s="52" t="s">
        <v>842</v>
      </c>
      <c r="C344" s="7"/>
      <c r="D344" s="53">
        <f>F331</f>
        <v>13701.869003525264</v>
      </c>
      <c r="E344" s="56">
        <f>E316</f>
        <v>0</v>
      </c>
      <c r="F344" s="53">
        <f>D344*E344</f>
        <v>0</v>
      </c>
    </row>
    <row r="345" spans="1:6" ht="18.75" customHeight="1">
      <c r="A345" s="7">
        <v>2</v>
      </c>
      <c r="B345" s="52" t="s">
        <v>182</v>
      </c>
      <c r="C345" s="7"/>
      <c r="D345" s="53">
        <f>F330</f>
        <v>14359.558715694477</v>
      </c>
      <c r="E345" s="56">
        <f>E317</f>
        <v>8.5000000000000006E-2</v>
      </c>
      <c r="F345" s="53">
        <f>D345*E345</f>
        <v>1220.5624908340305</v>
      </c>
    </row>
    <row r="346" spans="1:6" ht="18.75" customHeight="1">
      <c r="A346" s="7">
        <v>3</v>
      </c>
      <c r="B346" s="52" t="s">
        <v>843</v>
      </c>
      <c r="C346" s="7"/>
      <c r="D346" s="53">
        <f>F330+F345</f>
        <v>15580.121206528507</v>
      </c>
      <c r="E346" s="56">
        <f>E318</f>
        <v>7.0000000000000007E-2</v>
      </c>
      <c r="F346" s="53">
        <f>D346*E346</f>
        <v>1090.6084844569957</v>
      </c>
    </row>
    <row r="347" spans="1:6" ht="18.75" customHeight="1">
      <c r="A347" s="7">
        <v>4</v>
      </c>
      <c r="B347" s="52" t="s">
        <v>184</v>
      </c>
      <c r="C347" s="7"/>
      <c r="D347" s="7"/>
      <c r="E347" s="7"/>
      <c r="F347" s="53">
        <f>F348</f>
        <v>3967.21495</v>
      </c>
    </row>
    <row r="348" spans="1:6" ht="18.75" customHeight="1">
      <c r="A348" s="7"/>
      <c r="B348" s="52" t="s">
        <v>511</v>
      </c>
      <c r="C348" s="7" t="s">
        <v>871</v>
      </c>
      <c r="D348" s="66">
        <f>D320</f>
        <v>38.516649999999998</v>
      </c>
      <c r="E348" s="7">
        <f>E336</f>
        <v>103</v>
      </c>
      <c r="F348" s="53">
        <f>D348*E348</f>
        <v>3967.21495</v>
      </c>
    </row>
    <row r="349" spans="1:6" ht="18.75" customHeight="1">
      <c r="A349" s="7">
        <v>5</v>
      </c>
      <c r="B349" s="52" t="s">
        <v>845</v>
      </c>
      <c r="C349" s="7"/>
      <c r="D349" s="53">
        <f>F330+F345+F347+F346</f>
        <v>20637.944640985505</v>
      </c>
      <c r="E349" s="56">
        <f>E321</f>
        <v>0.09</v>
      </c>
      <c r="F349" s="53">
        <f>D349*E349</f>
        <v>1857.4150176886953</v>
      </c>
    </row>
    <row r="350" spans="1:6" ht="18.75" customHeight="1">
      <c r="A350" s="7">
        <v>6</v>
      </c>
      <c r="B350" s="52" t="s">
        <v>7</v>
      </c>
      <c r="C350" s="7"/>
      <c r="D350" s="7"/>
      <c r="E350" s="7"/>
      <c r="F350" s="53">
        <f>F330+F345+F346+F347+F349</f>
        <v>22495.359658674199</v>
      </c>
    </row>
    <row r="351" spans="1:6" ht="18.75" customHeight="1">
      <c r="A351" s="7"/>
      <c r="B351" s="52" t="s">
        <v>846</v>
      </c>
      <c r="C351" s="7"/>
      <c r="D351" s="53">
        <f>F350</f>
        <v>22495.359658674199</v>
      </c>
      <c r="E351" s="56">
        <f>E323</f>
        <v>0.03</v>
      </c>
      <c r="F351" s="53">
        <f>E351*D351</f>
        <v>674.86078976022588</v>
      </c>
    </row>
    <row r="352" spans="1:6" ht="18.75" customHeight="1">
      <c r="A352" s="7"/>
      <c r="B352" s="52" t="s">
        <v>44</v>
      </c>
      <c r="C352" s="7"/>
      <c r="D352" s="7"/>
      <c r="E352" s="7"/>
      <c r="F352" s="53">
        <f>SUM(F350:F351)</f>
        <v>23170.220448434426</v>
      </c>
    </row>
    <row r="353" spans="1:6" ht="22.5" customHeight="1">
      <c r="A353" s="461" t="s">
        <v>813</v>
      </c>
      <c r="B353" s="461"/>
      <c r="C353" s="461"/>
      <c r="D353" s="461"/>
      <c r="E353" s="461"/>
      <c r="F353" s="461"/>
    </row>
    <row r="354" spans="1:6" ht="18.75" customHeight="1">
      <c r="A354" s="481" t="s">
        <v>1097</v>
      </c>
      <c r="B354" s="481"/>
      <c r="C354" s="481"/>
      <c r="D354" s="481"/>
      <c r="E354" s="481"/>
      <c r="F354" s="481"/>
    </row>
    <row r="355" spans="1:6" ht="18.75" customHeight="1">
      <c r="A355" s="47" t="s">
        <v>815</v>
      </c>
      <c r="B355" s="49">
        <v>9010</v>
      </c>
      <c r="D355" s="71"/>
      <c r="E355" s="47" t="s">
        <v>169</v>
      </c>
      <c r="F355" s="49" t="s">
        <v>869</v>
      </c>
    </row>
    <row r="356" spans="1:6" ht="18.75" customHeight="1">
      <c r="A356" s="50" t="s">
        <v>817</v>
      </c>
      <c r="B356" s="458"/>
      <c r="C356" s="459"/>
      <c r="D356" s="459"/>
      <c r="E356" s="459"/>
      <c r="F356" s="460"/>
    </row>
    <row r="357" spans="1:6" ht="18.75" customHeight="1">
      <c r="A357" s="7" t="s">
        <v>1</v>
      </c>
      <c r="B357" s="52" t="s">
        <v>344</v>
      </c>
      <c r="C357" s="7" t="s">
        <v>818</v>
      </c>
      <c r="D357" s="7" t="s">
        <v>819</v>
      </c>
      <c r="E357" s="7" t="s">
        <v>820</v>
      </c>
      <c r="F357" s="7" t="s">
        <v>821</v>
      </c>
    </row>
    <row r="358" spans="1:6" ht="18.75" customHeight="1">
      <c r="A358" s="7">
        <v>1</v>
      </c>
      <c r="B358" s="52" t="s">
        <v>822</v>
      </c>
      <c r="C358" s="7"/>
      <c r="D358" s="7"/>
      <c r="E358" s="7"/>
      <c r="F358" s="53">
        <f>F359+F371+F372</f>
        <v>17523.931365264394</v>
      </c>
    </row>
    <row r="359" spans="1:6" ht="18.75" customHeight="1">
      <c r="A359" s="7">
        <v>1.1000000000000001</v>
      </c>
      <c r="B359" s="52" t="s">
        <v>823</v>
      </c>
      <c r="C359" s="7"/>
      <c r="D359" s="7"/>
      <c r="E359" s="7"/>
      <c r="F359" s="53">
        <f>F360+F363+F367+F370</f>
        <v>16721.308554641597</v>
      </c>
    </row>
    <row r="360" spans="1:6" ht="18.75" customHeight="1">
      <c r="A360" s="7" t="s">
        <v>47</v>
      </c>
      <c r="B360" s="52" t="s">
        <v>176</v>
      </c>
      <c r="C360" s="7"/>
      <c r="D360" s="7"/>
      <c r="E360" s="7"/>
      <c r="F360" s="53">
        <f>F361+F362</f>
        <v>3799.4850000000001</v>
      </c>
    </row>
    <row r="361" spans="1:6" ht="18.75" customHeight="1">
      <c r="A361" s="7"/>
      <c r="B361" s="52" t="s">
        <v>824</v>
      </c>
      <c r="C361" s="7" t="s">
        <v>825</v>
      </c>
      <c r="D361" s="7">
        <v>8.1</v>
      </c>
      <c r="E361" s="7">
        <v>196.6</v>
      </c>
      <c r="F361" s="53">
        <f>D361*E361</f>
        <v>1592.46</v>
      </c>
    </row>
    <row r="362" spans="1:6" ht="18.75" customHeight="1">
      <c r="A362" s="7"/>
      <c r="B362" s="52" t="s">
        <v>826</v>
      </c>
      <c r="C362" s="7" t="s">
        <v>825</v>
      </c>
      <c r="D362" s="7">
        <v>5.77</v>
      </c>
      <c r="E362" s="7">
        <v>382.5</v>
      </c>
      <c r="F362" s="53">
        <f>D362*E362</f>
        <v>2207.0250000000001</v>
      </c>
    </row>
    <row r="363" spans="1:6" ht="18.75" customHeight="1">
      <c r="A363" s="7" t="s">
        <v>57</v>
      </c>
      <c r="B363" s="52" t="s">
        <v>177</v>
      </c>
      <c r="C363" s="7"/>
      <c r="D363" s="7"/>
      <c r="E363" s="7"/>
      <c r="F363" s="53">
        <f>F364+F365+F366</f>
        <v>12858.975</v>
      </c>
    </row>
    <row r="364" spans="1:6" ht="18.75" customHeight="1">
      <c r="A364" s="7"/>
      <c r="B364" s="52" t="s">
        <v>511</v>
      </c>
      <c r="C364" s="7" t="s">
        <v>871</v>
      </c>
      <c r="D364" s="7">
        <f>D336</f>
        <v>70</v>
      </c>
      <c r="E364" s="7">
        <v>116</v>
      </c>
      <c r="F364" s="53">
        <f>D364*E364</f>
        <v>8120</v>
      </c>
    </row>
    <row r="365" spans="1:6" ht="18.75" customHeight="1">
      <c r="A365" s="7"/>
      <c r="B365" s="52" t="s">
        <v>1096</v>
      </c>
      <c r="C365" s="7" t="s">
        <v>844</v>
      </c>
      <c r="D365" s="66">
        <v>5.5</v>
      </c>
      <c r="E365" s="7">
        <v>850</v>
      </c>
      <c r="F365" s="53">
        <f>D365*E365</f>
        <v>4675</v>
      </c>
    </row>
    <row r="366" spans="1:6" ht="18.75" customHeight="1">
      <c r="A366" s="7"/>
      <c r="B366" s="52" t="s">
        <v>833</v>
      </c>
      <c r="C366" s="7" t="s">
        <v>834</v>
      </c>
      <c r="D366" s="7">
        <f>F364+F365</f>
        <v>12795</v>
      </c>
      <c r="E366" s="7">
        <v>0.5</v>
      </c>
      <c r="F366" s="53">
        <f>D366*E366/100</f>
        <v>63.975000000000001</v>
      </c>
    </row>
    <row r="367" spans="1:6" ht="18.75" customHeight="1">
      <c r="A367" s="7" t="s">
        <v>835</v>
      </c>
      <c r="B367" s="52" t="s">
        <v>932</v>
      </c>
      <c r="C367" s="7"/>
      <c r="D367" s="7"/>
      <c r="E367" s="7"/>
      <c r="F367" s="53">
        <f>F368+F369</f>
        <v>62.848554641598135</v>
      </c>
    </row>
    <row r="368" spans="1:6" ht="18.75" customHeight="1">
      <c r="A368" s="7"/>
      <c r="B368" s="52" t="s">
        <v>935</v>
      </c>
      <c r="C368" s="7" t="s">
        <v>863</v>
      </c>
      <c r="D368" s="66">
        <f>施工机械台时汇总!$C$21</f>
        <v>28.129680376028197</v>
      </c>
      <c r="E368" s="7">
        <v>0</v>
      </c>
      <c r="F368" s="53">
        <f>D368*E368</f>
        <v>0</v>
      </c>
    </row>
    <row r="369" spans="1:6" ht="18.75" customHeight="1">
      <c r="A369" s="7"/>
      <c r="B369" s="52" t="s">
        <v>862</v>
      </c>
      <c r="C369" s="7" t="s">
        <v>863</v>
      </c>
      <c r="D369" s="7">
        <f>施工机械台时汇总!$C$19</f>
        <v>0.80266353309831595</v>
      </c>
      <c r="E369" s="7">
        <v>78.3</v>
      </c>
      <c r="F369" s="53">
        <f>D369*E369</f>
        <v>62.848554641598135</v>
      </c>
    </row>
    <row r="370" spans="1:6" ht="18.75" customHeight="1">
      <c r="A370" s="7"/>
      <c r="B370" s="52"/>
      <c r="C370" s="7"/>
      <c r="D370" s="7"/>
      <c r="E370" s="7"/>
      <c r="F370" s="53"/>
    </row>
    <row r="371" spans="1:6" ht="18.75" customHeight="1">
      <c r="A371" s="7">
        <v>1.2</v>
      </c>
      <c r="B371" s="52" t="s">
        <v>841</v>
      </c>
      <c r="C371" s="7"/>
      <c r="D371" s="53">
        <f>F359</f>
        <v>16721.308554641597</v>
      </c>
      <c r="E371" s="56">
        <f>E343</f>
        <v>4.8000000000000001E-2</v>
      </c>
      <c r="F371" s="53">
        <f>D371*E371</f>
        <v>802.62281062279669</v>
      </c>
    </row>
    <row r="372" spans="1:6" ht="18.75" customHeight="1">
      <c r="A372" s="7">
        <v>1.3</v>
      </c>
      <c r="B372" s="52" t="s">
        <v>842</v>
      </c>
      <c r="C372" s="7"/>
      <c r="D372" s="53">
        <f>F359</f>
        <v>16721.308554641597</v>
      </c>
      <c r="E372" s="56">
        <f>E344</f>
        <v>0</v>
      </c>
      <c r="F372" s="53">
        <f>D372*E372</f>
        <v>0</v>
      </c>
    </row>
    <row r="373" spans="1:6" ht="18.75" customHeight="1">
      <c r="A373" s="7">
        <v>2</v>
      </c>
      <c r="B373" s="52" t="s">
        <v>182</v>
      </c>
      <c r="C373" s="7"/>
      <c r="D373" s="53">
        <f>F358</f>
        <v>17523.931365264394</v>
      </c>
      <c r="E373" s="56">
        <f>E345</f>
        <v>8.5000000000000006E-2</v>
      </c>
      <c r="F373" s="53">
        <f>D373*E373</f>
        <v>1489.5341660474737</v>
      </c>
    </row>
    <row r="374" spans="1:6" ht="18.75" customHeight="1">
      <c r="A374" s="7">
        <v>3</v>
      </c>
      <c r="B374" s="52" t="s">
        <v>843</v>
      </c>
      <c r="C374" s="7"/>
      <c r="D374" s="53">
        <f>F358+F373</f>
        <v>19013.465531311867</v>
      </c>
      <c r="E374" s="56">
        <f>E346</f>
        <v>7.0000000000000007E-2</v>
      </c>
      <c r="F374" s="53">
        <f>D374*E374</f>
        <v>1330.9425871918309</v>
      </c>
    </row>
    <row r="375" spans="1:6" ht="18.75" customHeight="1">
      <c r="A375" s="7">
        <v>4</v>
      </c>
      <c r="B375" s="52" t="s">
        <v>184</v>
      </c>
      <c r="C375" s="7"/>
      <c r="D375" s="7"/>
      <c r="E375" s="7"/>
      <c r="F375" s="53">
        <f>F376</f>
        <v>4467.9313999999995</v>
      </c>
    </row>
    <row r="376" spans="1:6" ht="18.75" customHeight="1">
      <c r="A376" s="7"/>
      <c r="B376" s="52" t="s">
        <v>511</v>
      </c>
      <c r="C376" s="7" t="s">
        <v>871</v>
      </c>
      <c r="D376" s="66">
        <f>D348</f>
        <v>38.516649999999998</v>
      </c>
      <c r="E376" s="7">
        <f>E364</f>
        <v>116</v>
      </c>
      <c r="F376" s="53">
        <f>D376*E376</f>
        <v>4467.9313999999995</v>
      </c>
    </row>
    <row r="377" spans="1:6" ht="18.75" customHeight="1">
      <c r="A377" s="7">
        <v>5</v>
      </c>
      <c r="B377" s="52" t="s">
        <v>845</v>
      </c>
      <c r="C377" s="7"/>
      <c r="D377" s="53">
        <f>F358+F373+F375+F374</f>
        <v>24812.339518503697</v>
      </c>
      <c r="E377" s="56">
        <f>E349</f>
        <v>0.09</v>
      </c>
      <c r="F377" s="53">
        <f>D377*E377</f>
        <v>2233.1105566653328</v>
      </c>
    </row>
    <row r="378" spans="1:6" ht="18.75" customHeight="1">
      <c r="A378" s="7">
        <v>6</v>
      </c>
      <c r="B378" s="52" t="s">
        <v>7</v>
      </c>
      <c r="C378" s="7"/>
      <c r="D378" s="7"/>
      <c r="E378" s="7"/>
      <c r="F378" s="53">
        <f>F358+F373+F374+F375+F377</f>
        <v>27045.450075169032</v>
      </c>
    </row>
    <row r="379" spans="1:6" ht="18.75" customHeight="1">
      <c r="A379" s="7"/>
      <c r="B379" s="52" t="s">
        <v>846</v>
      </c>
      <c r="C379" s="7"/>
      <c r="D379" s="53">
        <f>F378</f>
        <v>27045.450075169032</v>
      </c>
      <c r="E379" s="56">
        <f>E351</f>
        <v>0.03</v>
      </c>
      <c r="F379" s="53">
        <f>E379*D379</f>
        <v>811.3635022550709</v>
      </c>
    </row>
    <row r="380" spans="1:6" ht="18.75" customHeight="1">
      <c r="A380" s="7"/>
      <c r="B380" s="52" t="s">
        <v>44</v>
      </c>
      <c r="C380" s="7"/>
      <c r="D380" s="7"/>
      <c r="E380" s="7"/>
      <c r="F380" s="53">
        <f>SUM(F378:F379)</f>
        <v>27856.813577424102</v>
      </c>
    </row>
    <row r="381" spans="1:6" ht="22.5" customHeight="1">
      <c r="A381" s="461" t="s">
        <v>813</v>
      </c>
      <c r="B381" s="461"/>
      <c r="C381" s="461"/>
      <c r="D381" s="461"/>
      <c r="E381" s="461"/>
      <c r="F381" s="461"/>
    </row>
    <row r="382" spans="1:6" ht="18.75" customHeight="1">
      <c r="A382" s="481" t="s">
        <v>1098</v>
      </c>
      <c r="B382" s="481"/>
      <c r="C382" s="481"/>
      <c r="D382" s="481"/>
      <c r="E382" s="481"/>
      <c r="F382" s="481"/>
    </row>
    <row r="383" spans="1:6" ht="18.75" customHeight="1">
      <c r="A383" s="47" t="s">
        <v>815</v>
      </c>
      <c r="B383" s="49" t="s">
        <v>281</v>
      </c>
      <c r="D383" s="71"/>
      <c r="E383" s="47" t="s">
        <v>169</v>
      </c>
      <c r="F383" s="49" t="s">
        <v>869</v>
      </c>
    </row>
    <row r="384" spans="1:6" ht="18.75" customHeight="1">
      <c r="A384" s="50" t="s">
        <v>817</v>
      </c>
      <c r="B384" s="458"/>
      <c r="C384" s="459"/>
      <c r="D384" s="459"/>
      <c r="E384" s="459"/>
      <c r="F384" s="460"/>
    </row>
    <row r="385" spans="1:6" ht="18.75" customHeight="1">
      <c r="A385" s="7" t="s">
        <v>1</v>
      </c>
      <c r="B385" s="52" t="s">
        <v>344</v>
      </c>
      <c r="C385" s="7" t="s">
        <v>818</v>
      </c>
      <c r="D385" s="7" t="s">
        <v>819</v>
      </c>
      <c r="E385" s="7" t="s">
        <v>820</v>
      </c>
      <c r="F385" s="7" t="s">
        <v>821</v>
      </c>
    </row>
    <row r="386" spans="1:6" ht="18.75" customHeight="1">
      <c r="A386" s="7">
        <v>1</v>
      </c>
      <c r="B386" s="52" t="s">
        <v>822</v>
      </c>
      <c r="C386" s="7"/>
      <c r="D386" s="7"/>
      <c r="E386" s="7"/>
      <c r="F386" s="53">
        <f>F387+F399+F400</f>
        <v>35043.556179264393</v>
      </c>
    </row>
    <row r="387" spans="1:6" ht="18.75" customHeight="1">
      <c r="A387" s="7">
        <v>1.1000000000000001</v>
      </c>
      <c r="B387" s="52" t="s">
        <v>823</v>
      </c>
      <c r="C387" s="7"/>
      <c r="D387" s="7"/>
      <c r="E387" s="7"/>
      <c r="F387" s="53">
        <f>F388+F391+F395+F398</f>
        <v>33438.507804641595</v>
      </c>
    </row>
    <row r="388" spans="1:6" ht="18.75" customHeight="1">
      <c r="A388" s="7" t="s">
        <v>47</v>
      </c>
      <c r="B388" s="52" t="s">
        <v>176</v>
      </c>
      <c r="C388" s="7"/>
      <c r="D388" s="7"/>
      <c r="E388" s="7"/>
      <c r="F388" s="53">
        <f>F389+F390</f>
        <v>3989.4592499999999</v>
      </c>
    </row>
    <row r="389" spans="1:6" ht="18.75" customHeight="1">
      <c r="A389" s="7"/>
      <c r="B389" s="52" t="s">
        <v>824</v>
      </c>
      <c r="C389" s="7" t="s">
        <v>825</v>
      </c>
      <c r="D389" s="7">
        <v>8.1</v>
      </c>
      <c r="E389" s="7">
        <f>196.6*1.05</f>
        <v>206.43</v>
      </c>
      <c r="F389" s="53">
        <f>D389*E389</f>
        <v>1672.0830000000001</v>
      </c>
    </row>
    <row r="390" spans="1:6" ht="18.75" customHeight="1">
      <c r="A390" s="7"/>
      <c r="B390" s="52" t="s">
        <v>826</v>
      </c>
      <c r="C390" s="7" t="s">
        <v>825</v>
      </c>
      <c r="D390" s="7">
        <v>5.77</v>
      </c>
      <c r="E390" s="7">
        <f>382.5*1.05</f>
        <v>401.625</v>
      </c>
      <c r="F390" s="53">
        <f>D390*E390</f>
        <v>2317.3762499999998</v>
      </c>
    </row>
    <row r="391" spans="1:6" ht="18.75" customHeight="1">
      <c r="A391" s="7" t="s">
        <v>57</v>
      </c>
      <c r="B391" s="52" t="s">
        <v>177</v>
      </c>
      <c r="C391" s="7"/>
      <c r="D391" s="7"/>
      <c r="E391" s="7"/>
      <c r="F391" s="53">
        <f>F392+F393+F394</f>
        <v>29386.2</v>
      </c>
    </row>
    <row r="392" spans="1:6" ht="18.75" customHeight="1">
      <c r="A392" s="7"/>
      <c r="B392" s="52" t="s">
        <v>511</v>
      </c>
      <c r="C392" s="7" t="s">
        <v>871</v>
      </c>
      <c r="D392" s="7">
        <f>D364</f>
        <v>70</v>
      </c>
      <c r="E392" s="7">
        <v>116</v>
      </c>
      <c r="F392" s="53">
        <f>D392*E392</f>
        <v>8120</v>
      </c>
    </row>
    <row r="393" spans="1:6" ht="18.75" customHeight="1">
      <c r="A393" s="7"/>
      <c r="B393" s="52" t="s">
        <v>1099</v>
      </c>
      <c r="C393" s="7" t="s">
        <v>1047</v>
      </c>
      <c r="D393" s="66">
        <v>24</v>
      </c>
      <c r="E393" s="7">
        <v>880</v>
      </c>
      <c r="F393" s="53">
        <f>D393*E393</f>
        <v>21120</v>
      </c>
    </row>
    <row r="394" spans="1:6" ht="18.75" customHeight="1">
      <c r="A394" s="7"/>
      <c r="B394" s="52" t="s">
        <v>833</v>
      </c>
      <c r="C394" s="7" t="s">
        <v>834</v>
      </c>
      <c r="D394" s="7">
        <f>F392+F393</f>
        <v>29240</v>
      </c>
      <c r="E394" s="7">
        <v>0.5</v>
      </c>
      <c r="F394" s="53">
        <f>D394*E394/100</f>
        <v>146.19999999999999</v>
      </c>
    </row>
    <row r="395" spans="1:6" ht="18.75" customHeight="1">
      <c r="A395" s="7" t="s">
        <v>835</v>
      </c>
      <c r="B395" s="52" t="s">
        <v>932</v>
      </c>
      <c r="C395" s="7"/>
      <c r="D395" s="7"/>
      <c r="E395" s="7"/>
      <c r="F395" s="53">
        <f>F396+F397</f>
        <v>62.848554641598135</v>
      </c>
    </row>
    <row r="396" spans="1:6" ht="18.75" customHeight="1">
      <c r="A396" s="7"/>
      <c r="B396" s="52" t="s">
        <v>935</v>
      </c>
      <c r="C396" s="7" t="s">
        <v>863</v>
      </c>
      <c r="D396" s="66">
        <f>施工机械台时汇总!$C$21</f>
        <v>28.129680376028197</v>
      </c>
      <c r="E396" s="7">
        <v>0</v>
      </c>
      <c r="F396" s="53">
        <f>D396*E396</f>
        <v>0</v>
      </c>
    </row>
    <row r="397" spans="1:6" ht="18.75" customHeight="1">
      <c r="A397" s="7"/>
      <c r="B397" s="52" t="s">
        <v>862</v>
      </c>
      <c r="C397" s="7" t="s">
        <v>863</v>
      </c>
      <c r="D397" s="7">
        <f>施工机械台时汇总!$C$19</f>
        <v>0.80266353309831595</v>
      </c>
      <c r="E397" s="7">
        <v>78.3</v>
      </c>
      <c r="F397" s="53">
        <f>D397*E397</f>
        <v>62.848554641598135</v>
      </c>
    </row>
    <row r="398" spans="1:6" ht="18.75" customHeight="1">
      <c r="A398" s="7"/>
      <c r="B398" s="52"/>
      <c r="C398" s="7"/>
      <c r="D398" s="7"/>
      <c r="E398" s="7"/>
      <c r="F398" s="53"/>
    </row>
    <row r="399" spans="1:6" ht="18.75" customHeight="1">
      <c r="A399" s="7">
        <v>1.2</v>
      </c>
      <c r="B399" s="52" t="s">
        <v>841</v>
      </c>
      <c r="C399" s="7"/>
      <c r="D399" s="53">
        <f>F387</f>
        <v>33438.507804641595</v>
      </c>
      <c r="E399" s="56">
        <f>E371</f>
        <v>4.8000000000000001E-2</v>
      </c>
      <c r="F399" s="53">
        <f>D399*E399</f>
        <v>1605.0483746227965</v>
      </c>
    </row>
    <row r="400" spans="1:6" ht="18.75" customHeight="1">
      <c r="A400" s="7">
        <v>1.3</v>
      </c>
      <c r="B400" s="52" t="s">
        <v>842</v>
      </c>
      <c r="C400" s="7"/>
      <c r="D400" s="53">
        <f>F387</f>
        <v>33438.507804641595</v>
      </c>
      <c r="E400" s="56">
        <f>E372</f>
        <v>0</v>
      </c>
      <c r="F400" s="53">
        <f>D400*E400</f>
        <v>0</v>
      </c>
    </row>
    <row r="401" spans="1:6" ht="18.75" customHeight="1">
      <c r="A401" s="7">
        <v>2</v>
      </c>
      <c r="B401" s="52" t="s">
        <v>182</v>
      </c>
      <c r="C401" s="7"/>
      <c r="D401" s="53">
        <f>F386</f>
        <v>35043.556179264393</v>
      </c>
      <c r="E401" s="56">
        <f>E373</f>
        <v>8.5000000000000006E-2</v>
      </c>
      <c r="F401" s="53">
        <f>D401*E401</f>
        <v>2978.7022752374737</v>
      </c>
    </row>
    <row r="402" spans="1:6" ht="18.75" customHeight="1">
      <c r="A402" s="7">
        <v>3</v>
      </c>
      <c r="B402" s="52" t="s">
        <v>843</v>
      </c>
      <c r="C402" s="7"/>
      <c r="D402" s="53">
        <f>F386+F401</f>
        <v>38022.258454501869</v>
      </c>
      <c r="E402" s="56">
        <f>E374</f>
        <v>7.0000000000000007E-2</v>
      </c>
      <c r="F402" s="53">
        <f>D402*E402</f>
        <v>2661.5580918151309</v>
      </c>
    </row>
    <row r="403" spans="1:6" ht="18.75" customHeight="1">
      <c r="A403" s="7">
        <v>4</v>
      </c>
      <c r="B403" s="52" t="s">
        <v>184</v>
      </c>
      <c r="C403" s="7"/>
      <c r="D403" s="7"/>
      <c r="E403" s="7"/>
      <c r="F403" s="53">
        <f>F404</f>
        <v>4467.9313999999995</v>
      </c>
    </row>
    <row r="404" spans="1:6" ht="18.75" customHeight="1">
      <c r="A404" s="7"/>
      <c r="B404" s="52" t="s">
        <v>511</v>
      </c>
      <c r="C404" s="7" t="s">
        <v>871</v>
      </c>
      <c r="D404" s="66">
        <f>D376</f>
        <v>38.516649999999998</v>
      </c>
      <c r="E404" s="7">
        <f>E392</f>
        <v>116</v>
      </c>
      <c r="F404" s="53">
        <f>D404*E404</f>
        <v>4467.9313999999995</v>
      </c>
    </row>
    <row r="405" spans="1:6" ht="18.75" customHeight="1">
      <c r="A405" s="7">
        <v>5</v>
      </c>
      <c r="B405" s="52" t="s">
        <v>845</v>
      </c>
      <c r="C405" s="7"/>
      <c r="D405" s="53">
        <f>F386+F401+F403+F402</f>
        <v>45151.747946317002</v>
      </c>
      <c r="E405" s="56">
        <f>E377</f>
        <v>0.09</v>
      </c>
      <c r="F405" s="53">
        <f>D405*E405</f>
        <v>4063.6573151685302</v>
      </c>
    </row>
    <row r="406" spans="1:6" ht="18.75" customHeight="1">
      <c r="A406" s="7">
        <v>6</v>
      </c>
      <c r="B406" s="52" t="s">
        <v>7</v>
      </c>
      <c r="C406" s="7"/>
      <c r="D406" s="7"/>
      <c r="E406" s="7"/>
      <c r="F406" s="53">
        <f>F386+F401+F402+F403+F405</f>
        <v>49215.405261485532</v>
      </c>
    </row>
    <row r="407" spans="1:6" ht="18.75" customHeight="1">
      <c r="A407" s="7"/>
      <c r="B407" s="52" t="s">
        <v>846</v>
      </c>
      <c r="C407" s="7"/>
      <c r="D407" s="53">
        <f>F406</f>
        <v>49215.405261485532</v>
      </c>
      <c r="E407" s="56">
        <f>E379</f>
        <v>0.03</v>
      </c>
      <c r="F407" s="53">
        <f>E407*D407</f>
        <v>1476.4621578445658</v>
      </c>
    </row>
    <row r="408" spans="1:6" ht="18.75" customHeight="1">
      <c r="A408" s="7"/>
      <c r="B408" s="52" t="s">
        <v>44</v>
      </c>
      <c r="C408" s="7"/>
      <c r="D408" s="7"/>
      <c r="E408" s="7"/>
      <c r="F408" s="53">
        <f>SUM(F406:F407)</f>
        <v>50691.867419330098</v>
      </c>
    </row>
    <row r="409" spans="1:6" ht="22.5" customHeight="1">
      <c r="A409" s="461" t="s">
        <v>813</v>
      </c>
      <c r="B409" s="461"/>
      <c r="C409" s="461"/>
      <c r="D409" s="461"/>
      <c r="E409" s="461"/>
      <c r="F409" s="461"/>
    </row>
    <row r="410" spans="1:6" ht="18.75" customHeight="1">
      <c r="A410" s="481" t="s">
        <v>1100</v>
      </c>
      <c r="B410" s="481"/>
      <c r="C410" s="481"/>
      <c r="D410" s="481"/>
      <c r="E410" s="481"/>
      <c r="F410" s="481"/>
    </row>
    <row r="411" spans="1:6" ht="18.75" customHeight="1">
      <c r="A411" s="47" t="s">
        <v>815</v>
      </c>
      <c r="B411" s="49" t="s">
        <v>281</v>
      </c>
      <c r="D411" s="71"/>
      <c r="E411" s="47" t="s">
        <v>169</v>
      </c>
      <c r="F411" s="49" t="s">
        <v>869</v>
      </c>
    </row>
    <row r="412" spans="1:6" ht="18.75" customHeight="1">
      <c r="A412" s="50" t="s">
        <v>817</v>
      </c>
      <c r="B412" s="458"/>
      <c r="C412" s="459"/>
      <c r="D412" s="459"/>
      <c r="E412" s="459"/>
      <c r="F412" s="460"/>
    </row>
    <row r="413" spans="1:6" ht="18.75" customHeight="1">
      <c r="A413" s="7" t="s">
        <v>1</v>
      </c>
      <c r="B413" s="52" t="s">
        <v>344</v>
      </c>
      <c r="C413" s="7" t="s">
        <v>818</v>
      </c>
      <c r="D413" s="7" t="s">
        <v>819</v>
      </c>
      <c r="E413" s="7" t="s">
        <v>820</v>
      </c>
      <c r="F413" s="7" t="s">
        <v>821</v>
      </c>
    </row>
    <row r="414" spans="1:6" ht="18.75" customHeight="1">
      <c r="A414" s="7">
        <v>1</v>
      </c>
      <c r="B414" s="52" t="s">
        <v>822</v>
      </c>
      <c r="C414" s="7"/>
      <c r="D414" s="7"/>
      <c r="E414" s="7"/>
      <c r="F414" s="53">
        <f>F415+F427+F428</f>
        <v>24570.137619264395</v>
      </c>
    </row>
    <row r="415" spans="1:6" ht="18.75" customHeight="1">
      <c r="A415" s="7">
        <v>1.1000000000000001</v>
      </c>
      <c r="B415" s="52" t="s">
        <v>823</v>
      </c>
      <c r="C415" s="7"/>
      <c r="D415" s="7"/>
      <c r="E415" s="7"/>
      <c r="F415" s="53">
        <f>F416+F419+F423+F426</f>
        <v>23444.787804641597</v>
      </c>
    </row>
    <row r="416" spans="1:6" ht="18.75" customHeight="1">
      <c r="A416" s="7" t="s">
        <v>47</v>
      </c>
      <c r="B416" s="52" t="s">
        <v>176</v>
      </c>
      <c r="C416" s="7"/>
      <c r="D416" s="7"/>
      <c r="E416" s="7"/>
      <c r="F416" s="53">
        <f>F417+F418</f>
        <v>3989.4592499999999</v>
      </c>
    </row>
    <row r="417" spans="1:6" ht="18.75" customHeight="1">
      <c r="A417" s="7"/>
      <c r="B417" s="52" t="s">
        <v>824</v>
      </c>
      <c r="C417" s="7" t="s">
        <v>825</v>
      </c>
      <c r="D417" s="7">
        <v>8.1</v>
      </c>
      <c r="E417" s="7">
        <f>E389</f>
        <v>206.43</v>
      </c>
      <c r="F417" s="53">
        <f>D417*E417</f>
        <v>1672.0830000000001</v>
      </c>
    </row>
    <row r="418" spans="1:6" ht="18.75" customHeight="1">
      <c r="A418" s="7"/>
      <c r="B418" s="52" t="s">
        <v>826</v>
      </c>
      <c r="C418" s="7" t="s">
        <v>825</v>
      </c>
      <c r="D418" s="7">
        <v>5.77</v>
      </c>
      <c r="E418" s="7">
        <f>E390</f>
        <v>401.625</v>
      </c>
      <c r="F418" s="53">
        <f>D418*E418</f>
        <v>2317.3762499999998</v>
      </c>
    </row>
    <row r="419" spans="1:6" ht="18.75" customHeight="1">
      <c r="A419" s="7" t="s">
        <v>57</v>
      </c>
      <c r="B419" s="52" t="s">
        <v>177</v>
      </c>
      <c r="C419" s="7"/>
      <c r="D419" s="7"/>
      <c r="E419" s="7"/>
      <c r="F419" s="53">
        <f>F420+F421+F422</f>
        <v>19392.48</v>
      </c>
    </row>
    <row r="420" spans="1:6" ht="18.75" customHeight="1">
      <c r="A420" s="7"/>
      <c r="B420" s="52" t="s">
        <v>511</v>
      </c>
      <c r="C420" s="7" t="s">
        <v>871</v>
      </c>
      <c r="D420" s="7">
        <f>D392</f>
        <v>70</v>
      </c>
      <c r="E420" s="7">
        <v>116</v>
      </c>
      <c r="F420" s="53">
        <f>D420*E420</f>
        <v>8120</v>
      </c>
    </row>
    <row r="421" spans="1:6" ht="18.75" customHeight="1">
      <c r="A421" s="7"/>
      <c r="B421" s="52" t="s">
        <v>1101</v>
      </c>
      <c r="C421" s="7" t="s">
        <v>1047</v>
      </c>
      <c r="D421" s="66">
        <v>12.7</v>
      </c>
      <c r="E421" s="7">
        <v>880</v>
      </c>
      <c r="F421" s="53">
        <f>D421*E421</f>
        <v>11176</v>
      </c>
    </row>
    <row r="422" spans="1:6" ht="18.75" customHeight="1">
      <c r="A422" s="7"/>
      <c r="B422" s="52" t="s">
        <v>833</v>
      </c>
      <c r="C422" s="7" t="s">
        <v>834</v>
      </c>
      <c r="D422" s="7">
        <f>F420+F421</f>
        <v>19296</v>
      </c>
      <c r="E422" s="7">
        <v>0.5</v>
      </c>
      <c r="F422" s="53">
        <f>D422*E422/100</f>
        <v>96.48</v>
      </c>
    </row>
    <row r="423" spans="1:6" ht="18.75" customHeight="1">
      <c r="A423" s="7" t="s">
        <v>835</v>
      </c>
      <c r="B423" s="52" t="s">
        <v>932</v>
      </c>
      <c r="C423" s="7"/>
      <c r="D423" s="7"/>
      <c r="E423" s="7"/>
      <c r="F423" s="53">
        <f>F424+F425</f>
        <v>62.848554641598135</v>
      </c>
    </row>
    <row r="424" spans="1:6" ht="18.75" customHeight="1">
      <c r="A424" s="7"/>
      <c r="B424" s="52" t="s">
        <v>935</v>
      </c>
      <c r="C424" s="7" t="s">
        <v>863</v>
      </c>
      <c r="D424" s="66">
        <f>施工机械台时汇总!$C$21</f>
        <v>28.129680376028197</v>
      </c>
      <c r="E424" s="7">
        <v>0</v>
      </c>
      <c r="F424" s="53">
        <f>D424*E424</f>
        <v>0</v>
      </c>
    </row>
    <row r="425" spans="1:6" ht="18.75" customHeight="1">
      <c r="A425" s="7"/>
      <c r="B425" s="52" t="s">
        <v>862</v>
      </c>
      <c r="C425" s="7" t="s">
        <v>863</v>
      </c>
      <c r="D425" s="7">
        <f>施工机械台时汇总!$C$19</f>
        <v>0.80266353309831595</v>
      </c>
      <c r="E425" s="7">
        <v>78.3</v>
      </c>
      <c r="F425" s="53">
        <f>D425*E425</f>
        <v>62.848554641598135</v>
      </c>
    </row>
    <row r="426" spans="1:6" ht="18.75" customHeight="1">
      <c r="A426" s="7"/>
      <c r="B426" s="52"/>
      <c r="C426" s="7"/>
      <c r="D426" s="7"/>
      <c r="E426" s="7"/>
      <c r="F426" s="53"/>
    </row>
    <row r="427" spans="1:6" ht="18.75" customHeight="1">
      <c r="A427" s="7">
        <v>1.2</v>
      </c>
      <c r="B427" s="52" t="s">
        <v>841</v>
      </c>
      <c r="C427" s="7"/>
      <c r="D427" s="53">
        <f>F415</f>
        <v>23444.787804641597</v>
      </c>
      <c r="E427" s="56">
        <f>E399</f>
        <v>4.8000000000000001E-2</v>
      </c>
      <c r="F427" s="53">
        <f>D427*E427</f>
        <v>1125.3498146227967</v>
      </c>
    </row>
    <row r="428" spans="1:6" ht="18.75" customHeight="1">
      <c r="A428" s="7">
        <v>1.3</v>
      </c>
      <c r="B428" s="52" t="s">
        <v>842</v>
      </c>
      <c r="C428" s="7"/>
      <c r="D428" s="53">
        <f>F415</f>
        <v>23444.787804641597</v>
      </c>
      <c r="E428" s="56">
        <f>E400</f>
        <v>0</v>
      </c>
      <c r="F428" s="53">
        <f>D428*E428</f>
        <v>0</v>
      </c>
    </row>
    <row r="429" spans="1:6" ht="18.75" customHeight="1">
      <c r="A429" s="7">
        <v>2</v>
      </c>
      <c r="B429" s="52" t="s">
        <v>182</v>
      </c>
      <c r="C429" s="7"/>
      <c r="D429" s="53">
        <f>F414</f>
        <v>24570.137619264395</v>
      </c>
      <c r="E429" s="56">
        <f>E401</f>
        <v>8.5000000000000006E-2</v>
      </c>
      <c r="F429" s="53">
        <f>D429*E429</f>
        <v>2088.4616976374737</v>
      </c>
    </row>
    <row r="430" spans="1:6" ht="18.75" customHeight="1">
      <c r="A430" s="7">
        <v>3</v>
      </c>
      <c r="B430" s="52" t="s">
        <v>843</v>
      </c>
      <c r="C430" s="7"/>
      <c r="D430" s="53">
        <f>F414+F429</f>
        <v>26658.599316901869</v>
      </c>
      <c r="E430" s="56">
        <f>E402</f>
        <v>7.0000000000000007E-2</v>
      </c>
      <c r="F430" s="53">
        <f>D430*E430</f>
        <v>1866.1019521831311</v>
      </c>
    </row>
    <row r="431" spans="1:6" ht="18.75" customHeight="1">
      <c r="A431" s="7">
        <v>4</v>
      </c>
      <c r="B431" s="52" t="s">
        <v>184</v>
      </c>
      <c r="C431" s="7"/>
      <c r="D431" s="7"/>
      <c r="E431" s="7"/>
      <c r="F431" s="53">
        <f>F432</f>
        <v>4467.9313999999995</v>
      </c>
    </row>
    <row r="432" spans="1:6" ht="18.75" customHeight="1">
      <c r="A432" s="7"/>
      <c r="B432" s="52" t="s">
        <v>511</v>
      </c>
      <c r="C432" s="7" t="s">
        <v>871</v>
      </c>
      <c r="D432" s="66">
        <f>D404</f>
        <v>38.516649999999998</v>
      </c>
      <c r="E432" s="7">
        <f>E420</f>
        <v>116</v>
      </c>
      <c r="F432" s="53">
        <f>D432*E432</f>
        <v>4467.9313999999995</v>
      </c>
    </row>
    <row r="433" spans="1:6" ht="18.75" customHeight="1">
      <c r="A433" s="7">
        <v>5</v>
      </c>
      <c r="B433" s="52" t="s">
        <v>845</v>
      </c>
      <c r="C433" s="7"/>
      <c r="D433" s="53">
        <f>F414+F429+F431+F430</f>
        <v>32992.632669085004</v>
      </c>
      <c r="E433" s="56">
        <f>E405</f>
        <v>0.09</v>
      </c>
      <c r="F433" s="53">
        <f>D433*E433</f>
        <v>2969.3369402176504</v>
      </c>
    </row>
    <row r="434" spans="1:6" ht="18.75" customHeight="1">
      <c r="A434" s="7">
        <v>6</v>
      </c>
      <c r="B434" s="52" t="s">
        <v>7</v>
      </c>
      <c r="C434" s="7"/>
      <c r="D434" s="7"/>
      <c r="E434" s="7"/>
      <c r="F434" s="53">
        <f>F414+F429+F430+F431+F433</f>
        <v>35961.969609302643</v>
      </c>
    </row>
    <row r="435" spans="1:6" ht="18.75" customHeight="1">
      <c r="A435" s="7"/>
      <c r="B435" s="52" t="s">
        <v>846</v>
      </c>
      <c r="C435" s="7"/>
      <c r="D435" s="53">
        <f>F434</f>
        <v>35961.969609302643</v>
      </c>
      <c r="E435" s="56">
        <f>E407</f>
        <v>0.03</v>
      </c>
      <c r="F435" s="53">
        <f>E435*D435</f>
        <v>1078.8590882790793</v>
      </c>
    </row>
    <row r="436" spans="1:6" ht="18.75" customHeight="1">
      <c r="A436" s="7"/>
      <c r="B436" s="52" t="s">
        <v>44</v>
      </c>
      <c r="C436" s="7"/>
      <c r="D436" s="7"/>
      <c r="E436" s="7"/>
      <c r="F436" s="53">
        <f>SUM(F434:F435)</f>
        <v>37040.828697581725</v>
      </c>
    </row>
    <row r="437" spans="1:6" ht="22.5" customHeight="1">
      <c r="A437" s="461" t="s">
        <v>813</v>
      </c>
      <c r="B437" s="461"/>
      <c r="C437" s="461"/>
      <c r="D437" s="461"/>
      <c r="E437" s="461"/>
      <c r="F437" s="461"/>
    </row>
    <row r="438" spans="1:6" ht="18.75" customHeight="1">
      <c r="A438" s="481" t="s">
        <v>1102</v>
      </c>
      <c r="B438" s="481"/>
      <c r="C438" s="481"/>
      <c r="D438" s="481"/>
      <c r="E438" s="481"/>
      <c r="F438" s="481"/>
    </row>
    <row r="439" spans="1:6" ht="18.75" customHeight="1">
      <c r="A439" s="47" t="s">
        <v>815</v>
      </c>
      <c r="B439" s="49" t="s">
        <v>281</v>
      </c>
      <c r="D439" s="71"/>
      <c r="E439" s="47" t="s">
        <v>169</v>
      </c>
      <c r="F439" s="49" t="s">
        <v>869</v>
      </c>
    </row>
    <row r="440" spans="1:6" ht="18.75" customHeight="1">
      <c r="A440" s="50" t="s">
        <v>817</v>
      </c>
      <c r="B440" s="458"/>
      <c r="C440" s="459"/>
      <c r="D440" s="459"/>
      <c r="E440" s="459"/>
      <c r="F440" s="460"/>
    </row>
    <row r="441" spans="1:6" ht="18.75" customHeight="1">
      <c r="A441" s="7" t="s">
        <v>1</v>
      </c>
      <c r="B441" s="52" t="s">
        <v>344</v>
      </c>
      <c r="C441" s="7" t="s">
        <v>818</v>
      </c>
      <c r="D441" s="7" t="s">
        <v>819</v>
      </c>
      <c r="E441" s="7" t="s">
        <v>820</v>
      </c>
      <c r="F441" s="7" t="s">
        <v>821</v>
      </c>
    </row>
    <row r="442" spans="1:6" ht="18.75" customHeight="1">
      <c r="A442" s="7">
        <v>1</v>
      </c>
      <c r="B442" s="52" t="s">
        <v>822</v>
      </c>
      <c r="C442" s="7"/>
      <c r="D442" s="7"/>
      <c r="E442" s="7"/>
      <c r="F442" s="53">
        <f>F443+F455+F456</f>
        <v>29482.448979264394</v>
      </c>
    </row>
    <row r="443" spans="1:6" ht="18.75" customHeight="1">
      <c r="A443" s="7">
        <v>1.1000000000000001</v>
      </c>
      <c r="B443" s="52" t="s">
        <v>823</v>
      </c>
      <c r="C443" s="7"/>
      <c r="D443" s="7"/>
      <c r="E443" s="7"/>
      <c r="F443" s="53">
        <f>F444+F447+F451+F454</f>
        <v>28132.107804641597</v>
      </c>
    </row>
    <row r="444" spans="1:6" ht="18.75" customHeight="1">
      <c r="A444" s="7" t="s">
        <v>47</v>
      </c>
      <c r="B444" s="52" t="s">
        <v>176</v>
      </c>
      <c r="C444" s="7"/>
      <c r="D444" s="7"/>
      <c r="E444" s="7"/>
      <c r="F444" s="53">
        <f>F445+F446</f>
        <v>3989.4592499999999</v>
      </c>
    </row>
    <row r="445" spans="1:6" ht="18.75" customHeight="1">
      <c r="A445" s="7"/>
      <c r="B445" s="52" t="s">
        <v>824</v>
      </c>
      <c r="C445" s="7" t="s">
        <v>825</v>
      </c>
      <c r="D445" s="7">
        <v>8.1</v>
      </c>
      <c r="E445" s="7">
        <f>E417</f>
        <v>206.43</v>
      </c>
      <c r="F445" s="53">
        <f>D445*E445</f>
        <v>1672.0830000000001</v>
      </c>
    </row>
    <row r="446" spans="1:6" ht="18.75" customHeight="1">
      <c r="A446" s="7"/>
      <c r="B446" s="52" t="s">
        <v>826</v>
      </c>
      <c r="C446" s="7" t="s">
        <v>825</v>
      </c>
      <c r="D446" s="7">
        <v>5.77</v>
      </c>
      <c r="E446" s="7">
        <f>E418</f>
        <v>401.625</v>
      </c>
      <c r="F446" s="53">
        <f>D446*E446</f>
        <v>2317.3762499999998</v>
      </c>
    </row>
    <row r="447" spans="1:6" ht="18.75" customHeight="1">
      <c r="A447" s="7" t="s">
        <v>57</v>
      </c>
      <c r="B447" s="52" t="s">
        <v>177</v>
      </c>
      <c r="C447" s="7"/>
      <c r="D447" s="7"/>
      <c r="E447" s="7"/>
      <c r="F447" s="53">
        <f>F448+F449+F450</f>
        <v>24079.8</v>
      </c>
    </row>
    <row r="448" spans="1:6" ht="18.75" customHeight="1">
      <c r="A448" s="7"/>
      <c r="B448" s="52" t="s">
        <v>511</v>
      </c>
      <c r="C448" s="7" t="s">
        <v>871</v>
      </c>
      <c r="D448" s="7">
        <f>D420</f>
        <v>70</v>
      </c>
      <c r="E448" s="7">
        <v>116</v>
      </c>
      <c r="F448" s="53">
        <f>D448*E448</f>
        <v>8120</v>
      </c>
    </row>
    <row r="449" spans="1:6" ht="18.75" customHeight="1">
      <c r="A449" s="7"/>
      <c r="B449" s="52" t="s">
        <v>1103</v>
      </c>
      <c r="C449" s="7" t="s">
        <v>1047</v>
      </c>
      <c r="D449" s="66">
        <v>18</v>
      </c>
      <c r="E449" s="7">
        <v>880</v>
      </c>
      <c r="F449" s="53">
        <f>D449*E449</f>
        <v>15840</v>
      </c>
    </row>
    <row r="450" spans="1:6" ht="18.75" customHeight="1">
      <c r="A450" s="7"/>
      <c r="B450" s="52" t="s">
        <v>833</v>
      </c>
      <c r="C450" s="7" t="s">
        <v>834</v>
      </c>
      <c r="D450" s="7">
        <f>F448+F449</f>
        <v>23960</v>
      </c>
      <c r="E450" s="7">
        <v>0.5</v>
      </c>
      <c r="F450" s="53">
        <f>D450*E450/100</f>
        <v>119.8</v>
      </c>
    </row>
    <row r="451" spans="1:6" ht="18.75" customHeight="1">
      <c r="A451" s="7" t="s">
        <v>835</v>
      </c>
      <c r="B451" s="52" t="s">
        <v>932</v>
      </c>
      <c r="C451" s="7"/>
      <c r="D451" s="7"/>
      <c r="E451" s="7"/>
      <c r="F451" s="53">
        <f>F452+F453</f>
        <v>62.848554641598135</v>
      </c>
    </row>
    <row r="452" spans="1:6" ht="18.75" customHeight="1">
      <c r="A452" s="7"/>
      <c r="B452" s="52" t="s">
        <v>935</v>
      </c>
      <c r="C452" s="7" t="s">
        <v>863</v>
      </c>
      <c r="D452" s="66">
        <f>施工机械台时汇总!$C$21</f>
        <v>28.129680376028197</v>
      </c>
      <c r="E452" s="7">
        <v>0</v>
      </c>
      <c r="F452" s="53">
        <f>D452*E452</f>
        <v>0</v>
      </c>
    </row>
    <row r="453" spans="1:6" ht="18.75" customHeight="1">
      <c r="A453" s="7"/>
      <c r="B453" s="52" t="s">
        <v>862</v>
      </c>
      <c r="C453" s="7" t="s">
        <v>863</v>
      </c>
      <c r="D453" s="7">
        <f>施工机械台时汇总!$C$19</f>
        <v>0.80266353309831595</v>
      </c>
      <c r="E453" s="7">
        <v>78.3</v>
      </c>
      <c r="F453" s="53">
        <f>D453*E453</f>
        <v>62.848554641598135</v>
      </c>
    </row>
    <row r="454" spans="1:6" ht="18.75" customHeight="1">
      <c r="A454" s="7"/>
      <c r="B454" s="52"/>
      <c r="C454" s="7"/>
      <c r="D454" s="7"/>
      <c r="E454" s="7"/>
      <c r="F454" s="53"/>
    </row>
    <row r="455" spans="1:6" ht="18.75" customHeight="1">
      <c r="A455" s="7">
        <v>1.2</v>
      </c>
      <c r="B455" s="52" t="s">
        <v>841</v>
      </c>
      <c r="C455" s="7"/>
      <c r="D455" s="53">
        <f>F443</f>
        <v>28132.107804641597</v>
      </c>
      <c r="E455" s="56">
        <f>E427</f>
        <v>4.8000000000000001E-2</v>
      </c>
      <c r="F455" s="53">
        <f>D455*E455</f>
        <v>1350.3411746227966</v>
      </c>
    </row>
    <row r="456" spans="1:6" ht="18.75" customHeight="1">
      <c r="A456" s="7">
        <v>1.3</v>
      </c>
      <c r="B456" s="52" t="s">
        <v>842</v>
      </c>
      <c r="C456" s="7"/>
      <c r="D456" s="53">
        <f>F443</f>
        <v>28132.107804641597</v>
      </c>
      <c r="E456" s="56">
        <f>E428</f>
        <v>0</v>
      </c>
      <c r="F456" s="53">
        <f>D456*E456</f>
        <v>0</v>
      </c>
    </row>
    <row r="457" spans="1:6" ht="18.75" customHeight="1">
      <c r="A457" s="7">
        <v>2</v>
      </c>
      <c r="B457" s="52" t="s">
        <v>182</v>
      </c>
      <c r="C457" s="7"/>
      <c r="D457" s="53">
        <f>F442</f>
        <v>29482.448979264394</v>
      </c>
      <c r="E457" s="56">
        <f>E429</f>
        <v>8.5000000000000006E-2</v>
      </c>
      <c r="F457" s="53">
        <f>D457*E457</f>
        <v>2506.0081632374736</v>
      </c>
    </row>
    <row r="458" spans="1:6" ht="18.75" customHeight="1">
      <c r="A458" s="7">
        <v>3</v>
      </c>
      <c r="B458" s="52" t="s">
        <v>843</v>
      </c>
      <c r="C458" s="7"/>
      <c r="D458" s="53">
        <f>F442+F457</f>
        <v>31988.457142501869</v>
      </c>
      <c r="E458" s="56">
        <f>E430</f>
        <v>7.0000000000000007E-2</v>
      </c>
      <c r="F458" s="53">
        <f>D458*E458</f>
        <v>2239.1919999751312</v>
      </c>
    </row>
    <row r="459" spans="1:6" ht="18.75" customHeight="1">
      <c r="A459" s="7">
        <v>4</v>
      </c>
      <c r="B459" s="52" t="s">
        <v>184</v>
      </c>
      <c r="C459" s="7"/>
      <c r="D459" s="7"/>
      <c r="E459" s="7"/>
      <c r="F459" s="53">
        <f>F460</f>
        <v>4467.9313999999995</v>
      </c>
    </row>
    <row r="460" spans="1:6" ht="18.75" customHeight="1">
      <c r="A460" s="7"/>
      <c r="B460" s="52" t="s">
        <v>511</v>
      </c>
      <c r="C460" s="7" t="s">
        <v>871</v>
      </c>
      <c r="D460" s="66">
        <f>D432</f>
        <v>38.516649999999998</v>
      </c>
      <c r="E460" s="7">
        <f>E448</f>
        <v>116</v>
      </c>
      <c r="F460" s="53">
        <f>D460*E460</f>
        <v>4467.9313999999995</v>
      </c>
    </row>
    <row r="461" spans="1:6" ht="18.75" customHeight="1">
      <c r="A461" s="7">
        <v>5</v>
      </c>
      <c r="B461" s="52" t="s">
        <v>845</v>
      </c>
      <c r="C461" s="7"/>
      <c r="D461" s="53">
        <f>F442+F457+F459+F458</f>
        <v>38695.580542477001</v>
      </c>
      <c r="E461" s="56">
        <f>E433</f>
        <v>0.09</v>
      </c>
      <c r="F461" s="53">
        <f>D461*E461</f>
        <v>3482.6022488229301</v>
      </c>
    </row>
    <row r="462" spans="1:6" ht="18.75" customHeight="1">
      <c r="A462" s="7">
        <v>6</v>
      </c>
      <c r="B462" s="52" t="s">
        <v>7</v>
      </c>
      <c r="C462" s="7"/>
      <c r="D462" s="7"/>
      <c r="E462" s="7"/>
      <c r="F462" s="53">
        <f>F442+F457+F458+F459+F461</f>
        <v>42178.182791299929</v>
      </c>
    </row>
    <row r="463" spans="1:6" ht="18.75" customHeight="1">
      <c r="A463" s="7"/>
      <c r="B463" s="52" t="s">
        <v>846</v>
      </c>
      <c r="C463" s="7"/>
      <c r="D463" s="53">
        <f>F462</f>
        <v>42178.182791299929</v>
      </c>
      <c r="E463" s="56">
        <f>E435</f>
        <v>0.03</v>
      </c>
      <c r="F463" s="53">
        <f>E463*D463</f>
        <v>1265.3454837389979</v>
      </c>
    </row>
    <row r="464" spans="1:6" ht="18.75" customHeight="1">
      <c r="A464" s="7"/>
      <c r="B464" s="52" t="s">
        <v>44</v>
      </c>
      <c r="C464" s="7"/>
      <c r="D464" s="7"/>
      <c r="E464" s="7"/>
      <c r="F464" s="53">
        <f>SUM(F462:F463)</f>
        <v>43443.528275038923</v>
      </c>
    </row>
    <row r="465" spans="1:6" ht="22.5" customHeight="1">
      <c r="A465" s="461" t="s">
        <v>813</v>
      </c>
      <c r="B465" s="461"/>
      <c r="C465" s="461"/>
      <c r="D465" s="461"/>
      <c r="E465" s="461"/>
      <c r="F465" s="461"/>
    </row>
    <row r="466" spans="1:6" ht="18.75" customHeight="1">
      <c r="A466" s="481" t="s">
        <v>1104</v>
      </c>
      <c r="B466" s="481"/>
      <c r="C466" s="481"/>
      <c r="D466" s="481"/>
      <c r="E466" s="481"/>
      <c r="F466" s="481"/>
    </row>
    <row r="467" spans="1:6" ht="18.75" customHeight="1">
      <c r="A467" s="47" t="s">
        <v>815</v>
      </c>
      <c r="B467" s="49" t="s">
        <v>281</v>
      </c>
      <c r="D467" s="71"/>
      <c r="E467" s="47" t="s">
        <v>169</v>
      </c>
      <c r="F467" s="49" t="s">
        <v>869</v>
      </c>
    </row>
    <row r="468" spans="1:6" ht="18.75" customHeight="1">
      <c r="A468" s="50" t="s">
        <v>817</v>
      </c>
      <c r="B468" s="458"/>
      <c r="C468" s="459"/>
      <c r="D468" s="459"/>
      <c r="E468" s="459"/>
      <c r="F468" s="460"/>
    </row>
    <row r="469" spans="1:6" ht="18.75" customHeight="1">
      <c r="A469" s="7" t="s">
        <v>1</v>
      </c>
      <c r="B469" s="52" t="s">
        <v>344</v>
      </c>
      <c r="C469" s="7" t="s">
        <v>818</v>
      </c>
      <c r="D469" s="7" t="s">
        <v>819</v>
      </c>
      <c r="E469" s="7" t="s">
        <v>820</v>
      </c>
      <c r="F469" s="7" t="s">
        <v>821</v>
      </c>
    </row>
    <row r="470" spans="1:6" ht="18.75" customHeight="1">
      <c r="A470" s="7">
        <v>1</v>
      </c>
      <c r="B470" s="52" t="s">
        <v>822</v>
      </c>
      <c r="C470" s="7"/>
      <c r="D470" s="7"/>
      <c r="E470" s="7"/>
      <c r="F470" s="53">
        <f>F471+F483+F484</f>
        <v>17740.657503264396</v>
      </c>
    </row>
    <row r="471" spans="1:6" ht="18.75" customHeight="1">
      <c r="A471" s="7">
        <v>1.1000000000000001</v>
      </c>
      <c r="B471" s="52" t="s">
        <v>823</v>
      </c>
      <c r="C471" s="7"/>
      <c r="D471" s="7"/>
      <c r="E471" s="7"/>
      <c r="F471" s="53">
        <f>F472+F475+F479+F482</f>
        <v>16928.108304641599</v>
      </c>
    </row>
    <row r="472" spans="1:6" ht="18.75" customHeight="1">
      <c r="A472" s="7" t="s">
        <v>47</v>
      </c>
      <c r="B472" s="52" t="s">
        <v>176</v>
      </c>
      <c r="C472" s="7"/>
      <c r="D472" s="7"/>
      <c r="E472" s="7"/>
      <c r="F472" s="53">
        <f>F473+F474</f>
        <v>2344.0147499999998</v>
      </c>
    </row>
    <row r="473" spans="1:6" ht="18.75" customHeight="1">
      <c r="A473" s="7"/>
      <c r="B473" s="52" t="s">
        <v>824</v>
      </c>
      <c r="C473" s="7" t="s">
        <v>825</v>
      </c>
      <c r="D473" s="7">
        <v>8.1</v>
      </c>
      <c r="E473" s="7">
        <f>E445*0.3</f>
        <v>61.929000000000002</v>
      </c>
      <c r="F473" s="53">
        <f>D473*E473</f>
        <v>501.62490000000003</v>
      </c>
    </row>
    <row r="474" spans="1:6" ht="18.75" customHeight="1">
      <c r="A474" s="7"/>
      <c r="B474" s="52" t="s">
        <v>826</v>
      </c>
      <c r="C474" s="7" t="s">
        <v>825</v>
      </c>
      <c r="D474" s="7">
        <v>5.77</v>
      </c>
      <c r="E474" s="7">
        <f>304.1*1.05</f>
        <v>319.30500000000001</v>
      </c>
      <c r="F474" s="53">
        <f>D474*E474</f>
        <v>1842.38985</v>
      </c>
    </row>
    <row r="475" spans="1:6" ht="18.75" customHeight="1">
      <c r="A475" s="7" t="s">
        <v>57</v>
      </c>
      <c r="B475" s="52" t="s">
        <v>177</v>
      </c>
      <c r="C475" s="7"/>
      <c r="D475" s="7"/>
      <c r="E475" s="7"/>
      <c r="F475" s="53">
        <f>F476+F477+F478</f>
        <v>14521.245000000001</v>
      </c>
    </row>
    <row r="476" spans="1:6" ht="18.75" customHeight="1">
      <c r="A476" s="7"/>
      <c r="B476" s="52" t="s">
        <v>511</v>
      </c>
      <c r="C476" s="7" t="s">
        <v>871</v>
      </c>
      <c r="D476" s="7">
        <f>D448</f>
        <v>70</v>
      </c>
      <c r="E476" s="7">
        <v>103</v>
      </c>
      <c r="F476" s="53">
        <f>D476*E476</f>
        <v>7210</v>
      </c>
    </row>
    <row r="477" spans="1:6" ht="18.75" customHeight="1">
      <c r="A477" s="7"/>
      <c r="B477" s="52" t="s">
        <v>1101</v>
      </c>
      <c r="C477" s="7" t="s">
        <v>1047</v>
      </c>
      <c r="D477" s="66">
        <v>12.7</v>
      </c>
      <c r="E477" s="7">
        <v>570</v>
      </c>
      <c r="F477" s="53">
        <f>D477*E477</f>
        <v>7239</v>
      </c>
    </row>
    <row r="478" spans="1:6" ht="18.75" customHeight="1">
      <c r="A478" s="7"/>
      <c r="B478" s="52" t="s">
        <v>833</v>
      </c>
      <c r="C478" s="7" t="s">
        <v>834</v>
      </c>
      <c r="D478" s="7">
        <f>F476+F477</f>
        <v>14449</v>
      </c>
      <c r="E478" s="7">
        <v>0.5</v>
      </c>
      <c r="F478" s="53">
        <f>D478*E478/100</f>
        <v>72.245000000000005</v>
      </c>
    </row>
    <row r="479" spans="1:6" ht="18.75" customHeight="1">
      <c r="A479" s="7" t="s">
        <v>835</v>
      </c>
      <c r="B479" s="52" t="s">
        <v>932</v>
      </c>
      <c r="C479" s="7"/>
      <c r="D479" s="7"/>
      <c r="E479" s="7"/>
      <c r="F479" s="53">
        <f>F480+F481</f>
        <v>62.848554641598135</v>
      </c>
    </row>
    <row r="480" spans="1:6" ht="18.75" customHeight="1">
      <c r="A480" s="7"/>
      <c r="B480" s="52" t="s">
        <v>935</v>
      </c>
      <c r="C480" s="7" t="s">
        <v>863</v>
      </c>
      <c r="D480" s="66">
        <f>施工机械台时汇总!$C$21</f>
        <v>28.129680376028197</v>
      </c>
      <c r="E480" s="7">
        <v>0</v>
      </c>
      <c r="F480" s="53">
        <f>D480*E480</f>
        <v>0</v>
      </c>
    </row>
    <row r="481" spans="1:6" ht="18.75" customHeight="1">
      <c r="A481" s="7"/>
      <c r="B481" s="52" t="s">
        <v>862</v>
      </c>
      <c r="C481" s="7" t="s">
        <v>863</v>
      </c>
      <c r="D481" s="7">
        <f>施工机械台时汇总!$C$19</f>
        <v>0.80266353309831595</v>
      </c>
      <c r="E481" s="7">
        <v>78.3</v>
      </c>
      <c r="F481" s="53">
        <f>D481*E481</f>
        <v>62.848554641598135</v>
      </c>
    </row>
    <row r="482" spans="1:6" ht="18.75" customHeight="1">
      <c r="A482" s="7"/>
      <c r="B482" s="52"/>
      <c r="C482" s="7"/>
      <c r="D482" s="7"/>
      <c r="E482" s="7"/>
      <c r="F482" s="53"/>
    </row>
    <row r="483" spans="1:6" ht="18.75" customHeight="1">
      <c r="A483" s="7">
        <v>1.2</v>
      </c>
      <c r="B483" s="52" t="s">
        <v>841</v>
      </c>
      <c r="C483" s="7"/>
      <c r="D483" s="53">
        <f>F471</f>
        <v>16928.108304641599</v>
      </c>
      <c r="E483" s="56">
        <f>E455</f>
        <v>4.8000000000000001E-2</v>
      </c>
      <c r="F483" s="53">
        <f>D483*E483</f>
        <v>812.54919862279678</v>
      </c>
    </row>
    <row r="484" spans="1:6" ht="18.75" customHeight="1">
      <c r="A484" s="7">
        <v>1.3</v>
      </c>
      <c r="B484" s="52" t="s">
        <v>842</v>
      </c>
      <c r="C484" s="7"/>
      <c r="D484" s="53">
        <f>F471</f>
        <v>16928.108304641599</v>
      </c>
      <c r="E484" s="56">
        <f>E456</f>
        <v>0</v>
      </c>
      <c r="F484" s="53">
        <f>D484*E484</f>
        <v>0</v>
      </c>
    </row>
    <row r="485" spans="1:6" ht="18.75" customHeight="1">
      <c r="A485" s="7">
        <v>2</v>
      </c>
      <c r="B485" s="52" t="s">
        <v>182</v>
      </c>
      <c r="C485" s="7"/>
      <c r="D485" s="53">
        <f>F470</f>
        <v>17740.657503264396</v>
      </c>
      <c r="E485" s="56">
        <f>E457</f>
        <v>8.5000000000000006E-2</v>
      </c>
      <c r="F485" s="53">
        <f>D485*E485</f>
        <v>1507.9558877774737</v>
      </c>
    </row>
    <row r="486" spans="1:6" ht="18.75" customHeight="1">
      <c r="A486" s="7">
        <v>3</v>
      </c>
      <c r="B486" s="52" t="s">
        <v>843</v>
      </c>
      <c r="C486" s="7"/>
      <c r="D486" s="53">
        <f>F470+F485</f>
        <v>19248.613391041868</v>
      </c>
      <c r="E486" s="56">
        <f>E458</f>
        <v>7.0000000000000007E-2</v>
      </c>
      <c r="F486" s="53">
        <f>D486*E486</f>
        <v>1347.4029373729309</v>
      </c>
    </row>
    <row r="487" spans="1:6" ht="18.75" customHeight="1">
      <c r="A487" s="7">
        <v>4</v>
      </c>
      <c r="B487" s="52" t="s">
        <v>184</v>
      </c>
      <c r="C487" s="7"/>
      <c r="D487" s="7"/>
      <c r="E487" s="7"/>
      <c r="F487" s="53">
        <f>F488</f>
        <v>3967.21495</v>
      </c>
    </row>
    <row r="488" spans="1:6" ht="18.75" customHeight="1">
      <c r="A488" s="7"/>
      <c r="B488" s="52" t="s">
        <v>511</v>
      </c>
      <c r="C488" s="7" t="s">
        <v>871</v>
      </c>
      <c r="D488" s="66">
        <f>D460</f>
        <v>38.516649999999998</v>
      </c>
      <c r="E488" s="7">
        <f>E476</f>
        <v>103</v>
      </c>
      <c r="F488" s="53">
        <f>D488*E488</f>
        <v>3967.21495</v>
      </c>
    </row>
    <row r="489" spans="1:6" ht="18.75" customHeight="1">
      <c r="A489" s="7">
        <v>5</v>
      </c>
      <c r="B489" s="52" t="s">
        <v>845</v>
      </c>
      <c r="C489" s="7"/>
      <c r="D489" s="53">
        <f>F470+F485+F487+F486</f>
        <v>24563.231278414802</v>
      </c>
      <c r="E489" s="56">
        <f>E461</f>
        <v>0.09</v>
      </c>
      <c r="F489" s="53">
        <f>D489*E489</f>
        <v>2210.6908150573322</v>
      </c>
    </row>
    <row r="490" spans="1:6" ht="18.75" customHeight="1">
      <c r="A490" s="7">
        <v>6</v>
      </c>
      <c r="B490" s="52" t="s">
        <v>7</v>
      </c>
      <c r="C490" s="7"/>
      <c r="D490" s="7"/>
      <c r="E490" s="7"/>
      <c r="F490" s="53">
        <f>F470+F485+F486+F487+F489</f>
        <v>26773.922093472134</v>
      </c>
    </row>
    <row r="491" spans="1:6" ht="18.75" customHeight="1">
      <c r="A491" s="7"/>
      <c r="B491" s="52" t="s">
        <v>846</v>
      </c>
      <c r="C491" s="7"/>
      <c r="D491" s="53">
        <f>F490</f>
        <v>26773.922093472134</v>
      </c>
      <c r="E491" s="56">
        <f>E463</f>
        <v>0.03</v>
      </c>
      <c r="F491" s="53">
        <f>E491*D491</f>
        <v>803.21766280416398</v>
      </c>
    </row>
    <row r="492" spans="1:6" ht="18.75" customHeight="1">
      <c r="A492" s="7"/>
      <c r="B492" s="52" t="s">
        <v>44</v>
      </c>
      <c r="C492" s="7"/>
      <c r="D492" s="7"/>
      <c r="E492" s="7"/>
      <c r="F492" s="53">
        <f>SUM(F490:F491)</f>
        <v>27577.139756276298</v>
      </c>
    </row>
    <row r="493" spans="1:6" ht="22.5" customHeight="1">
      <c r="A493" s="461" t="s">
        <v>813</v>
      </c>
      <c r="B493" s="461"/>
      <c r="C493" s="461"/>
      <c r="D493" s="461"/>
      <c r="E493" s="461"/>
      <c r="F493" s="461"/>
    </row>
    <row r="494" spans="1:6" ht="18.75" customHeight="1">
      <c r="A494" s="481" t="s">
        <v>1105</v>
      </c>
      <c r="B494" s="481"/>
      <c r="C494" s="481"/>
      <c r="D494" s="481"/>
      <c r="E494" s="481"/>
      <c r="F494" s="481"/>
    </row>
    <row r="495" spans="1:6" ht="18.75" customHeight="1">
      <c r="A495" s="47" t="s">
        <v>815</v>
      </c>
      <c r="B495" s="49" t="s">
        <v>281</v>
      </c>
      <c r="D495" s="71"/>
      <c r="E495" s="47" t="s">
        <v>169</v>
      </c>
      <c r="F495" s="49" t="s">
        <v>869</v>
      </c>
    </row>
    <row r="496" spans="1:6" ht="18.75" customHeight="1">
      <c r="A496" s="50" t="s">
        <v>817</v>
      </c>
      <c r="B496" s="458"/>
      <c r="C496" s="459"/>
      <c r="D496" s="459"/>
      <c r="E496" s="459"/>
      <c r="F496" s="460"/>
    </row>
    <row r="497" spans="1:6" ht="18.75" customHeight="1">
      <c r="A497" s="7" t="s">
        <v>1</v>
      </c>
      <c r="B497" s="52" t="s">
        <v>344</v>
      </c>
      <c r="C497" s="7" t="s">
        <v>818</v>
      </c>
      <c r="D497" s="7" t="s">
        <v>819</v>
      </c>
      <c r="E497" s="7" t="s">
        <v>820</v>
      </c>
      <c r="F497" s="7" t="s">
        <v>821</v>
      </c>
    </row>
    <row r="498" spans="1:6" ht="18.75" customHeight="1">
      <c r="A498" s="7">
        <v>1</v>
      </c>
      <c r="B498" s="52" t="s">
        <v>822</v>
      </c>
      <c r="C498" s="7"/>
      <c r="D498" s="7"/>
      <c r="E498" s="7"/>
      <c r="F498" s="53">
        <f>F499+F511+F512</f>
        <v>20922.495543264391</v>
      </c>
    </row>
    <row r="499" spans="1:6" ht="18.75" customHeight="1">
      <c r="A499" s="7">
        <v>1.1000000000000001</v>
      </c>
      <c r="B499" s="52" t="s">
        <v>823</v>
      </c>
      <c r="C499" s="7"/>
      <c r="D499" s="7"/>
      <c r="E499" s="7"/>
      <c r="F499" s="53">
        <f>F500+F503+F507+F510</f>
        <v>19964.213304641595</v>
      </c>
    </row>
    <row r="500" spans="1:6" ht="18.75" customHeight="1">
      <c r="A500" s="7" t="s">
        <v>47</v>
      </c>
      <c r="B500" s="52" t="s">
        <v>176</v>
      </c>
      <c r="C500" s="7"/>
      <c r="D500" s="7"/>
      <c r="E500" s="7"/>
      <c r="F500" s="53">
        <f>F501+F502</f>
        <v>2344.0147499999998</v>
      </c>
    </row>
    <row r="501" spans="1:6" ht="18.75" customHeight="1">
      <c r="A501" s="7"/>
      <c r="B501" s="52" t="s">
        <v>824</v>
      </c>
      <c r="C501" s="7" t="s">
        <v>825</v>
      </c>
      <c r="D501" s="7">
        <v>8.1</v>
      </c>
      <c r="E501" s="7">
        <f>E473</f>
        <v>61.929000000000002</v>
      </c>
      <c r="F501" s="53">
        <f>D501*E501</f>
        <v>501.62490000000003</v>
      </c>
    </row>
    <row r="502" spans="1:6" ht="18.75" customHeight="1">
      <c r="A502" s="7"/>
      <c r="B502" s="52" t="s">
        <v>826</v>
      </c>
      <c r="C502" s="7" t="s">
        <v>825</v>
      </c>
      <c r="D502" s="7">
        <v>5.77</v>
      </c>
      <c r="E502" s="7">
        <f>E474</f>
        <v>319.30500000000001</v>
      </c>
      <c r="F502" s="53">
        <f>D502*E502</f>
        <v>1842.38985</v>
      </c>
    </row>
    <row r="503" spans="1:6" ht="18.75" customHeight="1">
      <c r="A503" s="7" t="s">
        <v>57</v>
      </c>
      <c r="B503" s="52" t="s">
        <v>177</v>
      </c>
      <c r="C503" s="7"/>
      <c r="D503" s="7"/>
      <c r="E503" s="7"/>
      <c r="F503" s="53">
        <f>F504+F505+F506</f>
        <v>17557.349999999999</v>
      </c>
    </row>
    <row r="504" spans="1:6" ht="18.75" customHeight="1">
      <c r="A504" s="7"/>
      <c r="B504" s="52" t="s">
        <v>511</v>
      </c>
      <c r="C504" s="7" t="s">
        <v>871</v>
      </c>
      <c r="D504" s="7">
        <f>D476</f>
        <v>70</v>
      </c>
      <c r="E504" s="7">
        <v>103</v>
      </c>
      <c r="F504" s="53">
        <f>D504*E504</f>
        <v>7210</v>
      </c>
    </row>
    <row r="505" spans="1:6" ht="18.75" customHeight="1">
      <c r="A505" s="7"/>
      <c r="B505" s="52" t="s">
        <v>1103</v>
      </c>
      <c r="C505" s="7" t="s">
        <v>1047</v>
      </c>
      <c r="D505" s="66">
        <v>18</v>
      </c>
      <c r="E505" s="7">
        <v>570</v>
      </c>
      <c r="F505" s="53">
        <f>D505*E505</f>
        <v>10260</v>
      </c>
    </row>
    <row r="506" spans="1:6" ht="18.75" customHeight="1">
      <c r="A506" s="7"/>
      <c r="B506" s="52" t="s">
        <v>833</v>
      </c>
      <c r="C506" s="7" t="s">
        <v>834</v>
      </c>
      <c r="D506" s="7">
        <f>F504+F505</f>
        <v>17470</v>
      </c>
      <c r="E506" s="7">
        <v>0.5</v>
      </c>
      <c r="F506" s="53">
        <f>D506*E506/100</f>
        <v>87.35</v>
      </c>
    </row>
    <row r="507" spans="1:6" ht="18.75" customHeight="1">
      <c r="A507" s="7" t="s">
        <v>835</v>
      </c>
      <c r="B507" s="52" t="s">
        <v>932</v>
      </c>
      <c r="C507" s="7"/>
      <c r="D507" s="7"/>
      <c r="E507" s="7"/>
      <c r="F507" s="53">
        <f>F508+F509</f>
        <v>62.848554641598135</v>
      </c>
    </row>
    <row r="508" spans="1:6" ht="18.75" customHeight="1">
      <c r="A508" s="7"/>
      <c r="B508" s="52" t="s">
        <v>935</v>
      </c>
      <c r="C508" s="7" t="s">
        <v>863</v>
      </c>
      <c r="D508" s="66">
        <f>施工机械台时汇总!$C$21</f>
        <v>28.129680376028197</v>
      </c>
      <c r="E508" s="7">
        <v>0</v>
      </c>
      <c r="F508" s="53">
        <f>D508*E508</f>
        <v>0</v>
      </c>
    </row>
    <row r="509" spans="1:6" ht="18.75" customHeight="1">
      <c r="A509" s="7"/>
      <c r="B509" s="52" t="s">
        <v>862</v>
      </c>
      <c r="C509" s="7" t="s">
        <v>863</v>
      </c>
      <c r="D509" s="7">
        <f>施工机械台时汇总!$C$19</f>
        <v>0.80266353309831595</v>
      </c>
      <c r="E509" s="7">
        <v>78.3</v>
      </c>
      <c r="F509" s="53">
        <f>D509*E509</f>
        <v>62.848554641598135</v>
      </c>
    </row>
    <row r="510" spans="1:6" ht="18.75" customHeight="1">
      <c r="A510" s="7"/>
      <c r="B510" s="52"/>
      <c r="C510" s="7"/>
      <c r="D510" s="7"/>
      <c r="E510" s="7"/>
      <c r="F510" s="53"/>
    </row>
    <row r="511" spans="1:6" ht="18.75" customHeight="1">
      <c r="A511" s="7">
        <v>1.2</v>
      </c>
      <c r="B511" s="52" t="s">
        <v>841</v>
      </c>
      <c r="C511" s="7"/>
      <c r="D511" s="53">
        <f>F499</f>
        <v>19964.213304641595</v>
      </c>
      <c r="E511" s="56">
        <f>E483</f>
        <v>4.8000000000000001E-2</v>
      </c>
      <c r="F511" s="53">
        <f>D511*E511</f>
        <v>958.28223862279651</v>
      </c>
    </row>
    <row r="512" spans="1:6" ht="18.75" customHeight="1">
      <c r="A512" s="7">
        <v>1.3</v>
      </c>
      <c r="B512" s="52" t="s">
        <v>842</v>
      </c>
      <c r="C512" s="7"/>
      <c r="D512" s="53">
        <f>F499</f>
        <v>19964.213304641595</v>
      </c>
      <c r="E512" s="56">
        <f>E484</f>
        <v>0</v>
      </c>
      <c r="F512" s="53">
        <f>D512*E512</f>
        <v>0</v>
      </c>
    </row>
    <row r="513" spans="1:6" ht="18.75" customHeight="1">
      <c r="A513" s="7">
        <v>2</v>
      </c>
      <c r="B513" s="52" t="s">
        <v>182</v>
      </c>
      <c r="C513" s="7"/>
      <c r="D513" s="53">
        <f>F498</f>
        <v>20922.495543264391</v>
      </c>
      <c r="E513" s="56">
        <f>E485</f>
        <v>8.5000000000000006E-2</v>
      </c>
      <c r="F513" s="53">
        <f>D513*E513</f>
        <v>1778.4121211774734</v>
      </c>
    </row>
    <row r="514" spans="1:6" ht="18.75" customHeight="1">
      <c r="A514" s="7">
        <v>3</v>
      </c>
      <c r="B514" s="52" t="s">
        <v>843</v>
      </c>
      <c r="C514" s="7"/>
      <c r="D514" s="53">
        <f>F498+F513</f>
        <v>22700.907664441864</v>
      </c>
      <c r="E514" s="56">
        <f>E486</f>
        <v>7.0000000000000007E-2</v>
      </c>
      <c r="F514" s="53">
        <f>D514*E514</f>
        <v>1589.0635365109306</v>
      </c>
    </row>
    <row r="515" spans="1:6" ht="18.75" customHeight="1">
      <c r="A515" s="7">
        <v>4</v>
      </c>
      <c r="B515" s="52" t="s">
        <v>184</v>
      </c>
      <c r="C515" s="7"/>
      <c r="D515" s="7"/>
      <c r="E515" s="7"/>
      <c r="F515" s="53">
        <f>F516</f>
        <v>3967.21495</v>
      </c>
    </row>
    <row r="516" spans="1:6" ht="18.75" customHeight="1">
      <c r="A516" s="7"/>
      <c r="B516" s="52" t="s">
        <v>511</v>
      </c>
      <c r="C516" s="7" t="s">
        <v>871</v>
      </c>
      <c r="D516" s="66">
        <f>D488</f>
        <v>38.516649999999998</v>
      </c>
      <c r="E516" s="7">
        <f>E504</f>
        <v>103</v>
      </c>
      <c r="F516" s="53">
        <f>D516*E516</f>
        <v>3967.21495</v>
      </c>
    </row>
    <row r="517" spans="1:6" ht="18.75" customHeight="1">
      <c r="A517" s="7">
        <v>5</v>
      </c>
      <c r="B517" s="52" t="s">
        <v>845</v>
      </c>
      <c r="C517" s="7"/>
      <c r="D517" s="53">
        <f>F498+F513+F515+F514</f>
        <v>28257.186150952795</v>
      </c>
      <c r="E517" s="56">
        <f>E489</f>
        <v>0.09</v>
      </c>
      <c r="F517" s="53">
        <f>D517*E517</f>
        <v>2543.1467535857514</v>
      </c>
    </row>
    <row r="518" spans="1:6" ht="18.75" customHeight="1">
      <c r="A518" s="7">
        <v>6</v>
      </c>
      <c r="B518" s="52" t="s">
        <v>7</v>
      </c>
      <c r="C518" s="7"/>
      <c r="D518" s="7"/>
      <c r="E518" s="7"/>
      <c r="F518" s="53">
        <f>F498+F513+F514+F515+F517</f>
        <v>30800.332904538547</v>
      </c>
    </row>
    <row r="519" spans="1:6" ht="18.75" customHeight="1">
      <c r="A519" s="7"/>
      <c r="B519" s="52" t="s">
        <v>846</v>
      </c>
      <c r="C519" s="7"/>
      <c r="D519" s="53">
        <f>F518</f>
        <v>30800.332904538547</v>
      </c>
      <c r="E519" s="56">
        <f>E491</f>
        <v>0.03</v>
      </c>
      <c r="F519" s="53">
        <f>E519*D519</f>
        <v>924.00998713615638</v>
      </c>
    </row>
    <row r="520" spans="1:6" ht="18.75" customHeight="1">
      <c r="A520" s="7"/>
      <c r="B520" s="52" t="s">
        <v>44</v>
      </c>
      <c r="C520" s="7"/>
      <c r="D520" s="7"/>
      <c r="E520" s="7"/>
      <c r="F520" s="53">
        <f>SUM(F518:F519)</f>
        <v>31724.342891674703</v>
      </c>
    </row>
    <row r="521" spans="1:6" ht="22.5" customHeight="1">
      <c r="A521" s="461" t="s">
        <v>813</v>
      </c>
      <c r="B521" s="461"/>
      <c r="C521" s="461"/>
      <c r="D521" s="461"/>
      <c r="E521" s="461"/>
      <c r="F521" s="461"/>
    </row>
    <row r="522" spans="1:6" ht="18.75" customHeight="1">
      <c r="A522" s="481" t="s">
        <v>1106</v>
      </c>
      <c r="B522" s="481"/>
      <c r="C522" s="481"/>
      <c r="D522" s="481"/>
      <c r="E522" s="481"/>
      <c r="F522" s="481"/>
    </row>
    <row r="523" spans="1:6" ht="18.75" customHeight="1">
      <c r="A523" s="47" t="s">
        <v>815</v>
      </c>
      <c r="B523" s="49" t="s">
        <v>281</v>
      </c>
      <c r="D523" s="71"/>
      <c r="E523" s="47" t="s">
        <v>169</v>
      </c>
      <c r="F523" s="49" t="s">
        <v>869</v>
      </c>
    </row>
    <row r="524" spans="1:6" ht="18.75" customHeight="1">
      <c r="A524" s="50" t="s">
        <v>817</v>
      </c>
      <c r="B524" s="458"/>
      <c r="C524" s="459"/>
      <c r="D524" s="459"/>
      <c r="E524" s="459"/>
      <c r="F524" s="460"/>
    </row>
    <row r="525" spans="1:6" ht="18.75" customHeight="1">
      <c r="A525" s="7" t="s">
        <v>1</v>
      </c>
      <c r="B525" s="52" t="s">
        <v>344</v>
      </c>
      <c r="C525" s="7" t="s">
        <v>818</v>
      </c>
      <c r="D525" s="7" t="s">
        <v>819</v>
      </c>
      <c r="E525" s="7" t="s">
        <v>820</v>
      </c>
      <c r="F525" s="7" t="s">
        <v>821</v>
      </c>
    </row>
    <row r="526" spans="1:6" ht="18.75" customHeight="1">
      <c r="A526" s="7">
        <v>1</v>
      </c>
      <c r="B526" s="52" t="s">
        <v>822</v>
      </c>
      <c r="C526" s="7"/>
      <c r="D526" s="7"/>
      <c r="E526" s="7"/>
      <c r="F526" s="53">
        <f>F527+F539+F540</f>
        <v>15219.200943264394</v>
      </c>
    </row>
    <row r="527" spans="1:6" ht="18.75" customHeight="1">
      <c r="A527" s="7">
        <v>1.1000000000000001</v>
      </c>
      <c r="B527" s="52" t="s">
        <v>823</v>
      </c>
      <c r="C527" s="7"/>
      <c r="D527" s="7"/>
      <c r="E527" s="7"/>
      <c r="F527" s="53">
        <f>F528+F531+F535+F538</f>
        <v>14522.138304641598</v>
      </c>
    </row>
    <row r="528" spans="1:6" ht="18.75" customHeight="1">
      <c r="A528" s="7" t="s">
        <v>47</v>
      </c>
      <c r="B528" s="52" t="s">
        <v>176</v>
      </c>
      <c r="C528" s="7"/>
      <c r="D528" s="7"/>
      <c r="E528" s="7"/>
      <c r="F528" s="53">
        <f>F529+F530</f>
        <v>2344.0147499999998</v>
      </c>
    </row>
    <row r="529" spans="1:6" ht="18.75" customHeight="1">
      <c r="A529" s="7"/>
      <c r="B529" s="52" t="s">
        <v>824</v>
      </c>
      <c r="C529" s="7" t="s">
        <v>825</v>
      </c>
      <c r="D529" s="7">
        <v>8.1</v>
      </c>
      <c r="E529" s="7">
        <f>E501</f>
        <v>61.929000000000002</v>
      </c>
      <c r="F529" s="53">
        <f>D529*E529</f>
        <v>501.62490000000003</v>
      </c>
    </row>
    <row r="530" spans="1:6" ht="18.75" customHeight="1">
      <c r="A530" s="7"/>
      <c r="B530" s="52" t="s">
        <v>826</v>
      </c>
      <c r="C530" s="7" t="s">
        <v>825</v>
      </c>
      <c r="D530" s="7">
        <v>5.77</v>
      </c>
      <c r="E530" s="7">
        <f>E502</f>
        <v>319.30500000000001</v>
      </c>
      <c r="F530" s="53">
        <f>D530*E530</f>
        <v>1842.38985</v>
      </c>
    </row>
    <row r="531" spans="1:6" ht="18.75" customHeight="1">
      <c r="A531" s="7" t="s">
        <v>57</v>
      </c>
      <c r="B531" s="52" t="s">
        <v>177</v>
      </c>
      <c r="C531" s="7"/>
      <c r="D531" s="7"/>
      <c r="E531" s="7"/>
      <c r="F531" s="53">
        <f>F532+F533+F534</f>
        <v>12115.275</v>
      </c>
    </row>
    <row r="532" spans="1:6" ht="18.75" customHeight="1">
      <c r="A532" s="7"/>
      <c r="B532" s="52" t="s">
        <v>511</v>
      </c>
      <c r="C532" s="7" t="s">
        <v>871</v>
      </c>
      <c r="D532" s="7">
        <f>D504</f>
        <v>70</v>
      </c>
      <c r="E532" s="7">
        <v>103</v>
      </c>
      <c r="F532" s="53">
        <f>D532*E532</f>
        <v>7210</v>
      </c>
    </row>
    <row r="533" spans="1:6" ht="18.75" customHeight="1">
      <c r="A533" s="7"/>
      <c r="B533" s="52" t="s">
        <v>1107</v>
      </c>
      <c r="C533" s="7" t="s">
        <v>1047</v>
      </c>
      <c r="D533" s="66">
        <v>8.5</v>
      </c>
      <c r="E533" s="7">
        <v>570</v>
      </c>
      <c r="F533" s="53">
        <f>D533*E533</f>
        <v>4845</v>
      </c>
    </row>
    <row r="534" spans="1:6" ht="18.75" customHeight="1">
      <c r="A534" s="7"/>
      <c r="B534" s="52" t="s">
        <v>833</v>
      </c>
      <c r="C534" s="7" t="s">
        <v>834</v>
      </c>
      <c r="D534" s="7">
        <f>F532+F533</f>
        <v>12055</v>
      </c>
      <c r="E534" s="7">
        <v>0.5</v>
      </c>
      <c r="F534" s="53">
        <f>D534*E534/100</f>
        <v>60.274999999999999</v>
      </c>
    </row>
    <row r="535" spans="1:6" ht="18.75" customHeight="1">
      <c r="A535" s="7" t="s">
        <v>835</v>
      </c>
      <c r="B535" s="52" t="s">
        <v>932</v>
      </c>
      <c r="C535" s="7"/>
      <c r="D535" s="7"/>
      <c r="E535" s="7"/>
      <c r="F535" s="53">
        <f>F536+F537</f>
        <v>62.848554641598135</v>
      </c>
    </row>
    <row r="536" spans="1:6" ht="18.75" customHeight="1">
      <c r="A536" s="7"/>
      <c r="B536" s="52" t="s">
        <v>935</v>
      </c>
      <c r="C536" s="7" t="s">
        <v>863</v>
      </c>
      <c r="D536" s="66">
        <f>施工机械台时汇总!$C$21</f>
        <v>28.129680376028197</v>
      </c>
      <c r="E536" s="7">
        <v>0</v>
      </c>
      <c r="F536" s="53">
        <f>D536*E536</f>
        <v>0</v>
      </c>
    </row>
    <row r="537" spans="1:6" ht="18.75" customHeight="1">
      <c r="A537" s="7"/>
      <c r="B537" s="52" t="s">
        <v>862</v>
      </c>
      <c r="C537" s="7" t="s">
        <v>863</v>
      </c>
      <c r="D537" s="7">
        <f>施工机械台时汇总!$C$19</f>
        <v>0.80266353309831595</v>
      </c>
      <c r="E537" s="7">
        <v>78.3</v>
      </c>
      <c r="F537" s="53">
        <f>D537*E537</f>
        <v>62.848554641598135</v>
      </c>
    </row>
    <row r="538" spans="1:6" ht="18.75" customHeight="1">
      <c r="A538" s="7"/>
      <c r="B538" s="52"/>
      <c r="C538" s="7"/>
      <c r="D538" s="7"/>
      <c r="E538" s="7"/>
      <c r="F538" s="53"/>
    </row>
    <row r="539" spans="1:6" ht="18.75" customHeight="1">
      <c r="A539" s="7">
        <v>1.2</v>
      </c>
      <c r="B539" s="52" t="s">
        <v>841</v>
      </c>
      <c r="C539" s="7"/>
      <c r="D539" s="53">
        <f>F527</f>
        <v>14522.138304641598</v>
      </c>
      <c r="E539" s="56">
        <f>E511</f>
        <v>4.8000000000000001E-2</v>
      </c>
      <c r="F539" s="53">
        <f>D539*E539</f>
        <v>697.06263862279673</v>
      </c>
    </row>
    <row r="540" spans="1:6" ht="18.75" customHeight="1">
      <c r="A540" s="7">
        <v>1.3</v>
      </c>
      <c r="B540" s="52" t="s">
        <v>842</v>
      </c>
      <c r="C540" s="7"/>
      <c r="D540" s="53">
        <f>F527</f>
        <v>14522.138304641598</v>
      </c>
      <c r="E540" s="56">
        <f>E512</f>
        <v>0</v>
      </c>
      <c r="F540" s="53">
        <f>D540*E540</f>
        <v>0</v>
      </c>
    </row>
    <row r="541" spans="1:6" ht="18.75" customHeight="1">
      <c r="A541" s="7">
        <v>2</v>
      </c>
      <c r="B541" s="52" t="s">
        <v>182</v>
      </c>
      <c r="C541" s="7"/>
      <c r="D541" s="53">
        <f>F526</f>
        <v>15219.200943264394</v>
      </c>
      <c r="E541" s="56">
        <f>E513</f>
        <v>8.5000000000000006E-2</v>
      </c>
      <c r="F541" s="53">
        <f>D541*E541</f>
        <v>1293.6320801774737</v>
      </c>
    </row>
    <row r="542" spans="1:6" ht="18.75" customHeight="1">
      <c r="A542" s="7">
        <v>3</v>
      </c>
      <c r="B542" s="52" t="s">
        <v>843</v>
      </c>
      <c r="C542" s="7"/>
      <c r="D542" s="53">
        <f>F526+F541</f>
        <v>16512.833023441868</v>
      </c>
      <c r="E542" s="56">
        <f>E514</f>
        <v>7.0000000000000007E-2</v>
      </c>
      <c r="F542" s="53">
        <f>D542*E542</f>
        <v>1155.8983116409308</v>
      </c>
    </row>
    <row r="543" spans="1:6" ht="18.75" customHeight="1">
      <c r="A543" s="7">
        <v>4</v>
      </c>
      <c r="B543" s="52" t="s">
        <v>184</v>
      </c>
      <c r="C543" s="7"/>
      <c r="D543" s="7"/>
      <c r="E543" s="7"/>
      <c r="F543" s="53">
        <f>F544</f>
        <v>3967.21495</v>
      </c>
    </row>
    <row r="544" spans="1:6" ht="18.75" customHeight="1">
      <c r="A544" s="7"/>
      <c r="B544" s="52" t="s">
        <v>511</v>
      </c>
      <c r="C544" s="7" t="s">
        <v>871</v>
      </c>
      <c r="D544" s="66">
        <f>D516</f>
        <v>38.516649999999998</v>
      </c>
      <c r="E544" s="7">
        <f>E532</f>
        <v>103</v>
      </c>
      <c r="F544" s="53">
        <f>D544*E544</f>
        <v>3967.21495</v>
      </c>
    </row>
    <row r="545" spans="1:6" ht="18.75" customHeight="1">
      <c r="A545" s="7">
        <v>5</v>
      </c>
      <c r="B545" s="52" t="s">
        <v>845</v>
      </c>
      <c r="C545" s="7"/>
      <c r="D545" s="53">
        <f>F526+F541+F543+F542</f>
        <v>21635.946285082799</v>
      </c>
      <c r="E545" s="56">
        <f>E517</f>
        <v>0.09</v>
      </c>
      <c r="F545" s="53">
        <f>D545*E545</f>
        <v>1947.2351656574517</v>
      </c>
    </row>
    <row r="546" spans="1:6" ht="18.75" customHeight="1">
      <c r="A546" s="7">
        <v>6</v>
      </c>
      <c r="B546" s="52" t="s">
        <v>7</v>
      </c>
      <c r="C546" s="7"/>
      <c r="D546" s="7"/>
      <c r="E546" s="7"/>
      <c r="F546" s="53">
        <f>F526+F541+F542+F543+F545</f>
        <v>23583.181450740249</v>
      </c>
    </row>
    <row r="547" spans="1:6" ht="18.75" customHeight="1">
      <c r="A547" s="7"/>
      <c r="B547" s="52" t="s">
        <v>846</v>
      </c>
      <c r="C547" s="7"/>
      <c r="D547" s="53">
        <f>F546</f>
        <v>23583.181450740249</v>
      </c>
      <c r="E547" s="56">
        <f>E519</f>
        <v>0.03</v>
      </c>
      <c r="F547" s="53">
        <f>E547*D547</f>
        <v>707.49544352220744</v>
      </c>
    </row>
    <row r="548" spans="1:6" ht="18.75" customHeight="1">
      <c r="A548" s="7"/>
      <c r="B548" s="52" t="s">
        <v>44</v>
      </c>
      <c r="C548" s="7"/>
      <c r="D548" s="7"/>
      <c r="E548" s="7"/>
      <c r="F548" s="53">
        <f>SUM(F546:F547)</f>
        <v>24290.676894262455</v>
      </c>
    </row>
    <row r="549" spans="1:6" ht="20.25" customHeight="1">
      <c r="A549" s="461" t="s">
        <v>813</v>
      </c>
      <c r="B549" s="461"/>
      <c r="C549" s="461"/>
      <c r="D549" s="461"/>
      <c r="E549" s="461"/>
      <c r="F549" s="461"/>
    </row>
    <row r="550" spans="1:6" ht="18.75" customHeight="1">
      <c r="A550" s="462" t="s">
        <v>1108</v>
      </c>
      <c r="B550" s="462"/>
      <c r="C550" s="462"/>
      <c r="D550" s="462"/>
      <c r="E550" s="462"/>
      <c r="F550" s="462"/>
    </row>
    <row r="551" spans="1:6" ht="18.75" customHeight="1">
      <c r="A551" s="47" t="s">
        <v>815</v>
      </c>
      <c r="B551" s="49">
        <v>3007</v>
      </c>
      <c r="D551" s="71"/>
      <c r="E551" s="47" t="s">
        <v>169</v>
      </c>
      <c r="F551" s="49" t="s">
        <v>869</v>
      </c>
    </row>
    <row r="552" spans="1:6" ht="18.75" customHeight="1">
      <c r="A552" s="50" t="s">
        <v>817</v>
      </c>
      <c r="B552" s="458"/>
      <c r="C552" s="459"/>
      <c r="D552" s="459"/>
      <c r="E552" s="459"/>
      <c r="F552" s="460"/>
    </row>
    <row r="553" spans="1:6" ht="18.75" customHeight="1">
      <c r="A553" s="7" t="s">
        <v>1</v>
      </c>
      <c r="B553" s="52" t="s">
        <v>344</v>
      </c>
      <c r="C553" s="7" t="s">
        <v>818</v>
      </c>
      <c r="D553" s="7" t="s">
        <v>819</v>
      </c>
      <c r="E553" s="7" t="s">
        <v>820</v>
      </c>
      <c r="F553" s="7" t="s">
        <v>821</v>
      </c>
    </row>
    <row r="554" spans="1:6" ht="18.75" customHeight="1">
      <c r="A554" s="7">
        <v>1</v>
      </c>
      <c r="B554" s="52" t="s">
        <v>822</v>
      </c>
      <c r="C554" s="7"/>
      <c r="D554" s="7"/>
      <c r="E554" s="7"/>
      <c r="F554" s="53">
        <f>F555+F564+F565</f>
        <v>10561.663304</v>
      </c>
    </row>
    <row r="555" spans="1:6" ht="18.75" customHeight="1">
      <c r="A555" s="7">
        <v>1.1000000000000001</v>
      </c>
      <c r="B555" s="52" t="s">
        <v>823</v>
      </c>
      <c r="C555" s="7"/>
      <c r="D555" s="7"/>
      <c r="E555" s="7"/>
      <c r="F555" s="53">
        <f>F556+F559</f>
        <v>10077.922999999999</v>
      </c>
    </row>
    <row r="556" spans="1:6" ht="18.75" customHeight="1">
      <c r="A556" s="7" t="s">
        <v>47</v>
      </c>
      <c r="B556" s="52" t="s">
        <v>176</v>
      </c>
      <c r="C556" s="7"/>
      <c r="D556" s="7"/>
      <c r="E556" s="7"/>
      <c r="F556" s="53">
        <f>F557+F558</f>
        <v>2866.5230000000001</v>
      </c>
    </row>
    <row r="557" spans="1:6" ht="18.75" customHeight="1">
      <c r="A557" s="7"/>
      <c r="B557" s="52" t="s">
        <v>824</v>
      </c>
      <c r="C557" s="7" t="s">
        <v>825</v>
      </c>
      <c r="D557" s="7">
        <v>8.1</v>
      </c>
      <c r="E557" s="7">
        <v>9.9</v>
      </c>
      <c r="F557" s="53">
        <f>D557*E557</f>
        <v>80.19</v>
      </c>
    </row>
    <row r="558" spans="1:6" ht="18.75" customHeight="1">
      <c r="A558" s="7"/>
      <c r="B558" s="52" t="s">
        <v>826</v>
      </c>
      <c r="C558" s="7" t="s">
        <v>825</v>
      </c>
      <c r="D558" s="7">
        <v>5.77</v>
      </c>
      <c r="E558" s="7">
        <v>482.9</v>
      </c>
      <c r="F558" s="53">
        <f>D558*E558</f>
        <v>2786.3330000000001</v>
      </c>
    </row>
    <row r="559" spans="1:6" ht="18.75" customHeight="1">
      <c r="A559" s="7" t="s">
        <v>57</v>
      </c>
      <c r="B559" s="52" t="s">
        <v>177</v>
      </c>
      <c r="C559" s="7"/>
      <c r="D559" s="7"/>
      <c r="E559" s="7"/>
      <c r="F559" s="53">
        <f>F560+F561+F562</f>
        <v>7211.4</v>
      </c>
    </row>
    <row r="560" spans="1:6" ht="18.75" customHeight="1">
      <c r="A560" s="7"/>
      <c r="B560" s="52" t="s">
        <v>509</v>
      </c>
      <c r="C560" s="7" t="s">
        <v>871</v>
      </c>
      <c r="D560" s="7">
        <f>材料预算价格表!L10</f>
        <v>70</v>
      </c>
      <c r="E560" s="7">
        <v>102</v>
      </c>
      <c r="F560" s="53">
        <f>D560*E560</f>
        <v>7140</v>
      </c>
    </row>
    <row r="561" spans="1:6" ht="18.75" customHeight="1">
      <c r="A561" s="7"/>
      <c r="B561" s="52" t="s">
        <v>1109</v>
      </c>
      <c r="C561" s="7" t="s">
        <v>871</v>
      </c>
      <c r="D561" s="7">
        <f>材料预算价格表!L9</f>
        <v>70</v>
      </c>
      <c r="E561" s="7">
        <v>0</v>
      </c>
      <c r="F561" s="53">
        <f>D561*E561</f>
        <v>0</v>
      </c>
    </row>
    <row r="562" spans="1:6" ht="18.75" customHeight="1">
      <c r="A562" s="7"/>
      <c r="B562" s="52" t="s">
        <v>833</v>
      </c>
      <c r="C562" s="7" t="s">
        <v>834</v>
      </c>
      <c r="D562" s="7">
        <f>F560+F561</f>
        <v>7140</v>
      </c>
      <c r="E562" s="7">
        <v>1</v>
      </c>
      <c r="F562" s="53">
        <f>D562*E562/100</f>
        <v>71.400000000000006</v>
      </c>
    </row>
    <row r="563" spans="1:6" ht="18.75" customHeight="1">
      <c r="A563" s="7"/>
      <c r="B563" s="52"/>
      <c r="C563" s="7"/>
      <c r="D563" s="7"/>
      <c r="E563" s="7"/>
      <c r="F563" s="53"/>
    </row>
    <row r="564" spans="1:6" ht="18.75" customHeight="1">
      <c r="A564" s="7">
        <v>1.2</v>
      </c>
      <c r="B564" s="52" t="s">
        <v>841</v>
      </c>
      <c r="C564" s="7"/>
      <c r="D564" s="53">
        <f>F555</f>
        <v>10077.922999999999</v>
      </c>
      <c r="E564" s="56">
        <f>E259</f>
        <v>4.8000000000000001E-2</v>
      </c>
      <c r="F564" s="53">
        <f>D564*E564</f>
        <v>483.74030399999998</v>
      </c>
    </row>
    <row r="565" spans="1:6" ht="18.75" customHeight="1">
      <c r="A565" s="7">
        <v>1.3</v>
      </c>
      <c r="B565" s="52" t="s">
        <v>842</v>
      </c>
      <c r="C565" s="7"/>
      <c r="D565" s="53">
        <f>F555</f>
        <v>10077.922999999999</v>
      </c>
      <c r="E565" s="56">
        <f>E260</f>
        <v>0</v>
      </c>
      <c r="F565" s="53">
        <f>D565*E565</f>
        <v>0</v>
      </c>
    </row>
    <row r="566" spans="1:6" ht="18.75" customHeight="1">
      <c r="A566" s="7">
        <v>2</v>
      </c>
      <c r="B566" s="52" t="s">
        <v>182</v>
      </c>
      <c r="C566" s="7"/>
      <c r="D566" s="53">
        <f>F554</f>
        <v>10561.663304</v>
      </c>
      <c r="E566" s="56">
        <f>E261</f>
        <v>8.5000000000000006E-2</v>
      </c>
      <c r="F566" s="53">
        <f>D566*E566</f>
        <v>897.74138084000003</v>
      </c>
    </row>
    <row r="567" spans="1:6" ht="18.75" customHeight="1">
      <c r="A567" s="7">
        <v>3</v>
      </c>
      <c r="B567" s="52" t="s">
        <v>843</v>
      </c>
      <c r="C567" s="7"/>
      <c r="D567" s="53">
        <f>F554+F566</f>
        <v>11459.404684839999</v>
      </c>
      <c r="E567" s="56">
        <f>E262</f>
        <v>7.0000000000000007E-2</v>
      </c>
      <c r="F567" s="53">
        <f>D567*E567</f>
        <v>802.15832793880008</v>
      </c>
    </row>
    <row r="568" spans="1:6" ht="18.75" customHeight="1">
      <c r="A568" s="7">
        <v>4</v>
      </c>
      <c r="B568" s="52" t="s">
        <v>184</v>
      </c>
      <c r="C568" s="7"/>
      <c r="D568" s="7"/>
      <c r="E568" s="7"/>
      <c r="F568" s="53">
        <f>F569+F570</f>
        <v>637.06445999999903</v>
      </c>
    </row>
    <row r="569" spans="1:6" ht="18.75" customHeight="1">
      <c r="A569" s="7"/>
      <c r="B569" s="52" t="s">
        <v>509</v>
      </c>
      <c r="C569" s="7" t="s">
        <v>871</v>
      </c>
      <c r="D569" s="66">
        <f>E2</f>
        <v>6.2457299999999902</v>
      </c>
      <c r="E569" s="7">
        <f>E560</f>
        <v>102</v>
      </c>
      <c r="F569" s="53">
        <f>D569*E569</f>
        <v>637.06445999999903</v>
      </c>
    </row>
    <row r="570" spans="1:6" ht="18.75" customHeight="1">
      <c r="A570" s="7"/>
      <c r="B570" s="52" t="s">
        <v>1109</v>
      </c>
      <c r="C570" s="7" t="s">
        <v>871</v>
      </c>
      <c r="D570" s="66">
        <f>D2</f>
        <v>4.6598683999999899</v>
      </c>
      <c r="E570" s="7"/>
      <c r="F570" s="53">
        <f>D570*E570</f>
        <v>0</v>
      </c>
    </row>
    <row r="571" spans="1:6" ht="18.75" customHeight="1">
      <c r="A571" s="7">
        <v>5</v>
      </c>
      <c r="B571" s="52" t="s">
        <v>845</v>
      </c>
      <c r="C571" s="7"/>
      <c r="D571" s="66">
        <f>F554+F566+F567+F568</f>
        <v>12898.627472778799</v>
      </c>
      <c r="E571" s="56">
        <f>E265</f>
        <v>0.09</v>
      </c>
      <c r="F571" s="53">
        <f>D571*E571</f>
        <v>1160.8764725500919</v>
      </c>
    </row>
    <row r="572" spans="1:6" ht="18.75" customHeight="1">
      <c r="A572" s="7">
        <v>6</v>
      </c>
      <c r="B572" s="52" t="s">
        <v>7</v>
      </c>
      <c r="C572" s="7"/>
      <c r="D572" s="7"/>
      <c r="E572" s="7"/>
      <c r="F572" s="53">
        <f>F554+F566+F567+F568+F571</f>
        <v>14059.50394532889</v>
      </c>
    </row>
    <row r="573" spans="1:6" ht="18.75" customHeight="1">
      <c r="A573" s="7"/>
      <c r="B573" s="52" t="s">
        <v>846</v>
      </c>
      <c r="C573" s="7"/>
      <c r="D573" s="53">
        <f>F572</f>
        <v>14059.50394532889</v>
      </c>
      <c r="E573" s="56">
        <f>E267</f>
        <v>0.03</v>
      </c>
      <c r="F573" s="53">
        <f>E573*D573</f>
        <v>421.78511835986666</v>
      </c>
    </row>
    <row r="574" spans="1:6" ht="18.75" customHeight="1">
      <c r="A574" s="7"/>
      <c r="B574" s="52" t="s">
        <v>44</v>
      </c>
      <c r="C574" s="7"/>
      <c r="D574" s="7"/>
      <c r="E574" s="7"/>
      <c r="F574" s="53">
        <f>SUM(F572:F573)</f>
        <v>14481.289063688757</v>
      </c>
    </row>
    <row r="575" spans="1:6" ht="20.25" customHeight="1">
      <c r="A575" s="461" t="s">
        <v>813</v>
      </c>
      <c r="B575" s="461"/>
      <c r="C575" s="461"/>
      <c r="D575" s="461"/>
      <c r="E575" s="461"/>
      <c r="F575" s="461"/>
    </row>
    <row r="576" spans="1:6" ht="18.75" customHeight="1">
      <c r="A576" s="462" t="s">
        <v>1110</v>
      </c>
      <c r="B576" s="462"/>
      <c r="C576" s="462"/>
      <c r="D576" s="462"/>
      <c r="E576" s="462"/>
      <c r="F576" s="462"/>
    </row>
    <row r="577" spans="1:6" ht="18.75" customHeight="1">
      <c r="A577" s="47" t="s">
        <v>815</v>
      </c>
      <c r="B577" s="49">
        <v>3007</v>
      </c>
      <c r="D577" s="71"/>
      <c r="E577" s="47" t="s">
        <v>169</v>
      </c>
      <c r="F577" s="49" t="s">
        <v>869</v>
      </c>
    </row>
    <row r="578" spans="1:6" ht="18.75" customHeight="1">
      <c r="A578" s="50" t="s">
        <v>817</v>
      </c>
      <c r="B578" s="458"/>
      <c r="C578" s="459"/>
      <c r="D578" s="459"/>
      <c r="E578" s="459"/>
      <c r="F578" s="460"/>
    </row>
    <row r="579" spans="1:6" ht="18.75" customHeight="1">
      <c r="A579" s="7" t="s">
        <v>1</v>
      </c>
      <c r="B579" s="52" t="s">
        <v>344</v>
      </c>
      <c r="C579" s="7" t="s">
        <v>818</v>
      </c>
      <c r="D579" s="7" t="s">
        <v>819</v>
      </c>
      <c r="E579" s="7" t="s">
        <v>820</v>
      </c>
      <c r="F579" s="7" t="s">
        <v>821</v>
      </c>
    </row>
    <row r="580" spans="1:6" ht="18.75" customHeight="1">
      <c r="A580" s="7">
        <v>1</v>
      </c>
      <c r="B580" s="52" t="s">
        <v>822</v>
      </c>
      <c r="C580" s="7"/>
      <c r="D580" s="7"/>
      <c r="E580" s="7"/>
      <c r="F580" s="53">
        <f>F581+F589+F590</f>
        <v>9207.3022615280006</v>
      </c>
    </row>
    <row r="581" spans="1:6" ht="18.75" customHeight="1">
      <c r="A581" s="7">
        <v>1.1000000000000001</v>
      </c>
      <c r="B581" s="52" t="s">
        <v>823</v>
      </c>
      <c r="C581" s="7"/>
      <c r="D581" s="7"/>
      <c r="E581" s="7"/>
      <c r="F581" s="53">
        <f>F582+F585</f>
        <v>8785.5937610000001</v>
      </c>
    </row>
    <row r="582" spans="1:6" ht="18.75" customHeight="1">
      <c r="A582" s="7" t="s">
        <v>47</v>
      </c>
      <c r="B582" s="52" t="s">
        <v>176</v>
      </c>
      <c r="C582" s="7"/>
      <c r="D582" s="7"/>
      <c r="E582" s="7"/>
      <c r="F582" s="53">
        <f>F583+F584</f>
        <v>2866.5230000000001</v>
      </c>
    </row>
    <row r="583" spans="1:6" ht="18.75" customHeight="1">
      <c r="A583" s="7"/>
      <c r="B583" s="52" t="s">
        <v>824</v>
      </c>
      <c r="C583" s="7" t="s">
        <v>825</v>
      </c>
      <c r="D583" s="7">
        <v>8.1</v>
      </c>
      <c r="E583" s="7">
        <v>9.9</v>
      </c>
      <c r="F583" s="53">
        <f>D583*E583</f>
        <v>80.19</v>
      </c>
    </row>
    <row r="584" spans="1:6" ht="18.75" customHeight="1">
      <c r="A584" s="7"/>
      <c r="B584" s="52" t="s">
        <v>826</v>
      </c>
      <c r="C584" s="7" t="s">
        <v>825</v>
      </c>
      <c r="D584" s="7">
        <v>5.77</v>
      </c>
      <c r="E584" s="7">
        <v>482.9</v>
      </c>
      <c r="F584" s="53">
        <f>D584*E584</f>
        <v>2786.3330000000001</v>
      </c>
    </row>
    <row r="585" spans="1:6" ht="18.75" customHeight="1">
      <c r="A585" s="7" t="s">
        <v>57</v>
      </c>
      <c r="B585" s="52" t="s">
        <v>177</v>
      </c>
      <c r="C585" s="7"/>
      <c r="D585" s="7"/>
      <c r="E585" s="7"/>
      <c r="F585" s="53">
        <f>F586+F587</f>
        <v>5919.0707609999999</v>
      </c>
    </row>
    <row r="586" spans="1:6" ht="18.75" customHeight="1">
      <c r="A586" s="7"/>
      <c r="B586" s="52" t="s">
        <v>513</v>
      </c>
      <c r="C586" s="7" t="s">
        <v>871</v>
      </c>
      <c r="D586" s="7">
        <v>57.455550000000002</v>
      </c>
      <c r="E586" s="7">
        <v>102</v>
      </c>
      <c r="F586" s="53">
        <f>D586*E586</f>
        <v>5860.4660999999996</v>
      </c>
    </row>
    <row r="587" spans="1:6" ht="18.75" customHeight="1">
      <c r="A587" s="7"/>
      <c r="B587" s="52" t="s">
        <v>833</v>
      </c>
      <c r="C587" s="7" t="s">
        <v>834</v>
      </c>
      <c r="D587" s="53">
        <f>F586</f>
        <v>5860.4660999999996</v>
      </c>
      <c r="E587" s="7">
        <v>1</v>
      </c>
      <c r="F587" s="53">
        <f>D587*E587/100</f>
        <v>58.604661</v>
      </c>
    </row>
    <row r="588" spans="1:6" ht="18.75" customHeight="1">
      <c r="A588" s="7"/>
      <c r="B588" s="52"/>
      <c r="C588" s="7"/>
      <c r="D588" s="7"/>
      <c r="E588" s="7"/>
      <c r="F588" s="53"/>
    </row>
    <row r="589" spans="1:6" ht="18.75" customHeight="1">
      <c r="A589" s="7">
        <v>1.2</v>
      </c>
      <c r="B589" s="52" t="s">
        <v>841</v>
      </c>
      <c r="C589" s="7"/>
      <c r="D589" s="53">
        <f>F581</f>
        <v>8785.5937610000001</v>
      </c>
      <c r="E589" s="56">
        <f>E564</f>
        <v>4.8000000000000001E-2</v>
      </c>
      <c r="F589" s="53">
        <f>D589*E589</f>
        <v>421.708500528</v>
      </c>
    </row>
    <row r="590" spans="1:6" ht="18.75" customHeight="1">
      <c r="A590" s="7">
        <v>1.3</v>
      </c>
      <c r="B590" s="52" t="s">
        <v>842</v>
      </c>
      <c r="C590" s="7"/>
      <c r="D590" s="53">
        <f>F581</f>
        <v>8785.5937610000001</v>
      </c>
      <c r="E590" s="56">
        <f>E565</f>
        <v>0</v>
      </c>
      <c r="F590" s="53">
        <f>D590*E590</f>
        <v>0</v>
      </c>
    </row>
    <row r="591" spans="1:6" ht="18.75" customHeight="1">
      <c r="A591" s="7">
        <v>2</v>
      </c>
      <c r="B591" s="52" t="s">
        <v>182</v>
      </c>
      <c r="C591" s="7"/>
      <c r="D591" s="53">
        <f>F580</f>
        <v>9207.3022615280006</v>
      </c>
      <c r="E591" s="56">
        <f>E566</f>
        <v>8.5000000000000006E-2</v>
      </c>
      <c r="F591" s="53">
        <f>D591*E591</f>
        <v>782.62069222988009</v>
      </c>
    </row>
    <row r="592" spans="1:6" ht="18.75" customHeight="1">
      <c r="A592" s="7">
        <v>3</v>
      </c>
      <c r="B592" s="52" t="s">
        <v>843</v>
      </c>
      <c r="C592" s="7"/>
      <c r="D592" s="53">
        <f>F580+F591</f>
        <v>9989.9229537578813</v>
      </c>
      <c r="E592" s="56">
        <f>E567</f>
        <v>7.0000000000000007E-2</v>
      </c>
      <c r="F592" s="53">
        <f>D592*E592</f>
        <v>699.29460676305177</v>
      </c>
    </row>
    <row r="593" spans="1:6" ht="18.75" customHeight="1">
      <c r="A593" s="7">
        <v>4</v>
      </c>
      <c r="B593" s="52" t="s">
        <v>184</v>
      </c>
      <c r="C593" s="7"/>
      <c r="D593" s="7"/>
      <c r="E593" s="7"/>
      <c r="F593" s="53">
        <f>F594</f>
        <v>0</v>
      </c>
    </row>
    <row r="594" spans="1:6" ht="18.75" customHeight="1">
      <c r="A594" s="7"/>
      <c r="B594" s="52" t="s">
        <v>513</v>
      </c>
      <c r="C594" s="7" t="s">
        <v>871</v>
      </c>
      <c r="D594" s="66">
        <v>0</v>
      </c>
      <c r="E594" s="7">
        <f>E586</f>
        <v>102</v>
      </c>
      <c r="F594" s="53">
        <f>D594*E594</f>
        <v>0</v>
      </c>
    </row>
    <row r="595" spans="1:6" ht="18.75" customHeight="1">
      <c r="A595" s="7">
        <v>5</v>
      </c>
      <c r="B595" s="52" t="s">
        <v>845</v>
      </c>
      <c r="C595" s="7"/>
      <c r="D595" s="66">
        <f>F580+F591+F592+F593</f>
        <v>10689.217560520932</v>
      </c>
      <c r="E595" s="56">
        <f>E571</f>
        <v>0.09</v>
      </c>
      <c r="F595" s="53">
        <f>D595*E595</f>
        <v>962.02958044688387</v>
      </c>
    </row>
    <row r="596" spans="1:6" ht="18.75" customHeight="1">
      <c r="A596" s="7">
        <v>6</v>
      </c>
      <c r="B596" s="52" t="s">
        <v>7</v>
      </c>
      <c r="C596" s="7"/>
      <c r="D596" s="7"/>
      <c r="E596" s="7"/>
      <c r="F596" s="53">
        <f>F580+F591+F592+F593+F595</f>
        <v>11651.247140967816</v>
      </c>
    </row>
    <row r="597" spans="1:6" ht="18.75" customHeight="1">
      <c r="A597" s="7"/>
      <c r="B597" s="52" t="s">
        <v>846</v>
      </c>
      <c r="C597" s="7"/>
      <c r="D597" s="53">
        <f>F596</f>
        <v>11651.247140967816</v>
      </c>
      <c r="E597" s="56">
        <f>E573</f>
        <v>0.03</v>
      </c>
      <c r="F597" s="53">
        <f>E597*D597</f>
        <v>349.53741422903448</v>
      </c>
    </row>
    <row r="598" spans="1:6" ht="18.75" customHeight="1">
      <c r="A598" s="7"/>
      <c r="B598" s="52" t="s">
        <v>44</v>
      </c>
      <c r="C598" s="7"/>
      <c r="D598" s="7"/>
      <c r="E598" s="7"/>
      <c r="F598" s="53">
        <f>SUM(F596:F597)</f>
        <v>12000.784555196851</v>
      </c>
    </row>
    <row r="599" spans="1:6" ht="20.25" customHeight="1">
      <c r="A599" s="461" t="s">
        <v>813</v>
      </c>
      <c r="B599" s="461"/>
      <c r="C599" s="461"/>
      <c r="D599" s="461"/>
      <c r="E599" s="461"/>
      <c r="F599" s="461"/>
    </row>
    <row r="600" spans="1:6" ht="18.75" customHeight="1">
      <c r="A600" s="462" t="s">
        <v>1111</v>
      </c>
      <c r="B600" s="462"/>
      <c r="C600" s="462"/>
      <c r="D600" s="462"/>
      <c r="E600" s="462"/>
      <c r="F600" s="462"/>
    </row>
    <row r="601" spans="1:6" ht="18.75" customHeight="1">
      <c r="A601" s="47" t="s">
        <v>815</v>
      </c>
      <c r="B601" s="49">
        <v>3008</v>
      </c>
      <c r="D601" s="71"/>
      <c r="E601" s="47" t="s">
        <v>169</v>
      </c>
      <c r="F601" s="49" t="s">
        <v>869</v>
      </c>
    </row>
    <row r="602" spans="1:6" ht="18.75" customHeight="1">
      <c r="A602" s="50" t="s">
        <v>817</v>
      </c>
      <c r="B602" s="482"/>
      <c r="C602" s="482"/>
      <c r="D602" s="482"/>
      <c r="E602" s="482"/>
      <c r="F602" s="482"/>
    </row>
    <row r="603" spans="1:6" ht="18.75" customHeight="1">
      <c r="A603" s="7" t="s">
        <v>1</v>
      </c>
      <c r="B603" s="52" t="s">
        <v>344</v>
      </c>
      <c r="C603" s="7" t="s">
        <v>818</v>
      </c>
      <c r="D603" s="7" t="s">
        <v>819</v>
      </c>
      <c r="E603" s="7" t="s">
        <v>820</v>
      </c>
      <c r="F603" s="7" t="s">
        <v>821</v>
      </c>
    </row>
    <row r="604" spans="1:6" ht="18.75" customHeight="1">
      <c r="A604" s="7">
        <v>1</v>
      </c>
      <c r="B604" s="52" t="s">
        <v>822</v>
      </c>
      <c r="C604" s="7"/>
      <c r="D604" s="7"/>
      <c r="E604" s="7"/>
      <c r="F604" s="7">
        <f>F605+F614+F615</f>
        <v>10561.663304</v>
      </c>
    </row>
    <row r="605" spans="1:6" ht="18.75" customHeight="1">
      <c r="A605" s="7">
        <v>1.1000000000000001</v>
      </c>
      <c r="B605" s="52" t="s">
        <v>823</v>
      </c>
      <c r="C605" s="7"/>
      <c r="D605" s="7"/>
      <c r="E605" s="7"/>
      <c r="F605" s="53">
        <f>F606+F609</f>
        <v>10077.922999999999</v>
      </c>
    </row>
    <row r="606" spans="1:6" ht="18.75" customHeight="1">
      <c r="A606" s="7" t="s">
        <v>47</v>
      </c>
      <c r="B606" s="52" t="s">
        <v>176</v>
      </c>
      <c r="C606" s="7"/>
      <c r="D606" s="7"/>
      <c r="E606" s="7"/>
      <c r="F606" s="53">
        <f>F607+F608</f>
        <v>2866.5230000000001</v>
      </c>
    </row>
    <row r="607" spans="1:6" ht="18.75" customHeight="1">
      <c r="A607" s="7"/>
      <c r="B607" s="52" t="s">
        <v>824</v>
      </c>
      <c r="C607" s="7" t="s">
        <v>825</v>
      </c>
      <c r="D607" s="7">
        <v>8.1</v>
      </c>
      <c r="E607" s="7">
        <v>9.9</v>
      </c>
      <c r="F607" s="53">
        <f>D607*E607</f>
        <v>80.19</v>
      </c>
    </row>
    <row r="608" spans="1:6" ht="18.75" customHeight="1">
      <c r="A608" s="7"/>
      <c r="B608" s="52" t="s">
        <v>826</v>
      </c>
      <c r="C608" s="7" t="s">
        <v>825</v>
      </c>
      <c r="D608" s="7">
        <v>5.77</v>
      </c>
      <c r="E608" s="7">
        <v>482.9</v>
      </c>
      <c r="F608" s="53">
        <f>D608*E608</f>
        <v>2786.3330000000001</v>
      </c>
    </row>
    <row r="609" spans="1:6" ht="18.75" customHeight="1">
      <c r="A609" s="7" t="s">
        <v>57</v>
      </c>
      <c r="B609" s="52" t="s">
        <v>177</v>
      </c>
      <c r="C609" s="7"/>
      <c r="D609" s="7"/>
      <c r="E609" s="7"/>
      <c r="F609" s="53">
        <f>F610+F611+F612</f>
        <v>7211.4</v>
      </c>
    </row>
    <row r="610" spans="1:6" ht="18.75" customHeight="1">
      <c r="A610" s="7"/>
      <c r="B610" s="52" t="s">
        <v>509</v>
      </c>
      <c r="C610" s="7" t="s">
        <v>871</v>
      </c>
      <c r="D610" s="7">
        <f>D560</f>
        <v>70</v>
      </c>
      <c r="E610" s="7">
        <v>51</v>
      </c>
      <c r="F610" s="53">
        <f>D610*E610</f>
        <v>3570</v>
      </c>
    </row>
    <row r="611" spans="1:6" ht="18.75" customHeight="1">
      <c r="A611" s="7"/>
      <c r="B611" s="52" t="s">
        <v>1109</v>
      </c>
      <c r="C611" s="7" t="s">
        <v>871</v>
      </c>
      <c r="D611" s="7">
        <f>D561</f>
        <v>70</v>
      </c>
      <c r="E611" s="7">
        <v>51</v>
      </c>
      <c r="F611" s="53">
        <f>D611*E611</f>
        <v>3570</v>
      </c>
    </row>
    <row r="612" spans="1:6" ht="18.75" customHeight="1">
      <c r="A612" s="7"/>
      <c r="B612" s="52" t="s">
        <v>833</v>
      </c>
      <c r="C612" s="7" t="s">
        <v>834</v>
      </c>
      <c r="D612" s="7">
        <f>F610+F611</f>
        <v>7140</v>
      </c>
      <c r="E612" s="7">
        <v>1</v>
      </c>
      <c r="F612" s="53">
        <f>D612*E612/100</f>
        <v>71.400000000000006</v>
      </c>
    </row>
    <row r="613" spans="1:6" ht="18.75" customHeight="1">
      <c r="A613" s="7"/>
      <c r="B613" s="52"/>
      <c r="C613" s="7"/>
      <c r="D613" s="7"/>
      <c r="E613" s="7"/>
      <c r="F613" s="53"/>
    </row>
    <row r="614" spans="1:6" ht="18.75" customHeight="1">
      <c r="A614" s="7">
        <v>1.2</v>
      </c>
      <c r="B614" s="52" t="s">
        <v>841</v>
      </c>
      <c r="C614" s="7"/>
      <c r="D614" s="66">
        <f>F605</f>
        <v>10077.922999999999</v>
      </c>
      <c r="E614" s="56">
        <f>E564</f>
        <v>4.8000000000000001E-2</v>
      </c>
      <c r="F614" s="53">
        <f>D614*E614</f>
        <v>483.74030399999998</v>
      </c>
    </row>
    <row r="615" spans="1:6" ht="18.75" customHeight="1">
      <c r="A615" s="7">
        <v>1.3</v>
      </c>
      <c r="B615" s="52" t="s">
        <v>842</v>
      </c>
      <c r="C615" s="7"/>
      <c r="D615" s="66">
        <f>F605</f>
        <v>10077.922999999999</v>
      </c>
      <c r="E615" s="56">
        <f>E565</f>
        <v>0</v>
      </c>
      <c r="F615" s="53">
        <f>D615*E615</f>
        <v>0</v>
      </c>
    </row>
    <row r="616" spans="1:6" ht="18.75" customHeight="1">
      <c r="A616" s="7">
        <v>2</v>
      </c>
      <c r="B616" s="52" t="s">
        <v>182</v>
      </c>
      <c r="C616" s="7"/>
      <c r="D616" s="66">
        <f>F604</f>
        <v>10561.663304</v>
      </c>
      <c r="E616" s="56">
        <f>E566</f>
        <v>8.5000000000000006E-2</v>
      </c>
      <c r="F616" s="53">
        <f>D616*E616</f>
        <v>897.74138084000003</v>
      </c>
    </row>
    <row r="617" spans="1:6" ht="18.75" customHeight="1">
      <c r="A617" s="7">
        <v>3</v>
      </c>
      <c r="B617" s="52" t="s">
        <v>843</v>
      </c>
      <c r="C617" s="7"/>
      <c r="D617" s="66">
        <f>F604+F616</f>
        <v>11459.404684839999</v>
      </c>
      <c r="E617" s="56">
        <f>E567</f>
        <v>7.0000000000000007E-2</v>
      </c>
      <c r="F617" s="53">
        <f>D617*E617</f>
        <v>802.15832793880008</v>
      </c>
    </row>
    <row r="618" spans="1:6" ht="18.75" customHeight="1">
      <c r="A618" s="7">
        <v>4</v>
      </c>
      <c r="B618" s="52" t="s">
        <v>184</v>
      </c>
      <c r="C618" s="7"/>
      <c r="D618" s="66"/>
      <c r="E618" s="7"/>
      <c r="F618" s="53">
        <f>F619+F620</f>
        <v>556.18551839999895</v>
      </c>
    </row>
    <row r="619" spans="1:6" ht="18.75" customHeight="1">
      <c r="A619" s="7"/>
      <c r="B619" s="52" t="s">
        <v>509</v>
      </c>
      <c r="C619" s="7" t="s">
        <v>871</v>
      </c>
      <c r="D619" s="66">
        <f>E2</f>
        <v>6.2457299999999902</v>
      </c>
      <c r="E619" s="7">
        <f>E610</f>
        <v>51</v>
      </c>
      <c r="F619" s="53">
        <f>D619*E619</f>
        <v>318.53222999999952</v>
      </c>
    </row>
    <row r="620" spans="1:6" ht="18.75" customHeight="1">
      <c r="A620" s="7"/>
      <c r="B620" s="52" t="s">
        <v>1109</v>
      </c>
      <c r="C620" s="7" t="s">
        <v>871</v>
      </c>
      <c r="D620" s="66">
        <f>D2</f>
        <v>4.6598683999999899</v>
      </c>
      <c r="E620" s="7">
        <f>E611</f>
        <v>51</v>
      </c>
      <c r="F620" s="53">
        <f>D620*E620</f>
        <v>237.6532883999995</v>
      </c>
    </row>
    <row r="621" spans="1:6" ht="18.75" customHeight="1">
      <c r="A621" s="7">
        <v>5</v>
      </c>
      <c r="B621" s="52" t="s">
        <v>845</v>
      </c>
      <c r="C621" s="7"/>
      <c r="D621" s="66">
        <f>F604+F616+F617+F618</f>
        <v>12817.748531178799</v>
      </c>
      <c r="E621" s="56">
        <f>E571</f>
        <v>0.09</v>
      </c>
      <c r="F621" s="53">
        <f>D621*E621</f>
        <v>1153.5973678060918</v>
      </c>
    </row>
    <row r="622" spans="1:6" ht="18.75" customHeight="1">
      <c r="A622" s="7">
        <v>6</v>
      </c>
      <c r="B622" s="52" t="s">
        <v>7</v>
      </c>
      <c r="C622" s="7"/>
      <c r="D622" s="7"/>
      <c r="E622" s="7"/>
      <c r="F622" s="53">
        <f>F604+F616+F617+F618+F621</f>
        <v>13971.345898984891</v>
      </c>
    </row>
    <row r="623" spans="1:6" ht="18.75" customHeight="1">
      <c r="A623" s="7"/>
      <c r="B623" s="52" t="s">
        <v>846</v>
      </c>
      <c r="C623" s="7"/>
      <c r="D623" s="53">
        <f>F622</f>
        <v>13971.345898984891</v>
      </c>
      <c r="E623" s="56">
        <f>E573</f>
        <v>0.03</v>
      </c>
      <c r="F623" s="53">
        <f>E623*D623</f>
        <v>419.14037696954671</v>
      </c>
    </row>
    <row r="624" spans="1:6" ht="18.75" customHeight="1">
      <c r="A624" s="7"/>
      <c r="B624" s="52" t="s">
        <v>44</v>
      </c>
      <c r="C624" s="7"/>
      <c r="D624" s="7"/>
      <c r="E624" s="7"/>
      <c r="F624" s="53">
        <f>SUM(F622:F623)</f>
        <v>14390.486275954438</v>
      </c>
    </row>
    <row r="625" spans="1:6" ht="22.5" customHeight="1">
      <c r="A625" s="461" t="s">
        <v>813</v>
      </c>
      <c r="B625" s="461"/>
      <c r="C625" s="461"/>
      <c r="D625" s="461"/>
      <c r="E625" s="461"/>
      <c r="F625" s="461"/>
    </row>
    <row r="626" spans="1:6" ht="18.75" customHeight="1">
      <c r="A626" s="462" t="s">
        <v>1112</v>
      </c>
      <c r="B626" s="462"/>
      <c r="C626" s="462"/>
      <c r="D626" s="462"/>
      <c r="E626" s="462"/>
      <c r="F626" s="462"/>
    </row>
    <row r="627" spans="1:6" ht="18.75" customHeight="1">
      <c r="A627" s="47" t="s">
        <v>815</v>
      </c>
      <c r="B627" s="49">
        <v>3070</v>
      </c>
      <c r="D627" s="71"/>
      <c r="E627" s="47" t="s">
        <v>169</v>
      </c>
      <c r="F627" s="49" t="s">
        <v>869</v>
      </c>
    </row>
    <row r="628" spans="1:6" ht="18.75" customHeight="1">
      <c r="A628" s="50" t="s">
        <v>817</v>
      </c>
      <c r="B628" s="482"/>
      <c r="C628" s="482"/>
      <c r="D628" s="482"/>
      <c r="E628" s="482"/>
      <c r="F628" s="482"/>
    </row>
    <row r="629" spans="1:6" ht="18.75" customHeight="1">
      <c r="A629" s="7" t="s">
        <v>1</v>
      </c>
      <c r="B629" s="52" t="s">
        <v>344</v>
      </c>
      <c r="C629" s="7" t="s">
        <v>818</v>
      </c>
      <c r="D629" s="7" t="s">
        <v>819</v>
      </c>
      <c r="E629" s="7" t="s">
        <v>820</v>
      </c>
      <c r="F629" s="7" t="s">
        <v>821</v>
      </c>
    </row>
    <row r="630" spans="1:6" ht="18.75" customHeight="1">
      <c r="A630" s="7">
        <v>1</v>
      </c>
      <c r="B630" s="52" t="s">
        <v>822</v>
      </c>
      <c r="C630" s="7"/>
      <c r="D630" s="7"/>
      <c r="E630" s="7"/>
      <c r="F630" s="53">
        <f>F631+F643+F644</f>
        <v>37734.146557939966</v>
      </c>
    </row>
    <row r="631" spans="1:6" ht="18.75" customHeight="1">
      <c r="A631" s="7">
        <v>1.1000000000000001</v>
      </c>
      <c r="B631" s="52" t="s">
        <v>823</v>
      </c>
      <c r="C631" s="7"/>
      <c r="D631" s="7"/>
      <c r="E631" s="7"/>
      <c r="F631" s="53">
        <f>F632+F635+F639+F642</f>
        <v>36005.86503620226</v>
      </c>
    </row>
    <row r="632" spans="1:6" ht="18.75" customHeight="1">
      <c r="A632" s="7" t="s">
        <v>47</v>
      </c>
      <c r="B632" s="52" t="s">
        <v>176</v>
      </c>
      <c r="C632" s="7"/>
      <c r="D632" s="7"/>
      <c r="E632" s="7"/>
      <c r="F632" s="53">
        <f>F633+F634</f>
        <v>11150.592000000001</v>
      </c>
    </row>
    <row r="633" spans="1:6" ht="18.75" customHeight="1">
      <c r="A633" s="7"/>
      <c r="B633" s="52" t="s">
        <v>824</v>
      </c>
      <c r="C633" s="7" t="s">
        <v>825</v>
      </c>
      <c r="D633" s="7">
        <v>8.1</v>
      </c>
      <c r="E633" s="7">
        <v>517.1</v>
      </c>
      <c r="F633" s="53">
        <f>D633*E633</f>
        <v>4188.51</v>
      </c>
    </row>
    <row r="634" spans="1:6" ht="18.75" customHeight="1">
      <c r="A634" s="7"/>
      <c r="B634" s="52" t="s">
        <v>826</v>
      </c>
      <c r="C634" s="7" t="s">
        <v>825</v>
      </c>
      <c r="D634" s="7">
        <v>5.77</v>
      </c>
      <c r="E634" s="7">
        <v>1206.5999999999999</v>
      </c>
      <c r="F634" s="53">
        <f>D634*E634</f>
        <v>6962.0820000000003</v>
      </c>
    </row>
    <row r="635" spans="1:6" ht="18.75" customHeight="1">
      <c r="A635" s="7" t="s">
        <v>57</v>
      </c>
      <c r="B635" s="52" t="s">
        <v>177</v>
      </c>
      <c r="C635" s="7"/>
      <c r="D635" s="7"/>
      <c r="E635" s="7"/>
      <c r="F635" s="53">
        <f>F636+F637+F638</f>
        <v>24618.685537157999</v>
      </c>
    </row>
    <row r="636" spans="1:6" ht="18.75" customHeight="1">
      <c r="A636" s="7"/>
      <c r="B636" s="52" t="s">
        <v>1113</v>
      </c>
      <c r="C636" s="7" t="s">
        <v>1114</v>
      </c>
      <c r="D636" s="7">
        <v>400</v>
      </c>
      <c r="E636" s="7">
        <v>52</v>
      </c>
      <c r="F636" s="53">
        <f>D636*E636</f>
        <v>20800</v>
      </c>
    </row>
    <row r="637" spans="1:6" ht="18.75" customHeight="1">
      <c r="A637" s="7"/>
      <c r="B637" s="52" t="s">
        <v>975</v>
      </c>
      <c r="C637" s="7" t="s">
        <v>871</v>
      </c>
      <c r="D637" s="66">
        <f>砼配合!J32</f>
        <v>144.59654</v>
      </c>
      <c r="E637" s="7">
        <v>25.9</v>
      </c>
      <c r="F637" s="53">
        <f>D637*E637</f>
        <v>3745.0503859999999</v>
      </c>
    </row>
    <row r="638" spans="1:6" ht="18.75" customHeight="1">
      <c r="A638" s="7"/>
      <c r="B638" s="52" t="s">
        <v>833</v>
      </c>
      <c r="C638" s="7" t="s">
        <v>834</v>
      </c>
      <c r="D638" s="66">
        <f>F636+F637</f>
        <v>24545.050385999999</v>
      </c>
      <c r="E638" s="7">
        <v>0.3</v>
      </c>
      <c r="F638" s="53">
        <f>D638*E638/100</f>
        <v>73.635151157999999</v>
      </c>
    </row>
    <row r="639" spans="1:6" ht="18.75" customHeight="1">
      <c r="A639" s="7" t="s">
        <v>835</v>
      </c>
      <c r="B639" s="52" t="s">
        <v>932</v>
      </c>
      <c r="C639" s="7"/>
      <c r="D639" s="7"/>
      <c r="E639" s="7"/>
      <c r="F639" s="53">
        <f>F640+F641</f>
        <v>236.58749904426168</v>
      </c>
    </row>
    <row r="640" spans="1:6" ht="18.75" customHeight="1">
      <c r="A640" s="7"/>
      <c r="B640" s="52" t="s">
        <v>935</v>
      </c>
      <c r="C640" s="7" t="s">
        <v>863</v>
      </c>
      <c r="D640" s="66">
        <f>施工机械台时汇总!$C$21</f>
        <v>28.129680376028197</v>
      </c>
      <c r="E640" s="7">
        <v>4.6900000000000004</v>
      </c>
      <c r="F640" s="53">
        <f>D640*E640</f>
        <v>131.92820096357227</v>
      </c>
    </row>
    <row r="641" spans="1:6" ht="18.75" customHeight="1">
      <c r="A641" s="7"/>
      <c r="B641" s="52" t="s">
        <v>862</v>
      </c>
      <c r="C641" s="7" t="s">
        <v>863</v>
      </c>
      <c r="D641" s="7">
        <f>施工机械台时汇总!$C$19</f>
        <v>0.80266353309831595</v>
      </c>
      <c r="E641" s="7">
        <v>130.38999999999999</v>
      </c>
      <c r="F641" s="53">
        <f>D641*E641</f>
        <v>104.65929808068941</v>
      </c>
    </row>
    <row r="642" spans="1:6" ht="18.75" customHeight="1">
      <c r="A642" s="7"/>
      <c r="B642" s="52"/>
      <c r="C642" s="7"/>
      <c r="D642" s="7"/>
      <c r="E642" s="7"/>
      <c r="F642" s="53"/>
    </row>
    <row r="643" spans="1:6" ht="18.75" customHeight="1">
      <c r="A643" s="7">
        <v>1.2</v>
      </c>
      <c r="B643" s="52" t="s">
        <v>841</v>
      </c>
      <c r="C643" s="7"/>
      <c r="D643" s="66">
        <f>F631</f>
        <v>36005.86503620226</v>
      </c>
      <c r="E643" s="56">
        <f>E614</f>
        <v>4.8000000000000001E-2</v>
      </c>
      <c r="F643" s="53">
        <f>D643*E643</f>
        <v>1728.2815217377085</v>
      </c>
    </row>
    <row r="644" spans="1:6" ht="18.75" customHeight="1">
      <c r="A644" s="7">
        <v>1.3</v>
      </c>
      <c r="B644" s="52" t="s">
        <v>842</v>
      </c>
      <c r="C644" s="7"/>
      <c r="D644" s="66">
        <f>F631</f>
        <v>36005.86503620226</v>
      </c>
      <c r="E644" s="56">
        <f>E615</f>
        <v>0</v>
      </c>
      <c r="F644" s="53">
        <f>D644*E644</f>
        <v>0</v>
      </c>
    </row>
    <row r="645" spans="1:6" ht="18.75" customHeight="1">
      <c r="A645" s="7">
        <v>2</v>
      </c>
      <c r="B645" s="52" t="s">
        <v>182</v>
      </c>
      <c r="C645" s="7"/>
      <c r="D645" s="66">
        <f>F630</f>
        <v>37734.146557939966</v>
      </c>
      <c r="E645" s="56">
        <f>E616</f>
        <v>8.5000000000000006E-2</v>
      </c>
      <c r="F645" s="53">
        <f>D645*E645</f>
        <v>3207.4024574248974</v>
      </c>
    </row>
    <row r="646" spans="1:6" ht="18.75" customHeight="1">
      <c r="A646" s="7">
        <v>3</v>
      </c>
      <c r="B646" s="52" t="s">
        <v>843</v>
      </c>
      <c r="C646" s="7"/>
      <c r="D646" s="66">
        <f>F630+F645</f>
        <v>40941.549015364864</v>
      </c>
      <c r="E646" s="56">
        <f>E617</f>
        <v>7.0000000000000007E-2</v>
      </c>
      <c r="F646" s="53">
        <f>D646*E646</f>
        <v>2865.9084310755406</v>
      </c>
    </row>
    <row r="647" spans="1:6" ht="18.75" customHeight="1">
      <c r="A647" s="7">
        <v>4</v>
      </c>
      <c r="B647" s="52" t="s">
        <v>184</v>
      </c>
      <c r="C647" s="7"/>
      <c r="D647" s="66"/>
      <c r="E647" s="7"/>
      <c r="F647" s="53">
        <f>SUM(F648:F649)</f>
        <v>923.63412130149959</v>
      </c>
    </row>
    <row r="648" spans="1:6" ht="18.75" customHeight="1">
      <c r="A648" s="7"/>
      <c r="B648" s="52" t="s">
        <v>354</v>
      </c>
      <c r="C648" s="7" t="s">
        <v>88</v>
      </c>
      <c r="D648" s="66">
        <f>A2</f>
        <v>116.41515</v>
      </c>
      <c r="E648" s="66">
        <f>E637*砼配合!I33</f>
        <v>6.793569999999999</v>
      </c>
      <c r="F648" s="53">
        <f>D648*E648</f>
        <v>790.87447058549981</v>
      </c>
    </row>
    <row r="649" spans="1:6" ht="18.75" customHeight="1">
      <c r="A649" s="7"/>
      <c r="B649" s="52" t="s">
        <v>507</v>
      </c>
      <c r="C649" s="7" t="s">
        <v>871</v>
      </c>
      <c r="D649" s="66">
        <f>D2</f>
        <v>4.6598683999999899</v>
      </c>
      <c r="E649" s="7">
        <f>E637*砼配合!I34</f>
        <v>28.490000000000002</v>
      </c>
      <c r="F649" s="53">
        <f>D649*E649</f>
        <v>132.75965071599973</v>
      </c>
    </row>
    <row r="650" spans="1:6" ht="18.75" customHeight="1">
      <c r="A650" s="7">
        <v>5</v>
      </c>
      <c r="B650" s="52" t="s">
        <v>845</v>
      </c>
      <c r="C650" s="7"/>
      <c r="D650" s="66">
        <f>F630+F645+F646+F647</f>
        <v>44731.091567741903</v>
      </c>
      <c r="E650" s="56">
        <f>E621</f>
        <v>0.09</v>
      </c>
      <c r="F650" s="53">
        <f>D650*E650</f>
        <v>4025.7982410967711</v>
      </c>
    </row>
    <row r="651" spans="1:6" ht="18.75" customHeight="1">
      <c r="A651" s="7">
        <v>6</v>
      </c>
      <c r="B651" s="52" t="s">
        <v>7</v>
      </c>
      <c r="C651" s="7"/>
      <c r="D651" s="7"/>
      <c r="E651" s="7"/>
      <c r="F651" s="53">
        <f>F630+F645+F646+F647+F650</f>
        <v>48756.889808838678</v>
      </c>
    </row>
    <row r="652" spans="1:6" ht="18.75" customHeight="1">
      <c r="A652" s="7"/>
      <c r="B652" s="52" t="s">
        <v>846</v>
      </c>
      <c r="C652" s="7"/>
      <c r="D652" s="53">
        <f>F651</f>
        <v>48756.889808838678</v>
      </c>
      <c r="E652" s="56">
        <f>E623</f>
        <v>0.03</v>
      </c>
      <c r="F652" s="53">
        <f>E652*D652</f>
        <v>1462.7066942651602</v>
      </c>
    </row>
    <row r="653" spans="1:6" ht="18.75" customHeight="1">
      <c r="A653" s="7"/>
      <c r="B653" s="52" t="s">
        <v>44</v>
      </c>
      <c r="C653" s="7"/>
      <c r="D653" s="7"/>
      <c r="E653" s="7"/>
      <c r="F653" s="53">
        <f>SUM(F651:F652)</f>
        <v>50219.596503103836</v>
      </c>
    </row>
    <row r="654" spans="1:6" ht="22.5" customHeight="1">
      <c r="A654" s="461" t="s">
        <v>813</v>
      </c>
      <c r="B654" s="461"/>
      <c r="C654" s="461"/>
      <c r="D654" s="461"/>
      <c r="E654" s="461"/>
      <c r="F654" s="461"/>
    </row>
    <row r="655" spans="1:6" ht="18.75" customHeight="1">
      <c r="A655" s="462" t="s">
        <v>1115</v>
      </c>
      <c r="B655" s="462"/>
      <c r="C655" s="462"/>
      <c r="D655" s="462"/>
      <c r="E655" s="462"/>
      <c r="F655" s="462"/>
    </row>
    <row r="656" spans="1:6" ht="18.75" customHeight="1">
      <c r="A656" s="47" t="s">
        <v>815</v>
      </c>
      <c r="B656" s="49">
        <v>3062</v>
      </c>
      <c r="D656" s="71"/>
      <c r="E656" s="47" t="s">
        <v>169</v>
      </c>
      <c r="F656" s="49" t="s">
        <v>951</v>
      </c>
    </row>
    <row r="657" spans="1:6" ht="18.75" customHeight="1">
      <c r="A657" s="50" t="s">
        <v>817</v>
      </c>
      <c r="B657" s="484" t="s">
        <v>1116</v>
      </c>
      <c r="C657" s="485"/>
      <c r="D657" s="485"/>
      <c r="E657" s="485"/>
      <c r="F657" s="486"/>
    </row>
    <row r="658" spans="1:6" ht="18.75" customHeight="1">
      <c r="A658" s="7" t="s">
        <v>1</v>
      </c>
      <c r="B658" s="52" t="s">
        <v>344</v>
      </c>
      <c r="C658" s="7" t="s">
        <v>818</v>
      </c>
      <c r="D658" s="7" t="s">
        <v>819</v>
      </c>
      <c r="E658" s="7" t="s">
        <v>820</v>
      </c>
      <c r="F658" s="7" t="s">
        <v>821</v>
      </c>
    </row>
    <row r="659" spans="1:6" ht="18.75" customHeight="1">
      <c r="A659" s="7">
        <v>1</v>
      </c>
      <c r="B659" s="52" t="s">
        <v>822</v>
      </c>
      <c r="C659" s="7"/>
      <c r="D659" s="7"/>
      <c r="E659" s="7"/>
      <c r="F659" s="53">
        <f>F660+F671+F672</f>
        <v>1056.8292569104722</v>
      </c>
    </row>
    <row r="660" spans="1:6" ht="18.75" customHeight="1">
      <c r="A660" s="7">
        <v>1.1000000000000001</v>
      </c>
      <c r="B660" s="52" t="s">
        <v>823</v>
      </c>
      <c r="C660" s="7"/>
      <c r="D660" s="7"/>
      <c r="E660" s="7"/>
      <c r="F660" s="53">
        <f>F661+F664+F667+F670</f>
        <v>1008.424863464191</v>
      </c>
    </row>
    <row r="661" spans="1:6" ht="18.75" customHeight="1">
      <c r="A661" s="7" t="s">
        <v>47</v>
      </c>
      <c r="B661" s="52" t="s">
        <v>176</v>
      </c>
      <c r="C661" s="7"/>
      <c r="D661" s="7"/>
      <c r="E661" s="7"/>
      <c r="F661" s="53">
        <f>F662+F663</f>
        <v>633.22699999999998</v>
      </c>
    </row>
    <row r="662" spans="1:6" ht="18.75" customHeight="1">
      <c r="A662" s="7"/>
      <c r="B662" s="52" t="s">
        <v>824</v>
      </c>
      <c r="C662" s="7" t="s">
        <v>825</v>
      </c>
      <c r="D662" s="7">
        <v>8.1</v>
      </c>
      <c r="E662" s="7">
        <f>43.2</f>
        <v>43.2</v>
      </c>
      <c r="F662" s="53">
        <f>D662*E662</f>
        <v>349.92</v>
      </c>
    </row>
    <row r="663" spans="1:6" ht="18.75" customHeight="1">
      <c r="A663" s="7"/>
      <c r="B663" s="52" t="s">
        <v>826</v>
      </c>
      <c r="C663" s="7" t="s">
        <v>825</v>
      </c>
      <c r="D663" s="7">
        <v>5.77</v>
      </c>
      <c r="E663" s="7">
        <f>49.1</f>
        <v>49.1</v>
      </c>
      <c r="F663" s="53">
        <f>D663*E663</f>
        <v>283.30700000000002</v>
      </c>
    </row>
    <row r="664" spans="1:6" ht="18.75" customHeight="1">
      <c r="A664" s="7" t="s">
        <v>57</v>
      </c>
      <c r="B664" s="52" t="s">
        <v>177</v>
      </c>
      <c r="C664" s="7"/>
      <c r="D664" s="7"/>
      <c r="E664" s="7"/>
      <c r="F664" s="53">
        <f>SUM(F665:F666)</f>
        <v>359.17780536000004</v>
      </c>
    </row>
    <row r="665" spans="1:6" ht="18.75" customHeight="1">
      <c r="A665" s="7"/>
      <c r="B665" s="52" t="s">
        <v>975</v>
      </c>
      <c r="C665" s="7" t="s">
        <v>871</v>
      </c>
      <c r="D665" s="66">
        <f>砼配合!J32</f>
        <v>144.59654</v>
      </c>
      <c r="E665" s="7">
        <f>2.3</f>
        <v>2.2999999999999998</v>
      </c>
      <c r="F665" s="53">
        <f>D665*E665</f>
        <v>332.57204200000001</v>
      </c>
    </row>
    <row r="666" spans="1:6" ht="18.75" customHeight="1">
      <c r="A666" s="7"/>
      <c r="B666" s="52" t="s">
        <v>833</v>
      </c>
      <c r="C666" s="7" t="s">
        <v>834</v>
      </c>
      <c r="D666" s="66">
        <f>F665</f>
        <v>332.57204200000001</v>
      </c>
      <c r="E666" s="7">
        <v>8</v>
      </c>
      <c r="F666" s="53">
        <f>D666*E666/100</f>
        <v>26.605763360000001</v>
      </c>
    </row>
    <row r="667" spans="1:6" ht="18.75" customHeight="1">
      <c r="A667" s="7" t="s">
        <v>835</v>
      </c>
      <c r="B667" s="52" t="s">
        <v>932</v>
      </c>
      <c r="C667" s="7"/>
      <c r="D667" s="7"/>
      <c r="E667" s="7"/>
      <c r="F667" s="53">
        <f>F668+F669</f>
        <v>16.020058104191143</v>
      </c>
    </row>
    <row r="668" spans="1:6" ht="18.75" customHeight="1">
      <c r="A668" s="7"/>
      <c r="B668" s="52" t="s">
        <v>935</v>
      </c>
      <c r="C668" s="7" t="s">
        <v>863</v>
      </c>
      <c r="D668" s="66">
        <f>施工机械台时汇总!$C$21</f>
        <v>28.129680376028197</v>
      </c>
      <c r="E668" s="7">
        <v>0.41</v>
      </c>
      <c r="F668" s="53">
        <f>D668*E668</f>
        <v>11.533168954171559</v>
      </c>
    </row>
    <row r="669" spans="1:6" ht="18.75" customHeight="1">
      <c r="A669" s="7"/>
      <c r="B669" s="52" t="s">
        <v>862</v>
      </c>
      <c r="C669" s="7" t="s">
        <v>863</v>
      </c>
      <c r="D669" s="7">
        <f>施工机械台时汇总!$C$19</f>
        <v>0.80266353309831595</v>
      </c>
      <c r="E669" s="7">
        <v>5.59</v>
      </c>
      <c r="F669" s="53">
        <f>D669*E669</f>
        <v>4.4868891500195858</v>
      </c>
    </row>
    <row r="670" spans="1:6" ht="18.75" customHeight="1">
      <c r="A670" s="7"/>
      <c r="B670" s="52"/>
      <c r="C670" s="7"/>
      <c r="D670" s="7"/>
      <c r="E670" s="7"/>
      <c r="F670" s="53"/>
    </row>
    <row r="671" spans="1:6" ht="18.75" customHeight="1">
      <c r="A671" s="7">
        <v>1.2</v>
      </c>
      <c r="B671" s="52" t="s">
        <v>841</v>
      </c>
      <c r="C671" s="7"/>
      <c r="D671" s="66">
        <f>F660</f>
        <v>1008.424863464191</v>
      </c>
      <c r="E671" s="56">
        <f>E643</f>
        <v>4.8000000000000001E-2</v>
      </c>
      <c r="F671" s="53">
        <f>D671*E671</f>
        <v>48.404393446281169</v>
      </c>
    </row>
    <row r="672" spans="1:6" ht="18.75" customHeight="1">
      <c r="A672" s="7">
        <v>1.3</v>
      </c>
      <c r="B672" s="52" t="s">
        <v>842</v>
      </c>
      <c r="C672" s="7"/>
      <c r="D672" s="66">
        <f>F660</f>
        <v>1008.424863464191</v>
      </c>
      <c r="E672" s="56">
        <f>E644</f>
        <v>0</v>
      </c>
      <c r="F672" s="53">
        <f>D672*E672</f>
        <v>0</v>
      </c>
    </row>
    <row r="673" spans="1:6" ht="18.75" customHeight="1">
      <c r="A673" s="7">
        <v>2</v>
      </c>
      <c r="B673" s="52" t="s">
        <v>182</v>
      </c>
      <c r="C673" s="7"/>
      <c r="D673" s="66">
        <f>F659</f>
        <v>1056.8292569104722</v>
      </c>
      <c r="E673" s="56">
        <f>E645</f>
        <v>8.5000000000000006E-2</v>
      </c>
      <c r="F673" s="53">
        <f>D673*E673</f>
        <v>89.83048683739014</v>
      </c>
    </row>
    <row r="674" spans="1:6" ht="18.75" customHeight="1">
      <c r="A674" s="7">
        <v>3</v>
      </c>
      <c r="B674" s="52" t="s">
        <v>843</v>
      </c>
      <c r="C674" s="7"/>
      <c r="D674" s="66">
        <f>F659+F673</f>
        <v>1146.6597437478622</v>
      </c>
      <c r="E674" s="56">
        <f>E646</f>
        <v>7.0000000000000007E-2</v>
      </c>
      <c r="F674" s="53">
        <f>D674*E674</f>
        <v>80.266182062350367</v>
      </c>
    </row>
    <row r="675" spans="1:6" ht="18.75" customHeight="1">
      <c r="A675" s="7">
        <v>4</v>
      </c>
      <c r="B675" s="52" t="s">
        <v>184</v>
      </c>
      <c r="C675" s="7"/>
      <c r="D675" s="66"/>
      <c r="E675" s="7"/>
      <c r="F675" s="53">
        <f>SUM(F676:F677)</f>
        <v>82.021562895499969</v>
      </c>
    </row>
    <row r="676" spans="1:6" ht="18.75" customHeight="1">
      <c r="A676" s="7"/>
      <c r="B676" s="52" t="s">
        <v>354</v>
      </c>
      <c r="C676" s="7" t="s">
        <v>88</v>
      </c>
      <c r="D676" s="66">
        <f>A2</f>
        <v>116.41515</v>
      </c>
      <c r="E676" s="66">
        <f>E665*砼配合!I33</f>
        <v>0.60328999999999988</v>
      </c>
      <c r="F676" s="53">
        <f>D676*E676</f>
        <v>70.232095843499991</v>
      </c>
    </row>
    <row r="677" spans="1:6" ht="18.75" customHeight="1">
      <c r="A677" s="7"/>
      <c r="B677" s="52" t="s">
        <v>507</v>
      </c>
      <c r="C677" s="7" t="s">
        <v>871</v>
      </c>
      <c r="D677" s="66">
        <f>D2</f>
        <v>4.6598683999999899</v>
      </c>
      <c r="E677" s="7">
        <f>E665*砼配合!I34</f>
        <v>2.5299999999999998</v>
      </c>
      <c r="F677" s="53">
        <f>D677*E677</f>
        <v>11.789467051999974</v>
      </c>
    </row>
    <row r="678" spans="1:6" ht="18.75" customHeight="1">
      <c r="A678" s="7">
        <v>5</v>
      </c>
      <c r="B678" s="52" t="s">
        <v>845</v>
      </c>
      <c r="C678" s="7"/>
      <c r="D678" s="66">
        <f>F659+F673+F674+F675</f>
        <v>1308.9474887057124</v>
      </c>
      <c r="E678" s="56">
        <f>E650</f>
        <v>0.09</v>
      </c>
      <c r="F678" s="53">
        <f>D678*E678</f>
        <v>117.80527398351411</v>
      </c>
    </row>
    <row r="679" spans="1:6" ht="18.75" customHeight="1">
      <c r="A679" s="7">
        <v>6</v>
      </c>
      <c r="B679" s="52" t="s">
        <v>7</v>
      </c>
      <c r="C679" s="7"/>
      <c r="D679" s="7"/>
      <c r="E679" s="7"/>
      <c r="F679" s="53">
        <f>F659+F673+F674+F675+F678</f>
        <v>1426.7527626892265</v>
      </c>
    </row>
    <row r="680" spans="1:6" ht="18.75" customHeight="1">
      <c r="A680" s="7"/>
      <c r="B680" s="52" t="s">
        <v>846</v>
      </c>
      <c r="C680" s="7"/>
      <c r="D680" s="53">
        <f>F679</f>
        <v>1426.7527626892265</v>
      </c>
      <c r="E680" s="56">
        <f>E652</f>
        <v>0.03</v>
      </c>
      <c r="F680" s="53">
        <f>E680*D680</f>
        <v>42.802582880676795</v>
      </c>
    </row>
    <row r="681" spans="1:6" ht="18.75" customHeight="1">
      <c r="A681" s="7"/>
      <c r="B681" s="52" t="s">
        <v>44</v>
      </c>
      <c r="C681" s="7"/>
      <c r="D681" s="7"/>
      <c r="E681" s="7"/>
      <c r="F681" s="53">
        <f>SUM(F679:F680)</f>
        <v>1469.5553455699032</v>
      </c>
    </row>
    <row r="682" spans="1:6" ht="22.5" customHeight="1">
      <c r="A682" s="461" t="s">
        <v>813</v>
      </c>
      <c r="B682" s="461"/>
      <c r="C682" s="461"/>
      <c r="D682" s="461"/>
      <c r="E682" s="461"/>
      <c r="F682" s="461"/>
    </row>
    <row r="683" spans="1:6" ht="18.75" customHeight="1">
      <c r="A683" s="462" t="s">
        <v>1117</v>
      </c>
      <c r="B683" s="462"/>
      <c r="C683" s="462"/>
      <c r="D683" s="462"/>
      <c r="E683" s="462"/>
      <c r="F683" s="462"/>
    </row>
    <row r="684" spans="1:6" ht="18.75" customHeight="1">
      <c r="A684" s="47" t="s">
        <v>815</v>
      </c>
      <c r="B684" s="49">
        <v>10212</v>
      </c>
      <c r="D684" s="71"/>
      <c r="E684" s="47" t="s">
        <v>169</v>
      </c>
      <c r="F684" s="49" t="s">
        <v>951</v>
      </c>
    </row>
    <row r="685" spans="1:6" ht="18.75" customHeight="1">
      <c r="A685" s="50" t="s">
        <v>817</v>
      </c>
      <c r="B685" s="482"/>
      <c r="C685" s="482"/>
      <c r="D685" s="482"/>
      <c r="E685" s="482"/>
      <c r="F685" s="482"/>
    </row>
    <row r="686" spans="1:6" ht="18.75" customHeight="1">
      <c r="A686" s="7" t="s">
        <v>1</v>
      </c>
      <c r="B686" s="52" t="s">
        <v>344</v>
      </c>
      <c r="C686" s="7" t="s">
        <v>818</v>
      </c>
      <c r="D686" s="7" t="s">
        <v>819</v>
      </c>
      <c r="E686" s="7" t="s">
        <v>820</v>
      </c>
      <c r="F686" s="7" t="s">
        <v>821</v>
      </c>
    </row>
    <row r="687" spans="1:6" ht="18.75" customHeight="1">
      <c r="A687" s="7">
        <v>1</v>
      </c>
      <c r="B687" s="52" t="s">
        <v>822</v>
      </c>
      <c r="C687" s="7"/>
      <c r="D687" s="7"/>
      <c r="E687" s="7"/>
      <c r="F687" s="53">
        <f>F688+F709+F710</f>
        <v>5557.9704306723042</v>
      </c>
    </row>
    <row r="688" spans="1:6" ht="18.75" customHeight="1">
      <c r="A688" s="7">
        <v>1.1000000000000001</v>
      </c>
      <c r="B688" s="52" t="s">
        <v>823</v>
      </c>
      <c r="C688" s="7"/>
      <c r="D688" s="7"/>
      <c r="E688" s="7"/>
      <c r="F688" s="53">
        <f>F689+F692+F701+F708</f>
        <v>5303.4068994964737</v>
      </c>
    </row>
    <row r="689" spans="1:6" ht="18.75" customHeight="1">
      <c r="A689" s="7" t="s">
        <v>47</v>
      </c>
      <c r="B689" s="52" t="s">
        <v>176</v>
      </c>
      <c r="C689" s="7"/>
      <c r="D689" s="7"/>
      <c r="E689" s="7"/>
      <c r="F689" s="53">
        <f>F690+F691</f>
        <v>2439.5279999999998</v>
      </c>
    </row>
    <row r="690" spans="1:6" ht="18.75" customHeight="1">
      <c r="A690" s="7"/>
      <c r="B690" s="52" t="s">
        <v>824</v>
      </c>
      <c r="C690" s="7" t="s">
        <v>825</v>
      </c>
      <c r="D690" s="7">
        <v>8.1</v>
      </c>
      <c r="E690" s="7">
        <v>145.6</v>
      </c>
      <c r="F690" s="53">
        <f>D690*E690</f>
        <v>1179.3599999999999</v>
      </c>
    </row>
    <row r="691" spans="1:6" ht="18.75" customHeight="1">
      <c r="A691" s="7"/>
      <c r="B691" s="52" t="s">
        <v>826</v>
      </c>
      <c r="C691" s="7" t="s">
        <v>825</v>
      </c>
      <c r="D691" s="7">
        <v>5.77</v>
      </c>
      <c r="E691" s="7">
        <v>218.4</v>
      </c>
      <c r="F691" s="53">
        <f>D691*E691</f>
        <v>1260.1679999999999</v>
      </c>
    </row>
    <row r="692" spans="1:6" ht="18.75" customHeight="1">
      <c r="A692" s="7" t="s">
        <v>57</v>
      </c>
      <c r="B692" s="52" t="s">
        <v>177</v>
      </c>
      <c r="C692" s="7"/>
      <c r="D692" s="7"/>
      <c r="E692" s="7"/>
      <c r="F692" s="53">
        <f>SUM(F693:F700)</f>
        <v>2161.6999999999998</v>
      </c>
    </row>
    <row r="693" spans="1:6" ht="18.75" customHeight="1">
      <c r="A693" s="7"/>
      <c r="B693" s="52" t="s">
        <v>1118</v>
      </c>
      <c r="C693" s="7" t="s">
        <v>871</v>
      </c>
      <c r="D693" s="7">
        <v>1150</v>
      </c>
      <c r="E693" s="7">
        <v>0.1</v>
      </c>
      <c r="F693" s="53">
        <f t="shared" ref="F693:F699" si="0">D693*E693</f>
        <v>115</v>
      </c>
    </row>
    <row r="694" spans="1:6" ht="18.75" customHeight="1">
      <c r="A694" s="7"/>
      <c r="B694" s="52" t="s">
        <v>1006</v>
      </c>
      <c r="C694" s="7" t="s">
        <v>829</v>
      </c>
      <c r="D694" s="7">
        <v>3</v>
      </c>
      <c r="E694" s="7">
        <v>25</v>
      </c>
      <c r="F694" s="53">
        <f t="shared" si="0"/>
        <v>75</v>
      </c>
    </row>
    <row r="695" spans="1:6" ht="18.75" customHeight="1">
      <c r="A695" s="7"/>
      <c r="B695" s="52" t="s">
        <v>876</v>
      </c>
      <c r="C695" s="7" t="s">
        <v>829</v>
      </c>
      <c r="D695" s="7">
        <v>7.5</v>
      </c>
      <c r="E695" s="7">
        <v>1.2</v>
      </c>
      <c r="F695" s="53">
        <f t="shared" si="0"/>
        <v>9</v>
      </c>
    </row>
    <row r="696" spans="1:6" ht="18.75" customHeight="1">
      <c r="A696" s="7"/>
      <c r="B696" s="52" t="s">
        <v>806</v>
      </c>
      <c r="C696" s="7" t="s">
        <v>871</v>
      </c>
      <c r="D696" s="7">
        <f>材料预算价格表!K15</f>
        <v>3.88</v>
      </c>
      <c r="E696" s="7">
        <v>60</v>
      </c>
      <c r="F696" s="53">
        <f t="shared" si="0"/>
        <v>232.79999999999998</v>
      </c>
    </row>
    <row r="697" spans="1:6" ht="18.75" customHeight="1">
      <c r="A697" s="7"/>
      <c r="B697" s="52" t="s">
        <v>1119</v>
      </c>
      <c r="C697" s="7" t="s">
        <v>953</v>
      </c>
      <c r="D697" s="7">
        <v>8</v>
      </c>
      <c r="E697" s="7">
        <v>2</v>
      </c>
      <c r="F697" s="53">
        <f t="shared" si="0"/>
        <v>16</v>
      </c>
    </row>
    <row r="698" spans="1:6" ht="18.75" customHeight="1">
      <c r="A698" s="7"/>
      <c r="B698" s="52" t="s">
        <v>1120</v>
      </c>
      <c r="C698" s="7" t="s">
        <v>871</v>
      </c>
      <c r="D698" s="7">
        <v>9.4</v>
      </c>
      <c r="E698" s="7">
        <v>1</v>
      </c>
      <c r="F698" s="53">
        <f t="shared" si="0"/>
        <v>9.4</v>
      </c>
    </row>
    <row r="699" spans="1:6" ht="18.75" customHeight="1">
      <c r="A699" s="7"/>
      <c r="B699" s="52" t="s">
        <v>1121</v>
      </c>
      <c r="C699" s="7" t="s">
        <v>1047</v>
      </c>
      <c r="D699" s="7">
        <v>15</v>
      </c>
      <c r="E699" s="7">
        <v>113</v>
      </c>
      <c r="F699" s="53">
        <f t="shared" si="0"/>
        <v>1695</v>
      </c>
    </row>
    <row r="700" spans="1:6" ht="18.75" customHeight="1">
      <c r="A700" s="7"/>
      <c r="B700" s="52" t="s">
        <v>833</v>
      </c>
      <c r="C700" s="7" t="s">
        <v>834</v>
      </c>
      <c r="D700" s="7">
        <f>F693+F694</f>
        <v>190</v>
      </c>
      <c r="E700" s="7">
        <v>5</v>
      </c>
      <c r="F700" s="53">
        <f>D700*E700/100</f>
        <v>9.5</v>
      </c>
    </row>
    <row r="701" spans="1:6" ht="18.75" customHeight="1">
      <c r="A701" s="7" t="s">
        <v>835</v>
      </c>
      <c r="B701" s="52" t="s">
        <v>932</v>
      </c>
      <c r="C701" s="7"/>
      <c r="D701" s="7"/>
      <c r="E701" s="7"/>
      <c r="F701" s="53">
        <f>SUM(F702:F707)</f>
        <v>702.17889949647463</v>
      </c>
    </row>
    <row r="702" spans="1:6" ht="18.75" customHeight="1">
      <c r="A702" s="7"/>
      <c r="B702" s="52" t="s">
        <v>1122</v>
      </c>
      <c r="C702" s="7" t="s">
        <v>863</v>
      </c>
      <c r="D702" s="66">
        <f>施工机械台时汇总!$C$32</f>
        <v>28.860150802976889</v>
      </c>
      <c r="E702" s="7">
        <v>1.64</v>
      </c>
      <c r="F702" s="53">
        <f>D702*E702</f>
        <v>47.330647316882093</v>
      </c>
    </row>
    <row r="703" spans="1:6" ht="18.75" customHeight="1">
      <c r="A703" s="7"/>
      <c r="B703" s="52" t="s">
        <v>1123</v>
      </c>
      <c r="C703" s="7" t="s">
        <v>863</v>
      </c>
      <c r="D703" s="66">
        <f>施工机械台时汇总!$C$38</f>
        <v>22.127931844888373</v>
      </c>
      <c r="E703" s="7">
        <v>0.21</v>
      </c>
      <c r="F703" s="53">
        <f>D703*E703</f>
        <v>4.6468656874265584</v>
      </c>
    </row>
    <row r="704" spans="1:6" ht="18.75" customHeight="1">
      <c r="A704" s="7"/>
      <c r="B704" s="52" t="s">
        <v>425</v>
      </c>
      <c r="C704" s="7" t="s">
        <v>863</v>
      </c>
      <c r="D704" s="66">
        <f>施工机械台时汇总!$C$37</f>
        <v>148.25299999999999</v>
      </c>
      <c r="E704" s="7">
        <v>0.21</v>
      </c>
      <c r="F704" s="53">
        <f>D704*E704</f>
        <v>31.133129999999994</v>
      </c>
    </row>
    <row r="705" spans="1:6" ht="18.75" customHeight="1">
      <c r="A705" s="7"/>
      <c r="B705" s="52" t="s">
        <v>1124</v>
      </c>
      <c r="C705" s="7" t="s">
        <v>863</v>
      </c>
      <c r="D705" s="66">
        <f>施工机械台时汇总!$C$92</f>
        <v>712.3839717978849</v>
      </c>
      <c r="E705" s="7">
        <v>0.82</v>
      </c>
      <c r="F705" s="53">
        <f>D705*E705</f>
        <v>584.15485687426553</v>
      </c>
    </row>
    <row r="706" spans="1:6" ht="18.75" customHeight="1">
      <c r="A706" s="7"/>
      <c r="B706" s="52" t="s">
        <v>839</v>
      </c>
      <c r="C706" s="7" t="s">
        <v>863</v>
      </c>
      <c r="D706" s="66">
        <f>施工机械台时汇总!$C$42</f>
        <v>49.210305522914197</v>
      </c>
      <c r="E706" s="7">
        <v>0.03</v>
      </c>
      <c r="F706" s="53">
        <f>D706*E706</f>
        <v>1.4763091656874259</v>
      </c>
    </row>
    <row r="707" spans="1:6" ht="18.75" customHeight="1">
      <c r="A707" s="7"/>
      <c r="B707" s="52" t="s">
        <v>840</v>
      </c>
      <c r="C707" s="7" t="s">
        <v>834</v>
      </c>
      <c r="D707" s="66">
        <f>F702+F703+F704+F705+F706</f>
        <v>668.74180904426157</v>
      </c>
      <c r="E707" s="7">
        <v>5</v>
      </c>
      <c r="F707" s="53">
        <f>D707*E707/100</f>
        <v>33.437090452213077</v>
      </c>
    </row>
    <row r="708" spans="1:6" ht="18.75" customHeight="1">
      <c r="A708" s="7"/>
      <c r="B708" s="52"/>
      <c r="C708" s="7"/>
      <c r="D708" s="7"/>
      <c r="E708" s="7"/>
      <c r="F708" s="53"/>
    </row>
    <row r="709" spans="1:6" ht="18.75" customHeight="1">
      <c r="A709" s="7">
        <v>1.2</v>
      </c>
      <c r="B709" s="52" t="s">
        <v>841</v>
      </c>
      <c r="C709" s="7"/>
      <c r="D709" s="53">
        <f>F688</f>
        <v>5303.4068994964737</v>
      </c>
      <c r="E709" s="56">
        <f>取费!C14</f>
        <v>4.8000000000000001E-2</v>
      </c>
      <c r="F709" s="53">
        <f>D709*E709</f>
        <v>254.56353117583075</v>
      </c>
    </row>
    <row r="710" spans="1:6" ht="18.75" customHeight="1">
      <c r="A710" s="7">
        <v>1.3</v>
      </c>
      <c r="B710" s="52" t="s">
        <v>842</v>
      </c>
      <c r="C710" s="7"/>
      <c r="D710" s="53">
        <f>F688</f>
        <v>5303.4068994964737</v>
      </c>
      <c r="E710" s="56">
        <f>取费!D14</f>
        <v>0</v>
      </c>
      <c r="F710" s="53">
        <f>D710*E710</f>
        <v>0</v>
      </c>
    </row>
    <row r="711" spans="1:6" ht="18.75" customHeight="1">
      <c r="A711" s="7">
        <v>2</v>
      </c>
      <c r="B711" s="52" t="s">
        <v>182</v>
      </c>
      <c r="C711" s="7"/>
      <c r="D711" s="53">
        <f>F687</f>
        <v>5557.9704306723042</v>
      </c>
      <c r="E711" s="56">
        <f>取费!E14</f>
        <v>7.2499999999999995E-2</v>
      </c>
      <c r="F711" s="53">
        <f>D711*E711</f>
        <v>402.952856223742</v>
      </c>
    </row>
    <row r="712" spans="1:6" ht="18.75" customHeight="1">
      <c r="A712" s="7">
        <v>3</v>
      </c>
      <c r="B712" s="52" t="s">
        <v>843</v>
      </c>
      <c r="C712" s="7"/>
      <c r="D712" s="53">
        <f>F687+F711</f>
        <v>5960.9232868960462</v>
      </c>
      <c r="E712" s="56">
        <f>取费!F14</f>
        <v>7.0000000000000007E-2</v>
      </c>
      <c r="F712" s="53">
        <f>D712*E712</f>
        <v>417.26463008272327</v>
      </c>
    </row>
    <row r="713" spans="1:6" ht="18.75" customHeight="1">
      <c r="A713" s="7">
        <v>4</v>
      </c>
      <c r="B713" s="52" t="s">
        <v>184</v>
      </c>
      <c r="C713" s="7"/>
      <c r="D713" s="7"/>
      <c r="E713" s="7"/>
      <c r="F713" s="53">
        <f>F714+F715+F716+F717</f>
        <v>194.9668365</v>
      </c>
    </row>
    <row r="714" spans="1:6" ht="18.75" customHeight="1">
      <c r="A714" s="7"/>
      <c r="B714" s="52" t="s">
        <v>506</v>
      </c>
      <c r="C714" s="7" t="s">
        <v>871</v>
      </c>
      <c r="D714" s="66">
        <f>C2</f>
        <v>0</v>
      </c>
      <c r="E714" s="7">
        <f>E693</f>
        <v>0.1</v>
      </c>
      <c r="F714" s="53">
        <f>D714*E714</f>
        <v>0</v>
      </c>
    </row>
    <row r="715" spans="1:6" ht="18.75" customHeight="1">
      <c r="A715" s="7"/>
      <c r="B715" s="52" t="s">
        <v>1006</v>
      </c>
      <c r="C715" s="7" t="s">
        <v>829</v>
      </c>
      <c r="D715" s="66">
        <f>B2/1000</f>
        <v>1.49471346</v>
      </c>
      <c r="E715" s="7">
        <f>E694</f>
        <v>25</v>
      </c>
      <c r="F715" s="53">
        <f>D715*E715</f>
        <v>37.367836500000003</v>
      </c>
    </row>
    <row r="716" spans="1:6" ht="18.75" customHeight="1">
      <c r="A716" s="7"/>
      <c r="B716" s="52" t="s">
        <v>515</v>
      </c>
      <c r="C716" s="7" t="s">
        <v>829</v>
      </c>
      <c r="D716" s="7">
        <f>G2</f>
        <v>4.7450000000000001</v>
      </c>
      <c r="E716" s="66">
        <f>E706*台时!AK19</f>
        <v>0.216</v>
      </c>
      <c r="F716" s="53">
        <f>D716*E716</f>
        <v>1.0249200000000001</v>
      </c>
    </row>
    <row r="717" spans="1:6" ht="18.75" customHeight="1">
      <c r="A717" s="7"/>
      <c r="B717" s="52" t="s">
        <v>516</v>
      </c>
      <c r="C717" s="7" t="s">
        <v>829</v>
      </c>
      <c r="D717" s="7">
        <f>H2</f>
        <v>3.51</v>
      </c>
      <c r="E717" s="66">
        <f>E705*台时!CR22</f>
        <v>44.607999999999997</v>
      </c>
      <c r="F717" s="53">
        <f>D717*E717</f>
        <v>156.57407999999998</v>
      </c>
    </row>
    <row r="718" spans="1:6" ht="18.75" customHeight="1">
      <c r="A718" s="7">
        <v>5</v>
      </c>
      <c r="B718" s="52" t="s">
        <v>845</v>
      </c>
      <c r="C718" s="7"/>
      <c r="D718" s="53">
        <f>F687+F711+F712+F713</f>
        <v>6573.1547534787696</v>
      </c>
      <c r="E718" s="56">
        <f>取费!G14</f>
        <v>0.09</v>
      </c>
      <c r="F718" s="53">
        <f>D718*E718</f>
        <v>591.58392781308919</v>
      </c>
    </row>
    <row r="719" spans="1:6" ht="18.75" customHeight="1">
      <c r="A719" s="7">
        <v>6</v>
      </c>
      <c r="B719" s="52" t="s">
        <v>7</v>
      </c>
      <c r="C719" s="7"/>
      <c r="D719" s="7"/>
      <c r="E719" s="7"/>
      <c r="F719" s="53">
        <f>F687+F711+F712+F713+F718</f>
        <v>7164.7386812918585</v>
      </c>
    </row>
    <row r="720" spans="1:6" ht="18.75" customHeight="1">
      <c r="A720" s="7"/>
      <c r="B720" s="52" t="s">
        <v>846</v>
      </c>
      <c r="C720" s="7"/>
      <c r="D720" s="53">
        <f>F719</f>
        <v>7164.7386812918585</v>
      </c>
      <c r="E720" s="56">
        <f>取费!H6</f>
        <v>0.03</v>
      </c>
      <c r="F720" s="53">
        <f>E720*D720</f>
        <v>214.94216043875574</v>
      </c>
    </row>
    <row r="721" spans="1:6" ht="18.75" customHeight="1">
      <c r="A721" s="7"/>
      <c r="B721" s="52" t="s">
        <v>44</v>
      </c>
      <c r="C721" s="7"/>
      <c r="D721" s="7"/>
      <c r="E721" s="7"/>
      <c r="F721" s="53">
        <f>SUM(F719:F720)</f>
        <v>7379.6808417306138</v>
      </c>
    </row>
    <row r="722" spans="1:6" ht="20.25" customHeight="1">
      <c r="A722" s="461" t="s">
        <v>813</v>
      </c>
      <c r="B722" s="461"/>
      <c r="C722" s="461"/>
      <c r="D722" s="461"/>
      <c r="E722" s="461"/>
      <c r="F722" s="461"/>
    </row>
    <row r="723" spans="1:6" ht="18.75" customHeight="1">
      <c r="A723" s="462" t="s">
        <v>1125</v>
      </c>
      <c r="B723" s="462"/>
      <c r="C723" s="462"/>
      <c r="D723" s="462"/>
      <c r="E723" s="462"/>
      <c r="F723" s="462"/>
    </row>
    <row r="724" spans="1:6" ht="18.75" customHeight="1">
      <c r="A724" s="47" t="s">
        <v>815</v>
      </c>
      <c r="B724" s="49">
        <v>10206</v>
      </c>
      <c r="D724" s="71"/>
      <c r="E724" s="47" t="s">
        <v>169</v>
      </c>
      <c r="F724" s="49" t="s">
        <v>951</v>
      </c>
    </row>
    <row r="725" spans="1:6" ht="18.75" customHeight="1">
      <c r="A725" s="50" t="s">
        <v>817</v>
      </c>
      <c r="B725" s="482"/>
      <c r="C725" s="482"/>
      <c r="D725" s="482"/>
      <c r="E725" s="482"/>
      <c r="F725" s="482"/>
    </row>
    <row r="726" spans="1:6" ht="18.75" customHeight="1">
      <c r="A726" s="7" t="s">
        <v>1</v>
      </c>
      <c r="B726" s="52" t="s">
        <v>344</v>
      </c>
      <c r="C726" s="7" t="s">
        <v>818</v>
      </c>
      <c r="D726" s="7" t="s">
        <v>819</v>
      </c>
      <c r="E726" s="7" t="s">
        <v>820</v>
      </c>
      <c r="F726" s="7" t="s">
        <v>821</v>
      </c>
    </row>
    <row r="727" spans="1:6" ht="18.75" customHeight="1">
      <c r="A727" s="7">
        <v>1</v>
      </c>
      <c r="B727" s="52" t="s">
        <v>822</v>
      </c>
      <c r="C727" s="7"/>
      <c r="D727" s="7"/>
      <c r="E727" s="7"/>
      <c r="F727" s="53">
        <f>F728+F736+F737</f>
        <v>284.51104000000004</v>
      </c>
    </row>
    <row r="728" spans="1:6" ht="18.75" customHeight="1">
      <c r="A728" s="7">
        <v>1.1000000000000001</v>
      </c>
      <c r="B728" s="52" t="s">
        <v>823</v>
      </c>
      <c r="C728" s="7"/>
      <c r="D728" s="7"/>
      <c r="E728" s="7"/>
      <c r="F728" s="53">
        <f>F729+F732</f>
        <v>271.48</v>
      </c>
    </row>
    <row r="729" spans="1:6" ht="18.75" customHeight="1">
      <c r="A729" s="7" t="s">
        <v>47</v>
      </c>
      <c r="B729" s="52" t="s">
        <v>176</v>
      </c>
      <c r="C729" s="7"/>
      <c r="D729" s="7"/>
      <c r="E729" s="7"/>
      <c r="F729" s="53">
        <f>F730+F731</f>
        <v>219.48</v>
      </c>
    </row>
    <row r="730" spans="1:6" ht="18.75" customHeight="1">
      <c r="A730" s="7"/>
      <c r="B730" s="52" t="s">
        <v>824</v>
      </c>
      <c r="C730" s="7" t="s">
        <v>825</v>
      </c>
      <c r="D730" s="7">
        <v>8.1</v>
      </c>
      <c r="E730" s="7">
        <v>10</v>
      </c>
      <c r="F730" s="53">
        <f>D730*E730</f>
        <v>81</v>
      </c>
    </row>
    <row r="731" spans="1:6" ht="18.75" customHeight="1">
      <c r="A731" s="7"/>
      <c r="B731" s="52" t="s">
        <v>826</v>
      </c>
      <c r="C731" s="7" t="s">
        <v>825</v>
      </c>
      <c r="D731" s="7">
        <v>5.77</v>
      </c>
      <c r="E731" s="7">
        <v>24</v>
      </c>
      <c r="F731" s="53">
        <f>D731*E731</f>
        <v>138.47999999999999</v>
      </c>
    </row>
    <row r="732" spans="1:6" ht="18.75" customHeight="1">
      <c r="A732" s="7" t="s">
        <v>57</v>
      </c>
      <c r="B732" s="52" t="s">
        <v>177</v>
      </c>
      <c r="C732" s="7"/>
      <c r="D732" s="7"/>
      <c r="E732" s="7"/>
      <c r="F732" s="53">
        <f>F733+F734</f>
        <v>52</v>
      </c>
    </row>
    <row r="733" spans="1:6" ht="18.75" customHeight="1">
      <c r="A733" s="7"/>
      <c r="B733" s="52" t="s">
        <v>1126</v>
      </c>
      <c r="C733" s="7" t="s">
        <v>829</v>
      </c>
      <c r="D733" s="7">
        <v>25</v>
      </c>
      <c r="E733" s="7">
        <v>2</v>
      </c>
      <c r="F733" s="53">
        <f>D733*E733</f>
        <v>50</v>
      </c>
    </row>
    <row r="734" spans="1:6" ht="18.75" customHeight="1">
      <c r="A734" s="7"/>
      <c r="B734" s="52" t="s">
        <v>833</v>
      </c>
      <c r="C734" s="7" t="s">
        <v>834</v>
      </c>
      <c r="D734" s="53">
        <f>F733</f>
        <v>50</v>
      </c>
      <c r="E734" s="7">
        <v>4</v>
      </c>
      <c r="F734" s="53">
        <f>D734*E734/100</f>
        <v>2</v>
      </c>
    </row>
    <row r="735" spans="1:6" ht="18.75" customHeight="1">
      <c r="A735" s="7"/>
      <c r="B735" s="52"/>
      <c r="C735" s="7"/>
      <c r="D735" s="7"/>
      <c r="E735" s="7"/>
      <c r="F735" s="53"/>
    </row>
    <row r="736" spans="1:6" ht="18.75" customHeight="1">
      <c r="A736" s="7">
        <v>1.2</v>
      </c>
      <c r="B736" s="52" t="s">
        <v>841</v>
      </c>
      <c r="C736" s="7"/>
      <c r="D736" s="7">
        <f>F728</f>
        <v>271.48</v>
      </c>
      <c r="E736" s="56">
        <f>E709</f>
        <v>4.8000000000000001E-2</v>
      </c>
      <c r="F736" s="53">
        <f>D736*E736</f>
        <v>13.031040000000001</v>
      </c>
    </row>
    <row r="737" spans="1:6" ht="18.75" customHeight="1">
      <c r="A737" s="7">
        <v>1.3</v>
      </c>
      <c r="B737" s="52" t="s">
        <v>842</v>
      </c>
      <c r="C737" s="7"/>
      <c r="D737" s="7">
        <f>F728</f>
        <v>271.48</v>
      </c>
      <c r="E737" s="56">
        <f>E710</f>
        <v>0</v>
      </c>
      <c r="F737" s="53">
        <f>D737*E737</f>
        <v>0</v>
      </c>
    </row>
    <row r="738" spans="1:6" ht="18.75" customHeight="1">
      <c r="A738" s="7">
        <v>2</v>
      </c>
      <c r="B738" s="52" t="s">
        <v>182</v>
      </c>
      <c r="C738" s="7"/>
      <c r="D738" s="66">
        <f>F727</f>
        <v>284.51104000000004</v>
      </c>
      <c r="E738" s="56">
        <f>E711</f>
        <v>7.2499999999999995E-2</v>
      </c>
      <c r="F738" s="53">
        <f>D738*E738</f>
        <v>20.627050400000002</v>
      </c>
    </row>
    <row r="739" spans="1:6" ht="18.75" customHeight="1">
      <c r="A739" s="7">
        <v>3</v>
      </c>
      <c r="B739" s="52" t="s">
        <v>843</v>
      </c>
      <c r="C739" s="7"/>
      <c r="D739" s="66">
        <f>F727+F738</f>
        <v>305.13809040000001</v>
      </c>
      <c r="E739" s="56">
        <f>E712</f>
        <v>7.0000000000000007E-2</v>
      </c>
      <c r="F739" s="53">
        <f>D739*E739</f>
        <v>21.359666328000003</v>
      </c>
    </row>
    <row r="740" spans="1:6" ht="18.75" customHeight="1">
      <c r="A740" s="7">
        <v>4</v>
      </c>
      <c r="B740" s="52" t="s">
        <v>184</v>
      </c>
      <c r="C740" s="7"/>
      <c r="D740" s="66"/>
      <c r="E740" s="56"/>
      <c r="F740" s="53">
        <f>F741</f>
        <v>891.46</v>
      </c>
    </row>
    <row r="741" spans="1:6" ht="26.25" customHeight="1">
      <c r="A741" s="7"/>
      <c r="B741" s="73" t="s">
        <v>1127</v>
      </c>
      <c r="C741" s="7" t="s">
        <v>1047</v>
      </c>
      <c r="D741" s="7">
        <v>8.41</v>
      </c>
      <c r="E741" s="7">
        <v>106</v>
      </c>
      <c r="F741" s="53">
        <f>D741*E741</f>
        <v>891.46</v>
      </c>
    </row>
    <row r="742" spans="1:6" ht="18.75" customHeight="1">
      <c r="A742" s="7">
        <v>4</v>
      </c>
      <c r="B742" s="52" t="s">
        <v>845</v>
      </c>
      <c r="C742" s="7"/>
      <c r="D742" s="66">
        <f>F727+F738+F739+F740</f>
        <v>1217.957756728</v>
      </c>
      <c r="E742" s="56">
        <f>E718</f>
        <v>0.09</v>
      </c>
      <c r="F742" s="53">
        <f>D742*E742</f>
        <v>109.61619810552</v>
      </c>
    </row>
    <row r="743" spans="1:6" ht="18.75" customHeight="1">
      <c r="A743" s="7">
        <v>5</v>
      </c>
      <c r="B743" s="52" t="s">
        <v>7</v>
      </c>
      <c r="C743" s="7"/>
      <c r="D743" s="7"/>
      <c r="E743" s="7"/>
      <c r="F743" s="53">
        <f>F727+F738+F739+F742+F740</f>
        <v>1327.57395483352</v>
      </c>
    </row>
    <row r="744" spans="1:6" ht="18.75" customHeight="1">
      <c r="A744" s="7"/>
      <c r="B744" s="52" t="s">
        <v>846</v>
      </c>
      <c r="C744" s="7"/>
      <c r="D744" s="53">
        <f>F743</f>
        <v>1327.57395483352</v>
      </c>
      <c r="E744" s="56">
        <f>E720</f>
        <v>0.03</v>
      </c>
      <c r="F744" s="53">
        <f>E744*D744</f>
        <v>39.827218645005601</v>
      </c>
    </row>
    <row r="745" spans="1:6" ht="18.75" customHeight="1">
      <c r="A745" s="7"/>
      <c r="B745" s="52" t="s">
        <v>44</v>
      </c>
      <c r="C745" s="7"/>
      <c r="D745" s="7"/>
      <c r="E745" s="7"/>
      <c r="F745" s="53">
        <f>SUM(F743:F744)</f>
        <v>1367.4011734785256</v>
      </c>
    </row>
    <row r="746" spans="1:6" ht="20.25" customHeight="1">
      <c r="A746" s="461" t="s">
        <v>813</v>
      </c>
      <c r="B746" s="461"/>
      <c r="C746" s="461"/>
      <c r="D746" s="461"/>
      <c r="E746" s="461"/>
      <c r="F746" s="461"/>
    </row>
    <row r="747" spans="1:6" ht="18.75" customHeight="1">
      <c r="A747" s="462" t="s">
        <v>1128</v>
      </c>
      <c r="B747" s="462"/>
      <c r="C747" s="462"/>
      <c r="D747" s="462"/>
      <c r="E747" s="462"/>
      <c r="F747" s="462"/>
    </row>
    <row r="748" spans="1:6" ht="18.75" customHeight="1">
      <c r="A748" s="47" t="s">
        <v>815</v>
      </c>
      <c r="B748" s="49">
        <v>10198</v>
      </c>
      <c r="D748" s="71"/>
      <c r="E748" s="47" t="s">
        <v>169</v>
      </c>
      <c r="F748" s="49" t="s">
        <v>951</v>
      </c>
    </row>
    <row r="749" spans="1:6" ht="18.75" customHeight="1">
      <c r="A749" s="50" t="s">
        <v>817</v>
      </c>
      <c r="B749" s="482"/>
      <c r="C749" s="482"/>
      <c r="D749" s="482"/>
      <c r="E749" s="482"/>
      <c r="F749" s="482"/>
    </row>
    <row r="750" spans="1:6" ht="18.75" customHeight="1">
      <c r="A750" s="7" t="s">
        <v>1</v>
      </c>
      <c r="B750" s="52" t="s">
        <v>344</v>
      </c>
      <c r="C750" s="7" t="s">
        <v>818</v>
      </c>
      <c r="D750" s="7" t="s">
        <v>819</v>
      </c>
      <c r="E750" s="7" t="s">
        <v>820</v>
      </c>
      <c r="F750" s="7" t="s">
        <v>821</v>
      </c>
    </row>
    <row r="751" spans="1:6" ht="18.75" customHeight="1">
      <c r="A751" s="7">
        <v>1</v>
      </c>
      <c r="B751" s="52" t="s">
        <v>822</v>
      </c>
      <c r="C751" s="7"/>
      <c r="D751" s="7"/>
      <c r="E751" s="7"/>
      <c r="F751" s="53">
        <f>F752+F760+F761</f>
        <v>383.15928000000002</v>
      </c>
    </row>
    <row r="752" spans="1:6" ht="18.75" customHeight="1">
      <c r="A752" s="7">
        <v>1.1000000000000001</v>
      </c>
      <c r="B752" s="52" t="s">
        <v>823</v>
      </c>
      <c r="C752" s="7"/>
      <c r="D752" s="7"/>
      <c r="E752" s="7"/>
      <c r="F752" s="53">
        <f>F753+F756</f>
        <v>365.61</v>
      </c>
    </row>
    <row r="753" spans="1:6" ht="18.75" customHeight="1">
      <c r="A753" s="7" t="s">
        <v>47</v>
      </c>
      <c r="B753" s="52" t="s">
        <v>176</v>
      </c>
      <c r="C753" s="7"/>
      <c r="D753" s="7"/>
      <c r="E753" s="7"/>
      <c r="F753" s="53">
        <f>F754+F755</f>
        <v>76.23</v>
      </c>
    </row>
    <row r="754" spans="1:6" ht="18.75" customHeight="1">
      <c r="A754" s="7"/>
      <c r="B754" s="52" t="s">
        <v>824</v>
      </c>
      <c r="C754" s="7" t="s">
        <v>825</v>
      </c>
      <c r="D754" s="7">
        <v>8.1</v>
      </c>
      <c r="E754" s="7">
        <v>3</v>
      </c>
      <c r="F754" s="53">
        <f>D754*E754</f>
        <v>24.3</v>
      </c>
    </row>
    <row r="755" spans="1:6" ht="18.75" customHeight="1">
      <c r="A755" s="7"/>
      <c r="B755" s="52" t="s">
        <v>826</v>
      </c>
      <c r="C755" s="7" t="s">
        <v>825</v>
      </c>
      <c r="D755" s="7">
        <v>5.77</v>
      </c>
      <c r="E755" s="7">
        <v>9</v>
      </c>
      <c r="F755" s="53">
        <f>D755*E755</f>
        <v>51.93</v>
      </c>
    </row>
    <row r="756" spans="1:6" ht="18.75" customHeight="1">
      <c r="A756" s="7" t="s">
        <v>57</v>
      </c>
      <c r="B756" s="52" t="s">
        <v>177</v>
      </c>
      <c r="C756" s="7"/>
      <c r="D756" s="7"/>
      <c r="E756" s="7"/>
      <c r="F756" s="53">
        <f>F757+F758</f>
        <v>289.38</v>
      </c>
    </row>
    <row r="757" spans="1:6" ht="18.75" customHeight="1">
      <c r="A757" s="7"/>
      <c r="B757" s="52" t="s">
        <v>1121</v>
      </c>
      <c r="C757" s="7" t="s">
        <v>109</v>
      </c>
      <c r="D757" s="7">
        <v>2.65</v>
      </c>
      <c r="E757" s="7">
        <v>105</v>
      </c>
      <c r="F757" s="53">
        <f>D757*E757</f>
        <v>278.25</v>
      </c>
    </row>
    <row r="758" spans="1:6" ht="18.75" customHeight="1">
      <c r="A758" s="7"/>
      <c r="B758" s="52" t="s">
        <v>833</v>
      </c>
      <c r="C758" s="7" t="s">
        <v>834</v>
      </c>
      <c r="D758" s="53">
        <f>F757</f>
        <v>278.25</v>
      </c>
      <c r="E758" s="7">
        <v>4</v>
      </c>
      <c r="F758" s="53">
        <f>D758*E758/100</f>
        <v>11.13</v>
      </c>
    </row>
    <row r="759" spans="1:6" ht="18.75" customHeight="1">
      <c r="A759" s="7"/>
      <c r="B759" s="52"/>
      <c r="C759" s="7"/>
      <c r="D759" s="7"/>
      <c r="E759" s="7"/>
      <c r="F759" s="53"/>
    </row>
    <row r="760" spans="1:6" ht="18.75" customHeight="1">
      <c r="A760" s="7">
        <v>1.2</v>
      </c>
      <c r="B760" s="52" t="s">
        <v>841</v>
      </c>
      <c r="C760" s="7"/>
      <c r="D760" s="7">
        <f>F752</f>
        <v>365.61</v>
      </c>
      <c r="E760" s="56">
        <f>E709</f>
        <v>4.8000000000000001E-2</v>
      </c>
      <c r="F760" s="53">
        <f>D760*E760</f>
        <v>17.54928</v>
      </c>
    </row>
    <row r="761" spans="1:6" ht="18.75" customHeight="1">
      <c r="A761" s="7">
        <v>1.3</v>
      </c>
      <c r="B761" s="52" t="s">
        <v>842</v>
      </c>
      <c r="C761" s="7"/>
      <c r="D761" s="7">
        <f>F752</f>
        <v>365.61</v>
      </c>
      <c r="E761" s="56">
        <f t="shared" ref="E761:E763" si="1">E710</f>
        <v>0</v>
      </c>
      <c r="F761" s="53">
        <f>D761*E761</f>
        <v>0</v>
      </c>
    </row>
    <row r="762" spans="1:6" ht="18.75" customHeight="1">
      <c r="A762" s="7">
        <v>2</v>
      </c>
      <c r="B762" s="52" t="s">
        <v>182</v>
      </c>
      <c r="C762" s="7"/>
      <c r="D762" s="66">
        <f>F751</f>
        <v>383.15928000000002</v>
      </c>
      <c r="E762" s="56">
        <f t="shared" si="1"/>
        <v>7.2499999999999995E-2</v>
      </c>
      <c r="F762" s="53">
        <f>D762*E762</f>
        <v>27.779047800000001</v>
      </c>
    </row>
    <row r="763" spans="1:6" ht="18.75" customHeight="1">
      <c r="A763" s="7">
        <v>3</v>
      </c>
      <c r="B763" s="52" t="s">
        <v>843</v>
      </c>
      <c r="C763" s="7"/>
      <c r="D763" s="66">
        <f>F751+F762</f>
        <v>410.93832780000002</v>
      </c>
      <c r="E763" s="56">
        <f t="shared" si="1"/>
        <v>7.0000000000000007E-2</v>
      </c>
      <c r="F763" s="53">
        <f>D763*E763</f>
        <v>28.765682946000005</v>
      </c>
    </row>
    <row r="764" spans="1:6" ht="18.75" customHeight="1">
      <c r="A764" s="7">
        <v>4</v>
      </c>
      <c r="B764" s="52" t="s">
        <v>184</v>
      </c>
      <c r="C764" s="7"/>
      <c r="D764" s="66"/>
      <c r="E764" s="56"/>
      <c r="F764" s="53">
        <f>F765</f>
        <v>0</v>
      </c>
    </row>
    <row r="765" spans="1:6" ht="26.25" customHeight="1">
      <c r="A765" s="7"/>
      <c r="B765" s="73" t="s">
        <v>1127</v>
      </c>
      <c r="C765" s="7" t="s">
        <v>1047</v>
      </c>
      <c r="D765" s="7"/>
      <c r="E765" s="7">
        <v>106</v>
      </c>
      <c r="F765" s="53">
        <f>D765*E765</f>
        <v>0</v>
      </c>
    </row>
    <row r="766" spans="1:6" ht="18.75" customHeight="1">
      <c r="A766" s="7">
        <v>4</v>
      </c>
      <c r="B766" s="52" t="s">
        <v>845</v>
      </c>
      <c r="C766" s="7"/>
      <c r="D766" s="66">
        <f>F751+F762+F763+F764</f>
        <v>439.70401074600005</v>
      </c>
      <c r="E766" s="56">
        <f>E742</f>
        <v>0.09</v>
      </c>
      <c r="F766" s="53">
        <f>D766*E766</f>
        <v>39.573360967140005</v>
      </c>
    </row>
    <row r="767" spans="1:6" ht="18.75" customHeight="1">
      <c r="A767" s="7">
        <v>5</v>
      </c>
      <c r="B767" s="52" t="s">
        <v>7</v>
      </c>
      <c r="C767" s="7"/>
      <c r="D767" s="7"/>
      <c r="E767" s="7"/>
      <c r="F767" s="53">
        <f>F751+F762+F763+F766+F764</f>
        <v>479.27737171314004</v>
      </c>
    </row>
    <row r="768" spans="1:6" ht="18.75" customHeight="1">
      <c r="A768" s="7"/>
      <c r="B768" s="52" t="s">
        <v>846</v>
      </c>
      <c r="C768" s="7"/>
      <c r="D768" s="53">
        <f>F767</f>
        <v>479.27737171314004</v>
      </c>
      <c r="E768" s="56">
        <f>E744</f>
        <v>0.03</v>
      </c>
      <c r="F768" s="53">
        <f>E768*D768</f>
        <v>14.3783211513942</v>
      </c>
    </row>
    <row r="769" spans="1:6" ht="18.75" customHeight="1">
      <c r="A769" s="7"/>
      <c r="B769" s="52" t="s">
        <v>44</v>
      </c>
      <c r="C769" s="7"/>
      <c r="D769" s="7"/>
      <c r="E769" s="7"/>
      <c r="F769" s="53">
        <f>SUM(F767:F768)</f>
        <v>493.65569286453422</v>
      </c>
    </row>
    <row r="770" spans="1:6" ht="20.25" customHeight="1">
      <c r="A770" s="461" t="s">
        <v>813</v>
      </c>
      <c r="B770" s="461"/>
      <c r="C770" s="461"/>
      <c r="D770" s="461"/>
      <c r="E770" s="461"/>
      <c r="F770" s="461"/>
    </row>
    <row r="771" spans="1:6" ht="18.75" customHeight="1">
      <c r="A771" s="462" t="s">
        <v>1129</v>
      </c>
      <c r="B771" s="462"/>
      <c r="C771" s="462"/>
      <c r="D771" s="462"/>
      <c r="E771" s="462"/>
      <c r="F771" s="462"/>
    </row>
    <row r="772" spans="1:6" ht="18.75" customHeight="1">
      <c r="A772" s="46" t="s">
        <v>815</v>
      </c>
      <c r="B772" s="49">
        <v>10202</v>
      </c>
      <c r="D772" s="71"/>
      <c r="E772" s="47" t="s">
        <v>169</v>
      </c>
      <c r="F772" s="49" t="s">
        <v>951</v>
      </c>
    </row>
    <row r="773" spans="1:6" ht="18.75" customHeight="1">
      <c r="A773" s="7" t="s">
        <v>817</v>
      </c>
      <c r="B773" s="52"/>
      <c r="C773" s="52"/>
      <c r="D773" s="52"/>
      <c r="E773" s="52"/>
      <c r="F773" s="52"/>
    </row>
    <row r="774" spans="1:6" ht="18.75" customHeight="1">
      <c r="A774" s="7" t="s">
        <v>1</v>
      </c>
      <c r="B774" s="52" t="s">
        <v>344</v>
      </c>
      <c r="C774" s="7" t="s">
        <v>818</v>
      </c>
      <c r="D774" s="7" t="s">
        <v>819</v>
      </c>
      <c r="E774" s="7" t="s">
        <v>820</v>
      </c>
      <c r="F774" s="7" t="s">
        <v>821</v>
      </c>
    </row>
    <row r="775" spans="1:6" ht="18.75" customHeight="1">
      <c r="A775" s="7">
        <v>1</v>
      </c>
      <c r="B775" s="52" t="s">
        <v>822</v>
      </c>
      <c r="C775" s="7"/>
      <c r="D775" s="7"/>
      <c r="E775" s="7"/>
      <c r="F775" s="53">
        <f>F776+F785+F786</f>
        <v>759.13347199999998</v>
      </c>
    </row>
    <row r="776" spans="1:6" ht="18.75" customHeight="1">
      <c r="A776" s="7">
        <v>1.1000000000000001</v>
      </c>
      <c r="B776" s="52" t="s">
        <v>823</v>
      </c>
      <c r="C776" s="7"/>
      <c r="D776" s="7"/>
      <c r="E776" s="7"/>
      <c r="F776" s="53">
        <f>F777+F780</f>
        <v>724.36400000000003</v>
      </c>
    </row>
    <row r="777" spans="1:6" ht="18.75" customHeight="1">
      <c r="A777" s="7" t="s">
        <v>47</v>
      </c>
      <c r="B777" s="52" t="s">
        <v>176</v>
      </c>
      <c r="C777" s="7"/>
      <c r="D777" s="7"/>
      <c r="E777" s="7"/>
      <c r="F777" s="53">
        <f>F778+F779</f>
        <v>113.18</v>
      </c>
    </row>
    <row r="778" spans="1:6" ht="18.75" customHeight="1">
      <c r="A778" s="7"/>
      <c r="B778" s="52" t="s">
        <v>824</v>
      </c>
      <c r="C778" s="7" t="s">
        <v>825</v>
      </c>
      <c r="D778" s="7">
        <v>8.1</v>
      </c>
      <c r="E778" s="7">
        <v>4</v>
      </c>
      <c r="F778" s="53">
        <f>D778*E778</f>
        <v>32.4</v>
      </c>
    </row>
    <row r="779" spans="1:6" ht="18.75" customHeight="1">
      <c r="A779" s="7"/>
      <c r="B779" s="52" t="s">
        <v>826</v>
      </c>
      <c r="C779" s="7" t="s">
        <v>825</v>
      </c>
      <c r="D779" s="7">
        <v>5.77</v>
      </c>
      <c r="E779" s="7">
        <v>14</v>
      </c>
      <c r="F779" s="53">
        <f>D779*E779</f>
        <v>80.78</v>
      </c>
    </row>
    <row r="780" spans="1:6" ht="18.75" customHeight="1">
      <c r="A780" s="7" t="s">
        <v>57</v>
      </c>
      <c r="B780" s="52" t="s">
        <v>177</v>
      </c>
      <c r="C780" s="7"/>
      <c r="D780" s="7"/>
      <c r="E780" s="7"/>
      <c r="F780" s="53">
        <f>F781+F782+F783</f>
        <v>611.18399999999997</v>
      </c>
    </row>
    <row r="781" spans="1:6" ht="18.75" customHeight="1">
      <c r="A781" s="7"/>
      <c r="B781" s="52" t="s">
        <v>1130</v>
      </c>
      <c r="C781" s="7" t="s">
        <v>1047</v>
      </c>
      <c r="D781" s="7">
        <v>5.6</v>
      </c>
      <c r="E781" s="7">
        <v>107</v>
      </c>
      <c r="F781" s="53">
        <f>D781*E781</f>
        <v>599.20000000000005</v>
      </c>
    </row>
    <row r="782" spans="1:6" ht="18.75" customHeight="1">
      <c r="A782" s="7"/>
      <c r="B782" s="52" t="s">
        <v>1126</v>
      </c>
      <c r="C782" s="7" t="s">
        <v>829</v>
      </c>
      <c r="D782" s="7">
        <f>D733</f>
        <v>25</v>
      </c>
      <c r="E782" s="7">
        <v>0</v>
      </c>
      <c r="F782" s="53">
        <f>D782*E782</f>
        <v>0</v>
      </c>
    </row>
    <row r="783" spans="1:6" ht="18.75" customHeight="1">
      <c r="A783" s="7"/>
      <c r="B783" s="52" t="s">
        <v>833</v>
      </c>
      <c r="C783" s="7" t="s">
        <v>834</v>
      </c>
      <c r="D783" s="7">
        <f>F781+F782</f>
        <v>599.20000000000005</v>
      </c>
      <c r="E783" s="7">
        <v>2</v>
      </c>
      <c r="F783" s="53">
        <f>D783*E783/100</f>
        <v>11.984</v>
      </c>
    </row>
    <row r="784" spans="1:6" ht="18.75" customHeight="1">
      <c r="A784" s="7"/>
      <c r="B784" s="52"/>
      <c r="C784" s="7"/>
      <c r="D784" s="7"/>
      <c r="E784" s="7"/>
      <c r="F784" s="53"/>
    </row>
    <row r="785" spans="1:6" ht="18.75" customHeight="1">
      <c r="A785" s="7">
        <v>1.2</v>
      </c>
      <c r="B785" s="52" t="s">
        <v>841</v>
      </c>
      <c r="C785" s="7"/>
      <c r="D785" s="7">
        <f>F776</f>
        <v>724.36400000000003</v>
      </c>
      <c r="E785" s="56">
        <f>E736</f>
        <v>4.8000000000000001E-2</v>
      </c>
      <c r="F785" s="53">
        <f>D785*E785</f>
        <v>34.769472</v>
      </c>
    </row>
    <row r="786" spans="1:6" ht="18.75" customHeight="1">
      <c r="A786" s="7">
        <v>1.3</v>
      </c>
      <c r="B786" s="52" t="s">
        <v>842</v>
      </c>
      <c r="C786" s="7"/>
      <c r="D786" s="7">
        <f>F776</f>
        <v>724.36400000000003</v>
      </c>
      <c r="E786" s="56">
        <f>E737</f>
        <v>0</v>
      </c>
      <c r="F786" s="53">
        <f>D786*E786</f>
        <v>0</v>
      </c>
    </row>
    <row r="787" spans="1:6" ht="18.75" customHeight="1">
      <c r="A787" s="7">
        <v>2</v>
      </c>
      <c r="B787" s="52" t="s">
        <v>182</v>
      </c>
      <c r="C787" s="7"/>
      <c r="D787" s="66">
        <f>F775</f>
        <v>759.13347199999998</v>
      </c>
      <c r="E787" s="56">
        <f>E738</f>
        <v>7.2499999999999995E-2</v>
      </c>
      <c r="F787" s="53">
        <f>D787*E787</f>
        <v>55.037176719999998</v>
      </c>
    </row>
    <row r="788" spans="1:6" ht="18.75" customHeight="1">
      <c r="A788" s="7">
        <v>3</v>
      </c>
      <c r="B788" s="52" t="s">
        <v>843</v>
      </c>
      <c r="C788" s="7"/>
      <c r="D788" s="66">
        <f>F775+F787</f>
        <v>814.17064872000003</v>
      </c>
      <c r="E788" s="56">
        <f>E739</f>
        <v>7.0000000000000007E-2</v>
      </c>
      <c r="F788" s="53">
        <f>D788*E788</f>
        <v>56.991945410400007</v>
      </c>
    </row>
    <row r="789" spans="1:6" ht="18.75" customHeight="1">
      <c r="A789" s="7">
        <v>4</v>
      </c>
      <c r="B789" s="52" t="s">
        <v>845</v>
      </c>
      <c r="C789" s="7"/>
      <c r="D789" s="66">
        <f>F775+F787+F788</f>
        <v>871.16259413040007</v>
      </c>
      <c r="E789" s="56">
        <f>E742</f>
        <v>0.09</v>
      </c>
      <c r="F789" s="53">
        <f>D789*E789</f>
        <v>78.404633471736005</v>
      </c>
    </row>
    <row r="790" spans="1:6" ht="18.75" customHeight="1">
      <c r="A790" s="7">
        <v>5</v>
      </c>
      <c r="B790" s="52" t="s">
        <v>7</v>
      </c>
      <c r="C790" s="7"/>
      <c r="D790" s="7"/>
      <c r="E790" s="7"/>
      <c r="F790" s="53">
        <f>F775+F787+F788+F789</f>
        <v>949.56722760213609</v>
      </c>
    </row>
    <row r="791" spans="1:6" ht="18.75" customHeight="1">
      <c r="A791" s="7"/>
      <c r="B791" s="52" t="s">
        <v>846</v>
      </c>
      <c r="C791" s="7"/>
      <c r="D791" s="53">
        <f>F790</f>
        <v>949.56722760213609</v>
      </c>
      <c r="E791" s="56">
        <f>E744</f>
        <v>0.03</v>
      </c>
      <c r="F791" s="53">
        <f>E791*D791</f>
        <v>28.487016828064082</v>
      </c>
    </row>
    <row r="792" spans="1:6" ht="18.75" customHeight="1">
      <c r="A792" s="7"/>
      <c r="B792" s="52" t="s">
        <v>44</v>
      </c>
      <c r="C792" s="7"/>
      <c r="D792" s="7"/>
      <c r="E792" s="7"/>
      <c r="F792" s="53">
        <f>SUM(F790:F791)</f>
        <v>978.05424443020013</v>
      </c>
    </row>
    <row r="793" spans="1:6" ht="19.5">
      <c r="A793" s="461" t="s">
        <v>813</v>
      </c>
      <c r="B793" s="461"/>
      <c r="C793" s="461"/>
      <c r="D793" s="461"/>
      <c r="E793" s="461"/>
      <c r="F793" s="461"/>
    </row>
    <row r="794" spans="1:6">
      <c r="A794" s="462" t="s">
        <v>1131</v>
      </c>
      <c r="B794" s="462"/>
      <c r="C794" s="462"/>
      <c r="D794" s="462"/>
      <c r="E794" s="462"/>
      <c r="F794" s="462"/>
    </row>
    <row r="795" spans="1:6">
      <c r="A795" s="47" t="s">
        <v>815</v>
      </c>
      <c r="B795" s="49">
        <v>3007</v>
      </c>
      <c r="D795" s="71"/>
      <c r="E795" s="47" t="s">
        <v>169</v>
      </c>
      <c r="F795" s="49" t="s">
        <v>1020</v>
      </c>
    </row>
    <row r="796" spans="1:6">
      <c r="A796" s="50" t="s">
        <v>817</v>
      </c>
      <c r="B796" s="458"/>
      <c r="C796" s="459"/>
      <c r="D796" s="459"/>
      <c r="E796" s="459"/>
      <c r="F796" s="460"/>
    </row>
    <row r="797" spans="1:6">
      <c r="A797" s="7" t="s">
        <v>1</v>
      </c>
      <c r="B797" s="52" t="s">
        <v>344</v>
      </c>
      <c r="C797" s="7" t="s">
        <v>818</v>
      </c>
      <c r="D797" s="7" t="s">
        <v>819</v>
      </c>
      <c r="E797" s="7" t="s">
        <v>820</v>
      </c>
      <c r="F797" s="7" t="s">
        <v>821</v>
      </c>
    </row>
    <row r="798" spans="1:6">
      <c r="A798" s="7">
        <v>1</v>
      </c>
      <c r="B798" s="52" t="s">
        <v>822</v>
      </c>
      <c r="C798" s="7"/>
      <c r="D798" s="7"/>
      <c r="E798" s="7"/>
      <c r="F798" s="53">
        <f>F799+F810+F811</f>
        <v>30598.529937784504</v>
      </c>
    </row>
    <row r="799" spans="1:6">
      <c r="A799" s="7">
        <v>1.1000000000000001</v>
      </c>
      <c r="B799" s="52" t="s">
        <v>823</v>
      </c>
      <c r="C799" s="7"/>
      <c r="D799" s="7"/>
      <c r="E799" s="7"/>
      <c r="F799" s="53">
        <f>F800+F803</f>
        <v>29197.070551321092</v>
      </c>
    </row>
    <row r="800" spans="1:6">
      <c r="A800" s="7" t="s">
        <v>47</v>
      </c>
      <c r="B800" s="52" t="s">
        <v>176</v>
      </c>
      <c r="C800" s="7"/>
      <c r="D800" s="7"/>
      <c r="E800" s="7"/>
      <c r="F800" s="53">
        <f>F801+F802</f>
        <v>7858.65</v>
      </c>
    </row>
    <row r="801" spans="1:6">
      <c r="A801" s="7"/>
      <c r="B801" s="52" t="s">
        <v>824</v>
      </c>
      <c r="C801" s="7" t="s">
        <v>825</v>
      </c>
      <c r="D801" s="7">
        <v>8.1</v>
      </c>
      <c r="E801" s="7">
        <f>133+13.4*25</f>
        <v>468</v>
      </c>
      <c r="F801" s="53">
        <f>D801*E801</f>
        <v>3790.8</v>
      </c>
    </row>
    <row r="802" spans="1:6">
      <c r="A802" s="7"/>
      <c r="B802" s="52" t="s">
        <v>826</v>
      </c>
      <c r="C802" s="7" t="s">
        <v>825</v>
      </c>
      <c r="D802" s="7">
        <v>5.77</v>
      </c>
      <c r="E802" s="7">
        <f>200+20.2*25</f>
        <v>705</v>
      </c>
      <c r="F802" s="53">
        <f>D802*E802</f>
        <v>4067.85</v>
      </c>
    </row>
    <row r="803" spans="1:6">
      <c r="A803" s="7" t="s">
        <v>57</v>
      </c>
      <c r="B803" s="52" t="s">
        <v>177</v>
      </c>
      <c r="C803" s="7"/>
      <c r="D803" s="7"/>
      <c r="E803" s="7"/>
      <c r="F803" s="53">
        <f>F804+F805</f>
        <v>21338.420551321095</v>
      </c>
    </row>
    <row r="804" spans="1:6">
      <c r="A804" s="7"/>
      <c r="B804" s="52" t="s">
        <v>513</v>
      </c>
      <c r="C804" s="7" t="s">
        <v>871</v>
      </c>
      <c r="D804" s="55">
        <f>材料预算价格表!L12</f>
        <v>49.724260550458702</v>
      </c>
      <c r="E804" s="7">
        <f>122+12.2*25</f>
        <v>427</v>
      </c>
      <c r="F804" s="53">
        <f>D804*E804</f>
        <v>21232.259255045865</v>
      </c>
    </row>
    <row r="805" spans="1:6">
      <c r="A805" s="7"/>
      <c r="B805" s="52" t="s">
        <v>833</v>
      </c>
      <c r="C805" s="7" t="s">
        <v>834</v>
      </c>
      <c r="D805" s="53">
        <f>F804</f>
        <v>21232.259255045865</v>
      </c>
      <c r="E805" s="7">
        <v>0.5</v>
      </c>
      <c r="F805" s="53">
        <f>D805*E805/100</f>
        <v>106.16129627522932</v>
      </c>
    </row>
    <row r="806" spans="1:6">
      <c r="A806" s="7" t="s">
        <v>1132</v>
      </c>
      <c r="B806" s="52" t="s">
        <v>836</v>
      </c>
      <c r="C806" s="7"/>
      <c r="D806" s="7"/>
      <c r="E806" s="7"/>
      <c r="F806" s="53">
        <f>F807+F808</f>
        <v>485.4499486486489</v>
      </c>
    </row>
    <row r="807" spans="1:6">
      <c r="A807" s="7"/>
      <c r="B807" s="52" t="s">
        <v>1133</v>
      </c>
      <c r="C807" s="7" t="s">
        <v>871</v>
      </c>
      <c r="D807" s="55">
        <f>施工机械台时汇总!C96</f>
        <v>63.242567567567605</v>
      </c>
      <c r="E807" s="7">
        <v>7.6</v>
      </c>
      <c r="F807" s="53">
        <f>D807*E807</f>
        <v>480.64351351351377</v>
      </c>
    </row>
    <row r="808" spans="1:6">
      <c r="A808" s="7"/>
      <c r="B808" s="52" t="s">
        <v>840</v>
      </c>
      <c r="C808" s="7" t="s">
        <v>834</v>
      </c>
      <c r="D808" s="53">
        <f>F807</f>
        <v>480.64351351351377</v>
      </c>
      <c r="E808" s="7">
        <v>1</v>
      </c>
      <c r="F808" s="53">
        <f>D808*E808/100</f>
        <v>4.8064351351351373</v>
      </c>
    </row>
    <row r="809" spans="1:6">
      <c r="A809" s="7"/>
      <c r="B809" s="52"/>
      <c r="C809" s="7"/>
      <c r="D809" s="7"/>
      <c r="E809" s="7"/>
      <c r="F809" s="53"/>
    </row>
    <row r="810" spans="1:6">
      <c r="A810" s="7">
        <v>1.2</v>
      </c>
      <c r="B810" s="52" t="s">
        <v>841</v>
      </c>
      <c r="C810" s="7"/>
      <c r="D810" s="53">
        <f>F799</f>
        <v>29197.070551321092</v>
      </c>
      <c r="E810" s="56">
        <f>取费!C14</f>
        <v>4.8000000000000001E-2</v>
      </c>
      <c r="F810" s="53">
        <f>D810*E810</f>
        <v>1401.4593864634126</v>
      </c>
    </row>
    <row r="811" spans="1:6">
      <c r="A811" s="7">
        <v>1.3</v>
      </c>
      <c r="B811" s="52" t="s">
        <v>842</v>
      </c>
      <c r="C811" s="7"/>
      <c r="D811" s="53">
        <f>F799</f>
        <v>29197.070551321092</v>
      </c>
      <c r="E811" s="56">
        <f>取费!D14</f>
        <v>0</v>
      </c>
      <c r="F811" s="53">
        <f>D811*E811</f>
        <v>0</v>
      </c>
    </row>
    <row r="812" spans="1:6">
      <c r="A812" s="7">
        <v>2</v>
      </c>
      <c r="B812" s="52" t="s">
        <v>182</v>
      </c>
      <c r="C812" s="7"/>
      <c r="D812" s="53">
        <f>F798</f>
        <v>30598.529937784504</v>
      </c>
      <c r="E812" s="56">
        <f>取费!E14</f>
        <v>7.2499999999999995E-2</v>
      </c>
      <c r="F812" s="53">
        <f>D812*E812</f>
        <v>2218.3934204893762</v>
      </c>
    </row>
    <row r="813" spans="1:6">
      <c r="A813" s="7">
        <v>3</v>
      </c>
      <c r="B813" s="52" t="s">
        <v>843</v>
      </c>
      <c r="C813" s="7"/>
      <c r="D813" s="53">
        <f>F798+F812</f>
        <v>32816.923358273882</v>
      </c>
      <c r="E813" s="56">
        <f>取费!F14</f>
        <v>7.0000000000000007E-2</v>
      </c>
      <c r="F813" s="53">
        <f>D813*E813</f>
        <v>2297.184635079172</v>
      </c>
    </row>
    <row r="814" spans="1:6">
      <c r="A814" s="7">
        <v>4</v>
      </c>
      <c r="B814" s="52" t="s">
        <v>184</v>
      </c>
      <c r="C814" s="7"/>
      <c r="D814" s="7"/>
      <c r="E814" s="7"/>
      <c r="F814" s="53">
        <f>SUM(F815:F816)</f>
        <v>173.39399999999998</v>
      </c>
    </row>
    <row r="815" spans="1:6">
      <c r="A815" s="7"/>
      <c r="B815" s="52" t="str">
        <f>G1</f>
        <v>汽油</v>
      </c>
      <c r="C815" s="7" t="s">
        <v>1134</v>
      </c>
      <c r="D815" s="7">
        <f>G2</f>
        <v>4.7450000000000001</v>
      </c>
      <c r="E815" s="7"/>
      <c r="F815" s="53">
        <f>D815*E815</f>
        <v>0</v>
      </c>
    </row>
    <row r="816" spans="1:6">
      <c r="A816" s="7"/>
      <c r="B816" s="52" t="str">
        <f>H1</f>
        <v>柴油</v>
      </c>
      <c r="C816" s="7" t="s">
        <v>1134</v>
      </c>
      <c r="D816" s="66">
        <f>H2</f>
        <v>3.51</v>
      </c>
      <c r="E816" s="7">
        <f>E807*台时!CS22</f>
        <v>49.4</v>
      </c>
      <c r="F816" s="53">
        <f>D816*E816</f>
        <v>173.39399999999998</v>
      </c>
    </row>
    <row r="817" spans="1:6">
      <c r="A817" s="7">
        <v>5</v>
      </c>
      <c r="B817" s="52" t="s">
        <v>845</v>
      </c>
      <c r="C817" s="7"/>
      <c r="D817" s="66">
        <f>F798+F812+F813+F814</f>
        <v>35287.501993353057</v>
      </c>
      <c r="E817" s="56">
        <f>取费!G14</f>
        <v>0.09</v>
      </c>
      <c r="F817" s="53">
        <f>D817*E817</f>
        <v>3175.8751794017749</v>
      </c>
    </row>
    <row r="818" spans="1:6">
      <c r="A818" s="7">
        <v>6</v>
      </c>
      <c r="B818" s="52" t="s">
        <v>7</v>
      </c>
      <c r="C818" s="7"/>
      <c r="D818" s="7"/>
      <c r="E818" s="7"/>
      <c r="F818" s="53">
        <f>F798+F812+F813+F814+F817</f>
        <v>38463.37717275483</v>
      </c>
    </row>
    <row r="819" spans="1:6">
      <c r="A819" s="7"/>
      <c r="B819" s="52" t="s">
        <v>846</v>
      </c>
      <c r="C819" s="7"/>
      <c r="D819" s="53">
        <f>F818</f>
        <v>38463.37717275483</v>
      </c>
      <c r="E819" s="56">
        <f>E791</f>
        <v>0.03</v>
      </c>
      <c r="F819" s="53">
        <f>E819*D819</f>
        <v>1153.9013151826448</v>
      </c>
    </row>
    <row r="820" spans="1:6">
      <c r="A820" s="7"/>
      <c r="B820" s="52" t="s">
        <v>44</v>
      </c>
      <c r="C820" s="7"/>
      <c r="D820" s="7"/>
      <c r="E820" s="7"/>
      <c r="F820" s="53">
        <f>SUM(F818:F819)</f>
        <v>39617.278487937474</v>
      </c>
    </row>
  </sheetData>
  <mergeCells count="86">
    <mergeCell ref="B796:F796"/>
    <mergeCell ref="B749:F749"/>
    <mergeCell ref="A770:F770"/>
    <mergeCell ref="A771:F771"/>
    <mergeCell ref="A793:F793"/>
    <mergeCell ref="A794:F794"/>
    <mergeCell ref="A722:F722"/>
    <mergeCell ref="A723:F723"/>
    <mergeCell ref="B725:F725"/>
    <mergeCell ref="A746:F746"/>
    <mergeCell ref="A747:F747"/>
    <mergeCell ref="A655:F655"/>
    <mergeCell ref="B657:F657"/>
    <mergeCell ref="A682:F682"/>
    <mergeCell ref="A683:F683"/>
    <mergeCell ref="B685:F685"/>
    <mergeCell ref="B602:F602"/>
    <mergeCell ref="A625:F625"/>
    <mergeCell ref="A626:F626"/>
    <mergeCell ref="B628:F628"/>
    <mergeCell ref="A654:F654"/>
    <mergeCell ref="A575:F575"/>
    <mergeCell ref="A576:F576"/>
    <mergeCell ref="B578:F578"/>
    <mergeCell ref="A599:F599"/>
    <mergeCell ref="A600:F600"/>
    <mergeCell ref="A522:F522"/>
    <mergeCell ref="B524:F524"/>
    <mergeCell ref="A549:F549"/>
    <mergeCell ref="A550:F550"/>
    <mergeCell ref="B552:F552"/>
    <mergeCell ref="B468:F468"/>
    <mergeCell ref="A493:F493"/>
    <mergeCell ref="A494:F494"/>
    <mergeCell ref="B496:F496"/>
    <mergeCell ref="A521:F521"/>
    <mergeCell ref="A437:F437"/>
    <mergeCell ref="A438:F438"/>
    <mergeCell ref="B440:F440"/>
    <mergeCell ref="A465:F465"/>
    <mergeCell ref="A466:F466"/>
    <mergeCell ref="A382:F382"/>
    <mergeCell ref="B384:F384"/>
    <mergeCell ref="A409:F409"/>
    <mergeCell ref="A410:F410"/>
    <mergeCell ref="B412:F412"/>
    <mergeCell ref="B328:F328"/>
    <mergeCell ref="A353:F353"/>
    <mergeCell ref="A354:F354"/>
    <mergeCell ref="B356:F356"/>
    <mergeCell ref="A381:F381"/>
    <mergeCell ref="A297:F297"/>
    <mergeCell ref="A298:F298"/>
    <mergeCell ref="B300:F300"/>
    <mergeCell ref="A325:F325"/>
    <mergeCell ref="A326:F326"/>
    <mergeCell ref="A242:F242"/>
    <mergeCell ref="B244:F244"/>
    <mergeCell ref="A269:F269"/>
    <mergeCell ref="A270:F270"/>
    <mergeCell ref="B272:F272"/>
    <mergeCell ref="B186:F186"/>
    <mergeCell ref="A213:F213"/>
    <mergeCell ref="A214:F214"/>
    <mergeCell ref="B216:F216"/>
    <mergeCell ref="A241:F241"/>
    <mergeCell ref="A153:F153"/>
    <mergeCell ref="A154:F154"/>
    <mergeCell ref="B156:F156"/>
    <mergeCell ref="A183:F183"/>
    <mergeCell ref="A184:F184"/>
    <mergeCell ref="A94:F94"/>
    <mergeCell ref="B96:F96"/>
    <mergeCell ref="A123:F123"/>
    <mergeCell ref="A124:F124"/>
    <mergeCell ref="B126:F126"/>
    <mergeCell ref="B36:F36"/>
    <mergeCell ref="A63:F63"/>
    <mergeCell ref="A64:F64"/>
    <mergeCell ref="B66:F66"/>
    <mergeCell ref="A93:F93"/>
    <mergeCell ref="A3:F3"/>
    <mergeCell ref="A4:F4"/>
    <mergeCell ref="B6:F6"/>
    <mergeCell ref="A33:F33"/>
    <mergeCell ref="A34:F34"/>
  </mergeCells>
  <phoneticPr fontId="79" type="noConversion"/>
  <printOptions horizontalCentered="1"/>
  <pageMargins left="0.94444444444444398" right="0.74791666666666701" top="1.18055555555556" bottom="0.98402777777777795" header="0.51180555555555596" footer="0.51180555555555596"/>
  <pageSetup paperSize="9" orientation="portrait" horizontalDpi="1200" verticalDpi="1200"/>
  <headerFooter alignWithMargins="0"/>
</worksheet>
</file>

<file path=xl/worksheets/sheet17.xml><?xml version="1.0" encoding="utf-8"?>
<worksheet xmlns="http://schemas.openxmlformats.org/spreadsheetml/2006/main" xmlns:r="http://schemas.openxmlformats.org/officeDocument/2006/relationships">
  <dimension ref="A1:I1053"/>
  <sheetViews>
    <sheetView workbookViewId="0">
      <pane ySplit="2" topLeftCell="A804" activePane="bottomLeft" state="frozen"/>
      <selection pane="bottomLeft" activeCell="E784" sqref="E784"/>
    </sheetView>
  </sheetViews>
  <sheetFormatPr defaultColWidth="9" defaultRowHeight="14.25"/>
  <cols>
    <col min="1" max="1" width="9.625" customWidth="1"/>
    <col min="2" max="2" width="28" customWidth="1"/>
    <col min="3" max="6" width="9.625" customWidth="1"/>
  </cols>
  <sheetData>
    <row r="1" spans="1:6">
      <c r="A1" s="46" t="s">
        <v>515</v>
      </c>
      <c r="B1" s="46" t="s">
        <v>516</v>
      </c>
      <c r="C1" s="46" t="s">
        <v>354</v>
      </c>
      <c r="D1" s="46" t="s">
        <v>33</v>
      </c>
      <c r="E1" s="46" t="s">
        <v>506</v>
      </c>
    </row>
    <row r="2" spans="1:6">
      <c r="A2" s="46">
        <f>材料预算价格表!M13/1000</f>
        <v>4.7450000000000001</v>
      </c>
      <c r="B2" s="46">
        <f>材料预算价格表!M14/1000</f>
        <v>3.51</v>
      </c>
      <c r="C2" s="46">
        <f>材料预算价格表!M6</f>
        <v>116.41515</v>
      </c>
      <c r="D2" s="65">
        <f>材料预算价格表!M7</f>
        <v>1494.7134599999999</v>
      </c>
      <c r="E2" s="65">
        <f>材料预算价格表!M8</f>
        <v>0</v>
      </c>
    </row>
    <row r="3" spans="1:6" ht="22.5" customHeight="1">
      <c r="A3" s="479" t="s">
        <v>813</v>
      </c>
      <c r="B3" s="479"/>
      <c r="C3" s="479"/>
      <c r="D3" s="479"/>
      <c r="E3" s="479"/>
      <c r="F3" s="479"/>
    </row>
    <row r="4" spans="1:6" ht="18.75" customHeight="1">
      <c r="A4" s="462" t="s">
        <v>1135</v>
      </c>
      <c r="B4" s="462"/>
      <c r="C4" s="462"/>
      <c r="D4" s="462"/>
      <c r="E4" s="462"/>
      <c r="F4" s="462"/>
    </row>
    <row r="5" spans="1:6" ht="18.75" customHeight="1">
      <c r="A5" s="47" t="s">
        <v>815</v>
      </c>
      <c r="B5" s="49">
        <v>1225</v>
      </c>
      <c r="D5" s="46"/>
      <c r="E5" s="47" t="s">
        <v>169</v>
      </c>
      <c r="F5" s="49" t="s">
        <v>869</v>
      </c>
    </row>
    <row r="6" spans="1:6" ht="18.75" customHeight="1">
      <c r="A6" s="50" t="s">
        <v>817</v>
      </c>
      <c r="B6" s="458"/>
      <c r="C6" s="459"/>
      <c r="D6" s="459"/>
      <c r="E6" s="459"/>
      <c r="F6" s="460"/>
    </row>
    <row r="7" spans="1:6" ht="18.75" customHeight="1">
      <c r="A7" s="7" t="s">
        <v>1</v>
      </c>
      <c r="B7" s="52" t="s">
        <v>344</v>
      </c>
      <c r="C7" s="7" t="s">
        <v>818</v>
      </c>
      <c r="D7" s="7" t="s">
        <v>819</v>
      </c>
      <c r="E7" s="7" t="s">
        <v>820</v>
      </c>
      <c r="F7" s="7" t="s">
        <v>821</v>
      </c>
    </row>
    <row r="8" spans="1:6" ht="18.75" customHeight="1">
      <c r="A8" s="7">
        <v>1</v>
      </c>
      <c r="B8" s="52" t="s">
        <v>822</v>
      </c>
      <c r="C8" s="7"/>
      <c r="D8" s="7"/>
      <c r="E8" s="7"/>
      <c r="F8" s="53">
        <f>F9+F19+F20</f>
        <v>392.16280704188989</v>
      </c>
    </row>
    <row r="9" spans="1:6" ht="18.75" customHeight="1">
      <c r="A9" s="7">
        <v>1.1000000000000001</v>
      </c>
      <c r="B9" s="52" t="s">
        <v>823</v>
      </c>
      <c r="C9" s="7"/>
      <c r="D9" s="7"/>
      <c r="E9" s="7"/>
      <c r="F9" s="53">
        <f>F10+F11+F17</f>
        <v>374.20115175752852</v>
      </c>
    </row>
    <row r="10" spans="1:6" ht="18.75" customHeight="1">
      <c r="A10" s="7" t="s">
        <v>47</v>
      </c>
      <c r="B10" s="52" t="s">
        <v>1136</v>
      </c>
      <c r="C10" s="7" t="s">
        <v>825</v>
      </c>
      <c r="D10" s="7">
        <v>5.77</v>
      </c>
      <c r="E10" s="7">
        <v>20</v>
      </c>
      <c r="F10" s="53">
        <f>D10*E10</f>
        <v>115.4</v>
      </c>
    </row>
    <row r="11" spans="1:6" ht="18.75" customHeight="1">
      <c r="A11" s="7" t="s">
        <v>57</v>
      </c>
      <c r="B11" s="52" t="s">
        <v>836</v>
      </c>
      <c r="C11" s="7"/>
      <c r="D11" s="7"/>
      <c r="E11" s="7"/>
      <c r="F11" s="53">
        <f>SUM(F12:F16)</f>
        <v>224.78286523411683</v>
      </c>
    </row>
    <row r="12" spans="1:6" ht="18.75" customHeight="1">
      <c r="A12" s="7"/>
      <c r="B12" s="52" t="s">
        <v>1137</v>
      </c>
      <c r="C12" s="7" t="s">
        <v>863</v>
      </c>
      <c r="D12" s="66">
        <f>施工机械台时汇总!$C$12</f>
        <v>68.224556600078401</v>
      </c>
      <c r="E12" s="7">
        <v>1.89</v>
      </c>
      <c r="F12" s="53">
        <f>D12*E12</f>
        <v>128.94441197414818</v>
      </c>
    </row>
    <row r="13" spans="1:6" ht="18.75" customHeight="1">
      <c r="A13" s="7"/>
      <c r="B13" s="52" t="s">
        <v>1138</v>
      </c>
      <c r="C13" s="7" t="s">
        <v>863</v>
      </c>
      <c r="D13" s="66">
        <f>施工机械台时汇总!$C$9</f>
        <v>89.065288679984292</v>
      </c>
      <c r="E13" s="7">
        <v>0.5</v>
      </c>
      <c r="F13" s="53">
        <f>D13*E13</f>
        <v>44.532644339992146</v>
      </c>
    </row>
    <row r="14" spans="1:6" ht="18.75" customHeight="1">
      <c r="A14" s="7"/>
      <c r="B14" s="52" t="s">
        <v>661</v>
      </c>
      <c r="C14" s="7" t="s">
        <v>863</v>
      </c>
      <c r="D14" s="66">
        <f>施工机械台时汇总!$C$16</f>
        <v>58.495000000000005</v>
      </c>
      <c r="E14" s="7">
        <v>0.5</v>
      </c>
      <c r="F14" s="53">
        <f>D14*E14</f>
        <v>29.247500000000002</v>
      </c>
    </row>
    <row r="15" spans="1:6" ht="18.75" customHeight="1">
      <c r="A15" s="7"/>
      <c r="B15" s="52" t="s">
        <v>1139</v>
      </c>
      <c r="C15" s="7" t="s">
        <v>863</v>
      </c>
      <c r="D15" s="66">
        <f>施工机械台时汇总!$C$15</f>
        <v>19.832735996866429</v>
      </c>
      <c r="E15" s="7">
        <v>1</v>
      </c>
      <c r="F15" s="53">
        <f>D15*E15</f>
        <v>19.832735996866429</v>
      </c>
    </row>
    <row r="16" spans="1:6" ht="18.75" customHeight="1">
      <c r="A16" s="7"/>
      <c r="B16" s="52" t="s">
        <v>840</v>
      </c>
      <c r="C16" s="7" t="s">
        <v>834</v>
      </c>
      <c r="D16" s="66">
        <f>SUM(F12:F15)</f>
        <v>222.55729231100676</v>
      </c>
      <c r="E16" s="7">
        <v>1</v>
      </c>
      <c r="F16" s="53">
        <f>D16*E16/100</f>
        <v>2.2255729231100676</v>
      </c>
    </row>
    <row r="17" spans="1:6" ht="18.75" customHeight="1">
      <c r="A17" s="7" t="s">
        <v>835</v>
      </c>
      <c r="B17" s="52" t="s">
        <v>864</v>
      </c>
      <c r="C17" s="7" t="s">
        <v>834</v>
      </c>
      <c r="D17" s="66">
        <f>F10+F11</f>
        <v>340.18286523411683</v>
      </c>
      <c r="E17" s="7">
        <v>10</v>
      </c>
      <c r="F17" s="53">
        <f>D17*E17/100</f>
        <v>34.018286523411682</v>
      </c>
    </row>
    <row r="18" spans="1:6" ht="18.75" customHeight="1">
      <c r="A18" s="7"/>
      <c r="B18" s="52"/>
      <c r="C18" s="7"/>
      <c r="D18" s="7"/>
      <c r="E18" s="7"/>
      <c r="F18" s="53"/>
    </row>
    <row r="19" spans="1:6" ht="18.75" customHeight="1">
      <c r="A19" s="7">
        <v>1.2</v>
      </c>
      <c r="B19" s="52" t="s">
        <v>841</v>
      </c>
      <c r="C19" s="7"/>
      <c r="D19" s="53">
        <f>F9</f>
        <v>374.20115175752852</v>
      </c>
      <c r="E19" s="56">
        <f>取费!C6</f>
        <v>4.8000000000000001E-2</v>
      </c>
      <c r="F19" s="53">
        <f>D19*E19</f>
        <v>17.96165528436137</v>
      </c>
    </row>
    <row r="20" spans="1:6" ht="18.75" customHeight="1">
      <c r="A20" s="7">
        <v>1.3</v>
      </c>
      <c r="B20" s="52" t="s">
        <v>842</v>
      </c>
      <c r="C20" s="7"/>
      <c r="D20" s="53">
        <f>F9</f>
        <v>374.20115175752852</v>
      </c>
      <c r="E20" s="56">
        <f>取费!D6</f>
        <v>0</v>
      </c>
      <c r="F20" s="53">
        <f>D20*E20</f>
        <v>0</v>
      </c>
    </row>
    <row r="21" spans="1:6" ht="18.75" customHeight="1">
      <c r="A21" s="7">
        <v>2</v>
      </c>
      <c r="B21" s="52" t="s">
        <v>182</v>
      </c>
      <c r="C21" s="7"/>
      <c r="D21" s="53">
        <f>F8</f>
        <v>392.16280704188989</v>
      </c>
      <c r="E21" s="56">
        <f>取费!E6</f>
        <v>0.04</v>
      </c>
      <c r="F21" s="53">
        <f>D21*E21</f>
        <v>15.686512281675595</v>
      </c>
    </row>
    <row r="22" spans="1:6" ht="18.75" customHeight="1">
      <c r="A22" s="7">
        <v>3</v>
      </c>
      <c r="B22" s="52" t="s">
        <v>843</v>
      </c>
      <c r="C22" s="7"/>
      <c r="D22" s="53">
        <f>F8+F21</f>
        <v>407.84931932356551</v>
      </c>
      <c r="E22" s="56">
        <f>取费!F6</f>
        <v>7.0000000000000007E-2</v>
      </c>
      <c r="F22" s="53">
        <f>D22*E22</f>
        <v>28.549452352649588</v>
      </c>
    </row>
    <row r="23" spans="1:6" ht="18.75" customHeight="1">
      <c r="A23" s="7">
        <v>4</v>
      </c>
      <c r="B23" s="52" t="s">
        <v>184</v>
      </c>
      <c r="C23" s="7"/>
      <c r="D23" s="7"/>
      <c r="E23" s="7"/>
      <c r="F23" s="53">
        <f>F24</f>
        <v>95.686109999999985</v>
      </c>
    </row>
    <row r="24" spans="1:6" ht="18.75" customHeight="1">
      <c r="A24" s="7"/>
      <c r="B24" s="52" t="s">
        <v>516</v>
      </c>
      <c r="C24" s="7" t="s">
        <v>844</v>
      </c>
      <c r="D24" s="7">
        <f>B2</f>
        <v>3.51</v>
      </c>
      <c r="E24" s="66">
        <f>E12*台时!L22+土石方!E13*台时!I22+土石方!E14*台时!Q22</f>
        <v>27.260999999999999</v>
      </c>
      <c r="F24" s="53">
        <f>D24*E24</f>
        <v>95.686109999999985</v>
      </c>
    </row>
    <row r="25" spans="1:6" ht="18.75" customHeight="1">
      <c r="A25" s="7">
        <v>5</v>
      </c>
      <c r="B25" s="52" t="s">
        <v>845</v>
      </c>
      <c r="C25" s="7"/>
      <c r="D25" s="53">
        <f>F8+F21+F22+F23</f>
        <v>532.0848816762151</v>
      </c>
      <c r="E25" s="56">
        <f>取费!G6</f>
        <v>0.09</v>
      </c>
      <c r="F25" s="53">
        <f>D25*E25</f>
        <v>47.887639350859359</v>
      </c>
    </row>
    <row r="26" spans="1:6" ht="18.75" customHeight="1">
      <c r="A26" s="7">
        <v>6</v>
      </c>
      <c r="B26" s="52" t="s">
        <v>7</v>
      </c>
      <c r="C26" s="7"/>
      <c r="D26" s="7"/>
      <c r="E26" s="7"/>
      <c r="F26" s="53">
        <f>F8+F21+F22+F23+F25</f>
        <v>579.97252102707444</v>
      </c>
    </row>
    <row r="27" spans="1:6" ht="18.75" customHeight="1">
      <c r="A27" s="7"/>
      <c r="B27" s="52" t="s">
        <v>846</v>
      </c>
      <c r="C27" s="7"/>
      <c r="D27" s="53">
        <f>F26</f>
        <v>579.97252102707444</v>
      </c>
      <c r="E27" s="56">
        <f>取费!H6</f>
        <v>0.03</v>
      </c>
      <c r="F27" s="53">
        <f>E27*D27</f>
        <v>17.399175630812234</v>
      </c>
    </row>
    <row r="28" spans="1:6" ht="18.75" customHeight="1">
      <c r="A28" s="7"/>
      <c r="B28" s="52" t="s">
        <v>44</v>
      </c>
      <c r="C28" s="7"/>
      <c r="D28" s="7"/>
      <c r="E28" s="7"/>
      <c r="F28" s="53">
        <f>SUM(F26:F27)</f>
        <v>597.37169665788667</v>
      </c>
    </row>
    <row r="29" spans="1:6" ht="22.5" customHeight="1">
      <c r="A29" s="479" t="s">
        <v>813</v>
      </c>
      <c r="B29" s="479"/>
      <c r="C29" s="479"/>
      <c r="D29" s="479"/>
      <c r="E29" s="479"/>
      <c r="F29" s="479"/>
    </row>
    <row r="30" spans="1:6" ht="18.75" customHeight="1">
      <c r="A30" s="462" t="s">
        <v>1140</v>
      </c>
      <c r="B30" s="462"/>
      <c r="C30" s="462"/>
      <c r="D30" s="462"/>
      <c r="E30" s="462"/>
      <c r="F30" s="462"/>
    </row>
    <row r="31" spans="1:6" ht="18.75" customHeight="1">
      <c r="A31" s="47" t="s">
        <v>815</v>
      </c>
      <c r="B31" s="49">
        <v>1228</v>
      </c>
      <c r="D31" s="46"/>
      <c r="E31" s="47" t="s">
        <v>169</v>
      </c>
      <c r="F31" s="49" t="s">
        <v>869</v>
      </c>
    </row>
    <row r="32" spans="1:6" ht="18.75" customHeight="1">
      <c r="A32" s="50" t="s">
        <v>817</v>
      </c>
      <c r="B32" s="458"/>
      <c r="C32" s="459"/>
      <c r="D32" s="459"/>
      <c r="E32" s="459"/>
      <c r="F32" s="460"/>
    </row>
    <row r="33" spans="1:6" ht="18.75" customHeight="1">
      <c r="A33" s="7" t="s">
        <v>1</v>
      </c>
      <c r="B33" s="52" t="s">
        <v>344</v>
      </c>
      <c r="C33" s="7" t="s">
        <v>818</v>
      </c>
      <c r="D33" s="7" t="s">
        <v>819</v>
      </c>
      <c r="E33" s="7" t="s">
        <v>820</v>
      </c>
      <c r="F33" s="7" t="s">
        <v>821</v>
      </c>
    </row>
    <row r="34" spans="1:6" ht="18.75" customHeight="1">
      <c r="A34" s="7">
        <v>1</v>
      </c>
      <c r="B34" s="52" t="s">
        <v>822</v>
      </c>
      <c r="C34" s="7"/>
      <c r="D34" s="7"/>
      <c r="E34" s="7"/>
      <c r="F34" s="53">
        <f>F35+F45+F46</f>
        <v>633.75928967025561</v>
      </c>
    </row>
    <row r="35" spans="1:6" ht="18.75" customHeight="1">
      <c r="A35" s="7">
        <v>1.1000000000000001</v>
      </c>
      <c r="B35" s="52" t="s">
        <v>823</v>
      </c>
      <c r="C35" s="7"/>
      <c r="D35" s="7"/>
      <c r="E35" s="7"/>
      <c r="F35" s="53">
        <f>F36+F37+F43</f>
        <v>604.73214663192334</v>
      </c>
    </row>
    <row r="36" spans="1:6" ht="18.75" customHeight="1">
      <c r="A36" s="7" t="s">
        <v>47</v>
      </c>
      <c r="B36" s="52" t="s">
        <v>1136</v>
      </c>
      <c r="C36" s="7" t="s">
        <v>825</v>
      </c>
      <c r="D36" s="7">
        <v>5.77</v>
      </c>
      <c r="E36" s="7">
        <v>35.9</v>
      </c>
      <c r="F36" s="53">
        <f>D36*E36</f>
        <v>207.143</v>
      </c>
    </row>
    <row r="37" spans="1:6" ht="18.75" customHeight="1">
      <c r="A37" s="7" t="s">
        <v>57</v>
      </c>
      <c r="B37" s="52" t="s">
        <v>836</v>
      </c>
      <c r="C37" s="7"/>
      <c r="D37" s="7"/>
      <c r="E37" s="7"/>
      <c r="F37" s="53">
        <f>SUM(F38:F42)</f>
        <v>342.61349693811218</v>
      </c>
    </row>
    <row r="38" spans="1:6" ht="18.75" customHeight="1">
      <c r="A38" s="7"/>
      <c r="B38" s="52" t="s">
        <v>1137</v>
      </c>
      <c r="C38" s="7" t="s">
        <v>863</v>
      </c>
      <c r="D38" s="66">
        <f>施工机械台时汇总!$C$12</f>
        <v>68.224556600078401</v>
      </c>
      <c r="E38" s="7">
        <v>3.6</v>
      </c>
      <c r="F38" s="53">
        <f>D38*E38</f>
        <v>245.60840376028224</v>
      </c>
    </row>
    <row r="39" spans="1:6" ht="18.75" customHeight="1">
      <c r="A39" s="7"/>
      <c r="B39" s="52" t="s">
        <v>1138</v>
      </c>
      <c r="C39" s="7" t="s">
        <v>863</v>
      </c>
      <c r="D39" s="66">
        <f>施工机械台时汇总!$C$9</f>
        <v>89.065288679984292</v>
      </c>
      <c r="E39" s="7">
        <v>0.5</v>
      </c>
      <c r="F39" s="53">
        <f>D39*E39</f>
        <v>44.532644339992146</v>
      </c>
    </row>
    <row r="40" spans="1:6" ht="18.75" customHeight="1">
      <c r="A40" s="7"/>
      <c r="B40" s="52" t="s">
        <v>661</v>
      </c>
      <c r="C40" s="7" t="s">
        <v>863</v>
      </c>
      <c r="D40" s="66">
        <f>施工机械台时汇总!$C$16</f>
        <v>58.495000000000005</v>
      </c>
      <c r="E40" s="7">
        <v>0.5</v>
      </c>
      <c r="F40" s="53">
        <f>D40*E40</f>
        <v>29.247500000000002</v>
      </c>
    </row>
    <row r="41" spans="1:6" ht="18.75" customHeight="1">
      <c r="A41" s="7"/>
      <c r="B41" s="52" t="s">
        <v>1139</v>
      </c>
      <c r="C41" s="7" t="s">
        <v>863</v>
      </c>
      <c r="D41" s="66">
        <f>施工机械台时汇总!$C$15</f>
        <v>19.832735996866429</v>
      </c>
      <c r="E41" s="7">
        <v>1</v>
      </c>
      <c r="F41" s="53">
        <f>D41*E41</f>
        <v>19.832735996866429</v>
      </c>
    </row>
    <row r="42" spans="1:6" ht="18.75" customHeight="1">
      <c r="A42" s="7"/>
      <c r="B42" s="52" t="s">
        <v>840</v>
      </c>
      <c r="C42" s="7" t="s">
        <v>834</v>
      </c>
      <c r="D42" s="66">
        <f>SUM(F38:F41)</f>
        <v>339.22128409714077</v>
      </c>
      <c r="E42" s="7">
        <v>1</v>
      </c>
      <c r="F42" s="53">
        <f>D42*E42/100</f>
        <v>3.3922128409714079</v>
      </c>
    </row>
    <row r="43" spans="1:6" ht="18.75" customHeight="1">
      <c r="A43" s="7" t="s">
        <v>835</v>
      </c>
      <c r="B43" s="52" t="s">
        <v>864</v>
      </c>
      <c r="C43" s="7" t="s">
        <v>834</v>
      </c>
      <c r="D43" s="66">
        <f>F36+F37</f>
        <v>549.75649693811215</v>
      </c>
      <c r="E43" s="7">
        <v>10</v>
      </c>
      <c r="F43" s="53">
        <f>D43*E43/100</f>
        <v>54.975649693811214</v>
      </c>
    </row>
    <row r="44" spans="1:6" ht="18.75" customHeight="1">
      <c r="A44" s="7"/>
      <c r="B44" s="52"/>
      <c r="C44" s="7"/>
      <c r="D44" s="7"/>
      <c r="E44" s="7"/>
      <c r="F44" s="53"/>
    </row>
    <row r="45" spans="1:6" ht="18.75" customHeight="1">
      <c r="A45" s="7">
        <v>1.2</v>
      </c>
      <c r="B45" s="52" t="s">
        <v>841</v>
      </c>
      <c r="C45" s="7"/>
      <c r="D45" s="53">
        <f>F35</f>
        <v>604.73214663192334</v>
      </c>
      <c r="E45" s="56">
        <f>E19</f>
        <v>4.8000000000000001E-2</v>
      </c>
      <c r="F45" s="53">
        <f>D45*E45</f>
        <v>29.027143038332323</v>
      </c>
    </row>
    <row r="46" spans="1:6" ht="18.75" customHeight="1">
      <c r="A46" s="7">
        <v>1.3</v>
      </c>
      <c r="B46" s="52" t="s">
        <v>842</v>
      </c>
      <c r="C46" s="7"/>
      <c r="D46" s="53">
        <f>F35</f>
        <v>604.73214663192334</v>
      </c>
      <c r="E46" s="56">
        <f>E20</f>
        <v>0</v>
      </c>
      <c r="F46" s="53">
        <f>D46*E46</f>
        <v>0</v>
      </c>
    </row>
    <row r="47" spans="1:6" ht="18.75" customHeight="1">
      <c r="A47" s="7">
        <v>2</v>
      </c>
      <c r="B47" s="52" t="s">
        <v>182</v>
      </c>
      <c r="C47" s="7"/>
      <c r="D47" s="53">
        <f>F34</f>
        <v>633.75928967025561</v>
      </c>
      <c r="E47" s="56">
        <f>E21</f>
        <v>0.04</v>
      </c>
      <c r="F47" s="53">
        <f>D47*E47</f>
        <v>25.350371586810226</v>
      </c>
    </row>
    <row r="48" spans="1:6" ht="18.75" customHeight="1">
      <c r="A48" s="7">
        <v>3</v>
      </c>
      <c r="B48" s="52" t="s">
        <v>843</v>
      </c>
      <c r="C48" s="7"/>
      <c r="D48" s="53">
        <f>F34+F47</f>
        <v>659.1096612570658</v>
      </c>
      <c r="E48" s="56">
        <f>E22</f>
        <v>7.0000000000000007E-2</v>
      </c>
      <c r="F48" s="53">
        <f>D48*E48</f>
        <v>46.137676287994609</v>
      </c>
    </row>
    <row r="49" spans="1:9" ht="18.75" customHeight="1">
      <c r="A49" s="7">
        <v>4</v>
      </c>
      <c r="B49" s="52" t="s">
        <v>184</v>
      </c>
      <c r="C49" s="7"/>
      <c r="D49" s="7"/>
      <c r="E49" s="7"/>
      <c r="F49" s="53">
        <f>F50</f>
        <v>155.1069</v>
      </c>
    </row>
    <row r="50" spans="1:9" ht="18.75" customHeight="1">
      <c r="A50" s="7"/>
      <c r="B50" s="52" t="s">
        <v>516</v>
      </c>
      <c r="C50" s="7" t="s">
        <v>844</v>
      </c>
      <c r="D50" s="7">
        <f>B2</f>
        <v>3.51</v>
      </c>
      <c r="E50" s="66">
        <f>E38*台时!L22+土石方!E39*台时!I22+土石方!E40*台时!Q22</f>
        <v>44.19</v>
      </c>
      <c r="F50" s="53">
        <f>D50*E50</f>
        <v>155.1069</v>
      </c>
    </row>
    <row r="51" spans="1:9" ht="18.75" customHeight="1">
      <c r="A51" s="7">
        <v>5</v>
      </c>
      <c r="B51" s="52" t="s">
        <v>845</v>
      </c>
      <c r="C51" s="7"/>
      <c r="D51" s="53">
        <f>F34+F47+F48+F49</f>
        <v>860.35423754506041</v>
      </c>
      <c r="E51" s="56">
        <f>E25</f>
        <v>0.09</v>
      </c>
      <c r="F51" s="53">
        <f>D51*E51</f>
        <v>77.43188137905544</v>
      </c>
    </row>
    <row r="52" spans="1:9" ht="18.75" customHeight="1">
      <c r="A52" s="7">
        <v>6</v>
      </c>
      <c r="B52" s="52" t="s">
        <v>7</v>
      </c>
      <c r="C52" s="7"/>
      <c r="D52" s="7"/>
      <c r="E52" s="7"/>
      <c r="F52" s="53">
        <f>F34+F47+F48+F49+F51</f>
        <v>937.78611892411584</v>
      </c>
    </row>
    <row r="53" spans="1:9" ht="18.75" customHeight="1">
      <c r="A53" s="7"/>
      <c r="B53" s="52" t="s">
        <v>846</v>
      </c>
      <c r="C53" s="7"/>
      <c r="D53" s="53">
        <f>F52</f>
        <v>937.78611892411584</v>
      </c>
      <c r="E53" s="56">
        <f>E27</f>
        <v>0.03</v>
      </c>
      <c r="F53" s="53">
        <f>E53*D53</f>
        <v>28.133583567723473</v>
      </c>
    </row>
    <row r="54" spans="1:9" ht="18.75" customHeight="1">
      <c r="A54" s="7"/>
      <c r="B54" s="52" t="s">
        <v>44</v>
      </c>
      <c r="C54" s="7"/>
      <c r="D54" s="7"/>
      <c r="E54" s="7"/>
      <c r="F54" s="53">
        <f>SUM(F52:F53)</f>
        <v>965.9197024918393</v>
      </c>
    </row>
    <row r="55" spans="1:9" ht="22.5" customHeight="1">
      <c r="A55" s="461" t="s">
        <v>928</v>
      </c>
      <c r="B55" s="461"/>
      <c r="C55" s="461"/>
      <c r="D55" s="461"/>
      <c r="E55" s="461"/>
      <c r="F55" s="461"/>
    </row>
    <row r="56" spans="1:9" ht="18.75" customHeight="1">
      <c r="A56" s="462" t="s">
        <v>1141</v>
      </c>
      <c r="B56" s="462"/>
      <c r="C56" s="462"/>
      <c r="D56" s="462"/>
      <c r="E56" s="462"/>
      <c r="F56" s="462"/>
    </row>
    <row r="57" spans="1:9" ht="18.75" customHeight="1">
      <c r="A57" s="47" t="s">
        <v>815</v>
      </c>
      <c r="B57" s="49">
        <v>1156</v>
      </c>
      <c r="D57" s="46"/>
      <c r="E57" s="47" t="s">
        <v>169</v>
      </c>
      <c r="F57" s="49" t="s">
        <v>869</v>
      </c>
    </row>
    <row r="58" spans="1:9" ht="18.75" customHeight="1">
      <c r="A58" s="50" t="s">
        <v>817</v>
      </c>
      <c r="B58" s="484" t="s">
        <v>1142</v>
      </c>
      <c r="C58" s="485"/>
      <c r="D58" s="485"/>
      <c r="E58" s="485"/>
      <c r="F58" s="486"/>
    </row>
    <row r="59" spans="1:9" ht="18.75" customHeight="1">
      <c r="A59" s="7" t="s">
        <v>1</v>
      </c>
      <c r="B59" s="52" t="s">
        <v>344</v>
      </c>
      <c r="C59" s="7" t="s">
        <v>818</v>
      </c>
      <c r="D59" s="7" t="s">
        <v>819</v>
      </c>
      <c r="E59" s="7" t="s">
        <v>820</v>
      </c>
      <c r="F59" s="7" t="s">
        <v>821</v>
      </c>
    </row>
    <row r="60" spans="1:9" ht="18.75" customHeight="1">
      <c r="A60" s="7">
        <v>1</v>
      </c>
      <c r="B60" s="52" t="s">
        <v>822</v>
      </c>
      <c r="C60" s="7"/>
      <c r="D60" s="7"/>
      <c r="E60" s="7"/>
      <c r="F60" s="53">
        <f>F61+F69+F70</f>
        <v>477.21341812981512</v>
      </c>
    </row>
    <row r="61" spans="1:9" ht="18.75" customHeight="1">
      <c r="A61" s="7">
        <v>1.1000000000000001</v>
      </c>
      <c r="B61" s="52" t="s">
        <v>823</v>
      </c>
      <c r="C61" s="7"/>
      <c r="D61" s="7"/>
      <c r="E61" s="7"/>
      <c r="F61" s="53">
        <f>F62+F63+F67</f>
        <v>455.35631500936557</v>
      </c>
    </row>
    <row r="62" spans="1:9" ht="18.75" customHeight="1">
      <c r="A62" s="7" t="s">
        <v>47</v>
      </c>
      <c r="B62" s="52" t="s">
        <v>1143</v>
      </c>
      <c r="C62" s="7" t="s">
        <v>825</v>
      </c>
      <c r="D62" s="7">
        <v>5.77</v>
      </c>
      <c r="E62" s="7">
        <f>5.2*0.91</f>
        <v>4.7320000000000002</v>
      </c>
      <c r="F62" s="53">
        <f>D62*E62</f>
        <v>27.303640000000001</v>
      </c>
      <c r="I62" s="67"/>
    </row>
    <row r="63" spans="1:9" ht="18.75" customHeight="1">
      <c r="A63" s="7" t="s">
        <v>57</v>
      </c>
      <c r="B63" s="52" t="s">
        <v>836</v>
      </c>
      <c r="C63" s="7"/>
      <c r="D63" s="7"/>
      <c r="E63" s="7"/>
      <c r="F63" s="53">
        <f>F64+F65+F66</f>
        <v>406.36904096130058</v>
      </c>
    </row>
    <row r="64" spans="1:9" ht="18.75" customHeight="1">
      <c r="A64" s="7"/>
      <c r="B64" s="52" t="s">
        <v>1144</v>
      </c>
      <c r="C64" s="7" t="s">
        <v>863</v>
      </c>
      <c r="D64" s="66">
        <f>施工机械台时汇总!$C$6</f>
        <v>116.55532824128471</v>
      </c>
      <c r="E64" s="66">
        <f>1.04*0.91</f>
        <v>0.94640000000000002</v>
      </c>
      <c r="F64" s="53">
        <f>D64*E64</f>
        <v>110.30796264755186</v>
      </c>
    </row>
    <row r="65" spans="1:6" ht="18.75" customHeight="1">
      <c r="A65" s="7"/>
      <c r="B65" s="52" t="s">
        <v>1145</v>
      </c>
      <c r="C65" s="7" t="s">
        <v>863</v>
      </c>
      <c r="D65" s="66">
        <f>施工机械台时汇总!$C$8</f>
        <v>66.167034077555797</v>
      </c>
      <c r="E65" s="66">
        <f>0.52*0.91</f>
        <v>0.47320000000000001</v>
      </c>
      <c r="F65" s="53">
        <f>D65*E65</f>
        <v>31.310240525499403</v>
      </c>
    </row>
    <row r="66" spans="1:6" ht="18.75" customHeight="1">
      <c r="A66" s="7"/>
      <c r="B66" s="52" t="s">
        <v>1146</v>
      </c>
      <c r="C66" s="7" t="s">
        <v>863</v>
      </c>
      <c r="D66" s="66">
        <f>施工机械台时汇总!$C$47</f>
        <v>85.821529964747413</v>
      </c>
      <c r="E66" s="66">
        <f>3.39*0.91</f>
        <v>3.0849000000000002</v>
      </c>
      <c r="F66" s="53">
        <f>D66*E66</f>
        <v>264.75083778824933</v>
      </c>
    </row>
    <row r="67" spans="1:6" ht="18.75" customHeight="1">
      <c r="A67" s="7" t="s">
        <v>835</v>
      </c>
      <c r="B67" s="52" t="s">
        <v>864</v>
      </c>
      <c r="C67" s="7" t="s">
        <v>834</v>
      </c>
      <c r="D67" s="66">
        <f>F62+F63</f>
        <v>433.67268096130056</v>
      </c>
      <c r="E67" s="7">
        <v>5</v>
      </c>
      <c r="F67" s="53">
        <f>D67*E67/100</f>
        <v>21.683634048065027</v>
      </c>
    </row>
    <row r="68" spans="1:6" ht="18.75" customHeight="1">
      <c r="A68" s="7"/>
      <c r="B68" s="52"/>
      <c r="C68" s="7"/>
      <c r="D68" s="7"/>
      <c r="E68" s="7"/>
      <c r="F68" s="53"/>
    </row>
    <row r="69" spans="1:6" ht="18.75" customHeight="1">
      <c r="A69" s="7">
        <v>1.2</v>
      </c>
      <c r="B69" s="52" t="s">
        <v>841</v>
      </c>
      <c r="C69" s="7"/>
      <c r="D69" s="53">
        <f>F61</f>
        <v>455.35631500936557</v>
      </c>
      <c r="E69" s="56">
        <f>E45</f>
        <v>4.8000000000000001E-2</v>
      </c>
      <c r="F69" s="53">
        <f>D69*E69</f>
        <v>21.857103120449548</v>
      </c>
    </row>
    <row r="70" spans="1:6" ht="18.75" customHeight="1">
      <c r="A70" s="7">
        <v>1.3</v>
      </c>
      <c r="B70" s="52" t="s">
        <v>842</v>
      </c>
      <c r="C70" s="7"/>
      <c r="D70" s="53">
        <f>F61</f>
        <v>455.35631500936557</v>
      </c>
      <c r="E70" s="56">
        <f>E46</f>
        <v>0</v>
      </c>
      <c r="F70" s="53">
        <f>D70*E70</f>
        <v>0</v>
      </c>
    </row>
    <row r="71" spans="1:6" ht="18.75" customHeight="1">
      <c r="A71" s="7">
        <v>2</v>
      </c>
      <c r="B71" s="52" t="s">
        <v>182</v>
      </c>
      <c r="C71" s="7"/>
      <c r="D71" s="53">
        <f>F60</f>
        <v>477.21341812981512</v>
      </c>
      <c r="E71" s="56">
        <f>E47</f>
        <v>0.04</v>
      </c>
      <c r="F71" s="53">
        <f>D71*E71</f>
        <v>19.088536725192604</v>
      </c>
    </row>
    <row r="72" spans="1:6" ht="18.75" customHeight="1">
      <c r="A72" s="7">
        <v>3</v>
      </c>
      <c r="B72" s="52" t="s">
        <v>843</v>
      </c>
      <c r="C72" s="7"/>
      <c r="D72" s="53">
        <f>F60+F71</f>
        <v>496.30195485500775</v>
      </c>
      <c r="E72" s="56">
        <f>E48</f>
        <v>7.0000000000000007E-2</v>
      </c>
      <c r="F72" s="53">
        <f>D72*E72</f>
        <v>34.741136839850547</v>
      </c>
    </row>
    <row r="73" spans="1:6" ht="18.75" customHeight="1">
      <c r="A73" s="7">
        <v>4</v>
      </c>
      <c r="B73" s="52" t="s">
        <v>184</v>
      </c>
      <c r="C73" s="7"/>
      <c r="D73" s="7"/>
      <c r="E73" s="7"/>
      <c r="F73" s="53">
        <f>F74</f>
        <v>180.38999160000003</v>
      </c>
    </row>
    <row r="74" spans="1:6" ht="18.75" customHeight="1">
      <c r="A74" s="7"/>
      <c r="B74" s="52" t="s">
        <v>516</v>
      </c>
      <c r="C74" s="7" t="s">
        <v>844</v>
      </c>
      <c r="D74" s="7">
        <f>B2</f>
        <v>3.51</v>
      </c>
      <c r="E74" s="66">
        <f>E64*台时!F22+土石方!E65*台时!H22+土石方!E66*台时!AP22</f>
        <v>51.393160000000009</v>
      </c>
      <c r="F74" s="53">
        <f>D74*E74</f>
        <v>180.38999160000003</v>
      </c>
    </row>
    <row r="75" spans="1:6" ht="18.75" customHeight="1">
      <c r="A75" s="7">
        <v>5</v>
      </c>
      <c r="B75" s="52" t="s">
        <v>845</v>
      </c>
      <c r="C75" s="7"/>
      <c r="D75" s="53">
        <f>F60+F71+F72+F73</f>
        <v>711.43308329485831</v>
      </c>
      <c r="E75" s="56">
        <f>E51</f>
        <v>0.09</v>
      </c>
      <c r="F75" s="53">
        <f>D75*E75</f>
        <v>64.028977496537252</v>
      </c>
    </row>
    <row r="76" spans="1:6" ht="18.75" customHeight="1">
      <c r="A76" s="7">
        <v>6</v>
      </c>
      <c r="B76" s="52" t="s">
        <v>7</v>
      </c>
      <c r="C76" s="7"/>
      <c r="D76" s="7"/>
      <c r="E76" s="7"/>
      <c r="F76" s="53">
        <f>F60+F71+F72+F73+F75</f>
        <v>775.46206079139552</v>
      </c>
    </row>
    <row r="77" spans="1:6" ht="18.75" customHeight="1">
      <c r="A77" s="7"/>
      <c r="B77" s="52" t="s">
        <v>846</v>
      </c>
      <c r="C77" s="7"/>
      <c r="D77" s="53">
        <f>F76</f>
        <v>775.46206079139552</v>
      </c>
      <c r="E77" s="56">
        <f>E53</f>
        <v>0.03</v>
      </c>
      <c r="F77" s="53">
        <f>E77*D77</f>
        <v>23.263861823741866</v>
      </c>
    </row>
    <row r="78" spans="1:6" ht="18.75" customHeight="1">
      <c r="A78" s="7"/>
      <c r="B78" s="52" t="s">
        <v>44</v>
      </c>
      <c r="C78" s="7"/>
      <c r="D78" s="7"/>
      <c r="E78" s="7"/>
      <c r="F78" s="53">
        <f>SUM(F76:F77)</f>
        <v>798.72592261513739</v>
      </c>
    </row>
    <row r="79" spans="1:6" ht="22.5" customHeight="1">
      <c r="A79" s="461" t="s">
        <v>928</v>
      </c>
      <c r="B79" s="461"/>
      <c r="C79" s="461"/>
      <c r="D79" s="461"/>
      <c r="E79" s="461"/>
      <c r="F79" s="461"/>
    </row>
    <row r="80" spans="1:6" ht="18.75" customHeight="1">
      <c r="A80" s="462" t="s">
        <v>1147</v>
      </c>
      <c r="B80" s="462"/>
      <c r="C80" s="462"/>
      <c r="D80" s="462"/>
      <c r="E80" s="462"/>
      <c r="F80" s="462"/>
    </row>
    <row r="81" spans="1:9" ht="18.75" customHeight="1">
      <c r="A81" s="47" t="s">
        <v>815</v>
      </c>
      <c r="B81" s="49">
        <v>1156</v>
      </c>
      <c r="D81" s="46"/>
      <c r="E81" s="47" t="s">
        <v>169</v>
      </c>
      <c r="F81" s="49" t="s">
        <v>869</v>
      </c>
    </row>
    <row r="82" spans="1:9" ht="18.75" customHeight="1">
      <c r="A82" s="50" t="s">
        <v>817</v>
      </c>
      <c r="B82" s="484" t="s">
        <v>1148</v>
      </c>
      <c r="C82" s="485"/>
      <c r="D82" s="485"/>
      <c r="E82" s="485"/>
      <c r="F82" s="486"/>
    </row>
    <row r="83" spans="1:9" ht="18.75" customHeight="1">
      <c r="A83" s="7" t="s">
        <v>1</v>
      </c>
      <c r="B83" s="52" t="s">
        <v>344</v>
      </c>
      <c r="C83" s="7" t="s">
        <v>818</v>
      </c>
      <c r="D83" s="7" t="s">
        <v>819</v>
      </c>
      <c r="E83" s="7" t="s">
        <v>820</v>
      </c>
      <c r="F83" s="7" t="s">
        <v>821</v>
      </c>
    </row>
    <row r="84" spans="1:9" ht="18.75" customHeight="1">
      <c r="A84" s="7">
        <v>1</v>
      </c>
      <c r="B84" s="52" t="s">
        <v>822</v>
      </c>
      <c r="C84" s="7"/>
      <c r="D84" s="7"/>
      <c r="E84" s="7"/>
      <c r="F84" s="53">
        <f>F85+F93+F94</f>
        <v>524.41034959320348</v>
      </c>
    </row>
    <row r="85" spans="1:9" ht="18.75" customHeight="1">
      <c r="A85" s="7">
        <v>1.1000000000000001</v>
      </c>
      <c r="B85" s="52" t="s">
        <v>823</v>
      </c>
      <c r="C85" s="7"/>
      <c r="D85" s="7"/>
      <c r="E85" s="7"/>
      <c r="F85" s="53">
        <f>F86+F87+F91</f>
        <v>500.39155495534681</v>
      </c>
    </row>
    <row r="86" spans="1:9" ht="18.75" customHeight="1">
      <c r="A86" s="7" t="s">
        <v>47</v>
      </c>
      <c r="B86" s="52" t="s">
        <v>1143</v>
      </c>
      <c r="C86" s="7" t="s">
        <v>825</v>
      </c>
      <c r="D86" s="7">
        <v>5.77</v>
      </c>
      <c r="E86" s="7">
        <f>5.2</f>
        <v>5.2</v>
      </c>
      <c r="F86" s="53">
        <f>D86*E86</f>
        <v>30.004000000000001</v>
      </c>
      <c r="I86" s="67"/>
    </row>
    <row r="87" spans="1:9" ht="18.75" customHeight="1">
      <c r="A87" s="7" t="s">
        <v>57</v>
      </c>
      <c r="B87" s="52" t="s">
        <v>836</v>
      </c>
      <c r="C87" s="7"/>
      <c r="D87" s="7"/>
      <c r="E87" s="7"/>
      <c r="F87" s="53">
        <f>F88+F89+F90</f>
        <v>446.55938567175883</v>
      </c>
    </row>
    <row r="88" spans="1:9" ht="18.75" customHeight="1">
      <c r="A88" s="7"/>
      <c r="B88" s="52" t="s">
        <v>1144</v>
      </c>
      <c r="C88" s="7" t="s">
        <v>863</v>
      </c>
      <c r="D88" s="66">
        <f>施工机械台时汇总!$C$6</f>
        <v>116.55532824128471</v>
      </c>
      <c r="E88" s="66">
        <f>1.04</f>
        <v>1.04</v>
      </c>
      <c r="F88" s="53">
        <f>D88*E88</f>
        <v>121.2175413709361</v>
      </c>
    </row>
    <row r="89" spans="1:9" ht="18.75" customHeight="1">
      <c r="A89" s="7"/>
      <c r="B89" s="52" t="s">
        <v>1145</v>
      </c>
      <c r="C89" s="7" t="s">
        <v>863</v>
      </c>
      <c r="D89" s="66">
        <f>施工机械台时汇总!$C$8</f>
        <v>66.167034077555797</v>
      </c>
      <c r="E89" s="66">
        <f>0.52</f>
        <v>0.52</v>
      </c>
      <c r="F89" s="53">
        <f>D89*E89</f>
        <v>34.406857720329015</v>
      </c>
    </row>
    <row r="90" spans="1:9" ht="18.75" customHeight="1">
      <c r="A90" s="7"/>
      <c r="B90" s="52" t="s">
        <v>1146</v>
      </c>
      <c r="C90" s="7" t="s">
        <v>863</v>
      </c>
      <c r="D90" s="66">
        <f>施工机械台时汇总!$C$47</f>
        <v>85.821529964747413</v>
      </c>
      <c r="E90" s="66">
        <f>3.39</f>
        <v>3.39</v>
      </c>
      <c r="F90" s="53">
        <f>D90*E90</f>
        <v>290.93498658049373</v>
      </c>
    </row>
    <row r="91" spans="1:9" ht="18.75" customHeight="1">
      <c r="A91" s="7" t="s">
        <v>835</v>
      </c>
      <c r="B91" s="52" t="s">
        <v>864</v>
      </c>
      <c r="C91" s="7" t="s">
        <v>834</v>
      </c>
      <c r="D91" s="66">
        <f>F86+F87</f>
        <v>476.56338567175885</v>
      </c>
      <c r="E91" s="7">
        <v>5</v>
      </c>
      <c r="F91" s="53">
        <f>D91*E91/100</f>
        <v>23.82816928358794</v>
      </c>
    </row>
    <row r="92" spans="1:9" ht="18.75" customHeight="1">
      <c r="A92" s="7"/>
      <c r="B92" s="52"/>
      <c r="C92" s="7"/>
      <c r="D92" s="7"/>
      <c r="E92" s="7"/>
      <c r="F92" s="53"/>
    </row>
    <row r="93" spans="1:9" ht="18.75" customHeight="1">
      <c r="A93" s="7">
        <v>1.2</v>
      </c>
      <c r="B93" s="52" t="s">
        <v>841</v>
      </c>
      <c r="C93" s="7"/>
      <c r="D93" s="53">
        <f>F85</f>
        <v>500.39155495534681</v>
      </c>
      <c r="E93" s="56">
        <f>E69</f>
        <v>4.8000000000000001E-2</v>
      </c>
      <c r="F93" s="53">
        <f>D93*E93</f>
        <v>24.018794637856647</v>
      </c>
    </row>
    <row r="94" spans="1:9" ht="18.75" customHeight="1">
      <c r="A94" s="7">
        <v>1.3</v>
      </c>
      <c r="B94" s="52" t="s">
        <v>842</v>
      </c>
      <c r="C94" s="7"/>
      <c r="D94" s="53">
        <f>F85</f>
        <v>500.39155495534681</v>
      </c>
      <c r="E94" s="56">
        <f>E70</f>
        <v>0</v>
      </c>
      <c r="F94" s="53">
        <f>D94*E94</f>
        <v>0</v>
      </c>
    </row>
    <row r="95" spans="1:9" ht="18.75" customHeight="1">
      <c r="A95" s="7">
        <v>2</v>
      </c>
      <c r="B95" s="52" t="s">
        <v>182</v>
      </c>
      <c r="C95" s="7"/>
      <c r="D95" s="53">
        <f>F84</f>
        <v>524.41034959320348</v>
      </c>
      <c r="E95" s="56">
        <f>E71</f>
        <v>0.04</v>
      </c>
      <c r="F95" s="53">
        <f>D95*E95</f>
        <v>20.97641398372814</v>
      </c>
    </row>
    <row r="96" spans="1:9" ht="18.75" customHeight="1">
      <c r="A96" s="7">
        <v>3</v>
      </c>
      <c r="B96" s="52" t="s">
        <v>843</v>
      </c>
      <c r="C96" s="7"/>
      <c r="D96" s="53">
        <f>F84+F95</f>
        <v>545.38676357693157</v>
      </c>
      <c r="E96" s="56">
        <f>E72</f>
        <v>7.0000000000000007E-2</v>
      </c>
      <c r="F96" s="53">
        <f>D96*E96</f>
        <v>38.177073450385215</v>
      </c>
    </row>
    <row r="97" spans="1:9" ht="18.75" customHeight="1">
      <c r="A97" s="7">
        <v>4</v>
      </c>
      <c r="B97" s="52" t="s">
        <v>184</v>
      </c>
      <c r="C97" s="7"/>
      <c r="D97" s="7"/>
      <c r="E97" s="7"/>
      <c r="F97" s="53">
        <f>F98</f>
        <v>198.23075999999998</v>
      </c>
    </row>
    <row r="98" spans="1:9" ht="18.75" customHeight="1">
      <c r="A98" s="7"/>
      <c r="B98" s="52" t="s">
        <v>516</v>
      </c>
      <c r="C98" s="7" t="s">
        <v>844</v>
      </c>
      <c r="D98" s="7">
        <f>B2</f>
        <v>3.51</v>
      </c>
      <c r="E98" s="66">
        <f>E88*台时!F22+土石方!E89*台时!H22+土石方!E90*台时!AP22</f>
        <v>56.475999999999999</v>
      </c>
      <c r="F98" s="53">
        <f>D98*E98</f>
        <v>198.23075999999998</v>
      </c>
    </row>
    <row r="99" spans="1:9" ht="18.75" customHeight="1">
      <c r="A99" s="7">
        <v>5</v>
      </c>
      <c r="B99" s="52" t="s">
        <v>845</v>
      </c>
      <c r="C99" s="7"/>
      <c r="D99" s="53">
        <f>F84+F95+F96+F97</f>
        <v>781.79459702731674</v>
      </c>
      <c r="E99" s="56">
        <f>E75</f>
        <v>0.09</v>
      </c>
      <c r="F99" s="53">
        <f>D99*E99</f>
        <v>70.361513732458505</v>
      </c>
    </row>
    <row r="100" spans="1:9" ht="18.75" customHeight="1">
      <c r="A100" s="7">
        <v>6</v>
      </c>
      <c r="B100" s="52" t="s">
        <v>7</v>
      </c>
      <c r="C100" s="7"/>
      <c r="D100" s="7"/>
      <c r="E100" s="7"/>
      <c r="F100" s="53">
        <f>F84+F95+F96+F97+F99</f>
        <v>852.15611075977529</v>
      </c>
    </row>
    <row r="101" spans="1:9" ht="18.75" customHeight="1">
      <c r="A101" s="7"/>
      <c r="B101" s="52" t="s">
        <v>846</v>
      </c>
      <c r="C101" s="7"/>
      <c r="D101" s="53">
        <f>F100</f>
        <v>852.15611075977529</v>
      </c>
      <c r="E101" s="56">
        <f>E77</f>
        <v>0.03</v>
      </c>
      <c r="F101" s="53">
        <f>E101*D101</f>
        <v>25.564683322793258</v>
      </c>
    </row>
    <row r="102" spans="1:9" ht="18.75" customHeight="1">
      <c r="A102" s="7"/>
      <c r="B102" s="52" t="s">
        <v>44</v>
      </c>
      <c r="C102" s="7"/>
      <c r="D102" s="7"/>
      <c r="E102" s="7"/>
      <c r="F102" s="53">
        <f>SUM(F100:F101)</f>
        <v>877.72079408256855</v>
      </c>
    </row>
    <row r="103" spans="1:9" ht="22.5" customHeight="1">
      <c r="A103" s="461" t="s">
        <v>928</v>
      </c>
      <c r="B103" s="461"/>
      <c r="C103" s="461"/>
      <c r="D103" s="461"/>
      <c r="E103" s="461"/>
      <c r="F103" s="461"/>
    </row>
    <row r="104" spans="1:9" ht="18.75" customHeight="1">
      <c r="A104" s="462" t="s">
        <v>1149</v>
      </c>
      <c r="B104" s="462"/>
      <c r="C104" s="462"/>
      <c r="D104" s="462"/>
      <c r="E104" s="462"/>
      <c r="F104" s="462"/>
    </row>
    <row r="105" spans="1:9" ht="18.75" customHeight="1">
      <c r="A105" s="47" t="s">
        <v>815</v>
      </c>
      <c r="B105" s="49">
        <v>1157</v>
      </c>
      <c r="D105" s="46"/>
      <c r="E105" s="47" t="s">
        <v>169</v>
      </c>
      <c r="F105" s="49" t="s">
        <v>869</v>
      </c>
    </row>
    <row r="106" spans="1:9" ht="18.75" customHeight="1">
      <c r="A106" s="50" t="s">
        <v>817</v>
      </c>
      <c r="B106" s="484" t="s">
        <v>1142</v>
      </c>
      <c r="C106" s="485"/>
      <c r="D106" s="485"/>
      <c r="E106" s="485"/>
      <c r="F106" s="486"/>
    </row>
    <row r="107" spans="1:9" ht="18.75" customHeight="1">
      <c r="A107" s="7" t="s">
        <v>1</v>
      </c>
      <c r="B107" s="52" t="s">
        <v>344</v>
      </c>
      <c r="C107" s="7" t="s">
        <v>818</v>
      </c>
      <c r="D107" s="7" t="s">
        <v>819</v>
      </c>
      <c r="E107" s="7" t="s">
        <v>820</v>
      </c>
      <c r="F107" s="7" t="s">
        <v>821</v>
      </c>
    </row>
    <row r="108" spans="1:9" ht="18.75" customHeight="1">
      <c r="A108" s="7">
        <v>1</v>
      </c>
      <c r="B108" s="52" t="s">
        <v>822</v>
      </c>
      <c r="C108" s="7"/>
      <c r="D108" s="7"/>
      <c r="E108" s="7"/>
      <c r="F108" s="53">
        <f>F109+F117+F118</f>
        <v>528.77657244878674</v>
      </c>
    </row>
    <row r="109" spans="1:9" ht="18.75" customHeight="1">
      <c r="A109" s="7">
        <v>1.1000000000000001</v>
      </c>
      <c r="B109" s="52" t="s">
        <v>823</v>
      </c>
      <c r="C109" s="7"/>
      <c r="D109" s="7"/>
      <c r="E109" s="7"/>
      <c r="F109" s="53">
        <f>F110+F111+F115</f>
        <v>504.55779813815531</v>
      </c>
    </row>
    <row r="110" spans="1:9" ht="18.75" customHeight="1">
      <c r="A110" s="7" t="s">
        <v>47</v>
      </c>
      <c r="B110" s="52" t="s">
        <v>1143</v>
      </c>
      <c r="C110" s="7" t="s">
        <v>825</v>
      </c>
      <c r="D110" s="7">
        <v>5.77</v>
      </c>
      <c r="E110" s="7">
        <f>5.2*0.91</f>
        <v>4.7320000000000002</v>
      </c>
      <c r="F110" s="53">
        <f>D110*E110</f>
        <v>27.303640000000001</v>
      </c>
      <c r="I110" s="67"/>
    </row>
    <row r="111" spans="1:9" ht="18.75" customHeight="1">
      <c r="A111" s="7" t="s">
        <v>57</v>
      </c>
      <c r="B111" s="52" t="s">
        <v>836</v>
      </c>
      <c r="C111" s="7"/>
      <c r="D111" s="7"/>
      <c r="E111" s="7"/>
      <c r="F111" s="53">
        <f>F112+F113+F114</f>
        <v>453.22759632205265</v>
      </c>
    </row>
    <row r="112" spans="1:9" ht="18.75" customHeight="1">
      <c r="A112" s="7"/>
      <c r="B112" s="52" t="s">
        <v>1144</v>
      </c>
      <c r="C112" s="7" t="s">
        <v>863</v>
      </c>
      <c r="D112" s="66">
        <f>施工机械台时汇总!$C$6</f>
        <v>116.55532824128471</v>
      </c>
      <c r="E112" s="66">
        <f>1.04*0.91</f>
        <v>0.94640000000000002</v>
      </c>
      <c r="F112" s="53">
        <f>D112*E112</f>
        <v>110.30796264755186</v>
      </c>
    </row>
    <row r="113" spans="1:6" ht="18.75" customHeight="1">
      <c r="A113" s="7"/>
      <c r="B113" s="52" t="s">
        <v>1145</v>
      </c>
      <c r="C113" s="7" t="s">
        <v>863</v>
      </c>
      <c r="D113" s="66">
        <f>施工机械台时汇总!$C$8</f>
        <v>66.167034077555797</v>
      </c>
      <c r="E113" s="66">
        <f>0.52*0.91</f>
        <v>0.47320000000000001</v>
      </c>
      <c r="F113" s="53">
        <f>D113*E113</f>
        <v>31.310240525499403</v>
      </c>
    </row>
    <row r="114" spans="1:6" ht="18.75" customHeight="1">
      <c r="A114" s="7"/>
      <c r="B114" s="52" t="s">
        <v>1146</v>
      </c>
      <c r="C114" s="7" t="s">
        <v>863</v>
      </c>
      <c r="D114" s="66">
        <f>施工机械台时汇总!$C$47</f>
        <v>85.821529964747413</v>
      </c>
      <c r="E114" s="66">
        <f>3.99*0.91</f>
        <v>3.6309</v>
      </c>
      <c r="F114" s="53">
        <f>D114*E114</f>
        <v>311.60939314900139</v>
      </c>
    </row>
    <row r="115" spans="1:6" ht="18.75" customHeight="1">
      <c r="A115" s="7" t="s">
        <v>835</v>
      </c>
      <c r="B115" s="52" t="s">
        <v>864</v>
      </c>
      <c r="C115" s="7" t="s">
        <v>834</v>
      </c>
      <c r="D115" s="66">
        <f>F110+F111</f>
        <v>480.53123632205268</v>
      </c>
      <c r="E115" s="7">
        <v>5</v>
      </c>
      <c r="F115" s="53">
        <f>D115*E115/100</f>
        <v>24.026561816102635</v>
      </c>
    </row>
    <row r="116" spans="1:6" ht="18.75" customHeight="1">
      <c r="A116" s="7"/>
      <c r="B116" s="52"/>
      <c r="C116" s="7"/>
      <c r="D116" s="7"/>
      <c r="E116" s="7"/>
      <c r="F116" s="53"/>
    </row>
    <row r="117" spans="1:6" ht="18.75" customHeight="1">
      <c r="A117" s="7">
        <v>1.2</v>
      </c>
      <c r="B117" s="52" t="s">
        <v>841</v>
      </c>
      <c r="C117" s="7"/>
      <c r="D117" s="53">
        <f>F109</f>
        <v>504.55779813815531</v>
      </c>
      <c r="E117" s="56">
        <f>E93</f>
        <v>4.8000000000000001E-2</v>
      </c>
      <c r="F117" s="53">
        <f>D117*E117</f>
        <v>24.218774310631456</v>
      </c>
    </row>
    <row r="118" spans="1:6" ht="18.75" customHeight="1">
      <c r="A118" s="7">
        <v>1.3</v>
      </c>
      <c r="B118" s="52" t="s">
        <v>842</v>
      </c>
      <c r="C118" s="7"/>
      <c r="D118" s="53">
        <f>F109</f>
        <v>504.55779813815531</v>
      </c>
      <c r="E118" s="56">
        <f>E94</f>
        <v>0</v>
      </c>
      <c r="F118" s="53">
        <f>D118*E118</f>
        <v>0</v>
      </c>
    </row>
    <row r="119" spans="1:6" ht="18.75" customHeight="1">
      <c r="A119" s="7">
        <v>2</v>
      </c>
      <c r="B119" s="52" t="s">
        <v>182</v>
      </c>
      <c r="C119" s="7"/>
      <c r="D119" s="53">
        <f>F108</f>
        <v>528.77657244878674</v>
      </c>
      <c r="E119" s="56">
        <f>E95</f>
        <v>0.04</v>
      </c>
      <c r="F119" s="53">
        <f>D119*E119</f>
        <v>21.151062897951469</v>
      </c>
    </row>
    <row r="120" spans="1:6" ht="18.75" customHeight="1">
      <c r="A120" s="7">
        <v>3</v>
      </c>
      <c r="B120" s="52" t="s">
        <v>843</v>
      </c>
      <c r="C120" s="7"/>
      <c r="D120" s="53">
        <f>F108+F119</f>
        <v>549.92763534673816</v>
      </c>
      <c r="E120" s="56">
        <f>E96</f>
        <v>7.0000000000000007E-2</v>
      </c>
      <c r="F120" s="53">
        <f>D120*E120</f>
        <v>38.494934474271673</v>
      </c>
    </row>
    <row r="121" spans="1:6" ht="18.75" customHeight="1">
      <c r="A121" s="7">
        <v>4</v>
      </c>
      <c r="B121" s="52" t="s">
        <v>184</v>
      </c>
      <c r="C121" s="7"/>
      <c r="D121" s="7"/>
      <c r="E121" s="7"/>
      <c r="F121" s="53">
        <f>F122</f>
        <v>201.08775960000003</v>
      </c>
    </row>
    <row r="122" spans="1:6" ht="18.75" customHeight="1">
      <c r="A122" s="7"/>
      <c r="B122" s="52" t="s">
        <v>516</v>
      </c>
      <c r="C122" s="7" t="s">
        <v>844</v>
      </c>
      <c r="D122" s="7">
        <f>B2</f>
        <v>3.51</v>
      </c>
      <c r="E122" s="66">
        <f>E112*台时!F22+土石方!E113*台时!H22+土石方!E114*台时!AP22</f>
        <v>57.289960000000008</v>
      </c>
      <c r="F122" s="53">
        <f>D122*E122</f>
        <v>201.08775960000003</v>
      </c>
    </row>
    <row r="123" spans="1:6" ht="18.75" customHeight="1">
      <c r="A123" s="7">
        <v>5</v>
      </c>
      <c r="B123" s="52" t="s">
        <v>845</v>
      </c>
      <c r="C123" s="7"/>
      <c r="D123" s="53">
        <f>F108+F119+F120+F121</f>
        <v>789.51032942100983</v>
      </c>
      <c r="E123" s="56">
        <f>E99</f>
        <v>0.09</v>
      </c>
      <c r="F123" s="53">
        <f>D123*E123</f>
        <v>71.055929647890878</v>
      </c>
    </row>
    <row r="124" spans="1:6" ht="18.75" customHeight="1">
      <c r="A124" s="7">
        <v>6</v>
      </c>
      <c r="B124" s="52" t="s">
        <v>7</v>
      </c>
      <c r="C124" s="7"/>
      <c r="D124" s="7"/>
      <c r="E124" s="7"/>
      <c r="F124" s="53">
        <f>F108+F119+F120+F121+F123</f>
        <v>860.56625906890076</v>
      </c>
    </row>
    <row r="125" spans="1:6" ht="18.75" customHeight="1">
      <c r="A125" s="7"/>
      <c r="B125" s="52" t="s">
        <v>846</v>
      </c>
      <c r="C125" s="7"/>
      <c r="D125" s="53">
        <f>F124</f>
        <v>860.56625906890076</v>
      </c>
      <c r="E125" s="56">
        <f>E101</f>
        <v>0.03</v>
      </c>
      <c r="F125" s="53">
        <f>E125*D125</f>
        <v>25.816987772067023</v>
      </c>
    </row>
    <row r="126" spans="1:6" ht="18.75" customHeight="1">
      <c r="A126" s="7"/>
      <c r="B126" s="52" t="s">
        <v>44</v>
      </c>
      <c r="C126" s="7"/>
      <c r="D126" s="7"/>
      <c r="E126" s="7"/>
      <c r="F126" s="53">
        <f>SUM(F124:F125)</f>
        <v>886.38324684096779</v>
      </c>
    </row>
    <row r="127" spans="1:6" ht="22.5" customHeight="1">
      <c r="A127" s="461" t="s">
        <v>928</v>
      </c>
      <c r="B127" s="461"/>
      <c r="C127" s="461"/>
      <c r="D127" s="461"/>
      <c r="E127" s="461"/>
      <c r="F127" s="461"/>
    </row>
    <row r="128" spans="1:6" ht="18.75" customHeight="1">
      <c r="A128" s="462" t="s">
        <v>1150</v>
      </c>
      <c r="B128" s="462"/>
      <c r="C128" s="462"/>
      <c r="D128" s="462"/>
      <c r="E128" s="462"/>
      <c r="F128" s="462"/>
    </row>
    <row r="129" spans="1:9" ht="18.75" customHeight="1">
      <c r="A129" s="47" t="s">
        <v>815</v>
      </c>
      <c r="B129" s="49">
        <v>1157</v>
      </c>
      <c r="D129" s="46"/>
      <c r="E129" s="47" t="s">
        <v>169</v>
      </c>
      <c r="F129" s="49" t="s">
        <v>869</v>
      </c>
    </row>
    <row r="130" spans="1:9" ht="18.75" customHeight="1">
      <c r="A130" s="50" t="s">
        <v>817</v>
      </c>
      <c r="B130" s="484" t="s">
        <v>1148</v>
      </c>
      <c r="C130" s="485"/>
      <c r="D130" s="485"/>
      <c r="E130" s="485"/>
      <c r="F130" s="486"/>
    </row>
    <row r="131" spans="1:9" ht="18.75" customHeight="1">
      <c r="A131" s="7" t="s">
        <v>1</v>
      </c>
      <c r="B131" s="52" t="s">
        <v>344</v>
      </c>
      <c r="C131" s="7" t="s">
        <v>818</v>
      </c>
      <c r="D131" s="7" t="s">
        <v>819</v>
      </c>
      <c r="E131" s="7" t="s">
        <v>820</v>
      </c>
      <c r="F131" s="7" t="s">
        <v>821</v>
      </c>
    </row>
    <row r="132" spans="1:9" ht="18.75" customHeight="1">
      <c r="A132" s="7">
        <v>1</v>
      </c>
      <c r="B132" s="52" t="s">
        <v>822</v>
      </c>
      <c r="C132" s="7"/>
      <c r="D132" s="7"/>
      <c r="E132" s="7"/>
      <c r="F132" s="53">
        <f>F133+F141+F142</f>
        <v>581.07315653712828</v>
      </c>
    </row>
    <row r="133" spans="1:9" ht="18.75" customHeight="1">
      <c r="A133" s="7">
        <v>1.1000000000000001</v>
      </c>
      <c r="B133" s="52" t="s">
        <v>823</v>
      </c>
      <c r="C133" s="7"/>
      <c r="D133" s="7"/>
      <c r="E133" s="7"/>
      <c r="F133" s="53">
        <f>F134+F135+F139</f>
        <v>554.45911883313772</v>
      </c>
    </row>
    <row r="134" spans="1:9" ht="18.75" customHeight="1">
      <c r="A134" s="7" t="s">
        <v>47</v>
      </c>
      <c r="B134" s="52" t="s">
        <v>1143</v>
      </c>
      <c r="C134" s="7" t="s">
        <v>825</v>
      </c>
      <c r="D134" s="7">
        <v>5.77</v>
      </c>
      <c r="E134" s="7">
        <f>5.2</f>
        <v>5.2</v>
      </c>
      <c r="F134" s="53">
        <f>D134*E134</f>
        <v>30.004000000000001</v>
      </c>
      <c r="I134" s="67"/>
    </row>
    <row r="135" spans="1:9" ht="18.75" customHeight="1">
      <c r="A135" s="7" t="s">
        <v>57</v>
      </c>
      <c r="B135" s="52" t="s">
        <v>836</v>
      </c>
      <c r="C135" s="7"/>
      <c r="D135" s="7"/>
      <c r="E135" s="7"/>
      <c r="F135" s="53">
        <f>F136+F137+F138</f>
        <v>498.05230365060731</v>
      </c>
    </row>
    <row r="136" spans="1:9" ht="18.75" customHeight="1">
      <c r="A136" s="7"/>
      <c r="B136" s="52" t="s">
        <v>1144</v>
      </c>
      <c r="C136" s="7" t="s">
        <v>863</v>
      </c>
      <c r="D136" s="66">
        <f>施工机械台时汇总!$C$6</f>
        <v>116.55532824128471</v>
      </c>
      <c r="E136" s="66">
        <f>1.04</f>
        <v>1.04</v>
      </c>
      <c r="F136" s="53">
        <f>D136*E136</f>
        <v>121.2175413709361</v>
      </c>
    </row>
    <row r="137" spans="1:9" ht="18.75" customHeight="1">
      <c r="A137" s="7"/>
      <c r="B137" s="52" t="s">
        <v>1145</v>
      </c>
      <c r="C137" s="7" t="s">
        <v>863</v>
      </c>
      <c r="D137" s="66">
        <f>施工机械台时汇总!$C$8</f>
        <v>66.167034077555797</v>
      </c>
      <c r="E137" s="66">
        <f>0.52</f>
        <v>0.52</v>
      </c>
      <c r="F137" s="53">
        <f>D137*E137</f>
        <v>34.406857720329015</v>
      </c>
    </row>
    <row r="138" spans="1:9" ht="18.75" customHeight="1">
      <c r="A138" s="7"/>
      <c r="B138" s="52" t="s">
        <v>1146</v>
      </c>
      <c r="C138" s="7" t="s">
        <v>863</v>
      </c>
      <c r="D138" s="66">
        <f>施工机械台时汇总!$C$47</f>
        <v>85.821529964747413</v>
      </c>
      <c r="E138" s="66">
        <f>3.99</f>
        <v>3.99</v>
      </c>
      <c r="F138" s="53">
        <f>D138*E138</f>
        <v>342.42790455934221</v>
      </c>
    </row>
    <row r="139" spans="1:9" ht="18.75" customHeight="1">
      <c r="A139" s="7" t="s">
        <v>835</v>
      </c>
      <c r="B139" s="52" t="s">
        <v>864</v>
      </c>
      <c r="C139" s="7" t="s">
        <v>834</v>
      </c>
      <c r="D139" s="66">
        <f>F134+F135</f>
        <v>528.05630365060733</v>
      </c>
      <c r="E139" s="7">
        <v>5</v>
      </c>
      <c r="F139" s="53">
        <f>D139*E139/100</f>
        <v>26.402815182530368</v>
      </c>
    </row>
    <row r="140" spans="1:9" ht="18.75" customHeight="1">
      <c r="A140" s="7"/>
      <c r="B140" s="52"/>
      <c r="C140" s="7"/>
      <c r="D140" s="7"/>
      <c r="E140" s="7"/>
      <c r="F140" s="53"/>
    </row>
    <row r="141" spans="1:9" ht="18.75" customHeight="1">
      <c r="A141" s="7">
        <v>1.2</v>
      </c>
      <c r="B141" s="52" t="s">
        <v>841</v>
      </c>
      <c r="C141" s="7"/>
      <c r="D141" s="53">
        <f>F133</f>
        <v>554.45911883313772</v>
      </c>
      <c r="E141" s="56">
        <f>E117</f>
        <v>4.8000000000000001E-2</v>
      </c>
      <c r="F141" s="53">
        <f>D141*E141</f>
        <v>26.614037703990611</v>
      </c>
    </row>
    <row r="142" spans="1:9" ht="18.75" customHeight="1">
      <c r="A142" s="7">
        <v>1.3</v>
      </c>
      <c r="B142" s="52" t="s">
        <v>842</v>
      </c>
      <c r="C142" s="7"/>
      <c r="D142" s="53">
        <f>F133</f>
        <v>554.45911883313772</v>
      </c>
      <c r="E142" s="56">
        <f>E118</f>
        <v>0</v>
      </c>
      <c r="F142" s="53">
        <f>D142*E142</f>
        <v>0</v>
      </c>
    </row>
    <row r="143" spans="1:9" ht="18.75" customHeight="1">
      <c r="A143" s="7">
        <v>2</v>
      </c>
      <c r="B143" s="52" t="s">
        <v>182</v>
      </c>
      <c r="C143" s="7"/>
      <c r="D143" s="53">
        <f>F132</f>
        <v>581.07315653712828</v>
      </c>
      <c r="E143" s="56">
        <f>E119</f>
        <v>0.04</v>
      </c>
      <c r="F143" s="53">
        <f>D143*E143</f>
        <v>23.242926261485131</v>
      </c>
    </row>
    <row r="144" spans="1:9" ht="18.75" customHeight="1">
      <c r="A144" s="7">
        <v>3</v>
      </c>
      <c r="B144" s="52" t="s">
        <v>843</v>
      </c>
      <c r="C144" s="7"/>
      <c r="D144" s="53">
        <f>F132+F143</f>
        <v>604.31608279861337</v>
      </c>
      <c r="E144" s="56">
        <f>E120</f>
        <v>7.0000000000000007E-2</v>
      </c>
      <c r="F144" s="53">
        <f>D144*E144</f>
        <v>42.302125795902938</v>
      </c>
    </row>
    <row r="145" spans="1:9" ht="18.75" customHeight="1">
      <c r="A145" s="7">
        <v>4</v>
      </c>
      <c r="B145" s="52" t="s">
        <v>184</v>
      </c>
      <c r="C145" s="7"/>
      <c r="D145" s="7"/>
      <c r="E145" s="7"/>
      <c r="F145" s="53">
        <f>F146</f>
        <v>220.97556</v>
      </c>
    </row>
    <row r="146" spans="1:9" ht="18.75" customHeight="1">
      <c r="A146" s="7"/>
      <c r="B146" s="52" t="s">
        <v>516</v>
      </c>
      <c r="C146" s="7" t="s">
        <v>844</v>
      </c>
      <c r="D146" s="7">
        <f>B2</f>
        <v>3.51</v>
      </c>
      <c r="E146" s="66">
        <f>E136*台时!F22+土石方!E137*台时!H22+土石方!E138*台时!AP22</f>
        <v>62.956000000000003</v>
      </c>
      <c r="F146" s="53">
        <f>D146*E146</f>
        <v>220.97556</v>
      </c>
    </row>
    <row r="147" spans="1:9" ht="18.75" customHeight="1">
      <c r="A147" s="7">
        <v>5</v>
      </c>
      <c r="B147" s="52" t="s">
        <v>845</v>
      </c>
      <c r="C147" s="7"/>
      <c r="D147" s="53">
        <f>F132+F143+F144+F145</f>
        <v>867.59376859451629</v>
      </c>
      <c r="E147" s="56">
        <f>E123</f>
        <v>0.09</v>
      </c>
      <c r="F147" s="53">
        <f>D147*E147</f>
        <v>78.083439173506463</v>
      </c>
    </row>
    <row r="148" spans="1:9" ht="18.75" customHeight="1">
      <c r="A148" s="7">
        <v>6</v>
      </c>
      <c r="B148" s="52" t="s">
        <v>7</v>
      </c>
      <c r="C148" s="7"/>
      <c r="D148" s="7"/>
      <c r="E148" s="7"/>
      <c r="F148" s="53">
        <f>F132+F143+F144+F145+F147</f>
        <v>945.67720776802275</v>
      </c>
    </row>
    <row r="149" spans="1:9" ht="18.75" customHeight="1">
      <c r="A149" s="7"/>
      <c r="B149" s="52" t="s">
        <v>846</v>
      </c>
      <c r="C149" s="7"/>
      <c r="D149" s="53">
        <f>F148</f>
        <v>945.67720776802275</v>
      </c>
      <c r="E149" s="56">
        <f>E125</f>
        <v>0.03</v>
      </c>
      <c r="F149" s="53">
        <f>E149*D149</f>
        <v>28.370316233040683</v>
      </c>
    </row>
    <row r="150" spans="1:9" ht="18.75" customHeight="1">
      <c r="A150" s="7"/>
      <c r="B150" s="52" t="s">
        <v>44</v>
      </c>
      <c r="C150" s="7"/>
      <c r="D150" s="7"/>
      <c r="E150" s="7"/>
      <c r="F150" s="53">
        <f>SUM(F148:F149)</f>
        <v>974.04752400106349</v>
      </c>
    </row>
    <row r="151" spans="1:9" ht="22.5" customHeight="1">
      <c r="A151" s="461" t="s">
        <v>928</v>
      </c>
      <c r="B151" s="461"/>
      <c r="C151" s="461"/>
      <c r="D151" s="461"/>
      <c r="E151" s="461"/>
      <c r="F151" s="461"/>
    </row>
    <row r="152" spans="1:9" ht="18.75" customHeight="1">
      <c r="A152" s="462" t="s">
        <v>1151</v>
      </c>
      <c r="B152" s="462"/>
      <c r="C152" s="462"/>
      <c r="D152" s="462"/>
      <c r="E152" s="462"/>
      <c r="F152" s="462"/>
    </row>
    <row r="153" spans="1:9" ht="18.75" customHeight="1">
      <c r="A153" s="47" t="s">
        <v>815</v>
      </c>
      <c r="B153" s="49">
        <v>1158</v>
      </c>
      <c r="D153" s="46"/>
      <c r="E153" s="47" t="s">
        <v>169</v>
      </c>
      <c r="F153" s="49" t="s">
        <v>869</v>
      </c>
    </row>
    <row r="154" spans="1:9" ht="18.75" customHeight="1">
      <c r="A154" s="50" t="s">
        <v>817</v>
      </c>
      <c r="B154" s="484" t="s">
        <v>1142</v>
      </c>
      <c r="C154" s="485"/>
      <c r="D154" s="485"/>
      <c r="E154" s="485"/>
      <c r="F154" s="486"/>
    </row>
    <row r="155" spans="1:9" ht="18.75" customHeight="1">
      <c r="A155" s="7" t="s">
        <v>1</v>
      </c>
      <c r="B155" s="52" t="s">
        <v>344</v>
      </c>
      <c r="C155" s="7" t="s">
        <v>818</v>
      </c>
      <c r="D155" s="7" t="s">
        <v>819</v>
      </c>
      <c r="E155" s="7" t="s">
        <v>820</v>
      </c>
      <c r="F155" s="7" t="s">
        <v>821</v>
      </c>
    </row>
    <row r="156" spans="1:9" ht="18.75" customHeight="1">
      <c r="A156" s="7">
        <v>1</v>
      </c>
      <c r="B156" s="52" t="s">
        <v>822</v>
      </c>
      <c r="C156" s="7"/>
      <c r="D156" s="7"/>
      <c r="E156" s="7"/>
      <c r="F156" s="53">
        <f>F157+F165+F166</f>
        <v>631.90288108672985</v>
      </c>
    </row>
    <row r="157" spans="1:9" ht="18.75" customHeight="1">
      <c r="A157" s="7">
        <v>1.1000000000000001</v>
      </c>
      <c r="B157" s="52" t="s">
        <v>823</v>
      </c>
      <c r="C157" s="7"/>
      <c r="D157" s="7"/>
      <c r="E157" s="7"/>
      <c r="F157" s="53">
        <f>F158+F159+F163</f>
        <v>602.9607643957346</v>
      </c>
    </row>
    <row r="158" spans="1:9" ht="18.75" customHeight="1">
      <c r="A158" s="7" t="s">
        <v>47</v>
      </c>
      <c r="B158" s="52" t="s">
        <v>1143</v>
      </c>
      <c r="C158" s="7" t="s">
        <v>825</v>
      </c>
      <c r="D158" s="7">
        <v>5.77</v>
      </c>
      <c r="E158" s="66">
        <f>5.2*0.91</f>
        <v>4.7320000000000002</v>
      </c>
      <c r="F158" s="53">
        <f>D158*E158</f>
        <v>27.303640000000001</v>
      </c>
      <c r="I158" s="67"/>
    </row>
    <row r="159" spans="1:9" ht="18.75" customHeight="1">
      <c r="A159" s="7" t="s">
        <v>57</v>
      </c>
      <c r="B159" s="52" t="s">
        <v>836</v>
      </c>
      <c r="C159" s="7"/>
      <c r="D159" s="7"/>
      <c r="E159" s="7"/>
      <c r="F159" s="53">
        <f>F160+F161+F162</f>
        <v>546.94470704355683</v>
      </c>
    </row>
    <row r="160" spans="1:9" ht="18.75" customHeight="1">
      <c r="A160" s="7"/>
      <c r="B160" s="52" t="s">
        <v>1144</v>
      </c>
      <c r="C160" s="7" t="s">
        <v>863</v>
      </c>
      <c r="D160" s="66">
        <f>施工机械台时汇总!$C$6</f>
        <v>116.55532824128471</v>
      </c>
      <c r="E160" s="66">
        <f>1.04*0.91</f>
        <v>0.94640000000000002</v>
      </c>
      <c r="F160" s="53">
        <f>D160*E160</f>
        <v>110.30796264755186</v>
      </c>
    </row>
    <row r="161" spans="1:6" ht="18.75" customHeight="1">
      <c r="A161" s="7"/>
      <c r="B161" s="52" t="s">
        <v>1145</v>
      </c>
      <c r="C161" s="7" t="s">
        <v>863</v>
      </c>
      <c r="D161" s="66">
        <f>施工机械台时汇总!$C$8</f>
        <v>66.167034077555797</v>
      </c>
      <c r="E161" s="66">
        <f>0.52*0.91</f>
        <v>0.47320000000000001</v>
      </c>
      <c r="F161" s="53">
        <f>D161*E161</f>
        <v>31.310240525499403</v>
      </c>
    </row>
    <row r="162" spans="1:6" ht="18.75" customHeight="1">
      <c r="A162" s="7"/>
      <c r="B162" s="52" t="s">
        <v>1146</v>
      </c>
      <c r="C162" s="7" t="s">
        <v>863</v>
      </c>
      <c r="D162" s="66">
        <f>施工机械台时汇总!$C$47</f>
        <v>85.821529964747413</v>
      </c>
      <c r="E162" s="66">
        <f>5.19*0.91</f>
        <v>4.7229000000000001</v>
      </c>
      <c r="F162" s="53">
        <f>D162*E162</f>
        <v>405.32650387050558</v>
      </c>
    </row>
    <row r="163" spans="1:6" ht="18.75" customHeight="1">
      <c r="A163" s="7" t="s">
        <v>835</v>
      </c>
      <c r="B163" s="52" t="s">
        <v>864</v>
      </c>
      <c r="C163" s="7" t="s">
        <v>834</v>
      </c>
      <c r="D163" s="66">
        <f>F158+F159</f>
        <v>574.24834704355681</v>
      </c>
      <c r="E163" s="7">
        <v>5</v>
      </c>
      <c r="F163" s="53">
        <f>D163*E163/100</f>
        <v>28.712417352177841</v>
      </c>
    </row>
    <row r="164" spans="1:6" ht="18.75" customHeight="1">
      <c r="A164" s="7"/>
      <c r="B164" s="52"/>
      <c r="C164" s="7"/>
      <c r="D164" s="7"/>
      <c r="E164" s="7"/>
      <c r="F164" s="53"/>
    </row>
    <row r="165" spans="1:6" ht="18.75" customHeight="1">
      <c r="A165" s="7">
        <v>1.2</v>
      </c>
      <c r="B165" s="52" t="s">
        <v>841</v>
      </c>
      <c r="C165" s="7"/>
      <c r="D165" s="53">
        <f>F157</f>
        <v>602.9607643957346</v>
      </c>
      <c r="E165" s="56">
        <f>E141</f>
        <v>4.8000000000000001E-2</v>
      </c>
      <c r="F165" s="53">
        <f>D165*E165</f>
        <v>28.94211669099526</v>
      </c>
    </row>
    <row r="166" spans="1:6" ht="18.75" customHeight="1">
      <c r="A166" s="7">
        <v>1.3</v>
      </c>
      <c r="B166" s="52" t="s">
        <v>842</v>
      </c>
      <c r="C166" s="7"/>
      <c r="D166" s="53">
        <f>F157</f>
        <v>602.9607643957346</v>
      </c>
      <c r="E166" s="56">
        <f>E142</f>
        <v>0</v>
      </c>
      <c r="F166" s="53">
        <f>D166*E166</f>
        <v>0</v>
      </c>
    </row>
    <row r="167" spans="1:6" ht="18.75" customHeight="1">
      <c r="A167" s="7">
        <v>2</v>
      </c>
      <c r="B167" s="52" t="s">
        <v>182</v>
      </c>
      <c r="C167" s="7"/>
      <c r="D167" s="53">
        <f>F156</f>
        <v>631.90288108672985</v>
      </c>
      <c r="E167" s="56">
        <f>E143</f>
        <v>0.04</v>
      </c>
      <c r="F167" s="53">
        <f>D167*E167</f>
        <v>25.276115243469196</v>
      </c>
    </row>
    <row r="168" spans="1:6" ht="18.75" customHeight="1">
      <c r="A168" s="7">
        <v>3</v>
      </c>
      <c r="B168" s="52" t="s">
        <v>843</v>
      </c>
      <c r="C168" s="7"/>
      <c r="D168" s="53">
        <f>F156+F167</f>
        <v>657.17899633019908</v>
      </c>
      <c r="E168" s="56">
        <f>E144</f>
        <v>7.0000000000000007E-2</v>
      </c>
      <c r="F168" s="53">
        <f>D168*E168</f>
        <v>46.002529743113939</v>
      </c>
    </row>
    <row r="169" spans="1:6" ht="18.75" customHeight="1">
      <c r="A169" s="7">
        <v>4</v>
      </c>
      <c r="B169" s="52" t="s">
        <v>184</v>
      </c>
      <c r="C169" s="7"/>
      <c r="D169" s="7"/>
      <c r="E169" s="7"/>
      <c r="F169" s="53">
        <f>F170</f>
        <v>242.48329559999999</v>
      </c>
    </row>
    <row r="170" spans="1:6" ht="18.75" customHeight="1">
      <c r="A170" s="7"/>
      <c r="B170" s="52" t="s">
        <v>516</v>
      </c>
      <c r="C170" s="7" t="s">
        <v>844</v>
      </c>
      <c r="D170" s="7">
        <f>B2</f>
        <v>3.51</v>
      </c>
      <c r="E170" s="66">
        <f>E160*台时!F22+土石方!E161*台时!H22+土石方!E162*台时!AP22</f>
        <v>69.083560000000006</v>
      </c>
      <c r="F170" s="53">
        <f>D170*E170</f>
        <v>242.48329559999999</v>
      </c>
    </row>
    <row r="171" spans="1:6" ht="18.75" customHeight="1">
      <c r="A171" s="7">
        <v>5</v>
      </c>
      <c r="B171" s="52" t="s">
        <v>845</v>
      </c>
      <c r="C171" s="7"/>
      <c r="D171" s="53">
        <f>F156+F167+F168+F169</f>
        <v>945.6648216733131</v>
      </c>
      <c r="E171" s="56">
        <f>E147</f>
        <v>0.09</v>
      </c>
      <c r="F171" s="53">
        <f>D171*E171</f>
        <v>85.109833950598173</v>
      </c>
    </row>
    <row r="172" spans="1:6" ht="18.75" customHeight="1">
      <c r="A172" s="7">
        <v>6</v>
      </c>
      <c r="B172" s="52" t="s">
        <v>7</v>
      </c>
      <c r="C172" s="7"/>
      <c r="D172" s="7"/>
      <c r="E172" s="7"/>
      <c r="F172" s="53">
        <f>F156+F167+F168+F169+F171</f>
        <v>1030.7746556239113</v>
      </c>
    </row>
    <row r="173" spans="1:6" ht="18.75" customHeight="1">
      <c r="A173" s="7"/>
      <c r="B173" s="52" t="s">
        <v>846</v>
      </c>
      <c r="C173" s="7"/>
      <c r="D173" s="53">
        <f>F172</f>
        <v>1030.7746556239113</v>
      </c>
      <c r="E173" s="56">
        <f>E149</f>
        <v>0.03</v>
      </c>
      <c r="F173" s="53">
        <f>E173*D173</f>
        <v>30.923239668717336</v>
      </c>
    </row>
    <row r="174" spans="1:6" ht="18.75" customHeight="1">
      <c r="A174" s="7"/>
      <c r="B174" s="52" t="s">
        <v>44</v>
      </c>
      <c r="C174" s="7"/>
      <c r="D174" s="7"/>
      <c r="E174" s="7"/>
      <c r="F174" s="53">
        <f>SUM(F172:F173)</f>
        <v>1061.6978952926286</v>
      </c>
    </row>
    <row r="175" spans="1:6" ht="22.5" customHeight="1">
      <c r="A175" s="461" t="s">
        <v>928</v>
      </c>
      <c r="B175" s="461"/>
      <c r="C175" s="461"/>
      <c r="D175" s="461"/>
      <c r="E175" s="461"/>
      <c r="F175" s="461"/>
    </row>
    <row r="176" spans="1:6" ht="18.75" customHeight="1">
      <c r="A176" s="462" t="s">
        <v>1152</v>
      </c>
      <c r="B176" s="462"/>
      <c r="C176" s="462"/>
      <c r="D176" s="462"/>
      <c r="E176" s="462"/>
      <c r="F176" s="462"/>
    </row>
    <row r="177" spans="1:9" ht="18.75" customHeight="1">
      <c r="A177" s="47" t="s">
        <v>815</v>
      </c>
      <c r="B177" s="49">
        <v>1158</v>
      </c>
      <c r="D177" s="46"/>
      <c r="E177" s="47" t="s">
        <v>169</v>
      </c>
      <c r="F177" s="49" t="s">
        <v>869</v>
      </c>
    </row>
    <row r="178" spans="1:9" ht="18.75" customHeight="1">
      <c r="A178" s="50" t="s">
        <v>817</v>
      </c>
      <c r="B178" s="52" t="s">
        <v>1148</v>
      </c>
      <c r="C178" s="7"/>
      <c r="D178" s="7"/>
      <c r="E178" s="7"/>
      <c r="F178" s="7"/>
    </row>
    <row r="179" spans="1:9" ht="18.75" customHeight="1">
      <c r="A179" s="7" t="s">
        <v>1</v>
      </c>
      <c r="B179" s="52" t="s">
        <v>344</v>
      </c>
      <c r="C179" s="7" t="s">
        <v>818</v>
      </c>
      <c r="D179" s="7" t="s">
        <v>819</v>
      </c>
      <c r="E179" s="7" t="s">
        <v>820</v>
      </c>
      <c r="F179" s="7" t="s">
        <v>821</v>
      </c>
    </row>
    <row r="180" spans="1:9" ht="18.75" customHeight="1">
      <c r="A180" s="7">
        <v>1</v>
      </c>
      <c r="B180" s="52" t="s">
        <v>822</v>
      </c>
      <c r="C180" s="7"/>
      <c r="D180" s="7"/>
      <c r="E180" s="7"/>
      <c r="F180" s="53">
        <f>F181+F189+F190</f>
        <v>694.39877042497801</v>
      </c>
    </row>
    <row r="181" spans="1:9" ht="18.75" customHeight="1">
      <c r="A181" s="7">
        <v>1.1000000000000001</v>
      </c>
      <c r="B181" s="52" t="s">
        <v>823</v>
      </c>
      <c r="C181" s="7"/>
      <c r="D181" s="7"/>
      <c r="E181" s="7"/>
      <c r="F181" s="53">
        <f>F182+F183+F187</f>
        <v>662.59424658871944</v>
      </c>
    </row>
    <row r="182" spans="1:9" ht="18.75" customHeight="1">
      <c r="A182" s="7" t="s">
        <v>47</v>
      </c>
      <c r="B182" s="52" t="s">
        <v>1143</v>
      </c>
      <c r="C182" s="7" t="s">
        <v>825</v>
      </c>
      <c r="D182" s="7">
        <v>5.77</v>
      </c>
      <c r="E182" s="7">
        <f>5.2</f>
        <v>5.2</v>
      </c>
      <c r="F182" s="53">
        <f>D182*E182</f>
        <v>30.004000000000001</v>
      </c>
      <c r="I182" s="67"/>
    </row>
    <row r="183" spans="1:9" ht="18.75" customHeight="1">
      <c r="A183" s="7" t="s">
        <v>57</v>
      </c>
      <c r="B183" s="52" t="s">
        <v>836</v>
      </c>
      <c r="C183" s="7"/>
      <c r="D183" s="7"/>
      <c r="E183" s="7"/>
      <c r="F183" s="53">
        <f>F184+F185+F186</f>
        <v>601.03813960830416</v>
      </c>
    </row>
    <row r="184" spans="1:9" ht="18.75" customHeight="1">
      <c r="A184" s="7"/>
      <c r="B184" s="52" t="s">
        <v>1144</v>
      </c>
      <c r="C184" s="7" t="s">
        <v>863</v>
      </c>
      <c r="D184" s="66">
        <f>施工机械台时汇总!$C$6</f>
        <v>116.55532824128471</v>
      </c>
      <c r="E184" s="7">
        <f>1.04</f>
        <v>1.04</v>
      </c>
      <c r="F184" s="53">
        <f>D184*E184</f>
        <v>121.2175413709361</v>
      </c>
    </row>
    <row r="185" spans="1:9" ht="18.75" customHeight="1">
      <c r="A185" s="7"/>
      <c r="B185" s="52" t="s">
        <v>1145</v>
      </c>
      <c r="C185" s="7" t="s">
        <v>863</v>
      </c>
      <c r="D185" s="66">
        <f>施工机械台时汇总!$C$8</f>
        <v>66.167034077555797</v>
      </c>
      <c r="E185" s="7">
        <f>0.52</f>
        <v>0.52</v>
      </c>
      <c r="F185" s="53">
        <f>D185*E185</f>
        <v>34.406857720329015</v>
      </c>
    </row>
    <row r="186" spans="1:9" ht="18.75" customHeight="1">
      <c r="A186" s="7"/>
      <c r="B186" s="52" t="s">
        <v>1146</v>
      </c>
      <c r="C186" s="7" t="s">
        <v>863</v>
      </c>
      <c r="D186" s="66">
        <f>施工机械台时汇总!$C$47</f>
        <v>85.821529964747413</v>
      </c>
      <c r="E186" s="7">
        <f>5.19</f>
        <v>5.19</v>
      </c>
      <c r="F186" s="53">
        <f>D186*E186</f>
        <v>445.41374051703912</v>
      </c>
    </row>
    <row r="187" spans="1:9" ht="18.75" customHeight="1">
      <c r="A187" s="7" t="s">
        <v>835</v>
      </c>
      <c r="B187" s="52" t="s">
        <v>864</v>
      </c>
      <c r="C187" s="7" t="s">
        <v>834</v>
      </c>
      <c r="D187" s="66">
        <f>F182+F183</f>
        <v>631.04213960830418</v>
      </c>
      <c r="E187" s="7">
        <v>5</v>
      </c>
      <c r="F187" s="53">
        <f>D187*E187/100</f>
        <v>31.552106980415211</v>
      </c>
    </row>
    <row r="188" spans="1:9" ht="18.75" customHeight="1">
      <c r="A188" s="7"/>
      <c r="B188" s="52"/>
      <c r="C188" s="7"/>
      <c r="D188" s="7"/>
      <c r="E188" s="7"/>
      <c r="F188" s="53"/>
    </row>
    <row r="189" spans="1:9" ht="18.75" customHeight="1">
      <c r="A189" s="7">
        <v>1.2</v>
      </c>
      <c r="B189" s="52" t="s">
        <v>841</v>
      </c>
      <c r="C189" s="7"/>
      <c r="D189" s="53">
        <f>F181</f>
        <v>662.59424658871944</v>
      </c>
      <c r="E189" s="56">
        <f>E165</f>
        <v>4.8000000000000001E-2</v>
      </c>
      <c r="F189" s="53">
        <f>D189*E189</f>
        <v>31.804523836258532</v>
      </c>
    </row>
    <row r="190" spans="1:9" ht="18.75" customHeight="1">
      <c r="A190" s="7">
        <v>1.3</v>
      </c>
      <c r="B190" s="52" t="s">
        <v>842</v>
      </c>
      <c r="C190" s="7"/>
      <c r="D190" s="53">
        <f>F181</f>
        <v>662.59424658871944</v>
      </c>
      <c r="E190" s="56">
        <f>E166</f>
        <v>0</v>
      </c>
      <c r="F190" s="53">
        <f>D190*E190</f>
        <v>0</v>
      </c>
    </row>
    <row r="191" spans="1:9" ht="18.75" customHeight="1">
      <c r="A191" s="7">
        <v>2</v>
      </c>
      <c r="B191" s="52" t="s">
        <v>182</v>
      </c>
      <c r="C191" s="7"/>
      <c r="D191" s="53">
        <f>F180</f>
        <v>694.39877042497801</v>
      </c>
      <c r="E191" s="56">
        <f>E167</f>
        <v>0.04</v>
      </c>
      <c r="F191" s="53">
        <f>D191*E191</f>
        <v>27.775950816999121</v>
      </c>
    </row>
    <row r="192" spans="1:9" ht="18.75" customHeight="1">
      <c r="A192" s="7">
        <v>3</v>
      </c>
      <c r="B192" s="52" t="s">
        <v>843</v>
      </c>
      <c r="C192" s="7"/>
      <c r="D192" s="53">
        <f>F180+F191</f>
        <v>722.17472124197718</v>
      </c>
      <c r="E192" s="56">
        <f>E168</f>
        <v>7.0000000000000007E-2</v>
      </c>
      <c r="F192" s="53">
        <f>D192*E192</f>
        <v>50.552230486938406</v>
      </c>
    </row>
    <row r="193" spans="1:9" ht="18.75" customHeight="1">
      <c r="A193" s="7">
        <v>4</v>
      </c>
      <c r="B193" s="52" t="s">
        <v>184</v>
      </c>
      <c r="C193" s="7"/>
      <c r="D193" s="7"/>
      <c r="E193" s="7"/>
      <c r="F193" s="53">
        <f>F194</f>
        <v>266.46516000000003</v>
      </c>
    </row>
    <row r="194" spans="1:9" ht="18.75" customHeight="1">
      <c r="A194" s="7"/>
      <c r="B194" s="52" t="s">
        <v>516</v>
      </c>
      <c r="C194" s="7" t="s">
        <v>844</v>
      </c>
      <c r="D194" s="7">
        <f>B2</f>
        <v>3.51</v>
      </c>
      <c r="E194" s="66">
        <f>E184*台时!F22+土石方!E185*台时!H22+土石方!E186*台时!AP22</f>
        <v>75.916000000000011</v>
      </c>
      <c r="F194" s="53">
        <f>D194*E194</f>
        <v>266.46516000000003</v>
      </c>
    </row>
    <row r="195" spans="1:9" ht="18.75" customHeight="1">
      <c r="A195" s="7">
        <v>5</v>
      </c>
      <c r="B195" s="52" t="s">
        <v>845</v>
      </c>
      <c r="C195" s="7"/>
      <c r="D195" s="53">
        <f>F180+F191+F192+F193</f>
        <v>1039.1921117289155</v>
      </c>
      <c r="E195" s="56">
        <f>E171</f>
        <v>0.09</v>
      </c>
      <c r="F195" s="53">
        <f>D195*E195</f>
        <v>93.527290055602393</v>
      </c>
    </row>
    <row r="196" spans="1:9" ht="18.75" customHeight="1">
      <c r="A196" s="7">
        <v>6</v>
      </c>
      <c r="B196" s="52" t="s">
        <v>7</v>
      </c>
      <c r="C196" s="7"/>
      <c r="D196" s="7"/>
      <c r="E196" s="7"/>
      <c r="F196" s="53">
        <f>F180+F191+F192+F193+F195</f>
        <v>1132.7194017845179</v>
      </c>
    </row>
    <row r="197" spans="1:9" ht="18.75" customHeight="1">
      <c r="A197" s="7"/>
      <c r="B197" s="52" t="s">
        <v>846</v>
      </c>
      <c r="C197" s="7"/>
      <c r="D197" s="53">
        <f>F196</f>
        <v>1132.7194017845179</v>
      </c>
      <c r="E197" s="56">
        <f>E173</f>
        <v>0.03</v>
      </c>
      <c r="F197" s="53">
        <f>E197*D197</f>
        <v>33.981582053535533</v>
      </c>
    </row>
    <row r="198" spans="1:9" ht="18.75" customHeight="1">
      <c r="A198" s="7"/>
      <c r="B198" s="52" t="s">
        <v>44</v>
      </c>
      <c r="C198" s="7"/>
      <c r="D198" s="7"/>
      <c r="E198" s="7"/>
      <c r="F198" s="53">
        <f>SUM(F196:F197)</f>
        <v>1166.7009838380534</v>
      </c>
    </row>
    <row r="199" spans="1:9" ht="22.5" customHeight="1">
      <c r="A199" s="461" t="s">
        <v>928</v>
      </c>
      <c r="B199" s="461"/>
      <c r="C199" s="461"/>
      <c r="D199" s="461"/>
      <c r="E199" s="461"/>
      <c r="F199" s="461"/>
    </row>
    <row r="200" spans="1:9" ht="18.75" customHeight="1">
      <c r="A200" s="462" t="s">
        <v>1153</v>
      </c>
      <c r="B200" s="462"/>
      <c r="C200" s="462"/>
      <c r="D200" s="462"/>
      <c r="E200" s="462"/>
      <c r="F200" s="462"/>
    </row>
    <row r="201" spans="1:9" ht="18.75" customHeight="1">
      <c r="A201" s="47" t="s">
        <v>815</v>
      </c>
      <c r="B201" s="49">
        <v>1159</v>
      </c>
      <c r="D201" s="46"/>
      <c r="E201" s="47" t="s">
        <v>169</v>
      </c>
      <c r="F201" s="49" t="s">
        <v>869</v>
      </c>
    </row>
    <row r="202" spans="1:9" ht="18.75" customHeight="1">
      <c r="A202" s="50" t="s">
        <v>817</v>
      </c>
      <c r="B202" s="52" t="s">
        <v>1154</v>
      </c>
      <c r="C202" s="7"/>
      <c r="D202" s="7"/>
      <c r="E202" s="7"/>
      <c r="F202" s="7"/>
    </row>
    <row r="203" spans="1:9" ht="18.75" customHeight="1">
      <c r="A203" s="7" t="s">
        <v>1</v>
      </c>
      <c r="B203" s="52" t="s">
        <v>344</v>
      </c>
      <c r="C203" s="7" t="s">
        <v>818</v>
      </c>
      <c r="D203" s="7" t="s">
        <v>819</v>
      </c>
      <c r="E203" s="7" t="s">
        <v>820</v>
      </c>
      <c r="F203" s="7" t="s">
        <v>821</v>
      </c>
    </row>
    <row r="204" spans="1:9" ht="18.75" customHeight="1">
      <c r="A204" s="7">
        <v>1</v>
      </c>
      <c r="B204" s="52" t="s">
        <v>822</v>
      </c>
      <c r="C204" s="7"/>
      <c r="D204" s="7"/>
      <c r="E204" s="7"/>
      <c r="F204" s="53">
        <f>F205+F213+F214</f>
        <v>1146.6750383711299</v>
      </c>
    </row>
    <row r="205" spans="1:9" ht="18.75" customHeight="1">
      <c r="A205" s="7">
        <v>1.1000000000000001</v>
      </c>
      <c r="B205" s="52" t="s">
        <v>823</v>
      </c>
      <c r="C205" s="7"/>
      <c r="D205" s="7"/>
      <c r="E205" s="7"/>
      <c r="F205" s="53">
        <f>F206+F207+F211</f>
        <v>1094.1555709648185</v>
      </c>
    </row>
    <row r="206" spans="1:9" ht="18.75" customHeight="1">
      <c r="A206" s="7" t="s">
        <v>47</v>
      </c>
      <c r="B206" s="52" t="s">
        <v>1143</v>
      </c>
      <c r="C206" s="7" t="s">
        <v>825</v>
      </c>
      <c r="D206" s="7">
        <v>5.77</v>
      </c>
      <c r="E206" s="7">
        <f>5.2*0.91</f>
        <v>4.7320000000000002</v>
      </c>
      <c r="F206" s="53">
        <f>D206*E206</f>
        <v>27.303640000000001</v>
      </c>
      <c r="I206" s="67"/>
    </row>
    <row r="207" spans="1:9" ht="18.75" customHeight="1">
      <c r="A207" s="7" t="s">
        <v>57</v>
      </c>
      <c r="B207" s="52" t="s">
        <v>836</v>
      </c>
      <c r="C207" s="7"/>
      <c r="D207" s="7"/>
      <c r="E207" s="7"/>
      <c r="F207" s="53">
        <f>F208+F209+F210</f>
        <v>1014.7492847283985</v>
      </c>
    </row>
    <row r="208" spans="1:9" ht="18.75" customHeight="1">
      <c r="A208" s="7"/>
      <c r="B208" s="52" t="s">
        <v>1144</v>
      </c>
      <c r="C208" s="7" t="s">
        <v>863</v>
      </c>
      <c r="D208" s="66">
        <f>施工机械台时汇总!$C$6</f>
        <v>116.55532824128471</v>
      </c>
      <c r="E208" s="7">
        <f>1.04*0.91</f>
        <v>0.94640000000000002</v>
      </c>
      <c r="F208" s="53">
        <f>D208*E208</f>
        <v>110.30796264755186</v>
      </c>
    </row>
    <row r="209" spans="1:6" ht="18.75" customHeight="1">
      <c r="A209" s="7"/>
      <c r="B209" s="52" t="s">
        <v>1145</v>
      </c>
      <c r="C209" s="7" t="s">
        <v>863</v>
      </c>
      <c r="D209" s="66">
        <f>施工机械台时汇总!$C$8</f>
        <v>66.167034077555797</v>
      </c>
      <c r="E209" s="7">
        <f>0.52*0.91</f>
        <v>0.47320000000000001</v>
      </c>
      <c r="F209" s="53">
        <f>D209*E209</f>
        <v>31.310240525499403</v>
      </c>
    </row>
    <row r="210" spans="1:6" ht="18.75" customHeight="1">
      <c r="A210" s="7"/>
      <c r="B210" s="52" t="s">
        <v>1146</v>
      </c>
      <c r="C210" s="7" t="s">
        <v>863</v>
      </c>
      <c r="D210" s="66">
        <f>施工机械台时汇总!$C$47</f>
        <v>85.821529964747413</v>
      </c>
      <c r="E210" s="7">
        <f>11.18*0.91</f>
        <v>10.1738</v>
      </c>
      <c r="F210" s="53">
        <f>D210*E210</f>
        <v>873.13108155534724</v>
      </c>
    </row>
    <row r="211" spans="1:6" ht="18.75" customHeight="1">
      <c r="A211" s="7" t="s">
        <v>835</v>
      </c>
      <c r="B211" s="52" t="s">
        <v>864</v>
      </c>
      <c r="C211" s="7" t="s">
        <v>834</v>
      </c>
      <c r="D211" s="66">
        <f>F206+F207</f>
        <v>1042.0529247283985</v>
      </c>
      <c r="E211" s="7">
        <v>5</v>
      </c>
      <c r="F211" s="53">
        <f>D211*E211/100</f>
        <v>52.102646236419922</v>
      </c>
    </row>
    <row r="212" spans="1:6" ht="18.75" customHeight="1">
      <c r="A212" s="7"/>
      <c r="B212" s="52"/>
      <c r="C212" s="7"/>
      <c r="D212" s="7"/>
      <c r="E212" s="7"/>
      <c r="F212" s="53"/>
    </row>
    <row r="213" spans="1:6" ht="18.75" customHeight="1">
      <c r="A213" s="7">
        <v>1.2</v>
      </c>
      <c r="B213" s="52" t="s">
        <v>841</v>
      </c>
      <c r="C213" s="7"/>
      <c r="D213" s="53">
        <f>F205</f>
        <v>1094.1555709648185</v>
      </c>
      <c r="E213" s="56">
        <f>E189</f>
        <v>4.8000000000000001E-2</v>
      </c>
      <c r="F213" s="53">
        <f>D213*E213</f>
        <v>52.519467406311286</v>
      </c>
    </row>
    <row r="214" spans="1:6" ht="18.75" customHeight="1">
      <c r="A214" s="7">
        <v>1.3</v>
      </c>
      <c r="B214" s="52" t="s">
        <v>842</v>
      </c>
      <c r="C214" s="7"/>
      <c r="D214" s="53">
        <f>F205</f>
        <v>1094.1555709648185</v>
      </c>
      <c r="E214" s="56">
        <f>E190</f>
        <v>0</v>
      </c>
      <c r="F214" s="53">
        <f>D214*E214</f>
        <v>0</v>
      </c>
    </row>
    <row r="215" spans="1:6" ht="18.75" customHeight="1">
      <c r="A215" s="7">
        <v>2</v>
      </c>
      <c r="B215" s="52" t="s">
        <v>182</v>
      </c>
      <c r="C215" s="7"/>
      <c r="D215" s="53">
        <f>F204</f>
        <v>1146.6750383711299</v>
      </c>
      <c r="E215" s="56">
        <f>E191</f>
        <v>0.04</v>
      </c>
      <c r="F215" s="53">
        <f>D215*E215</f>
        <v>45.867001534845194</v>
      </c>
    </row>
    <row r="216" spans="1:6" ht="18.75" customHeight="1">
      <c r="A216" s="7">
        <v>3</v>
      </c>
      <c r="B216" s="52" t="s">
        <v>843</v>
      </c>
      <c r="C216" s="7"/>
      <c r="D216" s="53">
        <f>F204+F215</f>
        <v>1192.5420399059751</v>
      </c>
      <c r="E216" s="56">
        <f>E192</f>
        <v>7.0000000000000007E-2</v>
      </c>
      <c r="F216" s="53">
        <f>D216*E216</f>
        <v>83.477942793418265</v>
      </c>
    </row>
    <row r="217" spans="1:6" ht="18.75" customHeight="1">
      <c r="A217" s="7">
        <v>4</v>
      </c>
      <c r="B217" s="52" t="s">
        <v>184</v>
      </c>
      <c r="C217" s="7"/>
      <c r="D217" s="7"/>
      <c r="E217" s="7"/>
      <c r="F217" s="53">
        <f>F218</f>
        <v>449.11601280000002</v>
      </c>
    </row>
    <row r="218" spans="1:6" ht="18.75" customHeight="1">
      <c r="A218" s="7"/>
      <c r="B218" s="52" t="s">
        <v>516</v>
      </c>
      <c r="C218" s="7" t="s">
        <v>844</v>
      </c>
      <c r="D218" s="7">
        <f>B2</f>
        <v>3.51</v>
      </c>
      <c r="E218" s="66">
        <f>E208*台时!F22+土石方!E209*台时!H22+土石方!E210*台时!AP22</f>
        <v>127.95328000000001</v>
      </c>
      <c r="F218" s="53">
        <f>D218*E218</f>
        <v>449.11601280000002</v>
      </c>
    </row>
    <row r="219" spans="1:6" ht="18.75" customHeight="1">
      <c r="A219" s="7">
        <v>5</v>
      </c>
      <c r="B219" s="52" t="s">
        <v>845</v>
      </c>
      <c r="C219" s="7"/>
      <c r="D219" s="53">
        <f>F204+F215+F216+F217</f>
        <v>1725.1359954993936</v>
      </c>
      <c r="E219" s="56">
        <f>E195</f>
        <v>0.09</v>
      </c>
      <c r="F219" s="53">
        <f>D219*E219</f>
        <v>155.26223959494541</v>
      </c>
    </row>
    <row r="220" spans="1:6" ht="18.75" customHeight="1">
      <c r="A220" s="7">
        <v>6</v>
      </c>
      <c r="B220" s="52" t="s">
        <v>7</v>
      </c>
      <c r="C220" s="7"/>
      <c r="D220" s="7"/>
      <c r="E220" s="7"/>
      <c r="F220" s="53">
        <f>F204+F215+F216+F217+F219</f>
        <v>1880.398235094339</v>
      </c>
    </row>
    <row r="221" spans="1:6" ht="18.75" customHeight="1">
      <c r="A221" s="7"/>
      <c r="B221" s="52" t="s">
        <v>846</v>
      </c>
      <c r="C221" s="7"/>
      <c r="D221" s="53">
        <f>F220</f>
        <v>1880.398235094339</v>
      </c>
      <c r="E221" s="56">
        <f>E197</f>
        <v>0.03</v>
      </c>
      <c r="F221" s="53">
        <f>E221*D221</f>
        <v>56.411947052830172</v>
      </c>
    </row>
    <row r="222" spans="1:6" ht="18.75" customHeight="1">
      <c r="A222" s="7"/>
      <c r="B222" s="52" t="s">
        <v>44</v>
      </c>
      <c r="C222" s="7"/>
      <c r="D222" s="7"/>
      <c r="E222" s="7"/>
      <c r="F222" s="53">
        <f>SUM(F220:F221)</f>
        <v>1936.8101821471691</v>
      </c>
    </row>
    <row r="223" spans="1:6" ht="22.5" customHeight="1">
      <c r="A223" s="461" t="s">
        <v>928</v>
      </c>
      <c r="B223" s="461"/>
      <c r="C223" s="461"/>
      <c r="D223" s="461"/>
      <c r="E223" s="461"/>
      <c r="F223" s="461"/>
    </row>
    <row r="224" spans="1:6" ht="18.75" customHeight="1">
      <c r="A224" s="462" t="s">
        <v>1155</v>
      </c>
      <c r="B224" s="462"/>
      <c r="C224" s="462"/>
      <c r="D224" s="462"/>
      <c r="E224" s="462"/>
      <c r="F224" s="462"/>
    </row>
    <row r="225" spans="1:9" ht="18.75" customHeight="1">
      <c r="A225" s="47" t="s">
        <v>815</v>
      </c>
      <c r="B225" s="49">
        <v>1159</v>
      </c>
      <c r="D225" s="46"/>
      <c r="E225" s="47" t="s">
        <v>169</v>
      </c>
      <c r="F225" s="49" t="s">
        <v>869</v>
      </c>
    </row>
    <row r="226" spans="1:9" ht="18.75" customHeight="1">
      <c r="A226" s="50" t="s">
        <v>817</v>
      </c>
      <c r="B226" s="52" t="s">
        <v>1148</v>
      </c>
      <c r="C226" s="7"/>
      <c r="D226" s="7"/>
      <c r="E226" s="7"/>
      <c r="F226" s="7"/>
    </row>
    <row r="227" spans="1:9" ht="18.75" customHeight="1">
      <c r="A227" s="7" t="s">
        <v>1</v>
      </c>
      <c r="B227" s="52" t="s">
        <v>344</v>
      </c>
      <c r="C227" s="7" t="s">
        <v>818</v>
      </c>
      <c r="D227" s="7" t="s">
        <v>819</v>
      </c>
      <c r="E227" s="7" t="s">
        <v>820</v>
      </c>
      <c r="F227" s="7" t="s">
        <v>821</v>
      </c>
    </row>
    <row r="228" spans="1:9" ht="18.75" customHeight="1">
      <c r="A228" s="7">
        <v>1</v>
      </c>
      <c r="B228" s="52" t="s">
        <v>822</v>
      </c>
      <c r="C228" s="7"/>
      <c r="D228" s="7"/>
      <c r="E228" s="7"/>
      <c r="F228" s="53">
        <f>F229+F237+F238</f>
        <v>775.61546037793676</v>
      </c>
    </row>
    <row r="229" spans="1:9" ht="18.75" customHeight="1">
      <c r="A229" s="7">
        <v>1.1000000000000001</v>
      </c>
      <c r="B229" s="52" t="s">
        <v>823</v>
      </c>
      <c r="C229" s="7"/>
      <c r="D229" s="7"/>
      <c r="E229" s="7"/>
      <c r="F229" s="53">
        <f>F230+F231+F235</f>
        <v>740.09108814688625</v>
      </c>
    </row>
    <row r="230" spans="1:9" ht="18.75" customHeight="1">
      <c r="A230" s="7" t="s">
        <v>47</v>
      </c>
      <c r="B230" s="52" t="s">
        <v>1143</v>
      </c>
      <c r="C230" s="7" t="s">
        <v>825</v>
      </c>
      <c r="D230" s="7">
        <v>5.77</v>
      </c>
      <c r="E230" s="7">
        <f>5.2</f>
        <v>5.2</v>
      </c>
      <c r="F230" s="53">
        <f>D230*E230</f>
        <v>30.004000000000001</v>
      </c>
      <c r="I230" s="67"/>
    </row>
    <row r="231" spans="1:9" ht="18.75" customHeight="1">
      <c r="A231" s="7" t="s">
        <v>57</v>
      </c>
      <c r="B231" s="52" t="s">
        <v>836</v>
      </c>
      <c r="C231" s="7"/>
      <c r="D231" s="7"/>
      <c r="E231" s="7"/>
      <c r="F231" s="53">
        <f>F232+F233+F234</f>
        <v>674.8446553779869</v>
      </c>
    </row>
    <row r="232" spans="1:9" ht="18.75" customHeight="1">
      <c r="A232" s="7"/>
      <c r="B232" s="52" t="s">
        <v>1144</v>
      </c>
      <c r="C232" s="7" t="s">
        <v>863</v>
      </c>
      <c r="D232" s="66">
        <f>施工机械台时汇总!$C$6</f>
        <v>116.55532824128471</v>
      </c>
      <c r="E232" s="7">
        <f>1.04</f>
        <v>1.04</v>
      </c>
      <c r="F232" s="53">
        <f>D232*E232</f>
        <v>121.2175413709361</v>
      </c>
    </row>
    <row r="233" spans="1:9" ht="18.75" customHeight="1">
      <c r="A233" s="7"/>
      <c r="B233" s="52" t="s">
        <v>1145</v>
      </c>
      <c r="C233" s="7" t="s">
        <v>863</v>
      </c>
      <c r="D233" s="66">
        <f>施工机械台时汇总!$C$8</f>
        <v>66.167034077555797</v>
      </c>
      <c r="E233" s="7">
        <f>0.52</f>
        <v>0.52</v>
      </c>
      <c r="F233" s="53">
        <f>D233*E233</f>
        <v>34.406857720329015</v>
      </c>
    </row>
    <row r="234" spans="1:9" ht="18.75" customHeight="1">
      <c r="A234" s="7"/>
      <c r="B234" s="52" t="s">
        <v>1146</v>
      </c>
      <c r="C234" s="7" t="s">
        <v>863</v>
      </c>
      <c r="D234" s="66">
        <f>施工机械台时汇总!$C$47</f>
        <v>85.821529964747413</v>
      </c>
      <c r="E234" s="7">
        <v>6.05</v>
      </c>
      <c r="F234" s="53">
        <f>D234*E234</f>
        <v>519.22025628672179</v>
      </c>
    </row>
    <row r="235" spans="1:9" ht="18.75" customHeight="1">
      <c r="A235" s="7" t="s">
        <v>835</v>
      </c>
      <c r="B235" s="52" t="s">
        <v>864</v>
      </c>
      <c r="C235" s="7" t="s">
        <v>834</v>
      </c>
      <c r="D235" s="66">
        <f>F230+F231</f>
        <v>704.84865537798692</v>
      </c>
      <c r="E235" s="7">
        <v>5</v>
      </c>
      <c r="F235" s="53">
        <f>D235*E235/100</f>
        <v>35.242432768899342</v>
      </c>
    </row>
    <row r="236" spans="1:9" ht="18.75" customHeight="1">
      <c r="A236" s="7"/>
      <c r="B236" s="52"/>
      <c r="C236" s="7"/>
      <c r="D236" s="7"/>
      <c r="E236" s="7"/>
      <c r="F236" s="53"/>
    </row>
    <row r="237" spans="1:9" ht="18.75" customHeight="1">
      <c r="A237" s="7">
        <v>1.2</v>
      </c>
      <c r="B237" s="52" t="s">
        <v>841</v>
      </c>
      <c r="C237" s="7"/>
      <c r="D237" s="53">
        <f>F229</f>
        <v>740.09108814688625</v>
      </c>
      <c r="E237" s="56">
        <f>E213</f>
        <v>4.8000000000000001E-2</v>
      </c>
      <c r="F237" s="53">
        <f>D237*E237</f>
        <v>35.524372231050542</v>
      </c>
    </row>
    <row r="238" spans="1:9" ht="18.75" customHeight="1">
      <c r="A238" s="7">
        <v>1.3</v>
      </c>
      <c r="B238" s="52" t="s">
        <v>842</v>
      </c>
      <c r="C238" s="7"/>
      <c r="D238" s="53">
        <f>F229</f>
        <v>740.09108814688625</v>
      </c>
      <c r="E238" s="56">
        <f>E214</f>
        <v>0</v>
      </c>
      <c r="F238" s="53">
        <f>D238*E238</f>
        <v>0</v>
      </c>
    </row>
    <row r="239" spans="1:9" ht="18.75" customHeight="1">
      <c r="A239" s="7">
        <v>2</v>
      </c>
      <c r="B239" s="52" t="s">
        <v>182</v>
      </c>
      <c r="C239" s="7"/>
      <c r="D239" s="53">
        <f>F228</f>
        <v>775.61546037793676</v>
      </c>
      <c r="E239" s="56">
        <f>E215</f>
        <v>0.04</v>
      </c>
      <c r="F239" s="53">
        <f>D239*E239</f>
        <v>31.02461841511747</v>
      </c>
    </row>
    <row r="240" spans="1:9" ht="18.75" customHeight="1">
      <c r="A240" s="7">
        <v>3</v>
      </c>
      <c r="B240" s="52" t="s">
        <v>843</v>
      </c>
      <c r="C240" s="7"/>
      <c r="D240" s="53">
        <f>F228+F239</f>
        <v>806.64007879305427</v>
      </c>
      <c r="E240" s="56">
        <f>E216</f>
        <v>7.0000000000000007E-2</v>
      </c>
      <c r="F240" s="53">
        <f>D240*E240</f>
        <v>56.464805515513802</v>
      </c>
    </row>
    <row r="241" spans="1:6" ht="18.75" customHeight="1">
      <c r="A241" s="7">
        <v>4</v>
      </c>
      <c r="B241" s="52" t="s">
        <v>184</v>
      </c>
      <c r="C241" s="7"/>
      <c r="D241" s="7"/>
      <c r="E241" s="7"/>
      <c r="F241" s="53">
        <f>F242</f>
        <v>299.06603999999999</v>
      </c>
    </row>
    <row r="242" spans="1:6" ht="18.75" customHeight="1">
      <c r="A242" s="7"/>
      <c r="B242" s="52" t="s">
        <v>516</v>
      </c>
      <c r="C242" s="7" t="s">
        <v>844</v>
      </c>
      <c r="D242" s="7">
        <f>B2</f>
        <v>3.51</v>
      </c>
      <c r="E242" s="66">
        <f>E232*台时!F22+土石方!E233*台时!H22+土石方!E234*台时!AP22</f>
        <v>85.204000000000008</v>
      </c>
      <c r="F242" s="53">
        <f>D242*E242</f>
        <v>299.06603999999999</v>
      </c>
    </row>
    <row r="243" spans="1:6" ht="18.75" customHeight="1">
      <c r="A243" s="7">
        <v>5</v>
      </c>
      <c r="B243" s="52" t="s">
        <v>845</v>
      </c>
      <c r="C243" s="7"/>
      <c r="D243" s="53">
        <f>F228+F239+F240+F241</f>
        <v>1162.1709243085681</v>
      </c>
      <c r="E243" s="56">
        <f>E219</f>
        <v>0.09</v>
      </c>
      <c r="F243" s="53">
        <f>D243*E243</f>
        <v>104.59538318777113</v>
      </c>
    </row>
    <row r="244" spans="1:6" ht="18.75" customHeight="1">
      <c r="A244" s="7">
        <v>6</v>
      </c>
      <c r="B244" s="52" t="s">
        <v>7</v>
      </c>
      <c r="C244" s="7"/>
      <c r="D244" s="7"/>
      <c r="E244" s="7"/>
      <c r="F244" s="53">
        <f>F228+F239+F240+F241+F243</f>
        <v>1266.7663074963393</v>
      </c>
    </row>
    <row r="245" spans="1:6" ht="18.75" customHeight="1">
      <c r="A245" s="7"/>
      <c r="B245" s="52" t="s">
        <v>846</v>
      </c>
      <c r="C245" s="7"/>
      <c r="D245" s="53">
        <f>F244</f>
        <v>1266.7663074963393</v>
      </c>
      <c r="E245" s="56">
        <f>E221</f>
        <v>0.03</v>
      </c>
      <c r="F245" s="53">
        <f>E245*D245</f>
        <v>38.002989224890179</v>
      </c>
    </row>
    <row r="246" spans="1:6" ht="18.75" customHeight="1">
      <c r="A246" s="7"/>
      <c r="B246" s="52" t="s">
        <v>44</v>
      </c>
      <c r="C246" s="7"/>
      <c r="D246" s="7"/>
      <c r="E246" s="7"/>
      <c r="F246" s="53">
        <f>SUM(F244:F245)</f>
        <v>1304.7692967212295</v>
      </c>
    </row>
    <row r="247" spans="1:6" ht="18.75">
      <c r="A247" s="461" t="s">
        <v>928</v>
      </c>
      <c r="B247" s="461"/>
      <c r="C247" s="461"/>
      <c r="D247" s="461"/>
      <c r="E247" s="461"/>
      <c r="F247" s="461"/>
    </row>
    <row r="248" spans="1:6" ht="18.75" customHeight="1">
      <c r="A248" s="462" t="s">
        <v>1156</v>
      </c>
      <c r="B248" s="462"/>
      <c r="C248" s="462"/>
      <c r="D248" s="462"/>
      <c r="E248" s="462"/>
      <c r="F248" s="462"/>
    </row>
    <row r="249" spans="1:6" ht="18.75" customHeight="1">
      <c r="A249" s="47" t="s">
        <v>815</v>
      </c>
      <c r="B249" s="49">
        <v>1146</v>
      </c>
      <c r="D249" s="46"/>
      <c r="E249" s="47" t="s">
        <v>169</v>
      </c>
      <c r="F249" s="49" t="s">
        <v>869</v>
      </c>
    </row>
    <row r="250" spans="1:6" ht="18.75" customHeight="1">
      <c r="A250" s="50" t="s">
        <v>817</v>
      </c>
      <c r="B250" s="482"/>
      <c r="C250" s="482"/>
      <c r="D250" s="482"/>
      <c r="E250" s="482"/>
      <c r="F250" s="482"/>
    </row>
    <row r="251" spans="1:6" ht="18.75" customHeight="1">
      <c r="A251" s="7" t="s">
        <v>1</v>
      </c>
      <c r="B251" s="52" t="s">
        <v>344</v>
      </c>
      <c r="C251" s="7" t="s">
        <v>818</v>
      </c>
      <c r="D251" s="7" t="s">
        <v>819</v>
      </c>
      <c r="E251" s="7" t="s">
        <v>820</v>
      </c>
      <c r="F251" s="7" t="s">
        <v>821</v>
      </c>
    </row>
    <row r="252" spans="1:6" ht="18.75" customHeight="1">
      <c r="A252" s="7">
        <v>1</v>
      </c>
      <c r="B252" s="52" t="s">
        <v>822</v>
      </c>
      <c r="C252" s="7"/>
      <c r="D252" s="7"/>
      <c r="E252" s="7"/>
      <c r="F252" s="53">
        <f>F253+F259+F260</f>
        <v>168.1114092</v>
      </c>
    </row>
    <row r="253" spans="1:6" ht="18.75" customHeight="1">
      <c r="A253" s="7">
        <v>1.1000000000000001</v>
      </c>
      <c r="B253" s="52" t="s">
        <v>823</v>
      </c>
      <c r="C253" s="7"/>
      <c r="D253" s="7"/>
      <c r="E253" s="7"/>
      <c r="F253" s="53">
        <f>F254+F255+F257</f>
        <v>160.41165000000001</v>
      </c>
    </row>
    <row r="254" spans="1:6" ht="18.75" customHeight="1">
      <c r="A254" s="7" t="s">
        <v>47</v>
      </c>
      <c r="B254" s="52" t="s">
        <v>1143</v>
      </c>
      <c r="C254" s="7" t="s">
        <v>825</v>
      </c>
      <c r="D254" s="7">
        <v>5.77</v>
      </c>
      <c r="E254" s="7">
        <v>4.0999999999999996</v>
      </c>
      <c r="F254" s="53">
        <f>D254*E254</f>
        <v>23.657</v>
      </c>
    </row>
    <row r="255" spans="1:6" ht="18.75" customHeight="1">
      <c r="A255" s="7" t="s">
        <v>57</v>
      </c>
      <c r="B255" s="52" t="s">
        <v>836</v>
      </c>
      <c r="C255" s="7"/>
      <c r="D255" s="7"/>
      <c r="E255" s="7"/>
      <c r="F255" s="53">
        <f>F256</f>
        <v>129.11600000000001</v>
      </c>
    </row>
    <row r="256" spans="1:6" ht="18.75" customHeight="1">
      <c r="A256" s="7"/>
      <c r="B256" s="52" t="s">
        <v>1144</v>
      </c>
      <c r="C256" s="7" t="s">
        <v>863</v>
      </c>
      <c r="D256" s="66">
        <v>124.15</v>
      </c>
      <c r="E256" s="7">
        <v>1.04</v>
      </c>
      <c r="F256" s="53">
        <f>D256*E256</f>
        <v>129.11600000000001</v>
      </c>
    </row>
    <row r="257" spans="1:6" ht="18.75" customHeight="1">
      <c r="A257" s="7" t="s">
        <v>835</v>
      </c>
      <c r="B257" s="52" t="s">
        <v>864</v>
      </c>
      <c r="C257" s="7" t="s">
        <v>834</v>
      </c>
      <c r="D257" s="66">
        <f>F254+F255</f>
        <v>152.773</v>
      </c>
      <c r="E257" s="7">
        <v>5</v>
      </c>
      <c r="F257" s="53">
        <f>D257*E257/100</f>
        <v>7.6386500000000002</v>
      </c>
    </row>
    <row r="258" spans="1:6" ht="18.75" customHeight="1">
      <c r="A258" s="7"/>
      <c r="B258" s="52"/>
      <c r="C258" s="7"/>
      <c r="D258" s="7"/>
      <c r="E258" s="7"/>
      <c r="F258" s="53"/>
    </row>
    <row r="259" spans="1:6" ht="18.75" customHeight="1">
      <c r="A259" s="7">
        <v>1.2</v>
      </c>
      <c r="B259" s="52" t="s">
        <v>841</v>
      </c>
      <c r="C259" s="7"/>
      <c r="D259" s="53">
        <f>F253</f>
        <v>160.41165000000001</v>
      </c>
      <c r="E259" s="56">
        <f>E189</f>
        <v>4.8000000000000001E-2</v>
      </c>
      <c r="F259" s="53">
        <f>D259*E259</f>
        <v>7.6997592000000008</v>
      </c>
    </row>
    <row r="260" spans="1:6" ht="18.75" customHeight="1">
      <c r="A260" s="7">
        <v>1.3</v>
      </c>
      <c r="B260" s="52" t="s">
        <v>842</v>
      </c>
      <c r="C260" s="7"/>
      <c r="D260" s="53">
        <f>F253</f>
        <v>160.41165000000001</v>
      </c>
      <c r="E260" s="56">
        <f>E190</f>
        <v>0</v>
      </c>
      <c r="F260" s="53">
        <f>D260*E260</f>
        <v>0</v>
      </c>
    </row>
    <row r="261" spans="1:6" ht="18.75" customHeight="1">
      <c r="A261" s="7">
        <v>2</v>
      </c>
      <c r="B261" s="52" t="s">
        <v>182</v>
      </c>
      <c r="C261" s="7"/>
      <c r="D261" s="53">
        <f>F252</f>
        <v>168.1114092</v>
      </c>
      <c r="E261" s="56">
        <f>E191</f>
        <v>0.04</v>
      </c>
      <c r="F261" s="53">
        <f>D261*E261</f>
        <v>6.7244563680000002</v>
      </c>
    </row>
    <row r="262" spans="1:6" ht="18.75" customHeight="1">
      <c r="A262" s="7">
        <v>3</v>
      </c>
      <c r="B262" s="52" t="s">
        <v>843</v>
      </c>
      <c r="C262" s="7"/>
      <c r="D262" s="53">
        <f>F252+F261</f>
        <v>174.835865568</v>
      </c>
      <c r="E262" s="56">
        <f>E192</f>
        <v>7.0000000000000007E-2</v>
      </c>
      <c r="F262" s="53">
        <f>D262*E262</f>
        <v>12.238510589760001</v>
      </c>
    </row>
    <row r="263" spans="1:6" ht="18.75" customHeight="1">
      <c r="A263" s="7">
        <v>4</v>
      </c>
      <c r="B263" s="52" t="s">
        <v>184</v>
      </c>
      <c r="C263" s="7"/>
      <c r="D263" s="7"/>
      <c r="E263" s="7"/>
      <c r="F263" s="53">
        <f>F264</f>
        <v>48.037600000000005</v>
      </c>
    </row>
    <row r="264" spans="1:6" ht="18.75" customHeight="1">
      <c r="A264" s="7"/>
      <c r="B264" s="52" t="s">
        <v>516</v>
      </c>
      <c r="C264" s="7" t="s">
        <v>844</v>
      </c>
      <c r="D264" s="7">
        <v>3.1</v>
      </c>
      <c r="E264" s="7">
        <f>E256*台时!F22</f>
        <v>15.496</v>
      </c>
      <c r="F264" s="53">
        <f>D264*E264</f>
        <v>48.037600000000005</v>
      </c>
    </row>
    <row r="265" spans="1:6" ht="18.75" customHeight="1">
      <c r="A265" s="7">
        <v>5</v>
      </c>
      <c r="B265" s="52" t="s">
        <v>845</v>
      </c>
      <c r="C265" s="7"/>
      <c r="D265" s="53">
        <f>F252+F261+F262+F263</f>
        <v>235.11197615776001</v>
      </c>
      <c r="E265" s="56">
        <f>E195</f>
        <v>0.09</v>
      </c>
      <c r="F265" s="53">
        <f>D265*E265</f>
        <v>21.160077854198398</v>
      </c>
    </row>
    <row r="266" spans="1:6" ht="18.75" customHeight="1">
      <c r="A266" s="7">
        <v>6</v>
      </c>
      <c r="B266" s="52" t="s">
        <v>7</v>
      </c>
      <c r="C266" s="7"/>
      <c r="D266" s="7"/>
      <c r="E266" s="7"/>
      <c r="F266" s="53">
        <f>F252+F261+F262+F263+F265</f>
        <v>256.2720540119584</v>
      </c>
    </row>
    <row r="267" spans="1:6" ht="18.75" customHeight="1">
      <c r="A267" s="7"/>
      <c r="B267" s="52" t="s">
        <v>846</v>
      </c>
      <c r="C267" s="7"/>
      <c r="D267" s="53">
        <f>F266</f>
        <v>256.2720540119584</v>
      </c>
      <c r="E267" s="56">
        <f>E197</f>
        <v>0.03</v>
      </c>
      <c r="F267" s="53">
        <f>E267*D267</f>
        <v>7.6881616203587519</v>
      </c>
    </row>
    <row r="268" spans="1:6" ht="18.75" customHeight="1">
      <c r="A268" s="7"/>
      <c r="B268" s="52" t="s">
        <v>44</v>
      </c>
      <c r="C268" s="7"/>
      <c r="D268" s="7"/>
      <c r="E268" s="7"/>
      <c r="F268" s="53">
        <f>SUM(F266:F267)</f>
        <v>263.96021563231716</v>
      </c>
    </row>
    <row r="269" spans="1:6" ht="18.75">
      <c r="A269" s="461" t="s">
        <v>928</v>
      </c>
      <c r="B269" s="461"/>
      <c r="C269" s="461"/>
      <c r="D269" s="461"/>
      <c r="E269" s="461"/>
      <c r="F269" s="461"/>
    </row>
    <row r="270" spans="1:6" ht="18.75" customHeight="1">
      <c r="A270" s="462" t="s">
        <v>1157</v>
      </c>
      <c r="B270" s="462"/>
      <c r="C270" s="462"/>
      <c r="D270" s="462"/>
      <c r="E270" s="462"/>
      <c r="F270" s="462"/>
    </row>
    <row r="271" spans="1:6" ht="18.75" customHeight="1">
      <c r="A271" s="47" t="s">
        <v>815</v>
      </c>
      <c r="B271" s="49">
        <v>1133</v>
      </c>
      <c r="D271" s="46"/>
      <c r="E271" s="47" t="s">
        <v>169</v>
      </c>
      <c r="F271" s="49" t="s">
        <v>869</v>
      </c>
    </row>
    <row r="272" spans="1:6" ht="18.75" customHeight="1">
      <c r="A272" s="50" t="s">
        <v>817</v>
      </c>
      <c r="B272" s="482"/>
      <c r="C272" s="482"/>
      <c r="D272" s="482"/>
      <c r="E272" s="482"/>
      <c r="F272" s="482"/>
    </row>
    <row r="273" spans="1:6" ht="18.75" customHeight="1">
      <c r="A273" s="7" t="s">
        <v>1</v>
      </c>
      <c r="B273" s="52" t="s">
        <v>344</v>
      </c>
      <c r="C273" s="7" t="s">
        <v>818</v>
      </c>
      <c r="D273" s="7" t="s">
        <v>819</v>
      </c>
      <c r="E273" s="7" t="s">
        <v>820</v>
      </c>
      <c r="F273" s="7" t="s">
        <v>821</v>
      </c>
    </row>
    <row r="274" spans="1:6" ht="18.75" customHeight="1">
      <c r="A274" s="7">
        <v>1</v>
      </c>
      <c r="B274" s="52" t="s">
        <v>822</v>
      </c>
      <c r="C274" s="7"/>
      <c r="D274" s="7"/>
      <c r="E274" s="7"/>
      <c r="F274" s="53">
        <f>F275+F281+F282</f>
        <v>169.00691943333169</v>
      </c>
    </row>
    <row r="275" spans="1:6" ht="18.75" customHeight="1">
      <c r="A275" s="7">
        <v>1.1000000000000001</v>
      </c>
      <c r="B275" s="52" t="s">
        <v>823</v>
      </c>
      <c r="C275" s="7"/>
      <c r="D275" s="7"/>
      <c r="E275" s="7"/>
      <c r="F275" s="53">
        <f>F276+F277+F279</f>
        <v>161.26614449745389</v>
      </c>
    </row>
    <row r="276" spans="1:6" ht="18.75" customHeight="1">
      <c r="A276" s="7" t="s">
        <v>47</v>
      </c>
      <c r="B276" s="52" t="s">
        <v>1143</v>
      </c>
      <c r="C276" s="7" t="s">
        <v>825</v>
      </c>
      <c r="D276" s="7">
        <v>5.77</v>
      </c>
      <c r="E276" s="7">
        <v>2.1</v>
      </c>
      <c r="F276" s="53">
        <f>D276*E276</f>
        <v>12.117000000000001</v>
      </c>
    </row>
    <row r="277" spans="1:6" ht="18.75" customHeight="1">
      <c r="A277" s="7" t="s">
        <v>57</v>
      </c>
      <c r="B277" s="52" t="s">
        <v>836</v>
      </c>
      <c r="C277" s="7"/>
      <c r="D277" s="7"/>
      <c r="E277" s="7"/>
      <c r="F277" s="53">
        <f>F278</f>
        <v>134.48858590677628</v>
      </c>
    </row>
    <row r="278" spans="1:6" ht="18.75" customHeight="1">
      <c r="A278" s="7"/>
      <c r="B278" s="52" t="s">
        <v>1158</v>
      </c>
      <c r="C278" s="7" t="s">
        <v>863</v>
      </c>
      <c r="D278" s="66">
        <f>施工机械台时汇总!$C$9</f>
        <v>89.065288679984292</v>
      </c>
      <c r="E278" s="7">
        <v>1.51</v>
      </c>
      <c r="F278" s="53">
        <f>D278*E278</f>
        <v>134.48858590677628</v>
      </c>
    </row>
    <row r="279" spans="1:6" ht="18.75" customHeight="1">
      <c r="A279" s="7" t="s">
        <v>835</v>
      </c>
      <c r="B279" s="52" t="s">
        <v>864</v>
      </c>
      <c r="C279" s="7" t="s">
        <v>834</v>
      </c>
      <c r="D279" s="66">
        <f>F276+F277</f>
        <v>146.60558590677627</v>
      </c>
      <c r="E279" s="7">
        <v>10</v>
      </c>
      <c r="F279" s="53">
        <f>D279*E279/100</f>
        <v>14.660558590677626</v>
      </c>
    </row>
    <row r="280" spans="1:6" ht="18.75" customHeight="1">
      <c r="A280" s="7"/>
      <c r="B280" s="52"/>
      <c r="C280" s="7"/>
      <c r="D280" s="7"/>
      <c r="E280" s="7"/>
      <c r="F280" s="53"/>
    </row>
    <row r="281" spans="1:6" ht="18.75" customHeight="1">
      <c r="A281" s="7">
        <v>1.2</v>
      </c>
      <c r="B281" s="52" t="s">
        <v>841</v>
      </c>
      <c r="C281" s="7"/>
      <c r="D281" s="53">
        <f>F275</f>
        <v>161.26614449745389</v>
      </c>
      <c r="E281" s="56">
        <f>E259</f>
        <v>4.8000000000000001E-2</v>
      </c>
      <c r="F281" s="53">
        <f>D281*E281</f>
        <v>7.7407749358777869</v>
      </c>
    </row>
    <row r="282" spans="1:6" ht="18.75" customHeight="1">
      <c r="A282" s="7">
        <v>1.3</v>
      </c>
      <c r="B282" s="52" t="s">
        <v>842</v>
      </c>
      <c r="C282" s="7"/>
      <c r="D282" s="53">
        <f>F275</f>
        <v>161.26614449745389</v>
      </c>
      <c r="E282" s="56">
        <f>E260</f>
        <v>0</v>
      </c>
      <c r="F282" s="53">
        <f>D282*E282</f>
        <v>0</v>
      </c>
    </row>
    <row r="283" spans="1:6" ht="18.75" customHeight="1">
      <c r="A283" s="7">
        <v>2</v>
      </c>
      <c r="B283" s="52" t="s">
        <v>182</v>
      </c>
      <c r="C283" s="7"/>
      <c r="D283" s="53">
        <f>F274</f>
        <v>169.00691943333169</v>
      </c>
      <c r="E283" s="56">
        <f>E261</f>
        <v>0.04</v>
      </c>
      <c r="F283" s="53">
        <f>D283*E283</f>
        <v>6.7602767773332673</v>
      </c>
    </row>
    <row r="284" spans="1:6" ht="18.75" customHeight="1">
      <c r="A284" s="7">
        <v>3</v>
      </c>
      <c r="B284" s="52" t="s">
        <v>843</v>
      </c>
      <c r="C284" s="7"/>
      <c r="D284" s="53">
        <f>F274+F283</f>
        <v>175.76719621066496</v>
      </c>
      <c r="E284" s="56">
        <f>E262</f>
        <v>7.0000000000000007E-2</v>
      </c>
      <c r="F284" s="53">
        <f>D284*E284</f>
        <v>12.303703734746549</v>
      </c>
    </row>
    <row r="285" spans="1:6" ht="18.75" customHeight="1">
      <c r="A285" s="7">
        <v>4</v>
      </c>
      <c r="B285" s="52" t="s">
        <v>184</v>
      </c>
      <c r="C285" s="7"/>
      <c r="D285" s="7"/>
      <c r="E285" s="7"/>
      <c r="F285" s="53">
        <f>F286</f>
        <v>49.618600000000001</v>
      </c>
    </row>
    <row r="286" spans="1:6" ht="18.75" customHeight="1">
      <c r="A286" s="7"/>
      <c r="B286" s="52" t="s">
        <v>516</v>
      </c>
      <c r="C286" s="7" t="s">
        <v>844</v>
      </c>
      <c r="D286" s="7">
        <f>D264</f>
        <v>3.1</v>
      </c>
      <c r="E286" s="66">
        <f>E278*台时!I22</f>
        <v>16.006</v>
      </c>
      <c r="F286" s="53">
        <f>D286*E286</f>
        <v>49.618600000000001</v>
      </c>
    </row>
    <row r="287" spans="1:6" ht="18.75" customHeight="1">
      <c r="A287" s="7">
        <v>5</v>
      </c>
      <c r="B287" s="52" t="s">
        <v>845</v>
      </c>
      <c r="C287" s="7"/>
      <c r="D287" s="53">
        <f>F274+F283+F284+F285</f>
        <v>237.68949994541151</v>
      </c>
      <c r="E287" s="56">
        <f>E265</f>
        <v>0.09</v>
      </c>
      <c r="F287" s="53">
        <f>D287*E287</f>
        <v>21.392054995087037</v>
      </c>
    </row>
    <row r="288" spans="1:6" ht="18.75" customHeight="1">
      <c r="A288" s="7">
        <v>6</v>
      </c>
      <c r="B288" s="52" t="s">
        <v>7</v>
      </c>
      <c r="C288" s="7"/>
      <c r="D288" s="7"/>
      <c r="E288" s="7"/>
      <c r="F288" s="53">
        <f>F274+F283+F284+F285+F287</f>
        <v>259.08155494049856</v>
      </c>
    </row>
    <row r="289" spans="1:6" ht="18.75" customHeight="1">
      <c r="A289" s="7"/>
      <c r="B289" s="52" t="s">
        <v>846</v>
      </c>
      <c r="C289" s="7"/>
      <c r="D289" s="53">
        <f>F288</f>
        <v>259.08155494049856</v>
      </c>
      <c r="E289" s="56">
        <f>E267</f>
        <v>0.03</v>
      </c>
      <c r="F289" s="53">
        <f>E289*D289</f>
        <v>7.7724466482149568</v>
      </c>
    </row>
    <row r="290" spans="1:6" ht="18.75" customHeight="1">
      <c r="A290" s="7"/>
      <c r="B290" s="52" t="s">
        <v>44</v>
      </c>
      <c r="C290" s="7"/>
      <c r="D290" s="7"/>
      <c r="E290" s="7"/>
      <c r="F290" s="53">
        <f>SUM(F288:F289)</f>
        <v>266.85400158871352</v>
      </c>
    </row>
    <row r="291" spans="1:6" ht="19.5">
      <c r="A291" s="461" t="s">
        <v>813</v>
      </c>
      <c r="B291" s="461"/>
      <c r="C291" s="461"/>
      <c r="D291" s="461"/>
      <c r="E291" s="461"/>
      <c r="F291" s="461"/>
    </row>
    <row r="292" spans="1:6" ht="18.75" customHeight="1">
      <c r="A292" s="462" t="s">
        <v>1159</v>
      </c>
      <c r="B292" s="462"/>
      <c r="C292" s="462"/>
      <c r="D292" s="462"/>
      <c r="E292" s="462"/>
      <c r="F292" s="462"/>
    </row>
    <row r="293" spans="1:6" ht="18.75" customHeight="1">
      <c r="A293" s="47" t="s">
        <v>815</v>
      </c>
      <c r="B293" s="49">
        <v>1080</v>
      </c>
      <c r="D293" s="46"/>
      <c r="E293" s="47" t="s">
        <v>169</v>
      </c>
      <c r="F293" s="49" t="s">
        <v>869</v>
      </c>
    </row>
    <row r="294" spans="1:6" ht="18.75" customHeight="1">
      <c r="A294" s="50" t="s">
        <v>817</v>
      </c>
      <c r="B294" s="458"/>
      <c r="C294" s="459"/>
      <c r="D294" s="459"/>
      <c r="E294" s="459"/>
      <c r="F294" s="460"/>
    </row>
    <row r="295" spans="1:6" ht="18.75" customHeight="1">
      <c r="A295" s="7" t="s">
        <v>1</v>
      </c>
      <c r="B295" s="52" t="s">
        <v>344</v>
      </c>
      <c r="C295" s="7" t="s">
        <v>818</v>
      </c>
      <c r="D295" s="7" t="s">
        <v>819</v>
      </c>
      <c r="E295" s="7" t="s">
        <v>820</v>
      </c>
      <c r="F295" s="7" t="s">
        <v>821</v>
      </c>
    </row>
    <row r="296" spans="1:6" ht="18.75" customHeight="1">
      <c r="A296" s="7">
        <v>1</v>
      </c>
      <c r="B296" s="52" t="s">
        <v>822</v>
      </c>
      <c r="C296" s="7"/>
      <c r="D296" s="7"/>
      <c r="E296" s="7"/>
      <c r="F296" s="53">
        <f>F297+F305+F306</f>
        <v>1036.1236874424756</v>
      </c>
    </row>
    <row r="297" spans="1:6" ht="18.75" customHeight="1">
      <c r="A297" s="7">
        <v>1.1000000000000001</v>
      </c>
      <c r="B297" s="52" t="s">
        <v>823</v>
      </c>
      <c r="C297" s="7"/>
      <c r="D297" s="7"/>
      <c r="E297" s="7"/>
      <c r="F297" s="53">
        <f>F298+F301+F303</f>
        <v>988.66764068938505</v>
      </c>
    </row>
    <row r="298" spans="1:6" ht="18.75" customHeight="1">
      <c r="A298" s="7" t="s">
        <v>47</v>
      </c>
      <c r="B298" s="52" t="s">
        <v>176</v>
      </c>
      <c r="C298" s="7"/>
      <c r="D298" s="7"/>
      <c r="E298" s="7"/>
      <c r="F298" s="53">
        <f>F299+F300</f>
        <v>922.57799999999997</v>
      </c>
    </row>
    <row r="299" spans="1:6" ht="18.75" customHeight="1">
      <c r="A299" s="7"/>
      <c r="B299" s="52" t="s">
        <v>824</v>
      </c>
      <c r="C299" s="7" t="s">
        <v>825</v>
      </c>
      <c r="D299" s="7">
        <v>8.1</v>
      </c>
      <c r="E299" s="7">
        <v>3.2</v>
      </c>
      <c r="F299" s="53">
        <f>D299*E299</f>
        <v>25.92</v>
      </c>
    </row>
    <row r="300" spans="1:6" ht="18.75" customHeight="1">
      <c r="A300" s="7"/>
      <c r="B300" s="52" t="s">
        <v>826</v>
      </c>
      <c r="C300" s="7" t="s">
        <v>825</v>
      </c>
      <c r="D300" s="7">
        <v>5.77</v>
      </c>
      <c r="E300" s="7">
        <v>155.4</v>
      </c>
      <c r="F300" s="53">
        <f>D300*E300</f>
        <v>896.65800000000002</v>
      </c>
    </row>
    <row r="301" spans="1:6" ht="18.75" customHeight="1">
      <c r="A301" s="7" t="s">
        <v>57</v>
      </c>
      <c r="B301" s="52" t="s">
        <v>836</v>
      </c>
      <c r="C301" s="7"/>
      <c r="D301" s="7"/>
      <c r="E301" s="7"/>
      <c r="F301" s="53">
        <f>F302</f>
        <v>47.638080689385056</v>
      </c>
    </row>
    <row r="302" spans="1:6" ht="18.75" customHeight="1">
      <c r="A302" s="7"/>
      <c r="B302" s="52" t="s">
        <v>862</v>
      </c>
      <c r="C302" s="7" t="s">
        <v>863</v>
      </c>
      <c r="D302" s="7">
        <f>施工机械台时汇总!$C$19</f>
        <v>0.80266353309831595</v>
      </c>
      <c r="E302" s="7">
        <v>59.35</v>
      </c>
      <c r="F302" s="53">
        <f>D302*E302</f>
        <v>47.638080689385056</v>
      </c>
    </row>
    <row r="303" spans="1:6" ht="18.75" customHeight="1">
      <c r="A303" s="7" t="s">
        <v>835</v>
      </c>
      <c r="B303" s="52" t="s">
        <v>864</v>
      </c>
      <c r="C303" s="7" t="s">
        <v>834</v>
      </c>
      <c r="D303" s="66">
        <f>F298</f>
        <v>922.57799999999997</v>
      </c>
      <c r="E303" s="7">
        <v>2</v>
      </c>
      <c r="F303" s="53">
        <f>D303*E303/100</f>
        <v>18.451560000000001</v>
      </c>
    </row>
    <row r="304" spans="1:6" ht="18.75" customHeight="1">
      <c r="A304" s="7"/>
      <c r="B304" s="52"/>
      <c r="C304" s="7"/>
      <c r="D304" s="7"/>
      <c r="E304" s="7"/>
      <c r="F304" s="53"/>
    </row>
    <row r="305" spans="1:6" ht="18.75" customHeight="1">
      <c r="A305" s="7">
        <v>1.2</v>
      </c>
      <c r="B305" s="52" t="s">
        <v>841</v>
      </c>
      <c r="C305" s="7"/>
      <c r="D305" s="53">
        <f>F297</f>
        <v>988.66764068938505</v>
      </c>
      <c r="E305" s="56">
        <f>E281</f>
        <v>4.8000000000000001E-2</v>
      </c>
      <c r="F305" s="53">
        <f>D305*E305</f>
        <v>47.456046753090483</v>
      </c>
    </row>
    <row r="306" spans="1:6" ht="18.75" customHeight="1">
      <c r="A306" s="7">
        <v>1.3</v>
      </c>
      <c r="B306" s="52" t="s">
        <v>842</v>
      </c>
      <c r="C306" s="7"/>
      <c r="D306" s="53">
        <f>F297</f>
        <v>988.66764068938505</v>
      </c>
      <c r="E306" s="56">
        <f>E282</f>
        <v>0</v>
      </c>
      <c r="F306" s="53">
        <f>D306*E306</f>
        <v>0</v>
      </c>
    </row>
    <row r="307" spans="1:6" ht="18.75" customHeight="1">
      <c r="A307" s="7">
        <v>2</v>
      </c>
      <c r="B307" s="52" t="s">
        <v>182</v>
      </c>
      <c r="C307" s="7"/>
      <c r="D307" s="53">
        <f>F296</f>
        <v>1036.1236874424756</v>
      </c>
      <c r="E307" s="56">
        <f>E283</f>
        <v>0.04</v>
      </c>
      <c r="F307" s="53">
        <f>D307*E307</f>
        <v>41.444947497699026</v>
      </c>
    </row>
    <row r="308" spans="1:6" ht="18.75" customHeight="1">
      <c r="A308" s="7">
        <v>3</v>
      </c>
      <c r="B308" s="52" t="s">
        <v>843</v>
      </c>
      <c r="C308" s="7"/>
      <c r="D308" s="53">
        <f>F296+F307</f>
        <v>1077.5686349401747</v>
      </c>
      <c r="E308" s="56">
        <f>E284</f>
        <v>7.0000000000000007E-2</v>
      </c>
      <c r="F308" s="53">
        <f>D308*E308</f>
        <v>75.429804445812238</v>
      </c>
    </row>
    <row r="309" spans="1:6" ht="18.75" customHeight="1">
      <c r="A309" s="7">
        <v>4</v>
      </c>
      <c r="B309" s="52" t="s">
        <v>845</v>
      </c>
      <c r="C309" s="7"/>
      <c r="D309" s="53">
        <f>F296+F307+F308</f>
        <v>1152.9984393859868</v>
      </c>
      <c r="E309" s="56">
        <f>E287</f>
        <v>0.09</v>
      </c>
      <c r="F309" s="53">
        <f>D309*E309</f>
        <v>103.76985954473881</v>
      </c>
    </row>
    <row r="310" spans="1:6" ht="18.75" customHeight="1">
      <c r="A310" s="7">
        <v>5</v>
      </c>
      <c r="B310" s="52" t="s">
        <v>7</v>
      </c>
      <c r="C310" s="7"/>
      <c r="D310" s="7"/>
      <c r="E310" s="7"/>
      <c r="F310" s="53">
        <f>F296+F307+F308+F309</f>
        <v>1256.7682989307257</v>
      </c>
    </row>
    <row r="311" spans="1:6" ht="18.75" customHeight="1">
      <c r="A311" s="7"/>
      <c r="B311" s="52" t="s">
        <v>846</v>
      </c>
      <c r="C311" s="7"/>
      <c r="D311" s="53">
        <f>F310</f>
        <v>1256.7682989307257</v>
      </c>
      <c r="E311" s="56">
        <f>E289</f>
        <v>0.03</v>
      </c>
      <c r="F311" s="53">
        <f>E311*D311</f>
        <v>37.703048967921767</v>
      </c>
    </row>
    <row r="312" spans="1:6" ht="18.75" customHeight="1">
      <c r="A312" s="7"/>
      <c r="B312" s="52" t="s">
        <v>44</v>
      </c>
      <c r="C312" s="7"/>
      <c r="D312" s="7"/>
      <c r="E312" s="7"/>
      <c r="F312" s="53">
        <f>SUM(F310:F311)</f>
        <v>1294.4713478986475</v>
      </c>
    </row>
    <row r="313" spans="1:6" ht="24.75" customHeight="1">
      <c r="A313" s="461" t="s">
        <v>813</v>
      </c>
      <c r="B313" s="461"/>
      <c r="C313" s="461"/>
      <c r="D313" s="461"/>
      <c r="E313" s="461"/>
      <c r="F313" s="461"/>
    </row>
    <row r="314" spans="1:6" ht="18.75" customHeight="1">
      <c r="A314" s="462" t="s">
        <v>1160</v>
      </c>
      <c r="B314" s="462"/>
      <c r="C314" s="462"/>
      <c r="D314" s="462"/>
      <c r="E314" s="462"/>
      <c r="F314" s="462"/>
    </row>
    <row r="315" spans="1:6" ht="18" customHeight="1">
      <c r="A315" s="47" t="s">
        <v>815</v>
      </c>
      <c r="B315" s="49">
        <v>1034</v>
      </c>
      <c r="D315" s="46"/>
      <c r="E315" s="47" t="s">
        <v>169</v>
      </c>
      <c r="F315" s="49" t="s">
        <v>869</v>
      </c>
    </row>
    <row r="316" spans="1:6" ht="18.75" customHeight="1">
      <c r="A316" s="50" t="s">
        <v>817</v>
      </c>
      <c r="B316" s="487" t="s">
        <v>1142</v>
      </c>
      <c r="C316" s="487"/>
      <c r="D316" s="487"/>
      <c r="E316" s="487"/>
      <c r="F316" s="487"/>
    </row>
    <row r="317" spans="1:6" ht="18.75" customHeight="1">
      <c r="A317" s="7" t="s">
        <v>1</v>
      </c>
      <c r="B317" s="52" t="s">
        <v>344</v>
      </c>
      <c r="C317" s="7" t="s">
        <v>818</v>
      </c>
      <c r="D317" s="7" t="s">
        <v>819</v>
      </c>
      <c r="E317" s="7" t="s">
        <v>820</v>
      </c>
      <c r="F317" s="7" t="s">
        <v>821</v>
      </c>
    </row>
    <row r="318" spans="1:6" ht="18.75" customHeight="1">
      <c r="A318" s="7">
        <v>1</v>
      </c>
      <c r="B318" s="52" t="s">
        <v>822</v>
      </c>
      <c r="C318" s="7"/>
      <c r="D318" s="7"/>
      <c r="E318" s="7"/>
      <c r="F318" s="53">
        <f>F319+F327+F328</f>
        <v>745.50873839999997</v>
      </c>
    </row>
    <row r="319" spans="1:6" ht="18.75" customHeight="1">
      <c r="A319" s="7">
        <v>1.1000000000000001</v>
      </c>
      <c r="B319" s="52" t="s">
        <v>823</v>
      </c>
      <c r="C319" s="7"/>
      <c r="D319" s="7"/>
      <c r="E319" s="7"/>
      <c r="F319" s="53">
        <f>F320+F323+F325</f>
        <v>711.36329999999998</v>
      </c>
    </row>
    <row r="320" spans="1:6" ht="18.75" customHeight="1">
      <c r="A320" s="7" t="s">
        <v>47</v>
      </c>
      <c r="B320" s="52" t="s">
        <v>176</v>
      </c>
      <c r="C320" s="7"/>
      <c r="D320" s="7"/>
      <c r="E320" s="7"/>
      <c r="F320" s="53">
        <f>F321+F322</f>
        <v>697.41499999999996</v>
      </c>
    </row>
    <row r="321" spans="1:6" ht="18.75" customHeight="1">
      <c r="A321" s="7"/>
      <c r="B321" s="52" t="s">
        <v>824</v>
      </c>
      <c r="C321" s="7" t="s">
        <v>825</v>
      </c>
      <c r="D321" s="7">
        <v>8.1</v>
      </c>
      <c r="E321" s="7">
        <v>2.4</v>
      </c>
      <c r="F321" s="53">
        <f>D321*E321</f>
        <v>19.440000000000001</v>
      </c>
    </row>
    <row r="322" spans="1:6" ht="18.75" customHeight="1">
      <c r="A322" s="7"/>
      <c r="B322" s="52" t="s">
        <v>826</v>
      </c>
      <c r="C322" s="7" t="s">
        <v>825</v>
      </c>
      <c r="D322" s="7">
        <v>5.77</v>
      </c>
      <c r="E322" s="7">
        <v>117.5</v>
      </c>
      <c r="F322" s="53">
        <f>D322*E322</f>
        <v>677.97500000000002</v>
      </c>
    </row>
    <row r="323" spans="1:6" ht="18.75" customHeight="1">
      <c r="A323" s="7" t="s">
        <v>57</v>
      </c>
      <c r="B323" s="52" t="s">
        <v>836</v>
      </c>
      <c r="C323" s="7"/>
      <c r="D323" s="7"/>
      <c r="E323" s="7"/>
      <c r="F323" s="53">
        <f>F324</f>
        <v>0</v>
      </c>
    </row>
    <row r="324" spans="1:6" ht="18.75" customHeight="1">
      <c r="A324" s="7"/>
      <c r="B324" s="52" t="s">
        <v>862</v>
      </c>
      <c r="C324" s="7" t="s">
        <v>863</v>
      </c>
      <c r="D324" s="7">
        <f>施工机械台时汇总!$C$19</f>
        <v>0.80266353309831595</v>
      </c>
      <c r="E324" s="7">
        <v>0</v>
      </c>
      <c r="F324" s="53">
        <f>D324*E324</f>
        <v>0</v>
      </c>
    </row>
    <row r="325" spans="1:6" ht="18.75" customHeight="1">
      <c r="A325" s="7" t="s">
        <v>835</v>
      </c>
      <c r="B325" s="52" t="s">
        <v>864</v>
      </c>
      <c r="C325" s="7" t="s">
        <v>834</v>
      </c>
      <c r="D325" s="66">
        <f>F320</f>
        <v>697.41499999999996</v>
      </c>
      <c r="E325" s="7">
        <v>2</v>
      </c>
      <c r="F325" s="53">
        <f>D325*E325/100</f>
        <v>13.9483</v>
      </c>
    </row>
    <row r="326" spans="1:6" ht="18.75" customHeight="1">
      <c r="A326" s="7"/>
      <c r="B326" s="52"/>
      <c r="C326" s="7"/>
      <c r="D326" s="7"/>
      <c r="E326" s="7"/>
      <c r="F326" s="53"/>
    </row>
    <row r="327" spans="1:6" ht="18.75" customHeight="1">
      <c r="A327" s="7">
        <v>1.2</v>
      </c>
      <c r="B327" s="52" t="s">
        <v>841</v>
      </c>
      <c r="C327" s="7"/>
      <c r="D327" s="53">
        <f>F319</f>
        <v>711.36329999999998</v>
      </c>
      <c r="E327" s="56">
        <f>E305</f>
        <v>4.8000000000000001E-2</v>
      </c>
      <c r="F327" s="53">
        <f>D327*E327</f>
        <v>34.145438400000003</v>
      </c>
    </row>
    <row r="328" spans="1:6" ht="18.75" customHeight="1">
      <c r="A328" s="7">
        <v>1.3</v>
      </c>
      <c r="B328" s="52" t="s">
        <v>842</v>
      </c>
      <c r="C328" s="7"/>
      <c r="D328" s="53">
        <f>F319</f>
        <v>711.36329999999998</v>
      </c>
      <c r="E328" s="56">
        <f>E306</f>
        <v>0</v>
      </c>
      <c r="F328" s="53">
        <f>D328*E328</f>
        <v>0</v>
      </c>
    </row>
    <row r="329" spans="1:6" ht="18.75" customHeight="1">
      <c r="A329" s="7">
        <v>2</v>
      </c>
      <c r="B329" s="52" t="s">
        <v>182</v>
      </c>
      <c r="C329" s="7"/>
      <c r="D329" s="53">
        <f>F318</f>
        <v>745.50873839999997</v>
      </c>
      <c r="E329" s="56">
        <f>E307</f>
        <v>0.04</v>
      </c>
      <c r="F329" s="53">
        <f>D329*E329</f>
        <v>29.820349535999998</v>
      </c>
    </row>
    <row r="330" spans="1:6" ht="18.75" customHeight="1">
      <c r="A330" s="7">
        <v>3</v>
      </c>
      <c r="B330" s="52" t="s">
        <v>843</v>
      </c>
      <c r="C330" s="7"/>
      <c r="D330" s="53">
        <f>F318+F329</f>
        <v>775.32908793599995</v>
      </c>
      <c r="E330" s="56">
        <f>E308</f>
        <v>7.0000000000000007E-2</v>
      </c>
      <c r="F330" s="53">
        <f>D330*E330</f>
        <v>54.273036155520003</v>
      </c>
    </row>
    <row r="331" spans="1:6" ht="18.75" customHeight="1">
      <c r="A331" s="7">
        <v>4</v>
      </c>
      <c r="B331" s="52" t="s">
        <v>845</v>
      </c>
      <c r="C331" s="7"/>
      <c r="D331" s="53">
        <f>F318+F329+F330</f>
        <v>829.60212409151995</v>
      </c>
      <c r="E331" s="56">
        <f>E309</f>
        <v>0.09</v>
      </c>
      <c r="F331" s="53">
        <f>D331*E331</f>
        <v>74.664191168236798</v>
      </c>
    </row>
    <row r="332" spans="1:6" ht="18.75" customHeight="1">
      <c r="A332" s="7">
        <v>5</v>
      </c>
      <c r="B332" s="52" t="s">
        <v>7</v>
      </c>
      <c r="C332" s="7"/>
      <c r="D332" s="7"/>
      <c r="E332" s="7"/>
      <c r="F332" s="53">
        <f>F318+F329+F330+F331</f>
        <v>904.26631525975677</v>
      </c>
    </row>
    <row r="333" spans="1:6" ht="18.75" customHeight="1">
      <c r="A333" s="7"/>
      <c r="B333" s="52" t="s">
        <v>846</v>
      </c>
      <c r="C333" s="7"/>
      <c r="D333" s="53">
        <f>F332</f>
        <v>904.26631525975677</v>
      </c>
      <c r="E333" s="56">
        <f>E311</f>
        <v>0.03</v>
      </c>
      <c r="F333" s="53">
        <f>E333*D333</f>
        <v>27.127989457792701</v>
      </c>
    </row>
    <row r="334" spans="1:6" ht="18.75" customHeight="1">
      <c r="A334" s="7"/>
      <c r="B334" s="52" t="s">
        <v>44</v>
      </c>
      <c r="C334" s="7"/>
      <c r="D334" s="7"/>
      <c r="E334" s="7"/>
      <c r="F334" s="53">
        <f>SUM(F332:F333)</f>
        <v>931.39430471754952</v>
      </c>
    </row>
    <row r="335" spans="1:6" ht="24.75" customHeight="1">
      <c r="A335" s="461" t="s">
        <v>813</v>
      </c>
      <c r="B335" s="461"/>
      <c r="C335" s="461"/>
      <c r="D335" s="461"/>
      <c r="E335" s="461"/>
      <c r="F335" s="461"/>
    </row>
    <row r="336" spans="1:6" ht="18.75" customHeight="1">
      <c r="A336" s="462" t="s">
        <v>1161</v>
      </c>
      <c r="B336" s="462"/>
      <c r="C336" s="462"/>
      <c r="D336" s="462"/>
      <c r="E336" s="462"/>
      <c r="F336" s="462"/>
    </row>
    <row r="337" spans="1:6" ht="18.75" customHeight="1">
      <c r="A337" s="47" t="s">
        <v>815</v>
      </c>
      <c r="B337" s="49">
        <v>1034</v>
      </c>
      <c r="D337" s="46"/>
      <c r="E337" s="47" t="s">
        <v>169</v>
      </c>
      <c r="F337" s="49" t="s">
        <v>869</v>
      </c>
    </row>
    <row r="338" spans="1:6" ht="18.75" customHeight="1">
      <c r="A338" s="50" t="s">
        <v>817</v>
      </c>
      <c r="B338" s="458"/>
      <c r="C338" s="459"/>
      <c r="D338" s="459"/>
      <c r="E338" s="459"/>
      <c r="F338" s="460"/>
    </row>
    <row r="339" spans="1:6" ht="18.75" customHeight="1">
      <c r="A339" s="7" t="s">
        <v>1</v>
      </c>
      <c r="B339" s="52" t="s">
        <v>344</v>
      </c>
      <c r="C339" s="7" t="s">
        <v>818</v>
      </c>
      <c r="D339" s="7" t="s">
        <v>819</v>
      </c>
      <c r="E339" s="7" t="s">
        <v>820</v>
      </c>
      <c r="F339" s="7" t="s">
        <v>821</v>
      </c>
    </row>
    <row r="340" spans="1:6" ht="18.75" customHeight="1">
      <c r="A340" s="7">
        <v>1</v>
      </c>
      <c r="B340" s="52" t="s">
        <v>822</v>
      </c>
      <c r="C340" s="7"/>
      <c r="D340" s="7"/>
      <c r="E340" s="7"/>
      <c r="F340" s="53">
        <f>F341+F349+F350</f>
        <v>1334.3410785599999</v>
      </c>
    </row>
    <row r="341" spans="1:6" ht="18.75" customHeight="1">
      <c r="A341" s="7">
        <v>1.1000000000000001</v>
      </c>
      <c r="B341" s="52" t="s">
        <v>823</v>
      </c>
      <c r="C341" s="7"/>
      <c r="D341" s="7"/>
      <c r="E341" s="7"/>
      <c r="F341" s="53">
        <f>F342+F345+F347</f>
        <v>1273.22622</v>
      </c>
    </row>
    <row r="342" spans="1:6" ht="18.75" customHeight="1">
      <c r="A342" s="7" t="s">
        <v>47</v>
      </c>
      <c r="B342" s="52" t="s">
        <v>176</v>
      </c>
      <c r="C342" s="7"/>
      <c r="D342" s="7"/>
      <c r="E342" s="7"/>
      <c r="F342" s="53">
        <f>F343+F344</f>
        <v>1248.261</v>
      </c>
    </row>
    <row r="343" spans="1:6" ht="18.75" customHeight="1">
      <c r="A343" s="7"/>
      <c r="B343" s="52" t="s">
        <v>824</v>
      </c>
      <c r="C343" s="7" t="s">
        <v>825</v>
      </c>
      <c r="D343" s="7">
        <v>8.1</v>
      </c>
      <c r="E343" s="7">
        <v>4.3</v>
      </c>
      <c r="F343" s="53">
        <f>D343*E343</f>
        <v>34.83</v>
      </c>
    </row>
    <row r="344" spans="1:6" ht="18.75" customHeight="1">
      <c r="A344" s="7"/>
      <c r="B344" s="52" t="s">
        <v>826</v>
      </c>
      <c r="C344" s="7" t="s">
        <v>825</v>
      </c>
      <c r="D344" s="7">
        <v>5.77</v>
      </c>
      <c r="E344" s="7">
        <v>210.3</v>
      </c>
      <c r="F344" s="53">
        <f>D344*E344</f>
        <v>1213.431</v>
      </c>
    </row>
    <row r="345" spans="1:6" ht="18.75" customHeight="1">
      <c r="A345" s="7" t="s">
        <v>57</v>
      </c>
      <c r="B345" s="52" t="s">
        <v>836</v>
      </c>
      <c r="C345" s="7"/>
      <c r="D345" s="7"/>
      <c r="E345" s="7"/>
      <c r="F345" s="53">
        <f>F346</f>
        <v>0</v>
      </c>
    </row>
    <row r="346" spans="1:6" ht="18.75" customHeight="1">
      <c r="A346" s="7"/>
      <c r="B346" s="52" t="s">
        <v>862</v>
      </c>
      <c r="C346" s="7" t="s">
        <v>863</v>
      </c>
      <c r="D346" s="7">
        <f>施工机械台时汇总!$C$19</f>
        <v>0.80266353309831595</v>
      </c>
      <c r="E346" s="7">
        <v>0</v>
      </c>
      <c r="F346" s="53">
        <f>D346*E346</f>
        <v>0</v>
      </c>
    </row>
    <row r="347" spans="1:6" ht="18.75" customHeight="1">
      <c r="A347" s="7" t="s">
        <v>835</v>
      </c>
      <c r="B347" s="52" t="s">
        <v>864</v>
      </c>
      <c r="C347" s="7" t="s">
        <v>834</v>
      </c>
      <c r="D347" s="66">
        <f>F342</f>
        <v>1248.261</v>
      </c>
      <c r="E347" s="7">
        <v>2</v>
      </c>
      <c r="F347" s="53">
        <f>D347*E347/100</f>
        <v>24.965219999999999</v>
      </c>
    </row>
    <row r="348" spans="1:6" ht="18.75" customHeight="1">
      <c r="A348" s="7"/>
      <c r="B348" s="52"/>
      <c r="C348" s="7"/>
      <c r="D348" s="7"/>
      <c r="E348" s="7"/>
      <c r="F348" s="53"/>
    </row>
    <row r="349" spans="1:6" ht="18.75" customHeight="1">
      <c r="A349" s="7">
        <v>1.2</v>
      </c>
      <c r="B349" s="52" t="s">
        <v>841</v>
      </c>
      <c r="C349" s="7"/>
      <c r="D349" s="53">
        <f>F341</f>
        <v>1273.22622</v>
      </c>
      <c r="E349" s="56">
        <f>E327</f>
        <v>4.8000000000000001E-2</v>
      </c>
      <c r="F349" s="53">
        <f>D349*E349</f>
        <v>61.114858560000002</v>
      </c>
    </row>
    <row r="350" spans="1:6" ht="18.75" customHeight="1">
      <c r="A350" s="7">
        <v>1.3</v>
      </c>
      <c r="B350" s="52" t="s">
        <v>842</v>
      </c>
      <c r="C350" s="7"/>
      <c r="D350" s="53">
        <f>F341</f>
        <v>1273.22622</v>
      </c>
      <c r="E350" s="56">
        <f>E328</f>
        <v>0</v>
      </c>
      <c r="F350" s="53">
        <f>D350*E350</f>
        <v>0</v>
      </c>
    </row>
    <row r="351" spans="1:6" ht="18.75" customHeight="1">
      <c r="A351" s="7">
        <v>2</v>
      </c>
      <c r="B351" s="52" t="s">
        <v>182</v>
      </c>
      <c r="C351" s="7"/>
      <c r="D351" s="53">
        <f>F340</f>
        <v>1334.3410785599999</v>
      </c>
      <c r="E351" s="56">
        <f>E329</f>
        <v>0.04</v>
      </c>
      <c r="F351" s="53">
        <f>D351*E351</f>
        <v>53.373643142399999</v>
      </c>
    </row>
    <row r="352" spans="1:6" ht="18.75" customHeight="1">
      <c r="A352" s="7">
        <v>3</v>
      </c>
      <c r="B352" s="52" t="s">
        <v>843</v>
      </c>
      <c r="C352" s="7"/>
      <c r="D352" s="53">
        <f>F340+F351</f>
        <v>1387.7147217023999</v>
      </c>
      <c r="E352" s="56">
        <f>E330</f>
        <v>7.0000000000000007E-2</v>
      </c>
      <c r="F352" s="53">
        <f>D352*E352</f>
        <v>97.140030519167993</v>
      </c>
    </row>
    <row r="353" spans="1:6" ht="18.75" customHeight="1">
      <c r="A353" s="7">
        <v>4</v>
      </c>
      <c r="B353" s="52" t="s">
        <v>845</v>
      </c>
      <c r="C353" s="7"/>
      <c r="D353" s="53">
        <f>F340+F351+F352</f>
        <v>1484.8547522215679</v>
      </c>
      <c r="E353" s="56">
        <f>E331</f>
        <v>0.09</v>
      </c>
      <c r="F353" s="53">
        <f>D353*E353</f>
        <v>133.63692769994111</v>
      </c>
    </row>
    <row r="354" spans="1:6" ht="18.75" customHeight="1">
      <c r="A354" s="7">
        <v>5</v>
      </c>
      <c r="B354" s="52" t="s">
        <v>7</v>
      </c>
      <c r="C354" s="7"/>
      <c r="D354" s="7"/>
      <c r="E354" s="7"/>
      <c r="F354" s="53">
        <f>F340+F351+F352+F353</f>
        <v>1618.4916799215089</v>
      </c>
    </row>
    <row r="355" spans="1:6" ht="18.75" customHeight="1">
      <c r="A355" s="7"/>
      <c r="B355" s="52" t="s">
        <v>846</v>
      </c>
      <c r="C355" s="7"/>
      <c r="D355" s="53">
        <f>F354</f>
        <v>1618.4916799215089</v>
      </c>
      <c r="E355" s="56">
        <f>E333</f>
        <v>0.03</v>
      </c>
      <c r="F355" s="53">
        <f>E355*D355</f>
        <v>48.554750397645265</v>
      </c>
    </row>
    <row r="356" spans="1:6" ht="18.75" customHeight="1">
      <c r="A356" s="7"/>
      <c r="B356" s="52" t="s">
        <v>44</v>
      </c>
      <c r="C356" s="7"/>
      <c r="D356" s="7"/>
      <c r="E356" s="7"/>
      <c r="F356" s="53">
        <f>SUM(F354:F355)</f>
        <v>1667.0464303191541</v>
      </c>
    </row>
    <row r="357" spans="1:6" ht="24" customHeight="1">
      <c r="A357" s="461" t="s">
        <v>813</v>
      </c>
      <c r="B357" s="461"/>
      <c r="C357" s="461"/>
      <c r="D357" s="461"/>
      <c r="E357" s="461"/>
      <c r="F357" s="461"/>
    </row>
    <row r="358" spans="1:6" ht="18.75" customHeight="1">
      <c r="A358" s="462" t="s">
        <v>1162</v>
      </c>
      <c r="B358" s="462"/>
      <c r="C358" s="462"/>
      <c r="D358" s="462"/>
      <c r="E358" s="462"/>
      <c r="F358" s="462"/>
    </row>
    <row r="359" spans="1:6" ht="18.75" customHeight="1">
      <c r="A359" s="47" t="s">
        <v>815</v>
      </c>
      <c r="B359" s="49">
        <v>1034</v>
      </c>
      <c r="D359" s="46"/>
      <c r="E359" s="47" t="s">
        <v>169</v>
      </c>
      <c r="F359" s="49" t="s">
        <v>869</v>
      </c>
    </row>
    <row r="360" spans="1:6" ht="18.75" customHeight="1">
      <c r="A360" s="50" t="s">
        <v>817</v>
      </c>
      <c r="B360" s="458"/>
      <c r="C360" s="459"/>
      <c r="D360" s="459"/>
      <c r="E360" s="459"/>
      <c r="F360" s="460"/>
    </row>
    <row r="361" spans="1:6" ht="18.75" customHeight="1">
      <c r="A361" s="7" t="s">
        <v>1</v>
      </c>
      <c r="B361" s="52" t="s">
        <v>344</v>
      </c>
      <c r="C361" s="7" t="s">
        <v>818</v>
      </c>
      <c r="D361" s="7" t="s">
        <v>819</v>
      </c>
      <c r="E361" s="7" t="s">
        <v>820</v>
      </c>
      <c r="F361" s="7" t="s">
        <v>821</v>
      </c>
    </row>
    <row r="362" spans="1:6" ht="18.75" customHeight="1">
      <c r="A362" s="7">
        <v>1</v>
      </c>
      <c r="B362" s="52" t="s">
        <v>822</v>
      </c>
      <c r="C362" s="7"/>
      <c r="D362" s="7"/>
      <c r="E362" s="7"/>
      <c r="F362" s="53">
        <f>F363+F371+F372</f>
        <v>1898.86954416</v>
      </c>
    </row>
    <row r="363" spans="1:6" ht="18.75" customHeight="1">
      <c r="A363" s="7">
        <v>1.1000000000000001</v>
      </c>
      <c r="B363" s="52" t="s">
        <v>823</v>
      </c>
      <c r="C363" s="7"/>
      <c r="D363" s="7"/>
      <c r="E363" s="7"/>
      <c r="F363" s="53">
        <f>F364+F367+F369</f>
        <v>1811.89842</v>
      </c>
    </row>
    <row r="364" spans="1:6" ht="18.75" customHeight="1">
      <c r="A364" s="7" t="s">
        <v>47</v>
      </c>
      <c r="B364" s="52" t="s">
        <v>176</v>
      </c>
      <c r="C364" s="7"/>
      <c r="D364" s="7"/>
      <c r="E364" s="7"/>
      <c r="F364" s="53">
        <f>F365+F366</f>
        <v>1776.3710000000001</v>
      </c>
    </row>
    <row r="365" spans="1:6" ht="18.75" customHeight="1">
      <c r="A365" s="7"/>
      <c r="B365" s="52" t="s">
        <v>824</v>
      </c>
      <c r="C365" s="7" t="s">
        <v>825</v>
      </c>
      <c r="D365" s="7">
        <v>8.1</v>
      </c>
      <c r="E365" s="7">
        <v>6.1</v>
      </c>
      <c r="F365" s="53">
        <f>D365*E365</f>
        <v>49.41</v>
      </c>
    </row>
    <row r="366" spans="1:6" ht="18.75" customHeight="1">
      <c r="A366" s="7"/>
      <c r="B366" s="52" t="s">
        <v>826</v>
      </c>
      <c r="C366" s="7" t="s">
        <v>825</v>
      </c>
      <c r="D366" s="7">
        <v>5.77</v>
      </c>
      <c r="E366" s="7">
        <v>299.3</v>
      </c>
      <c r="F366" s="53">
        <f>D366*E366</f>
        <v>1726.961</v>
      </c>
    </row>
    <row r="367" spans="1:6" ht="18.75" customHeight="1">
      <c r="A367" s="7" t="s">
        <v>57</v>
      </c>
      <c r="B367" s="52" t="s">
        <v>836</v>
      </c>
      <c r="C367" s="7"/>
      <c r="D367" s="7"/>
      <c r="E367" s="7"/>
      <c r="F367" s="53">
        <f>F368</f>
        <v>0</v>
      </c>
    </row>
    <row r="368" spans="1:6" ht="18.75" customHeight="1">
      <c r="A368" s="7"/>
      <c r="B368" s="52" t="s">
        <v>862</v>
      </c>
      <c r="C368" s="7" t="s">
        <v>863</v>
      </c>
      <c r="D368" s="7">
        <f>施工机械台时汇总!$C$19</f>
        <v>0.80266353309831595</v>
      </c>
      <c r="E368" s="7">
        <v>0</v>
      </c>
      <c r="F368" s="53">
        <f>D368*E368</f>
        <v>0</v>
      </c>
    </row>
    <row r="369" spans="1:6" ht="18.75" customHeight="1">
      <c r="A369" s="7" t="s">
        <v>835</v>
      </c>
      <c r="B369" s="52" t="s">
        <v>864</v>
      </c>
      <c r="C369" s="7" t="s">
        <v>834</v>
      </c>
      <c r="D369" s="66">
        <f>F364</f>
        <v>1776.3710000000001</v>
      </c>
      <c r="E369" s="7">
        <v>2</v>
      </c>
      <c r="F369" s="53">
        <f>D369*E369/100</f>
        <v>35.527419999999999</v>
      </c>
    </row>
    <row r="370" spans="1:6" ht="18.75" customHeight="1">
      <c r="A370" s="7"/>
      <c r="B370" s="52"/>
      <c r="C370" s="7"/>
      <c r="D370" s="7"/>
      <c r="E370" s="7"/>
      <c r="F370" s="53"/>
    </row>
    <row r="371" spans="1:6" ht="18.75" customHeight="1">
      <c r="A371" s="7">
        <v>1.2</v>
      </c>
      <c r="B371" s="52" t="s">
        <v>841</v>
      </c>
      <c r="C371" s="7"/>
      <c r="D371" s="53">
        <f>F363</f>
        <v>1811.89842</v>
      </c>
      <c r="E371" s="56">
        <f>E349</f>
        <v>4.8000000000000001E-2</v>
      </c>
      <c r="F371" s="53">
        <f>D371*E371</f>
        <v>86.971124160000002</v>
      </c>
    </row>
    <row r="372" spans="1:6" ht="18.75" customHeight="1">
      <c r="A372" s="7">
        <v>1.3</v>
      </c>
      <c r="B372" s="52" t="s">
        <v>842</v>
      </c>
      <c r="C372" s="7"/>
      <c r="D372" s="53">
        <f>F363</f>
        <v>1811.89842</v>
      </c>
      <c r="E372" s="56">
        <f>E350</f>
        <v>0</v>
      </c>
      <c r="F372" s="53">
        <f>D372*E372</f>
        <v>0</v>
      </c>
    </row>
    <row r="373" spans="1:6" ht="18.75" customHeight="1">
      <c r="A373" s="7">
        <v>2</v>
      </c>
      <c r="B373" s="52" t="s">
        <v>182</v>
      </c>
      <c r="C373" s="7"/>
      <c r="D373" s="53">
        <f>F362</f>
        <v>1898.86954416</v>
      </c>
      <c r="E373" s="56">
        <f>E351</f>
        <v>0.04</v>
      </c>
      <c r="F373" s="53">
        <f>D373*E373</f>
        <v>75.954781766400004</v>
      </c>
    </row>
    <row r="374" spans="1:6" ht="18.75" customHeight="1">
      <c r="A374" s="7">
        <v>3</v>
      </c>
      <c r="B374" s="52" t="s">
        <v>843</v>
      </c>
      <c r="C374" s="7"/>
      <c r="D374" s="53">
        <f>F362+F373</f>
        <v>1974.8243259264</v>
      </c>
      <c r="E374" s="56">
        <f>E352</f>
        <v>7.0000000000000007E-2</v>
      </c>
      <c r="F374" s="53">
        <f>D374*E374</f>
        <v>138.23770281484801</v>
      </c>
    </row>
    <row r="375" spans="1:6" ht="18.75" customHeight="1">
      <c r="A375" s="7">
        <v>4</v>
      </c>
      <c r="B375" s="52" t="s">
        <v>845</v>
      </c>
      <c r="C375" s="7"/>
      <c r="D375" s="53">
        <f>F362+F373+F374</f>
        <v>2113.062028741248</v>
      </c>
      <c r="E375" s="56">
        <f>E353</f>
        <v>0.09</v>
      </c>
      <c r="F375" s="53">
        <f>D375*E375</f>
        <v>190.17558258671232</v>
      </c>
    </row>
    <row r="376" spans="1:6" ht="18.75" customHeight="1">
      <c r="A376" s="7">
        <v>5</v>
      </c>
      <c r="B376" s="52" t="s">
        <v>7</v>
      </c>
      <c r="C376" s="7"/>
      <c r="D376" s="53"/>
      <c r="E376" s="7"/>
      <c r="F376" s="53">
        <f>F362+F373+F374+F375</f>
        <v>2303.2376113279602</v>
      </c>
    </row>
    <row r="377" spans="1:6" ht="18.75" customHeight="1">
      <c r="A377" s="7"/>
      <c r="B377" s="52" t="s">
        <v>846</v>
      </c>
      <c r="C377" s="7"/>
      <c r="D377" s="53">
        <f>F376</f>
        <v>2303.2376113279602</v>
      </c>
      <c r="E377" s="56">
        <f>E355</f>
        <v>0.03</v>
      </c>
      <c r="F377" s="53">
        <f>E377*D377</f>
        <v>69.097128339838804</v>
      </c>
    </row>
    <row r="378" spans="1:6" ht="18.75" customHeight="1">
      <c r="A378" s="7"/>
      <c r="B378" s="52" t="s">
        <v>44</v>
      </c>
      <c r="C378" s="7"/>
      <c r="D378" s="7"/>
      <c r="E378" s="7"/>
      <c r="F378" s="53">
        <f>SUM(F376:F377)</f>
        <v>2372.3347396677991</v>
      </c>
    </row>
    <row r="379" spans="1:6" ht="24" customHeight="1">
      <c r="A379" s="461" t="s">
        <v>928</v>
      </c>
      <c r="B379" s="461"/>
      <c r="C379" s="461"/>
      <c r="D379" s="461"/>
      <c r="E379" s="461"/>
      <c r="F379" s="461"/>
    </row>
    <row r="380" spans="1:6" ht="18.75" customHeight="1">
      <c r="A380" s="462" t="s">
        <v>1163</v>
      </c>
      <c r="B380" s="462"/>
      <c r="C380" s="462"/>
      <c r="D380" s="462"/>
      <c r="E380" s="462"/>
      <c r="F380" s="462"/>
    </row>
    <row r="381" spans="1:6" ht="18.75" customHeight="1">
      <c r="A381" s="47" t="s">
        <v>815</v>
      </c>
      <c r="B381" s="49">
        <v>1237</v>
      </c>
      <c r="D381" s="46"/>
      <c r="E381" s="47" t="s">
        <v>169</v>
      </c>
      <c r="F381" s="49" t="s">
        <v>869</v>
      </c>
    </row>
    <row r="382" spans="1:6" ht="18.75" customHeight="1">
      <c r="A382" s="50" t="s">
        <v>817</v>
      </c>
      <c r="B382" s="458"/>
      <c r="C382" s="459"/>
      <c r="D382" s="459"/>
      <c r="E382" s="459"/>
      <c r="F382" s="460"/>
    </row>
    <row r="383" spans="1:6" ht="18.75" customHeight="1">
      <c r="A383" s="7" t="s">
        <v>1</v>
      </c>
      <c r="B383" s="52" t="s">
        <v>344</v>
      </c>
      <c r="C383" s="7" t="s">
        <v>818</v>
      </c>
      <c r="D383" s="7" t="s">
        <v>819</v>
      </c>
      <c r="E383" s="7" t="s">
        <v>820</v>
      </c>
      <c r="F383" s="7" t="s">
        <v>821</v>
      </c>
    </row>
    <row r="384" spans="1:6" ht="18.75" customHeight="1">
      <c r="A384" s="7">
        <v>1</v>
      </c>
      <c r="B384" s="52" t="s">
        <v>822</v>
      </c>
      <c r="C384" s="7"/>
      <c r="D384" s="7"/>
      <c r="E384" s="7"/>
      <c r="F384" s="53">
        <f>F385+F393+F394</f>
        <v>615.53199451656872</v>
      </c>
    </row>
    <row r="385" spans="1:6" ht="18.75" customHeight="1">
      <c r="A385" s="7">
        <v>1.1000000000000001</v>
      </c>
      <c r="B385" s="52" t="s">
        <v>823</v>
      </c>
      <c r="C385" s="7"/>
      <c r="D385" s="7"/>
      <c r="E385" s="7"/>
      <c r="F385" s="53">
        <f>F386+F389+F391</f>
        <v>587.33968942420677</v>
      </c>
    </row>
    <row r="386" spans="1:6" ht="18.75" customHeight="1">
      <c r="A386" s="7" t="s">
        <v>47</v>
      </c>
      <c r="B386" s="52" t="s">
        <v>176</v>
      </c>
      <c r="C386" s="7"/>
      <c r="D386" s="7"/>
      <c r="E386" s="7"/>
      <c r="F386" s="53">
        <f>F387+F388</f>
        <v>464.17399999999998</v>
      </c>
    </row>
    <row r="387" spans="1:6" ht="18.75" customHeight="1">
      <c r="A387" s="7"/>
      <c r="B387" s="52" t="s">
        <v>824</v>
      </c>
      <c r="C387" s="7" t="s">
        <v>825</v>
      </c>
      <c r="D387" s="7">
        <v>8.1</v>
      </c>
      <c r="E387" s="7">
        <v>1.6</v>
      </c>
      <c r="F387" s="53">
        <f>D387*E387</f>
        <v>12.96</v>
      </c>
    </row>
    <row r="388" spans="1:6" ht="18.75" customHeight="1">
      <c r="A388" s="7"/>
      <c r="B388" s="52" t="s">
        <v>826</v>
      </c>
      <c r="C388" s="7" t="s">
        <v>825</v>
      </c>
      <c r="D388" s="7">
        <v>5.77</v>
      </c>
      <c r="E388" s="7">
        <v>78.2</v>
      </c>
      <c r="F388" s="53">
        <f>D388*E388</f>
        <v>451.214</v>
      </c>
    </row>
    <row r="389" spans="1:6" ht="18.75" customHeight="1">
      <c r="A389" s="7" t="s">
        <v>57</v>
      </c>
      <c r="B389" s="52" t="s">
        <v>836</v>
      </c>
      <c r="C389" s="7"/>
      <c r="D389" s="7"/>
      <c r="E389" s="7"/>
      <c r="F389" s="53">
        <f>F390</f>
        <v>95.197132784958853</v>
      </c>
    </row>
    <row r="390" spans="1:6" ht="18.75" customHeight="1">
      <c r="A390" s="7"/>
      <c r="B390" s="52" t="s">
        <v>1164</v>
      </c>
      <c r="C390" s="7" t="s">
        <v>863</v>
      </c>
      <c r="D390" s="66">
        <f>施工机械台时汇总!$C$15</f>
        <v>19.832735996866429</v>
      </c>
      <c r="E390" s="7">
        <v>4.8</v>
      </c>
      <c r="F390" s="53">
        <f>D390*E390</f>
        <v>95.197132784958853</v>
      </c>
    </row>
    <row r="391" spans="1:6" ht="18.75" customHeight="1">
      <c r="A391" s="7" t="s">
        <v>835</v>
      </c>
      <c r="B391" s="52" t="s">
        <v>864</v>
      </c>
      <c r="C391" s="7" t="s">
        <v>834</v>
      </c>
      <c r="D391" s="66">
        <f>F386+F389</f>
        <v>559.37113278495883</v>
      </c>
      <c r="E391" s="7">
        <v>5</v>
      </c>
      <c r="F391" s="53">
        <f>D391*E391/100</f>
        <v>27.968556639247939</v>
      </c>
    </row>
    <row r="392" spans="1:6" ht="18.75" customHeight="1">
      <c r="A392" s="7"/>
      <c r="B392" s="52"/>
      <c r="C392" s="7"/>
      <c r="D392" s="7"/>
      <c r="E392" s="7"/>
      <c r="F392" s="53"/>
    </row>
    <row r="393" spans="1:6" ht="18.75" customHeight="1">
      <c r="A393" s="7">
        <v>1.2</v>
      </c>
      <c r="B393" s="52" t="s">
        <v>841</v>
      </c>
      <c r="C393" s="7"/>
      <c r="D393" s="53">
        <f>F385</f>
        <v>587.33968942420677</v>
      </c>
      <c r="E393" s="56">
        <f>E371</f>
        <v>4.8000000000000001E-2</v>
      </c>
      <c r="F393" s="53">
        <f>D393*E393</f>
        <v>28.192305092361927</v>
      </c>
    </row>
    <row r="394" spans="1:6" ht="18.75" customHeight="1">
      <c r="A394" s="7">
        <v>1.3</v>
      </c>
      <c r="B394" s="52" t="s">
        <v>842</v>
      </c>
      <c r="C394" s="7"/>
      <c r="D394" s="53">
        <f>F385</f>
        <v>587.33968942420677</v>
      </c>
      <c r="E394" s="56">
        <f>E372</f>
        <v>0</v>
      </c>
      <c r="F394" s="53">
        <f>D394*E394</f>
        <v>0</v>
      </c>
    </row>
    <row r="395" spans="1:6" ht="18.75" customHeight="1">
      <c r="A395" s="7">
        <v>2</v>
      </c>
      <c r="B395" s="52" t="s">
        <v>182</v>
      </c>
      <c r="C395" s="7"/>
      <c r="D395" s="53">
        <f>F384</f>
        <v>615.53199451656872</v>
      </c>
      <c r="E395" s="56">
        <f>E373</f>
        <v>0.04</v>
      </c>
      <c r="F395" s="53">
        <f>D395*E395</f>
        <v>24.62127978066275</v>
      </c>
    </row>
    <row r="396" spans="1:6" ht="18.75" customHeight="1">
      <c r="A396" s="7">
        <v>3</v>
      </c>
      <c r="B396" s="52" t="s">
        <v>843</v>
      </c>
      <c r="C396" s="7"/>
      <c r="D396" s="53">
        <f>F384+F395</f>
        <v>640.15327429723152</v>
      </c>
      <c r="E396" s="56">
        <f>E374</f>
        <v>7.0000000000000007E-2</v>
      </c>
      <c r="F396" s="53">
        <f>D396*E396</f>
        <v>44.810729200806207</v>
      </c>
    </row>
    <row r="397" spans="1:6" ht="18.75" customHeight="1">
      <c r="A397" s="7">
        <v>4</v>
      </c>
      <c r="B397" s="52" t="s">
        <v>845</v>
      </c>
      <c r="C397" s="7"/>
      <c r="D397" s="53">
        <f>F384+F395+F396</f>
        <v>684.96400349803775</v>
      </c>
      <c r="E397" s="56">
        <f>E375</f>
        <v>0.09</v>
      </c>
      <c r="F397" s="53">
        <f>D397*E397</f>
        <v>61.646760314823396</v>
      </c>
    </row>
    <row r="398" spans="1:6" ht="18.75" customHeight="1">
      <c r="A398" s="7">
        <v>5</v>
      </c>
      <c r="B398" s="52" t="s">
        <v>7</v>
      </c>
      <c r="C398" s="7"/>
      <c r="D398" s="7"/>
      <c r="E398" s="7"/>
      <c r="F398" s="53">
        <f>F384+F395+F396+F397</f>
        <v>746.61076381286114</v>
      </c>
    </row>
    <row r="399" spans="1:6" ht="18.75" customHeight="1">
      <c r="A399" s="7"/>
      <c r="B399" s="52" t="s">
        <v>846</v>
      </c>
      <c r="C399" s="7"/>
      <c r="D399" s="53">
        <f>F398</f>
        <v>746.61076381286114</v>
      </c>
      <c r="E399" s="56">
        <f>E377</f>
        <v>0.03</v>
      </c>
      <c r="F399" s="53">
        <f>E399*D399</f>
        <v>22.398322914385833</v>
      </c>
    </row>
    <row r="400" spans="1:6" ht="18.75" customHeight="1">
      <c r="A400" s="7"/>
      <c r="B400" s="52" t="s">
        <v>44</v>
      </c>
      <c r="C400" s="7"/>
      <c r="D400" s="7"/>
      <c r="E400" s="7"/>
      <c r="F400" s="53">
        <f>SUM(F398:F399)</f>
        <v>769.00908672724699</v>
      </c>
    </row>
    <row r="401" spans="1:6" ht="24" customHeight="1">
      <c r="A401" s="461" t="s">
        <v>928</v>
      </c>
      <c r="B401" s="461"/>
      <c r="C401" s="461"/>
      <c r="D401" s="461"/>
      <c r="E401" s="461"/>
      <c r="F401" s="461"/>
    </row>
    <row r="402" spans="1:6" ht="18.75" customHeight="1">
      <c r="A402" s="462" t="s">
        <v>1165</v>
      </c>
      <c r="B402" s="462"/>
      <c r="C402" s="462"/>
      <c r="D402" s="462"/>
      <c r="E402" s="462"/>
      <c r="F402" s="462"/>
    </row>
    <row r="403" spans="1:6" ht="18.75" customHeight="1">
      <c r="A403" s="47" t="s">
        <v>815</v>
      </c>
      <c r="B403" s="49">
        <v>1259</v>
      </c>
      <c r="D403" s="46"/>
      <c r="E403" s="47" t="s">
        <v>169</v>
      </c>
      <c r="F403" s="49" t="s">
        <v>951</v>
      </c>
    </row>
    <row r="404" spans="1:6" ht="18.75" customHeight="1">
      <c r="A404" s="50" t="s">
        <v>817</v>
      </c>
      <c r="B404" s="458"/>
      <c r="C404" s="459"/>
      <c r="D404" s="459"/>
      <c r="E404" s="459"/>
      <c r="F404" s="460"/>
    </row>
    <row r="405" spans="1:6" ht="18.75" customHeight="1">
      <c r="A405" s="7" t="s">
        <v>1</v>
      </c>
      <c r="B405" s="52" t="s">
        <v>344</v>
      </c>
      <c r="C405" s="7" t="s">
        <v>818</v>
      </c>
      <c r="D405" s="7" t="s">
        <v>819</v>
      </c>
      <c r="E405" s="7" t="s">
        <v>820</v>
      </c>
      <c r="F405" s="7" t="s">
        <v>821</v>
      </c>
    </row>
    <row r="406" spans="1:6" ht="18.75" customHeight="1">
      <c r="A406" s="7">
        <v>1</v>
      </c>
      <c r="B406" s="52" t="s">
        <v>822</v>
      </c>
      <c r="C406" s="7"/>
      <c r="D406" s="7"/>
      <c r="E406" s="7"/>
      <c r="F406" s="53">
        <f>F407+F415+F416</f>
        <v>57.143771999999998</v>
      </c>
    </row>
    <row r="407" spans="1:6" ht="18.75" customHeight="1">
      <c r="A407" s="7">
        <v>1.1000000000000001</v>
      </c>
      <c r="B407" s="52" t="s">
        <v>823</v>
      </c>
      <c r="C407" s="7"/>
      <c r="D407" s="7"/>
      <c r="E407" s="7"/>
      <c r="F407" s="53">
        <f>F408+F411+F413</f>
        <v>54.526499999999999</v>
      </c>
    </row>
    <row r="408" spans="1:6" ht="18.75" customHeight="1">
      <c r="A408" s="7" t="s">
        <v>47</v>
      </c>
      <c r="B408" s="52" t="s">
        <v>176</v>
      </c>
      <c r="C408" s="7"/>
      <c r="D408" s="7"/>
      <c r="E408" s="7"/>
      <c r="F408" s="53">
        <f>F409+F410</f>
        <v>51.93</v>
      </c>
    </row>
    <row r="409" spans="1:6" ht="18.75" customHeight="1">
      <c r="A409" s="7"/>
      <c r="B409" s="52" t="s">
        <v>824</v>
      </c>
      <c r="C409" s="7" t="s">
        <v>825</v>
      </c>
      <c r="D409" s="7">
        <v>8.1</v>
      </c>
      <c r="E409" s="7"/>
      <c r="F409" s="53">
        <f>D409*E409</f>
        <v>0</v>
      </c>
    </row>
    <row r="410" spans="1:6" ht="18.75" customHeight="1">
      <c r="A410" s="7"/>
      <c r="B410" s="52" t="s">
        <v>826</v>
      </c>
      <c r="C410" s="7" t="s">
        <v>825</v>
      </c>
      <c r="D410" s="7">
        <v>5.77</v>
      </c>
      <c r="E410" s="7">
        <v>9</v>
      </c>
      <c r="F410" s="53">
        <f>D410*E410</f>
        <v>51.93</v>
      </c>
    </row>
    <row r="411" spans="1:6" ht="18.75" customHeight="1">
      <c r="A411" s="7" t="s">
        <v>57</v>
      </c>
      <c r="B411" s="52" t="s">
        <v>836</v>
      </c>
      <c r="C411" s="7"/>
      <c r="D411" s="7"/>
      <c r="E411" s="7"/>
      <c r="F411" s="53">
        <f>F412</f>
        <v>0</v>
      </c>
    </row>
    <row r="412" spans="1:6" ht="18.75" customHeight="1">
      <c r="A412" s="7"/>
      <c r="B412" s="52" t="s">
        <v>1164</v>
      </c>
      <c r="C412" s="7" t="s">
        <v>863</v>
      </c>
      <c r="D412" s="66">
        <f>施工机械台时汇总!$C$15</f>
        <v>19.832735996866429</v>
      </c>
      <c r="E412" s="7"/>
      <c r="F412" s="53">
        <f>D412*E412</f>
        <v>0</v>
      </c>
    </row>
    <row r="413" spans="1:6" ht="18.75" customHeight="1">
      <c r="A413" s="7" t="s">
        <v>835</v>
      </c>
      <c r="B413" s="52" t="s">
        <v>864</v>
      </c>
      <c r="C413" s="7" t="s">
        <v>834</v>
      </c>
      <c r="D413" s="66">
        <f>F408+F411</f>
        <v>51.93</v>
      </c>
      <c r="E413" s="7">
        <v>5</v>
      </c>
      <c r="F413" s="53">
        <f>D413*E413/100</f>
        <v>2.5964999999999998</v>
      </c>
    </row>
    <row r="414" spans="1:6" ht="18.75" customHeight="1">
      <c r="A414" s="7"/>
      <c r="B414" s="52"/>
      <c r="C414" s="7"/>
      <c r="D414" s="7"/>
      <c r="E414" s="7"/>
      <c r="F414" s="53"/>
    </row>
    <row r="415" spans="1:6" ht="18.75" customHeight="1">
      <c r="A415" s="7">
        <v>1.2</v>
      </c>
      <c r="B415" s="52" t="s">
        <v>841</v>
      </c>
      <c r="C415" s="7"/>
      <c r="D415" s="53">
        <f>F407</f>
        <v>54.526499999999999</v>
      </c>
      <c r="E415" s="56">
        <f>E393</f>
        <v>4.8000000000000001E-2</v>
      </c>
      <c r="F415" s="53">
        <f>D415*E415</f>
        <v>2.6172719999999998</v>
      </c>
    </row>
    <row r="416" spans="1:6" ht="18.75" customHeight="1">
      <c r="A416" s="7">
        <v>1.3</v>
      </c>
      <c r="B416" s="52" t="s">
        <v>842</v>
      </c>
      <c r="C416" s="7"/>
      <c r="D416" s="53">
        <f>F407</f>
        <v>54.526499999999999</v>
      </c>
      <c r="E416" s="56">
        <f t="shared" ref="E416:E419" si="0">E394</f>
        <v>0</v>
      </c>
      <c r="F416" s="53">
        <f>D416*E416</f>
        <v>0</v>
      </c>
    </row>
    <row r="417" spans="1:6" ht="18.75" customHeight="1">
      <c r="A417" s="7">
        <v>2</v>
      </c>
      <c r="B417" s="52" t="s">
        <v>182</v>
      </c>
      <c r="C417" s="7"/>
      <c r="D417" s="53">
        <f>F406</f>
        <v>57.143771999999998</v>
      </c>
      <c r="E417" s="56">
        <f t="shared" si="0"/>
        <v>0.04</v>
      </c>
      <c r="F417" s="53">
        <f>D417*E417</f>
        <v>2.2857508800000002</v>
      </c>
    </row>
    <row r="418" spans="1:6" ht="18.75" customHeight="1">
      <c r="A418" s="7">
        <v>3</v>
      </c>
      <c r="B418" s="52" t="s">
        <v>843</v>
      </c>
      <c r="C418" s="7"/>
      <c r="D418" s="53">
        <f>F406+F417</f>
        <v>59.42952288</v>
      </c>
      <c r="E418" s="56">
        <f t="shared" si="0"/>
        <v>7.0000000000000007E-2</v>
      </c>
      <c r="F418" s="53">
        <f>D418*E418</f>
        <v>4.1600666016000005</v>
      </c>
    </row>
    <row r="419" spans="1:6" ht="18.75" customHeight="1">
      <c r="A419" s="7">
        <v>4</v>
      </c>
      <c r="B419" s="52" t="s">
        <v>845</v>
      </c>
      <c r="C419" s="7"/>
      <c r="D419" s="53">
        <f>F406+F417+F418</f>
        <v>63.589589481600001</v>
      </c>
      <c r="E419" s="56">
        <f t="shared" si="0"/>
        <v>0.09</v>
      </c>
      <c r="F419" s="53">
        <f>D419*E419</f>
        <v>5.7230630533440001</v>
      </c>
    </row>
    <row r="420" spans="1:6" ht="18.75" customHeight="1">
      <c r="A420" s="7">
        <v>5</v>
      </c>
      <c r="B420" s="52" t="s">
        <v>7</v>
      </c>
      <c r="C420" s="7"/>
      <c r="D420" s="7"/>
      <c r="E420" s="7"/>
      <c r="F420" s="53">
        <f>F406+F417+F418+F419</f>
        <v>69.312652534944007</v>
      </c>
    </row>
    <row r="421" spans="1:6" ht="18.75" customHeight="1">
      <c r="A421" s="7"/>
      <c r="B421" s="52" t="s">
        <v>846</v>
      </c>
      <c r="C421" s="7"/>
      <c r="D421" s="53">
        <f>F420</f>
        <v>69.312652534944007</v>
      </c>
      <c r="E421" s="56">
        <f>E399</f>
        <v>0.03</v>
      </c>
      <c r="F421" s="53">
        <f>E421*D421</f>
        <v>2.07937957604832</v>
      </c>
    </row>
    <row r="422" spans="1:6" ht="18.75" customHeight="1">
      <c r="A422" s="7"/>
      <c r="B422" s="52" t="s">
        <v>44</v>
      </c>
      <c r="C422" s="7"/>
      <c r="D422" s="7"/>
      <c r="E422" s="7"/>
      <c r="F422" s="53">
        <f>SUM(F420:F421)</f>
        <v>71.392032110992332</v>
      </c>
    </row>
    <row r="423" spans="1:6" ht="24" customHeight="1">
      <c r="A423" s="461" t="s">
        <v>928</v>
      </c>
      <c r="B423" s="461"/>
      <c r="C423" s="461"/>
      <c r="D423" s="461"/>
      <c r="E423" s="461"/>
      <c r="F423" s="461"/>
    </row>
    <row r="424" spans="1:6" ht="18.75" customHeight="1">
      <c r="A424" s="462" t="s">
        <v>1166</v>
      </c>
      <c r="B424" s="462"/>
      <c r="C424" s="462"/>
      <c r="D424" s="462"/>
      <c r="E424" s="462"/>
      <c r="F424" s="462"/>
    </row>
    <row r="425" spans="1:6" ht="18.75" customHeight="1">
      <c r="A425" s="47" t="s">
        <v>815</v>
      </c>
      <c r="B425" s="49">
        <v>1243</v>
      </c>
      <c r="D425" s="46"/>
      <c r="E425" s="47" t="s">
        <v>169</v>
      </c>
      <c r="F425" s="49" t="s">
        <v>869</v>
      </c>
    </row>
    <row r="426" spans="1:6" ht="18.75" customHeight="1">
      <c r="A426" s="50" t="s">
        <v>817</v>
      </c>
      <c r="B426" s="458"/>
      <c r="C426" s="459"/>
      <c r="D426" s="459"/>
      <c r="E426" s="459"/>
      <c r="F426" s="460"/>
    </row>
    <row r="427" spans="1:6" ht="18.75" customHeight="1">
      <c r="A427" s="7" t="s">
        <v>1</v>
      </c>
      <c r="B427" s="52" t="s">
        <v>344</v>
      </c>
      <c r="C427" s="7" t="s">
        <v>818</v>
      </c>
      <c r="D427" s="7" t="s">
        <v>819</v>
      </c>
      <c r="E427" s="7" t="s">
        <v>820</v>
      </c>
      <c r="F427" s="7" t="s">
        <v>821</v>
      </c>
    </row>
    <row r="428" spans="1:6" ht="18.75" customHeight="1">
      <c r="A428" s="7">
        <v>1</v>
      </c>
      <c r="B428" s="52" t="s">
        <v>822</v>
      </c>
      <c r="C428" s="7"/>
      <c r="D428" s="7"/>
      <c r="E428" s="7"/>
      <c r="F428" s="53">
        <f>F429+F437+F438</f>
        <v>1716.8269119497061</v>
      </c>
    </row>
    <row r="429" spans="1:6" ht="18.75" customHeight="1">
      <c r="A429" s="7">
        <v>1.1000000000000001</v>
      </c>
      <c r="B429" s="52" t="s">
        <v>823</v>
      </c>
      <c r="C429" s="7"/>
      <c r="D429" s="7"/>
      <c r="E429" s="7"/>
      <c r="F429" s="53">
        <f>F430+F433+F435</f>
        <v>1638.1936182726204</v>
      </c>
    </row>
    <row r="430" spans="1:6" ht="18.75" customHeight="1">
      <c r="A430" s="7" t="s">
        <v>47</v>
      </c>
      <c r="B430" s="52" t="s">
        <v>176</v>
      </c>
      <c r="C430" s="7"/>
      <c r="D430" s="7"/>
      <c r="E430" s="7"/>
      <c r="F430" s="53">
        <f>F431+F432</f>
        <v>1274.5930000000001</v>
      </c>
    </row>
    <row r="431" spans="1:6" ht="18.75" customHeight="1">
      <c r="A431" s="7"/>
      <c r="B431" s="52" t="s">
        <v>824</v>
      </c>
      <c r="C431" s="7" t="s">
        <v>825</v>
      </c>
      <c r="D431" s="7">
        <v>8.1</v>
      </c>
      <c r="E431" s="7"/>
      <c r="F431" s="53">
        <f>D431*E431</f>
        <v>0</v>
      </c>
    </row>
    <row r="432" spans="1:6" ht="18.75" customHeight="1">
      <c r="A432" s="7"/>
      <c r="B432" s="52" t="s">
        <v>826</v>
      </c>
      <c r="C432" s="7" t="s">
        <v>825</v>
      </c>
      <c r="D432" s="7">
        <v>5.77</v>
      </c>
      <c r="E432" s="7">
        <v>220.9</v>
      </c>
      <c r="F432" s="53">
        <f>D432*E432</f>
        <v>1274.5930000000001</v>
      </c>
    </row>
    <row r="433" spans="1:6" ht="18.75" customHeight="1">
      <c r="A433" s="7" t="s">
        <v>57</v>
      </c>
      <c r="B433" s="52" t="s">
        <v>836</v>
      </c>
      <c r="C433" s="7"/>
      <c r="D433" s="7"/>
      <c r="E433" s="7"/>
      <c r="F433" s="53">
        <f>F434</f>
        <v>285.59139835487656</v>
      </c>
    </row>
    <row r="434" spans="1:6" ht="18.75" customHeight="1">
      <c r="A434" s="7"/>
      <c r="B434" s="52" t="s">
        <v>1164</v>
      </c>
      <c r="C434" s="7" t="s">
        <v>863</v>
      </c>
      <c r="D434" s="66">
        <f>施工机械台时汇总!$C$15</f>
        <v>19.832735996866429</v>
      </c>
      <c r="E434" s="7">
        <v>14.4</v>
      </c>
      <c r="F434" s="53">
        <f>D434*E434</f>
        <v>285.59139835487656</v>
      </c>
    </row>
    <row r="435" spans="1:6" ht="18.75" customHeight="1">
      <c r="A435" s="7" t="s">
        <v>835</v>
      </c>
      <c r="B435" s="52" t="s">
        <v>864</v>
      </c>
      <c r="C435" s="7" t="s">
        <v>834</v>
      </c>
      <c r="D435" s="66">
        <f>F430+F433</f>
        <v>1560.1843983548765</v>
      </c>
      <c r="E435" s="7">
        <v>5</v>
      </c>
      <c r="F435" s="53">
        <f>D435*E435/100</f>
        <v>78.009219917743835</v>
      </c>
    </row>
    <row r="436" spans="1:6" ht="18.75" customHeight="1">
      <c r="A436" s="7"/>
      <c r="B436" s="52"/>
      <c r="C436" s="7"/>
      <c r="D436" s="7"/>
      <c r="E436" s="7"/>
      <c r="F436" s="53"/>
    </row>
    <row r="437" spans="1:6" ht="18.75" customHeight="1">
      <c r="A437" s="7">
        <v>1.2</v>
      </c>
      <c r="B437" s="52" t="s">
        <v>841</v>
      </c>
      <c r="C437" s="7"/>
      <c r="D437" s="53">
        <f>F429</f>
        <v>1638.1936182726204</v>
      </c>
      <c r="E437" s="56">
        <f>E393</f>
        <v>4.8000000000000001E-2</v>
      </c>
      <c r="F437" s="53">
        <f>D437*E437</f>
        <v>78.633293677085774</v>
      </c>
    </row>
    <row r="438" spans="1:6" ht="18.75" customHeight="1">
      <c r="A438" s="7">
        <v>1.3</v>
      </c>
      <c r="B438" s="52" t="s">
        <v>842</v>
      </c>
      <c r="C438" s="7"/>
      <c r="D438" s="53">
        <f>F429</f>
        <v>1638.1936182726204</v>
      </c>
      <c r="E438" s="56">
        <f>E394</f>
        <v>0</v>
      </c>
      <c r="F438" s="53">
        <f>D438*E438</f>
        <v>0</v>
      </c>
    </row>
    <row r="439" spans="1:6" ht="18.75" customHeight="1">
      <c r="A439" s="7">
        <v>2</v>
      </c>
      <c r="B439" s="52" t="s">
        <v>182</v>
      </c>
      <c r="C439" s="7"/>
      <c r="D439" s="53">
        <f>F428</f>
        <v>1716.8269119497061</v>
      </c>
      <c r="E439" s="56">
        <f>E395</f>
        <v>0.04</v>
      </c>
      <c r="F439" s="53">
        <f>D439*E439</f>
        <v>68.673076477988246</v>
      </c>
    </row>
    <row r="440" spans="1:6" ht="18.75" customHeight="1">
      <c r="A440" s="7">
        <v>3</v>
      </c>
      <c r="B440" s="52" t="s">
        <v>843</v>
      </c>
      <c r="C440" s="7"/>
      <c r="D440" s="53">
        <f>F428+F439</f>
        <v>1785.4999884276942</v>
      </c>
      <c r="E440" s="56">
        <f>E396</f>
        <v>7.0000000000000007E-2</v>
      </c>
      <c r="F440" s="53">
        <f>D440*E440</f>
        <v>124.98499918993861</v>
      </c>
    </row>
    <row r="441" spans="1:6" ht="18.75" customHeight="1">
      <c r="A441" s="7">
        <v>4</v>
      </c>
      <c r="B441" s="52" t="s">
        <v>845</v>
      </c>
      <c r="C441" s="7"/>
      <c r="D441" s="53">
        <f>F428+F439+F440</f>
        <v>1910.4849876176329</v>
      </c>
      <c r="E441" s="56">
        <f>E397</f>
        <v>0.09</v>
      </c>
      <c r="F441" s="53">
        <f>D441*E441</f>
        <v>171.94364888558695</v>
      </c>
    </row>
    <row r="442" spans="1:6" ht="18.75" customHeight="1">
      <c r="A442" s="7">
        <v>5</v>
      </c>
      <c r="B442" s="52" t="s">
        <v>7</v>
      </c>
      <c r="C442" s="7"/>
      <c r="D442" s="7"/>
      <c r="E442" s="7"/>
      <c r="F442" s="53">
        <f>F428+F439+F440+F441</f>
        <v>2082.4286365032199</v>
      </c>
    </row>
    <row r="443" spans="1:6" ht="18.75" customHeight="1">
      <c r="A443" s="7"/>
      <c r="B443" s="52" t="s">
        <v>846</v>
      </c>
      <c r="C443" s="7"/>
      <c r="D443" s="53">
        <f>F442</f>
        <v>2082.4286365032199</v>
      </c>
      <c r="E443" s="56">
        <f>E399</f>
        <v>0.03</v>
      </c>
      <c r="F443" s="53">
        <f>E443*D443</f>
        <v>62.472859095096595</v>
      </c>
    </row>
    <row r="444" spans="1:6" ht="18.75" customHeight="1">
      <c r="A444" s="7"/>
      <c r="B444" s="52" t="s">
        <v>44</v>
      </c>
      <c r="C444" s="7"/>
      <c r="D444" s="7"/>
      <c r="E444" s="7"/>
      <c r="F444" s="53">
        <f>SUM(F442:F443)</f>
        <v>2144.9014955983166</v>
      </c>
    </row>
    <row r="445" spans="1:6" ht="24" customHeight="1">
      <c r="A445" s="461" t="s">
        <v>928</v>
      </c>
      <c r="B445" s="461"/>
      <c r="C445" s="461"/>
      <c r="D445" s="461"/>
      <c r="E445" s="461"/>
      <c r="F445" s="461"/>
    </row>
    <row r="446" spans="1:6" ht="18.75" customHeight="1">
      <c r="A446" s="481" t="s">
        <v>1167</v>
      </c>
      <c r="B446" s="481"/>
      <c r="C446" s="481"/>
      <c r="D446" s="481"/>
      <c r="E446" s="481"/>
      <c r="F446" s="481"/>
    </row>
    <row r="447" spans="1:6" ht="18.75" customHeight="1">
      <c r="A447" s="47" t="s">
        <v>815</v>
      </c>
      <c r="B447" s="49">
        <v>1251</v>
      </c>
      <c r="D447" s="46"/>
      <c r="E447" s="47" t="s">
        <v>169</v>
      </c>
      <c r="F447" s="49" t="s">
        <v>951</v>
      </c>
    </row>
    <row r="448" spans="1:6" ht="18.75" customHeight="1">
      <c r="A448" s="50" t="s">
        <v>817</v>
      </c>
      <c r="B448" s="484" t="s">
        <v>775</v>
      </c>
      <c r="C448" s="485"/>
      <c r="D448" s="485"/>
      <c r="E448" s="485"/>
      <c r="F448" s="486"/>
    </row>
    <row r="449" spans="1:6" ht="18.75" customHeight="1">
      <c r="A449" s="7" t="s">
        <v>1</v>
      </c>
      <c r="B449" s="52" t="s">
        <v>344</v>
      </c>
      <c r="C449" s="7" t="s">
        <v>818</v>
      </c>
      <c r="D449" s="7" t="s">
        <v>819</v>
      </c>
      <c r="E449" s="7" t="s">
        <v>820</v>
      </c>
      <c r="F449" s="7" t="s">
        <v>821</v>
      </c>
    </row>
    <row r="450" spans="1:6" ht="18.75" customHeight="1">
      <c r="A450" s="7">
        <v>1</v>
      </c>
      <c r="B450" s="52" t="s">
        <v>822</v>
      </c>
      <c r="C450" s="7"/>
      <c r="D450" s="7"/>
      <c r="E450" s="7"/>
      <c r="F450" s="53">
        <f>F451+F460+F461</f>
        <v>1330.591687208921</v>
      </c>
    </row>
    <row r="451" spans="1:6" ht="18.75" customHeight="1">
      <c r="A451" s="7">
        <v>1.1000000000000001</v>
      </c>
      <c r="B451" s="52" t="s">
        <v>823</v>
      </c>
      <c r="C451" s="7"/>
      <c r="D451" s="7"/>
      <c r="E451" s="7"/>
      <c r="F451" s="53">
        <f>F452+F455+F458</f>
        <v>1269.6485564970621</v>
      </c>
    </row>
    <row r="452" spans="1:6" ht="18.75" customHeight="1">
      <c r="A452" s="7" t="s">
        <v>47</v>
      </c>
      <c r="B452" s="52" t="s">
        <v>176</v>
      </c>
      <c r="C452" s="7"/>
      <c r="D452" s="7"/>
      <c r="E452" s="7"/>
      <c r="F452" s="53">
        <f>F453+F454</f>
        <v>376.20400000000001</v>
      </c>
    </row>
    <row r="453" spans="1:6" ht="18.75" customHeight="1">
      <c r="A453" s="7"/>
      <c r="B453" s="52" t="s">
        <v>824</v>
      </c>
      <c r="C453" s="7" t="s">
        <v>825</v>
      </c>
      <c r="D453" s="7">
        <v>8.1</v>
      </c>
      <c r="E453" s="7"/>
      <c r="F453" s="53">
        <f>D453*E453</f>
        <v>0</v>
      </c>
    </row>
    <row r="454" spans="1:6" ht="18.75" customHeight="1">
      <c r="A454" s="7"/>
      <c r="B454" s="52" t="s">
        <v>826</v>
      </c>
      <c r="C454" s="7" t="s">
        <v>825</v>
      </c>
      <c r="D454" s="7">
        <v>5.77</v>
      </c>
      <c r="E454" s="7">
        <v>65.2</v>
      </c>
      <c r="F454" s="53">
        <f>D454*E454</f>
        <v>376.20400000000001</v>
      </c>
    </row>
    <row r="455" spans="1:6" ht="18.75" customHeight="1">
      <c r="A455" s="7" t="s">
        <v>57</v>
      </c>
      <c r="B455" s="52" t="s">
        <v>836</v>
      </c>
      <c r="C455" s="7"/>
      <c r="D455" s="7"/>
      <c r="E455" s="7"/>
      <c r="F455" s="53">
        <f>SUM(F456:F457)</f>
        <v>832.98510142577356</v>
      </c>
    </row>
    <row r="456" spans="1:6" ht="18.75" customHeight="1">
      <c r="A456" s="7"/>
      <c r="B456" s="52" t="s">
        <v>1168</v>
      </c>
      <c r="C456" s="53" t="s">
        <v>863</v>
      </c>
      <c r="D456" s="66">
        <f>施工机械台时汇总!C97</f>
        <v>84.835567567567608</v>
      </c>
      <c r="E456" s="7">
        <v>4.79</v>
      </c>
      <c r="F456" s="53">
        <f>E456*D456</f>
        <v>406.36236864864884</v>
      </c>
    </row>
    <row r="457" spans="1:6" ht="18.75" customHeight="1">
      <c r="A457" s="7"/>
      <c r="B457" s="52" t="s">
        <v>1138</v>
      </c>
      <c r="C457" s="53" t="s">
        <v>863</v>
      </c>
      <c r="D457" s="66">
        <f>施工机械台时汇总!C9</f>
        <v>89.065288679984292</v>
      </c>
      <c r="E457" s="7">
        <v>4.79</v>
      </c>
      <c r="F457" s="53">
        <f>E457*D457</f>
        <v>426.62273277712478</v>
      </c>
    </row>
    <row r="458" spans="1:6" ht="18.75" customHeight="1">
      <c r="A458" s="7" t="s">
        <v>835</v>
      </c>
      <c r="B458" s="52" t="s">
        <v>864</v>
      </c>
      <c r="C458" s="7" t="s">
        <v>834</v>
      </c>
      <c r="D458" s="66">
        <f>F452+F455</f>
        <v>1209.1891014257735</v>
      </c>
      <c r="E458" s="7">
        <v>5</v>
      </c>
      <c r="F458" s="53">
        <f>D458*E458/100</f>
        <v>60.459455071288673</v>
      </c>
    </row>
    <row r="459" spans="1:6" ht="18.75" customHeight="1">
      <c r="A459" s="7"/>
      <c r="B459" s="52"/>
      <c r="C459" s="7"/>
      <c r="D459" s="7"/>
      <c r="E459" s="7"/>
      <c r="F459" s="53"/>
    </row>
    <row r="460" spans="1:6" ht="18.75" customHeight="1">
      <c r="A460" s="7">
        <v>1.2</v>
      </c>
      <c r="B460" s="52" t="s">
        <v>841</v>
      </c>
      <c r="C460" s="7"/>
      <c r="D460" s="53">
        <f>F451</f>
        <v>1269.6485564970621</v>
      </c>
      <c r="E460" s="56">
        <f>E437</f>
        <v>4.8000000000000001E-2</v>
      </c>
      <c r="F460" s="53">
        <f>D460*E460</f>
        <v>60.943130711858984</v>
      </c>
    </row>
    <row r="461" spans="1:6" ht="18.75" customHeight="1">
      <c r="A461" s="7">
        <v>1.3</v>
      </c>
      <c r="B461" s="52" t="s">
        <v>842</v>
      </c>
      <c r="C461" s="7"/>
      <c r="D461" s="53">
        <f>F451</f>
        <v>1269.6485564970621</v>
      </c>
      <c r="E461" s="56">
        <f>E438</f>
        <v>0</v>
      </c>
      <c r="F461" s="53">
        <f>D461*E461</f>
        <v>0</v>
      </c>
    </row>
    <row r="462" spans="1:6" ht="18.75" customHeight="1">
      <c r="A462" s="7">
        <v>2</v>
      </c>
      <c r="B462" s="52" t="s">
        <v>182</v>
      </c>
      <c r="C462" s="7"/>
      <c r="D462" s="53">
        <f>F450</f>
        <v>1330.591687208921</v>
      </c>
      <c r="E462" s="56">
        <f>E439</f>
        <v>0.04</v>
      </c>
      <c r="F462" s="53">
        <f>D462*E462</f>
        <v>53.223667488356845</v>
      </c>
    </row>
    <row r="463" spans="1:6" ht="18.75" customHeight="1">
      <c r="A463" s="7">
        <v>3</v>
      </c>
      <c r="B463" s="52" t="s">
        <v>843</v>
      </c>
      <c r="C463" s="7"/>
      <c r="D463" s="53">
        <f>F450+F462</f>
        <v>1383.8153546972778</v>
      </c>
      <c r="E463" s="56">
        <f>E440</f>
        <v>7.0000000000000007E-2</v>
      </c>
      <c r="F463" s="53">
        <f>D463*E463</f>
        <v>96.86707482880945</v>
      </c>
    </row>
    <row r="464" spans="1:6" ht="18.75" customHeight="1">
      <c r="A464" s="7">
        <v>4</v>
      </c>
      <c r="B464" s="52" t="s">
        <v>184</v>
      </c>
      <c r="C464" s="7"/>
      <c r="D464" s="53"/>
      <c r="E464" s="56"/>
      <c r="F464" s="53">
        <f>F465</f>
        <v>349.70832000000001</v>
      </c>
    </row>
    <row r="465" spans="1:6" ht="18.75" customHeight="1">
      <c r="A465" s="7"/>
      <c r="B465" s="52" t="s">
        <v>516</v>
      </c>
      <c r="C465" s="7" t="s">
        <v>844</v>
      </c>
      <c r="D465" s="66">
        <f>B2</f>
        <v>3.51</v>
      </c>
      <c r="E465" s="66">
        <f>E456*台时!CT22+土石方!E457*台时!I22</f>
        <v>99.632000000000005</v>
      </c>
      <c r="F465" s="53">
        <f>E465*D465</f>
        <v>349.70832000000001</v>
      </c>
    </row>
    <row r="466" spans="1:6" ht="18.75" customHeight="1">
      <c r="A466" s="7">
        <v>5</v>
      </c>
      <c r="B466" s="52" t="s">
        <v>845</v>
      </c>
      <c r="C466" s="7"/>
      <c r="D466" s="53">
        <f>F450+F462+F463+F464</f>
        <v>1830.3907495260871</v>
      </c>
      <c r="E466" s="56">
        <f>E441</f>
        <v>0.09</v>
      </c>
      <c r="F466" s="53">
        <f>D466*E466</f>
        <v>164.73516745734784</v>
      </c>
    </row>
    <row r="467" spans="1:6" ht="18.75" customHeight="1">
      <c r="A467" s="7">
        <v>6</v>
      </c>
      <c r="B467" s="52" t="s">
        <v>7</v>
      </c>
      <c r="C467" s="7"/>
      <c r="D467" s="7"/>
      <c r="E467" s="7"/>
      <c r="F467" s="53">
        <f>F450+F462+F463+F464+F466</f>
        <v>1995.125916983435</v>
      </c>
    </row>
    <row r="468" spans="1:6" ht="18.75" customHeight="1">
      <c r="A468" s="7"/>
      <c r="B468" s="52" t="s">
        <v>846</v>
      </c>
      <c r="C468" s="7"/>
      <c r="D468" s="53">
        <f>F467</f>
        <v>1995.125916983435</v>
      </c>
      <c r="E468" s="56">
        <f>E443</f>
        <v>0.03</v>
      </c>
      <c r="F468" s="53">
        <f>E468*D468</f>
        <v>59.853777509503047</v>
      </c>
    </row>
    <row r="469" spans="1:6" ht="18.75" customHeight="1">
      <c r="A469" s="7"/>
      <c r="B469" s="52" t="s">
        <v>44</v>
      </c>
      <c r="C469" s="7"/>
      <c r="D469" s="7"/>
      <c r="E469" s="7"/>
      <c r="F469" s="53">
        <f>SUM(F467:F468)</f>
        <v>2054.9796944929381</v>
      </c>
    </row>
    <row r="470" spans="1:6" ht="22.5" customHeight="1">
      <c r="A470" s="461" t="s">
        <v>928</v>
      </c>
      <c r="B470" s="461"/>
      <c r="C470" s="461"/>
      <c r="D470" s="461"/>
      <c r="E470" s="461"/>
      <c r="F470" s="461"/>
    </row>
    <row r="471" spans="1:6" ht="18.75" customHeight="1">
      <c r="A471" s="462" t="s">
        <v>1169</v>
      </c>
      <c r="B471" s="462"/>
      <c r="C471" s="462"/>
      <c r="D471" s="462"/>
      <c r="E471" s="462"/>
      <c r="F471" s="462"/>
    </row>
    <row r="472" spans="1:6" ht="18.75" customHeight="1">
      <c r="A472" s="47" t="s">
        <v>815</v>
      </c>
      <c r="B472" s="49">
        <v>1238</v>
      </c>
      <c r="D472" s="46"/>
      <c r="E472" s="47" t="s">
        <v>169</v>
      </c>
      <c r="F472" s="49" t="s">
        <v>869</v>
      </c>
    </row>
    <row r="473" spans="1:6" ht="18.75" customHeight="1">
      <c r="A473" s="50" t="s">
        <v>817</v>
      </c>
      <c r="B473" s="458"/>
      <c r="C473" s="459"/>
      <c r="D473" s="459"/>
      <c r="E473" s="459"/>
      <c r="F473" s="460"/>
    </row>
    <row r="474" spans="1:6" ht="18.75" customHeight="1">
      <c r="A474" s="7" t="s">
        <v>1</v>
      </c>
      <c r="B474" s="52" t="s">
        <v>344</v>
      </c>
      <c r="C474" s="7" t="s">
        <v>818</v>
      </c>
      <c r="D474" s="7" t="s">
        <v>819</v>
      </c>
      <c r="E474" s="7" t="s">
        <v>820</v>
      </c>
      <c r="F474" s="7" t="s">
        <v>821</v>
      </c>
    </row>
    <row r="475" spans="1:6" ht="18.75" customHeight="1">
      <c r="A475" s="7">
        <v>1</v>
      </c>
      <c r="B475" s="52" t="s">
        <v>822</v>
      </c>
      <c r="C475" s="7"/>
      <c r="D475" s="7"/>
      <c r="E475" s="7"/>
      <c r="F475" s="53">
        <f>F476+F484+F485</f>
        <v>1773.690744</v>
      </c>
    </row>
    <row r="476" spans="1:6" ht="18.75" customHeight="1">
      <c r="A476" s="7">
        <v>1.1000000000000001</v>
      </c>
      <c r="B476" s="52" t="s">
        <v>823</v>
      </c>
      <c r="C476" s="7"/>
      <c r="D476" s="7"/>
      <c r="E476" s="7"/>
      <c r="F476" s="53">
        <f>F477+F480+F482</f>
        <v>1692.453</v>
      </c>
    </row>
    <row r="477" spans="1:6" ht="18.75" customHeight="1">
      <c r="A477" s="7" t="s">
        <v>47</v>
      </c>
      <c r="B477" s="52" t="s">
        <v>176</v>
      </c>
      <c r="C477" s="7"/>
      <c r="D477" s="7"/>
      <c r="E477" s="7"/>
      <c r="F477" s="53">
        <f>F478+F479</f>
        <v>1343.588</v>
      </c>
    </row>
    <row r="478" spans="1:6" ht="18.75" customHeight="1">
      <c r="A478" s="7"/>
      <c r="B478" s="52" t="s">
        <v>824</v>
      </c>
      <c r="C478" s="7" t="s">
        <v>825</v>
      </c>
      <c r="D478" s="7">
        <v>8.1</v>
      </c>
      <c r="E478" s="7">
        <v>4.5999999999999996</v>
      </c>
      <c r="F478" s="53">
        <f>D478*E478</f>
        <v>37.26</v>
      </c>
    </row>
    <row r="479" spans="1:6" ht="18.75" customHeight="1">
      <c r="A479" s="7"/>
      <c r="B479" s="52" t="s">
        <v>826</v>
      </c>
      <c r="C479" s="7" t="s">
        <v>825</v>
      </c>
      <c r="D479" s="7">
        <v>5.77</v>
      </c>
      <c r="E479" s="7">
        <v>226.4</v>
      </c>
      <c r="F479" s="53">
        <f>D479*E479</f>
        <v>1306.328</v>
      </c>
    </row>
    <row r="480" spans="1:6" ht="18.75" customHeight="1">
      <c r="A480" s="7" t="s">
        <v>57</v>
      </c>
      <c r="B480" s="52" t="s">
        <v>836</v>
      </c>
      <c r="C480" s="7"/>
      <c r="D480" s="7"/>
      <c r="E480" s="7"/>
      <c r="F480" s="53">
        <f>F481</f>
        <v>268.27199999999999</v>
      </c>
    </row>
    <row r="481" spans="1:6" ht="18.75" customHeight="1">
      <c r="A481" s="7"/>
      <c r="B481" s="52" t="s">
        <v>1164</v>
      </c>
      <c r="C481" s="7" t="s">
        <v>863</v>
      </c>
      <c r="D481" s="66">
        <v>18.63</v>
      </c>
      <c r="E481" s="7">
        <v>14.4</v>
      </c>
      <c r="F481" s="53">
        <f>D481*E481</f>
        <v>268.27199999999999</v>
      </c>
    </row>
    <row r="482" spans="1:6" ht="18.75" customHeight="1">
      <c r="A482" s="7" t="s">
        <v>835</v>
      </c>
      <c r="B482" s="52" t="s">
        <v>864</v>
      </c>
      <c r="C482" s="7" t="s">
        <v>834</v>
      </c>
      <c r="D482" s="66">
        <f>F477+F480</f>
        <v>1611.86</v>
      </c>
      <c r="E482" s="7">
        <v>5</v>
      </c>
      <c r="F482" s="53">
        <f>D482*E482/100</f>
        <v>80.593000000000004</v>
      </c>
    </row>
    <row r="483" spans="1:6" ht="18.75" customHeight="1">
      <c r="A483" s="7"/>
      <c r="B483" s="52"/>
      <c r="C483" s="7"/>
      <c r="D483" s="7"/>
      <c r="E483" s="7"/>
      <c r="F483" s="53"/>
    </row>
    <row r="484" spans="1:6" ht="18.75" customHeight="1">
      <c r="A484" s="7">
        <v>1.2</v>
      </c>
      <c r="B484" s="52" t="s">
        <v>841</v>
      </c>
      <c r="C484" s="7"/>
      <c r="D484" s="53">
        <f>F476</f>
        <v>1692.453</v>
      </c>
      <c r="E484" s="56">
        <f>E437</f>
        <v>4.8000000000000001E-2</v>
      </c>
      <c r="F484" s="53">
        <f>D484*E484</f>
        <v>81.237744000000006</v>
      </c>
    </row>
    <row r="485" spans="1:6" ht="18.75" customHeight="1">
      <c r="A485" s="7">
        <v>1.3</v>
      </c>
      <c r="B485" s="52" t="s">
        <v>842</v>
      </c>
      <c r="C485" s="7"/>
      <c r="D485" s="53">
        <f>F476</f>
        <v>1692.453</v>
      </c>
      <c r="E485" s="56">
        <f>E438</f>
        <v>0</v>
      </c>
      <c r="F485" s="53">
        <f>D485*E485</f>
        <v>0</v>
      </c>
    </row>
    <row r="486" spans="1:6" ht="18.75" customHeight="1">
      <c r="A486" s="7">
        <v>2</v>
      </c>
      <c r="B486" s="52" t="s">
        <v>182</v>
      </c>
      <c r="C486" s="7"/>
      <c r="D486" s="53">
        <f>F475</f>
        <v>1773.690744</v>
      </c>
      <c r="E486" s="56">
        <f>E439</f>
        <v>0.04</v>
      </c>
      <c r="F486" s="53">
        <f>D486*E486</f>
        <v>70.947629759999998</v>
      </c>
    </row>
    <row r="487" spans="1:6" ht="18.75" customHeight="1">
      <c r="A487" s="7">
        <v>3</v>
      </c>
      <c r="B487" s="52" t="s">
        <v>843</v>
      </c>
      <c r="C487" s="7"/>
      <c r="D487" s="53">
        <f>F475+F486</f>
        <v>1844.6383737599999</v>
      </c>
      <c r="E487" s="56">
        <f>E440</f>
        <v>7.0000000000000007E-2</v>
      </c>
      <c r="F487" s="53">
        <f>D487*E487</f>
        <v>129.12468616320001</v>
      </c>
    </row>
    <row r="488" spans="1:6" ht="18.75" customHeight="1">
      <c r="A488" s="7">
        <v>4</v>
      </c>
      <c r="B488" s="52" t="s">
        <v>845</v>
      </c>
      <c r="C488" s="7"/>
      <c r="D488" s="53">
        <f>F475+F486+F487</f>
        <v>1973.7630599232</v>
      </c>
      <c r="E488" s="56">
        <f>E441</f>
        <v>0.09</v>
      </c>
      <c r="F488" s="53">
        <f>D488*E488</f>
        <v>177.63867539308799</v>
      </c>
    </row>
    <row r="489" spans="1:6" ht="18.75" customHeight="1">
      <c r="A489" s="7">
        <v>5</v>
      </c>
      <c r="B489" s="52" t="s">
        <v>7</v>
      </c>
      <c r="C489" s="7"/>
      <c r="D489" s="7"/>
      <c r="E489" s="7"/>
      <c r="F489" s="53">
        <f>F475+F486+F487+F488</f>
        <v>2151.4017353162881</v>
      </c>
    </row>
    <row r="490" spans="1:6" ht="18.75" customHeight="1">
      <c r="A490" s="7"/>
      <c r="B490" s="52" t="s">
        <v>846</v>
      </c>
      <c r="C490" s="7"/>
      <c r="D490" s="53">
        <f>F489</f>
        <v>2151.4017353162881</v>
      </c>
      <c r="E490" s="56">
        <f>E443</f>
        <v>0.03</v>
      </c>
      <c r="F490" s="53">
        <f>E490*D490</f>
        <v>64.54205205948864</v>
      </c>
    </row>
    <row r="491" spans="1:6" ht="18.75" customHeight="1">
      <c r="A491" s="7"/>
      <c r="B491" s="52" t="s">
        <v>44</v>
      </c>
      <c r="C491" s="7"/>
      <c r="D491" s="7"/>
      <c r="E491" s="7"/>
      <c r="F491" s="53">
        <f>SUM(F489:F490)</f>
        <v>2215.9437873757765</v>
      </c>
    </row>
    <row r="492" spans="1:6" ht="22.5" customHeight="1">
      <c r="A492" s="461" t="s">
        <v>928</v>
      </c>
      <c r="B492" s="461"/>
      <c r="C492" s="461"/>
      <c r="D492" s="461"/>
      <c r="E492" s="461"/>
      <c r="F492" s="461"/>
    </row>
    <row r="493" spans="1:6" ht="18.75" customHeight="1">
      <c r="A493" s="462" t="s">
        <v>1170</v>
      </c>
      <c r="B493" s="462"/>
      <c r="C493" s="462"/>
      <c r="D493" s="462"/>
      <c r="E493" s="462"/>
      <c r="F493" s="462"/>
    </row>
    <row r="494" spans="1:6" ht="18.75" customHeight="1">
      <c r="A494" s="47" t="s">
        <v>815</v>
      </c>
      <c r="B494" s="49">
        <v>10231</v>
      </c>
      <c r="D494" s="46"/>
      <c r="E494" s="47" t="s">
        <v>169</v>
      </c>
      <c r="F494" s="49" t="s">
        <v>869</v>
      </c>
    </row>
    <row r="495" spans="1:6" ht="18.75" customHeight="1">
      <c r="A495" s="50" t="s">
        <v>817</v>
      </c>
      <c r="B495" s="458"/>
      <c r="C495" s="459"/>
      <c r="D495" s="459"/>
      <c r="E495" s="459"/>
      <c r="F495" s="460"/>
    </row>
    <row r="496" spans="1:6" ht="18.75" customHeight="1">
      <c r="A496" s="7" t="s">
        <v>1</v>
      </c>
      <c r="B496" s="52" t="s">
        <v>344</v>
      </c>
      <c r="C496" s="7" t="s">
        <v>818</v>
      </c>
      <c r="D496" s="7" t="s">
        <v>819</v>
      </c>
      <c r="E496" s="7" t="s">
        <v>820</v>
      </c>
      <c r="F496" s="7" t="s">
        <v>821</v>
      </c>
    </row>
    <row r="497" spans="1:6" ht="18.75" customHeight="1">
      <c r="A497" s="7">
        <v>1</v>
      </c>
      <c r="B497" s="52" t="s">
        <v>822</v>
      </c>
      <c r="C497" s="7"/>
      <c r="D497" s="7"/>
      <c r="E497" s="7"/>
      <c r="F497" s="53">
        <f>F498+F509+F510</f>
        <v>17280.069957312106</v>
      </c>
    </row>
    <row r="498" spans="1:6" ht="18.75" customHeight="1">
      <c r="A498" s="7">
        <v>1.1000000000000001</v>
      </c>
      <c r="B498" s="52" t="s">
        <v>823</v>
      </c>
      <c r="C498" s="7"/>
      <c r="D498" s="7"/>
      <c r="E498" s="7"/>
      <c r="F498" s="53">
        <f>F499+F502+F506</f>
        <v>16488.616371481017</v>
      </c>
    </row>
    <row r="499" spans="1:6" ht="18.75" customHeight="1">
      <c r="A499" s="7" t="s">
        <v>47</v>
      </c>
      <c r="B499" s="52" t="s">
        <v>176</v>
      </c>
      <c r="C499" s="7"/>
      <c r="D499" s="7"/>
      <c r="E499" s="7"/>
      <c r="F499" s="53">
        <f>F500+F501</f>
        <v>3985.5250000000001</v>
      </c>
    </row>
    <row r="500" spans="1:6" ht="18.75" customHeight="1">
      <c r="A500" s="7"/>
      <c r="B500" s="52" t="s">
        <v>824</v>
      </c>
      <c r="C500" s="7" t="s">
        <v>825</v>
      </c>
      <c r="D500" s="7">
        <v>8.1</v>
      </c>
      <c r="E500" s="7">
        <v>13.7</v>
      </c>
      <c r="F500" s="53">
        <f>D500*E500</f>
        <v>110.97</v>
      </c>
    </row>
    <row r="501" spans="1:6" ht="18.75" customHeight="1">
      <c r="A501" s="7"/>
      <c r="B501" s="52" t="s">
        <v>826</v>
      </c>
      <c r="C501" s="7" t="s">
        <v>825</v>
      </c>
      <c r="D501" s="7">
        <v>5.77</v>
      </c>
      <c r="E501" s="7">
        <v>671.5</v>
      </c>
      <c r="F501" s="53">
        <f>D501*E501</f>
        <v>3874.5549999999998</v>
      </c>
    </row>
    <row r="502" spans="1:6" ht="18.75" customHeight="1">
      <c r="A502" s="7" t="s">
        <v>57</v>
      </c>
      <c r="B502" s="52" t="s">
        <v>177</v>
      </c>
      <c r="C502" s="7"/>
      <c r="D502" s="7"/>
      <c r="E502" s="7"/>
      <c r="F502" s="53">
        <f>F503+F504+F505</f>
        <v>11434.900210689791</v>
      </c>
    </row>
    <row r="503" spans="1:6" ht="18.75" customHeight="1">
      <c r="A503" s="7"/>
      <c r="B503" s="52" t="s">
        <v>354</v>
      </c>
      <c r="C503" s="7" t="s">
        <v>88</v>
      </c>
      <c r="D503" s="7">
        <v>300</v>
      </c>
      <c r="E503" s="7">
        <v>33.299999999999997</v>
      </c>
      <c r="F503" s="53">
        <f>D503*E503</f>
        <v>9990</v>
      </c>
    </row>
    <row r="504" spans="1:6" ht="18.75" customHeight="1">
      <c r="A504" s="7"/>
      <c r="B504" s="52" t="s">
        <v>1171</v>
      </c>
      <c r="C504" s="7" t="s">
        <v>871</v>
      </c>
      <c r="D504" s="66">
        <f>建筑单价汇总!$D$119/100</f>
        <v>12.944713478986476</v>
      </c>
      <c r="E504" s="7">
        <v>94.3</v>
      </c>
      <c r="F504" s="53">
        <f>D504*E504</f>
        <v>1220.6864810684247</v>
      </c>
    </row>
    <row r="505" spans="1:6" ht="18.75" customHeight="1">
      <c r="A505" s="7"/>
      <c r="B505" s="52" t="s">
        <v>833</v>
      </c>
      <c r="C505" s="7" t="s">
        <v>834</v>
      </c>
      <c r="D505" s="66">
        <f>F503+F504</f>
        <v>11210.686481068424</v>
      </c>
      <c r="E505" s="7">
        <v>2</v>
      </c>
      <c r="F505" s="53">
        <f>D505*E505/100</f>
        <v>224.21372962136849</v>
      </c>
    </row>
    <row r="506" spans="1:6" ht="18.75" customHeight="1">
      <c r="A506" s="7" t="s">
        <v>835</v>
      </c>
      <c r="B506" s="52" t="s">
        <v>836</v>
      </c>
      <c r="C506" s="7"/>
      <c r="D506" s="66"/>
      <c r="E506" s="7"/>
      <c r="F506" s="53">
        <f>F507</f>
        <v>1068.1911607912259</v>
      </c>
    </row>
    <row r="507" spans="1:6" ht="18.75" customHeight="1">
      <c r="A507" s="7"/>
      <c r="B507" s="52" t="s">
        <v>1172</v>
      </c>
      <c r="C507" s="7" t="s">
        <v>863</v>
      </c>
      <c r="D507" s="66">
        <f>施工机械台时汇总!$C$15</f>
        <v>19.832735996866429</v>
      </c>
      <c r="E507" s="7">
        <v>53.86</v>
      </c>
      <c r="F507" s="53">
        <f>D507*E507</f>
        <v>1068.1911607912259</v>
      </c>
    </row>
    <row r="508" spans="1:6" ht="18.75" customHeight="1">
      <c r="A508" s="7"/>
      <c r="B508" s="52"/>
      <c r="C508" s="7"/>
      <c r="D508" s="7"/>
      <c r="E508" s="7"/>
      <c r="F508" s="53"/>
    </row>
    <row r="509" spans="1:6" ht="18.75" customHeight="1">
      <c r="A509" s="7">
        <v>1.2</v>
      </c>
      <c r="B509" s="52" t="s">
        <v>841</v>
      </c>
      <c r="C509" s="7"/>
      <c r="D509" s="53">
        <f>F498</f>
        <v>16488.616371481017</v>
      </c>
      <c r="E509" s="56">
        <f>E484</f>
        <v>4.8000000000000001E-2</v>
      </c>
      <c r="F509" s="53">
        <f>D509*E509</f>
        <v>791.45358583108884</v>
      </c>
    </row>
    <row r="510" spans="1:6" ht="18.75" customHeight="1">
      <c r="A510" s="7">
        <v>1.3</v>
      </c>
      <c r="B510" s="52" t="s">
        <v>842</v>
      </c>
      <c r="C510" s="7"/>
      <c r="D510" s="53">
        <f>F498</f>
        <v>16488.616371481017</v>
      </c>
      <c r="E510" s="56">
        <f>E485</f>
        <v>0</v>
      </c>
      <c r="F510" s="53">
        <f>D510*E510</f>
        <v>0</v>
      </c>
    </row>
    <row r="511" spans="1:6" ht="18.75" customHeight="1">
      <c r="A511" s="7">
        <v>2</v>
      </c>
      <c r="B511" s="52" t="s">
        <v>182</v>
      </c>
      <c r="C511" s="7"/>
      <c r="D511" s="53">
        <f>F497</f>
        <v>17280.069957312106</v>
      </c>
      <c r="E511" s="56">
        <f>E486</f>
        <v>0.04</v>
      </c>
      <c r="F511" s="53">
        <f>D511*E511</f>
        <v>691.2027982924842</v>
      </c>
    </row>
    <row r="512" spans="1:6" ht="18.75" customHeight="1">
      <c r="A512" s="7">
        <v>3</v>
      </c>
      <c r="B512" s="52" t="s">
        <v>843</v>
      </c>
      <c r="C512" s="7"/>
      <c r="D512" s="53">
        <f>F497+F511</f>
        <v>17971.27275560459</v>
      </c>
      <c r="E512" s="56">
        <f>E487</f>
        <v>7.0000000000000007E-2</v>
      </c>
      <c r="F512" s="53">
        <f>D512*E512</f>
        <v>1257.9890928923214</v>
      </c>
    </row>
    <row r="513" spans="1:6" ht="18.75" customHeight="1">
      <c r="A513" s="7">
        <v>4</v>
      </c>
      <c r="B513" s="52" t="s">
        <v>184</v>
      </c>
      <c r="C513" s="7"/>
      <c r="D513" s="7"/>
      <c r="E513" s="7"/>
      <c r="F513" s="53">
        <f>F514</f>
        <v>3876.6244949999996</v>
      </c>
    </row>
    <row r="514" spans="1:6" ht="18.75" customHeight="1">
      <c r="A514" s="7"/>
      <c r="B514" s="52" t="s">
        <v>354</v>
      </c>
      <c r="C514" s="7" t="s">
        <v>88</v>
      </c>
      <c r="D514" s="7">
        <f>C2</f>
        <v>116.41515</v>
      </c>
      <c r="E514" s="7">
        <f>E503</f>
        <v>33.299999999999997</v>
      </c>
      <c r="F514" s="53">
        <f>D514*E514</f>
        <v>3876.6244949999996</v>
      </c>
    </row>
    <row r="515" spans="1:6" ht="18.75" customHeight="1">
      <c r="A515" s="7">
        <v>5</v>
      </c>
      <c r="B515" s="52" t="s">
        <v>845</v>
      </c>
      <c r="C515" s="7"/>
      <c r="D515" s="53">
        <f>F497+F511+F512+F513</f>
        <v>23105.886343496913</v>
      </c>
      <c r="E515" s="56">
        <f>E488</f>
        <v>0.09</v>
      </c>
      <c r="F515" s="53">
        <f>D515*E515</f>
        <v>2079.5297709147221</v>
      </c>
    </row>
    <row r="516" spans="1:6" ht="18.75" customHeight="1">
      <c r="A516" s="7">
        <v>6</v>
      </c>
      <c r="B516" s="52" t="s">
        <v>7</v>
      </c>
      <c r="C516" s="7"/>
      <c r="D516" s="7"/>
      <c r="E516" s="7"/>
      <c r="F516" s="53">
        <f>F497+F511+F512+F513+F515</f>
        <v>25185.416114411637</v>
      </c>
    </row>
    <row r="517" spans="1:6" ht="18.75" customHeight="1">
      <c r="A517" s="7"/>
      <c r="B517" s="52" t="s">
        <v>846</v>
      </c>
      <c r="C517" s="7"/>
      <c r="D517" s="53">
        <f>F516</f>
        <v>25185.416114411637</v>
      </c>
      <c r="E517" s="56">
        <f>E490</f>
        <v>0.03</v>
      </c>
      <c r="F517" s="53">
        <f>E517*D517</f>
        <v>755.56248343234904</v>
      </c>
    </row>
    <row r="518" spans="1:6" ht="18.75" customHeight="1">
      <c r="A518" s="7"/>
      <c r="B518" s="52" t="s">
        <v>44</v>
      </c>
      <c r="C518" s="7"/>
      <c r="D518" s="7"/>
      <c r="E518" s="7"/>
      <c r="F518" s="53">
        <f>SUM(F516:F517)</f>
        <v>25940.978597843987</v>
      </c>
    </row>
    <row r="519" spans="1:6" ht="22.5" customHeight="1">
      <c r="A519" s="461" t="s">
        <v>928</v>
      </c>
      <c r="B519" s="461"/>
      <c r="C519" s="461"/>
      <c r="D519" s="461"/>
      <c r="E519" s="461"/>
      <c r="F519" s="461"/>
    </row>
    <row r="520" spans="1:6" ht="18.75" customHeight="1">
      <c r="A520" s="462" t="s">
        <v>1173</v>
      </c>
      <c r="B520" s="462"/>
      <c r="C520" s="462"/>
      <c r="D520" s="462"/>
      <c r="E520" s="462"/>
      <c r="F520" s="462"/>
    </row>
    <row r="521" spans="1:6" ht="18.75" customHeight="1">
      <c r="A521" s="47" t="s">
        <v>815</v>
      </c>
      <c r="B521" s="49">
        <v>10227</v>
      </c>
      <c r="D521" s="46"/>
      <c r="E521" s="47" t="s">
        <v>169</v>
      </c>
      <c r="F521" s="49" t="s">
        <v>869</v>
      </c>
    </row>
    <row r="522" spans="1:6" ht="18.75" customHeight="1">
      <c r="A522" s="50" t="s">
        <v>817</v>
      </c>
      <c r="B522" s="458"/>
      <c r="C522" s="459"/>
      <c r="D522" s="459"/>
      <c r="E522" s="459"/>
      <c r="F522" s="460"/>
    </row>
    <row r="523" spans="1:6" ht="18.75" customHeight="1">
      <c r="A523" s="7" t="s">
        <v>1</v>
      </c>
      <c r="B523" s="52" t="s">
        <v>344</v>
      </c>
      <c r="C523" s="7" t="s">
        <v>818</v>
      </c>
      <c r="D523" s="7" t="s">
        <v>819</v>
      </c>
      <c r="E523" s="7" t="s">
        <v>820</v>
      </c>
      <c r="F523" s="7" t="s">
        <v>821</v>
      </c>
    </row>
    <row r="524" spans="1:6" ht="18.75" customHeight="1">
      <c r="A524" s="7">
        <v>1</v>
      </c>
      <c r="B524" s="52" t="s">
        <v>822</v>
      </c>
      <c r="C524" s="7"/>
      <c r="D524" s="7"/>
      <c r="E524" s="7"/>
      <c r="F524" s="53">
        <f>F525+F536+F537</f>
        <v>17444.119164803174</v>
      </c>
    </row>
    <row r="525" spans="1:6" ht="18.75" customHeight="1">
      <c r="A525" s="7">
        <v>1.1000000000000001</v>
      </c>
      <c r="B525" s="52" t="s">
        <v>823</v>
      </c>
      <c r="C525" s="7"/>
      <c r="D525" s="7"/>
      <c r="E525" s="7"/>
      <c r="F525" s="53">
        <f>F526+F529+F533</f>
        <v>16645.151874812189</v>
      </c>
    </row>
    <row r="526" spans="1:6" ht="18.75" customHeight="1">
      <c r="A526" s="7" t="s">
        <v>47</v>
      </c>
      <c r="B526" s="52" t="s">
        <v>176</v>
      </c>
      <c r="C526" s="7"/>
      <c r="D526" s="7"/>
      <c r="E526" s="7"/>
      <c r="F526" s="53">
        <f>F527+F528</f>
        <v>3985.5250000000001</v>
      </c>
    </row>
    <row r="527" spans="1:6" ht="18.75" customHeight="1">
      <c r="A527" s="7"/>
      <c r="B527" s="52" t="s">
        <v>824</v>
      </c>
      <c r="C527" s="7" t="s">
        <v>825</v>
      </c>
      <c r="D527" s="7">
        <v>8.1</v>
      </c>
      <c r="E527" s="7">
        <v>13.7</v>
      </c>
      <c r="F527" s="53">
        <f>D527*E527</f>
        <v>110.97</v>
      </c>
    </row>
    <row r="528" spans="1:6" ht="18.75" customHeight="1">
      <c r="A528" s="7"/>
      <c r="B528" s="52" t="s">
        <v>826</v>
      </c>
      <c r="C528" s="7" t="s">
        <v>825</v>
      </c>
      <c r="D528" s="7">
        <v>5.77</v>
      </c>
      <c r="E528" s="7">
        <v>671.5</v>
      </c>
      <c r="F528" s="53">
        <f>D528*E528</f>
        <v>3874.5549999999998</v>
      </c>
    </row>
    <row r="529" spans="1:6" ht="18.75" customHeight="1">
      <c r="A529" s="7" t="s">
        <v>57</v>
      </c>
      <c r="B529" s="52" t="s">
        <v>177</v>
      </c>
      <c r="C529" s="7"/>
      <c r="D529" s="7"/>
      <c r="E529" s="7"/>
      <c r="F529" s="53">
        <f>F530+F531+F532</f>
        <v>12233.223050879562</v>
      </c>
    </row>
    <row r="530" spans="1:6" ht="18.75" customHeight="1">
      <c r="A530" s="7"/>
      <c r="B530" s="52" t="s">
        <v>1174</v>
      </c>
      <c r="C530" s="7" t="s">
        <v>88</v>
      </c>
      <c r="D530" s="7">
        <v>380</v>
      </c>
      <c r="E530" s="7">
        <v>28.7</v>
      </c>
      <c r="F530" s="53">
        <f>D530*E530</f>
        <v>10906</v>
      </c>
    </row>
    <row r="531" spans="1:6" ht="18.75" customHeight="1">
      <c r="A531" s="7"/>
      <c r="B531" s="52" t="s">
        <v>1171</v>
      </c>
      <c r="C531" s="7" t="s">
        <v>871</v>
      </c>
      <c r="D531" s="66">
        <f>建筑单价汇总!$D$119/100</f>
        <v>12.944713478986476</v>
      </c>
      <c r="E531" s="7">
        <v>84</v>
      </c>
      <c r="F531" s="53">
        <f>D531*E531</f>
        <v>1087.355932234864</v>
      </c>
    </row>
    <row r="532" spans="1:6" ht="18.75" customHeight="1">
      <c r="A532" s="7"/>
      <c r="B532" s="52" t="s">
        <v>833</v>
      </c>
      <c r="C532" s="7" t="s">
        <v>834</v>
      </c>
      <c r="D532" s="66">
        <f>F530+F531</f>
        <v>11993.355932234865</v>
      </c>
      <c r="E532" s="7">
        <v>2</v>
      </c>
      <c r="F532" s="53">
        <f>D532*E532/100</f>
        <v>239.86711864469729</v>
      </c>
    </row>
    <row r="533" spans="1:6" ht="18.75" customHeight="1">
      <c r="A533" s="7" t="s">
        <v>835</v>
      </c>
      <c r="B533" s="52" t="s">
        <v>836</v>
      </c>
      <c r="C533" s="7"/>
      <c r="D533" s="66"/>
      <c r="E533" s="7"/>
      <c r="F533" s="53">
        <f>F534</f>
        <v>426.4038239326282</v>
      </c>
    </row>
    <row r="534" spans="1:6" ht="18.75" customHeight="1">
      <c r="A534" s="7"/>
      <c r="B534" s="52" t="s">
        <v>1172</v>
      </c>
      <c r="C534" s="7" t="s">
        <v>863</v>
      </c>
      <c r="D534" s="66">
        <f>施工机械台时汇总!$C$15</f>
        <v>19.832735996866429</v>
      </c>
      <c r="E534" s="7">
        <v>21.5</v>
      </c>
      <c r="F534" s="53">
        <f>D534*E534</f>
        <v>426.4038239326282</v>
      </c>
    </row>
    <row r="535" spans="1:6" ht="18.75" customHeight="1">
      <c r="A535" s="7"/>
      <c r="B535" s="52"/>
      <c r="C535" s="7"/>
      <c r="D535" s="7"/>
      <c r="E535" s="7"/>
      <c r="F535" s="53"/>
    </row>
    <row r="536" spans="1:6" ht="18.75" customHeight="1">
      <c r="A536" s="7">
        <v>1.2</v>
      </c>
      <c r="B536" s="52" t="s">
        <v>841</v>
      </c>
      <c r="C536" s="7"/>
      <c r="D536" s="53">
        <f>F525</f>
        <v>16645.151874812189</v>
      </c>
      <c r="E536" s="56">
        <f>E509</f>
        <v>4.8000000000000001E-2</v>
      </c>
      <c r="F536" s="53">
        <f>D536*E536</f>
        <v>798.96728999098514</v>
      </c>
    </row>
    <row r="537" spans="1:6" ht="18.75" customHeight="1">
      <c r="A537" s="7">
        <v>1.3</v>
      </c>
      <c r="B537" s="52" t="s">
        <v>842</v>
      </c>
      <c r="C537" s="7"/>
      <c r="D537" s="53">
        <f>F525</f>
        <v>16645.151874812189</v>
      </c>
      <c r="E537" s="56">
        <f>E510</f>
        <v>0</v>
      </c>
      <c r="F537" s="53">
        <f>D537*E537</f>
        <v>0</v>
      </c>
    </row>
    <row r="538" spans="1:6" ht="18.75" customHeight="1">
      <c r="A538" s="7">
        <v>2</v>
      </c>
      <c r="B538" s="52" t="s">
        <v>182</v>
      </c>
      <c r="C538" s="7"/>
      <c r="D538" s="53">
        <f>F524</f>
        <v>17444.119164803174</v>
      </c>
      <c r="E538" s="56">
        <f>E511</f>
        <v>0.04</v>
      </c>
      <c r="F538" s="53">
        <f>D538*E538</f>
        <v>697.76476659212699</v>
      </c>
    </row>
    <row r="539" spans="1:6" ht="18.75" customHeight="1">
      <c r="A539" s="7">
        <v>3</v>
      </c>
      <c r="B539" s="52" t="s">
        <v>843</v>
      </c>
      <c r="C539" s="7"/>
      <c r="D539" s="53">
        <f>F524+F538</f>
        <v>18141.883931395303</v>
      </c>
      <c r="E539" s="56">
        <f>E512</f>
        <v>7.0000000000000007E-2</v>
      </c>
      <c r="F539" s="53">
        <f>D539*E539</f>
        <v>1269.9318751976714</v>
      </c>
    </row>
    <row r="540" spans="1:6" ht="18.75" customHeight="1">
      <c r="A540" s="7">
        <v>5</v>
      </c>
      <c r="B540" s="52" t="s">
        <v>845</v>
      </c>
      <c r="C540" s="7"/>
      <c r="D540" s="53">
        <f>F524+F538+F539</f>
        <v>19411.815806592975</v>
      </c>
      <c r="E540" s="56">
        <f>E515</f>
        <v>0.09</v>
      </c>
      <c r="F540" s="53">
        <f>D540*E540</f>
        <v>1747.0634225933677</v>
      </c>
    </row>
    <row r="541" spans="1:6" ht="18.75" customHeight="1">
      <c r="A541" s="7">
        <v>6</v>
      </c>
      <c r="B541" s="52" t="s">
        <v>7</v>
      </c>
      <c r="C541" s="7"/>
      <c r="D541" s="7"/>
      <c r="E541" s="7"/>
      <c r="F541" s="53">
        <f>F524+F538+F539+F540</f>
        <v>21158.879229186343</v>
      </c>
    </row>
    <row r="542" spans="1:6" ht="18.75" customHeight="1">
      <c r="A542" s="7"/>
      <c r="B542" s="52" t="s">
        <v>846</v>
      </c>
      <c r="C542" s="7"/>
      <c r="D542" s="53">
        <f>F541</f>
        <v>21158.879229186343</v>
      </c>
      <c r="E542" s="56">
        <f>E517</f>
        <v>0.03</v>
      </c>
      <c r="F542" s="53">
        <f>E542*D542</f>
        <v>634.76637687559025</v>
      </c>
    </row>
    <row r="543" spans="1:6" ht="18.75" customHeight="1">
      <c r="A543" s="7"/>
      <c r="B543" s="52" t="s">
        <v>44</v>
      </c>
      <c r="C543" s="7"/>
      <c r="D543" s="7"/>
      <c r="E543" s="7"/>
      <c r="F543" s="53">
        <f>SUM(F541:F542)</f>
        <v>21793.645606061935</v>
      </c>
    </row>
    <row r="544" spans="1:6" ht="24" customHeight="1">
      <c r="A544" s="461" t="s">
        <v>928</v>
      </c>
      <c r="B544" s="461"/>
      <c r="C544" s="461"/>
      <c r="D544" s="461"/>
      <c r="E544" s="461"/>
      <c r="F544" s="461"/>
    </row>
    <row r="545" spans="1:6" ht="18.75" customHeight="1">
      <c r="A545" s="462" t="s">
        <v>1175</v>
      </c>
      <c r="B545" s="462"/>
      <c r="C545" s="462"/>
      <c r="D545" s="462"/>
      <c r="E545" s="462"/>
      <c r="F545" s="462"/>
    </row>
    <row r="546" spans="1:6" ht="18.75" customHeight="1">
      <c r="A546" s="47" t="s">
        <v>815</v>
      </c>
      <c r="B546" s="49">
        <v>1275</v>
      </c>
      <c r="D546" s="46"/>
      <c r="E546" s="47" t="s">
        <v>169</v>
      </c>
      <c r="F546" s="49" t="s">
        <v>951</v>
      </c>
    </row>
    <row r="547" spans="1:6" ht="18.75" customHeight="1">
      <c r="A547" s="50" t="s">
        <v>817</v>
      </c>
      <c r="B547" s="458"/>
      <c r="C547" s="459"/>
      <c r="D547" s="459"/>
      <c r="E547" s="459"/>
      <c r="F547" s="460"/>
    </row>
    <row r="548" spans="1:6" ht="18.75" customHeight="1">
      <c r="A548" s="7" t="s">
        <v>1</v>
      </c>
      <c r="B548" s="52" t="s">
        <v>344</v>
      </c>
      <c r="C548" s="7" t="s">
        <v>818</v>
      </c>
      <c r="D548" s="7" t="s">
        <v>819</v>
      </c>
      <c r="E548" s="7" t="s">
        <v>820</v>
      </c>
      <c r="F548" s="7" t="s">
        <v>821</v>
      </c>
    </row>
    <row r="549" spans="1:6" ht="18.75" customHeight="1">
      <c r="A549" s="7">
        <v>1</v>
      </c>
      <c r="B549" s="52" t="s">
        <v>822</v>
      </c>
      <c r="C549" s="7"/>
      <c r="D549" s="7"/>
      <c r="E549" s="7"/>
      <c r="F549" s="53">
        <f>F550+F556+F557</f>
        <v>36.786972008940062</v>
      </c>
    </row>
    <row r="550" spans="1:6" ht="18.75" customHeight="1">
      <c r="A550" s="7">
        <v>1.1000000000000001</v>
      </c>
      <c r="B550" s="52" t="s">
        <v>823</v>
      </c>
      <c r="C550" s="7"/>
      <c r="D550" s="7"/>
      <c r="E550" s="7"/>
      <c r="F550" s="53">
        <f>F551+F552+F554</f>
        <v>35.10207252761456</v>
      </c>
    </row>
    <row r="551" spans="1:6" ht="18.75" customHeight="1">
      <c r="A551" s="7" t="s">
        <v>47</v>
      </c>
      <c r="B551" s="52" t="s">
        <v>1143</v>
      </c>
      <c r="C551" s="7" t="s">
        <v>825</v>
      </c>
      <c r="D551" s="7">
        <v>5.77</v>
      </c>
      <c r="E551" s="7">
        <v>0.7</v>
      </c>
      <c r="F551" s="53">
        <f>D551*E551</f>
        <v>4.0389999999999997</v>
      </c>
    </row>
    <row r="552" spans="1:6" ht="18.75" customHeight="1">
      <c r="A552" s="7" t="s">
        <v>57</v>
      </c>
      <c r="B552" s="52" t="s">
        <v>836</v>
      </c>
      <c r="C552" s="7"/>
      <c r="D552" s="7"/>
      <c r="E552" s="7"/>
      <c r="F552" s="53">
        <f>F553</f>
        <v>29.391545264394818</v>
      </c>
    </row>
    <row r="553" spans="1:6" ht="18.75" customHeight="1">
      <c r="A553" s="7"/>
      <c r="B553" s="52" t="s">
        <v>1158</v>
      </c>
      <c r="C553" s="7" t="s">
        <v>863</v>
      </c>
      <c r="D553" s="66">
        <f>施工机械台时汇总!$C$9</f>
        <v>89.065288679984292</v>
      </c>
      <c r="E553" s="7">
        <v>0.33</v>
      </c>
      <c r="F553" s="53">
        <f>D553*E553</f>
        <v>29.391545264394818</v>
      </c>
    </row>
    <row r="554" spans="1:6" ht="18.75" customHeight="1">
      <c r="A554" s="7" t="s">
        <v>835</v>
      </c>
      <c r="B554" s="52" t="s">
        <v>864</v>
      </c>
      <c r="C554" s="7" t="s">
        <v>834</v>
      </c>
      <c r="D554" s="66">
        <f>F551+F552</f>
        <v>33.430545264394816</v>
      </c>
      <c r="E554" s="7">
        <v>5</v>
      </c>
      <c r="F554" s="53">
        <f>D554*E554/100</f>
        <v>1.6715272632197409</v>
      </c>
    </row>
    <row r="555" spans="1:6" ht="18.75" customHeight="1">
      <c r="A555" s="7"/>
      <c r="B555" s="52"/>
      <c r="C555" s="7"/>
      <c r="D555" s="7"/>
      <c r="E555" s="7"/>
      <c r="F555" s="53"/>
    </row>
    <row r="556" spans="1:6" ht="18.75" customHeight="1">
      <c r="A556" s="7">
        <v>1.2</v>
      </c>
      <c r="B556" s="52" t="s">
        <v>841</v>
      </c>
      <c r="C556" s="7"/>
      <c r="D556" s="53">
        <f>F550</f>
        <v>35.10207252761456</v>
      </c>
      <c r="E556" s="56">
        <f>E536</f>
        <v>4.8000000000000001E-2</v>
      </c>
      <c r="F556" s="53">
        <f>D556*E556</f>
        <v>1.6848994813254989</v>
      </c>
    </row>
    <row r="557" spans="1:6" ht="18.75" customHeight="1">
      <c r="A557" s="7">
        <v>1.3</v>
      </c>
      <c r="B557" s="52" t="s">
        <v>842</v>
      </c>
      <c r="C557" s="7"/>
      <c r="D557" s="53">
        <f>F550</f>
        <v>35.10207252761456</v>
      </c>
      <c r="E557" s="56">
        <f>E537</f>
        <v>0</v>
      </c>
      <c r="F557" s="53">
        <f>D557*E557</f>
        <v>0</v>
      </c>
    </row>
    <row r="558" spans="1:6" ht="18.75" customHeight="1">
      <c r="A558" s="7">
        <v>2</v>
      </c>
      <c r="B558" s="52" t="s">
        <v>182</v>
      </c>
      <c r="C558" s="7"/>
      <c r="D558" s="53">
        <f>F549</f>
        <v>36.786972008940062</v>
      </c>
      <c r="E558" s="56">
        <f>E538</f>
        <v>0.04</v>
      </c>
      <c r="F558" s="53">
        <f>D558*E558</f>
        <v>1.4714788803576024</v>
      </c>
    </row>
    <row r="559" spans="1:6" ht="18.75" customHeight="1">
      <c r="A559" s="7">
        <v>3</v>
      </c>
      <c r="B559" s="52" t="s">
        <v>843</v>
      </c>
      <c r="C559" s="7"/>
      <c r="D559" s="53">
        <f>F549+F558</f>
        <v>38.258450889297663</v>
      </c>
      <c r="E559" s="56">
        <f>E539</f>
        <v>7.0000000000000007E-2</v>
      </c>
      <c r="F559" s="53">
        <f>D559*E559</f>
        <v>2.6780915622508368</v>
      </c>
    </row>
    <row r="560" spans="1:6" ht="18.75" customHeight="1">
      <c r="A560" s="7">
        <v>4</v>
      </c>
      <c r="B560" s="52" t="s">
        <v>184</v>
      </c>
      <c r="C560" s="7"/>
      <c r="D560" s="7"/>
      <c r="E560" s="7"/>
      <c r="F560" s="53">
        <f>F561</f>
        <v>12.277979999999999</v>
      </c>
    </row>
    <row r="561" spans="1:6" ht="18.75" customHeight="1">
      <c r="A561" s="7"/>
      <c r="B561" s="52" t="s">
        <v>516</v>
      </c>
      <c r="C561" s="7" t="s">
        <v>844</v>
      </c>
      <c r="D561" s="7">
        <f>B2</f>
        <v>3.51</v>
      </c>
      <c r="E561" s="66">
        <f>E553*台时!I22</f>
        <v>3.4980000000000002</v>
      </c>
      <c r="F561" s="53">
        <f>D561*E561</f>
        <v>12.277979999999999</v>
      </c>
    </row>
    <row r="562" spans="1:6" ht="18.75" customHeight="1">
      <c r="A562" s="7">
        <v>5</v>
      </c>
      <c r="B562" s="52" t="s">
        <v>845</v>
      </c>
      <c r="C562" s="7"/>
      <c r="D562" s="53">
        <f>F549+F558+F559+F560</f>
        <v>53.214522451548497</v>
      </c>
      <c r="E562" s="56">
        <f>E540</f>
        <v>0.09</v>
      </c>
      <c r="F562" s="53">
        <f>D562*E562</f>
        <v>4.7893070206393649</v>
      </c>
    </row>
    <row r="563" spans="1:6" ht="18.75" customHeight="1">
      <c r="A563" s="7">
        <v>6</v>
      </c>
      <c r="B563" s="52" t="s">
        <v>7</v>
      </c>
      <c r="C563" s="7"/>
      <c r="D563" s="7"/>
      <c r="E563" s="7"/>
      <c r="F563" s="53">
        <f>F549+F558+F559+F560+F562</f>
        <v>58.00382947218786</v>
      </c>
    </row>
    <row r="564" spans="1:6" ht="18.75" customHeight="1">
      <c r="A564" s="7"/>
      <c r="B564" s="52" t="s">
        <v>846</v>
      </c>
      <c r="C564" s="7"/>
      <c r="D564" s="53">
        <f>F563</f>
        <v>58.00382947218786</v>
      </c>
      <c r="E564" s="56">
        <f>E542</f>
        <v>0.03</v>
      </c>
      <c r="F564" s="53">
        <f>E564*D564</f>
        <v>1.7401148841656358</v>
      </c>
    </row>
    <row r="565" spans="1:6" ht="18.75" customHeight="1">
      <c r="A565" s="7"/>
      <c r="B565" s="52" t="s">
        <v>44</v>
      </c>
      <c r="C565" s="7"/>
      <c r="D565" s="7"/>
      <c r="E565" s="7"/>
      <c r="F565" s="53">
        <f>SUM(F563:F564)</f>
        <v>59.743944356353495</v>
      </c>
    </row>
    <row r="566" spans="1:6" ht="22.5" customHeight="1">
      <c r="A566" s="461" t="s">
        <v>813</v>
      </c>
      <c r="B566" s="461"/>
      <c r="C566" s="461"/>
      <c r="D566" s="461"/>
      <c r="E566" s="461"/>
      <c r="F566" s="461"/>
    </row>
    <row r="567" spans="1:6" ht="18.75" customHeight="1">
      <c r="A567" s="462" t="s">
        <v>1176</v>
      </c>
      <c r="B567" s="462"/>
      <c r="C567" s="462"/>
      <c r="D567" s="462"/>
      <c r="E567" s="462"/>
      <c r="F567" s="462"/>
    </row>
    <row r="568" spans="1:6" ht="18.75" customHeight="1">
      <c r="A568" s="47" t="s">
        <v>815</v>
      </c>
      <c r="B568" s="49">
        <v>10213</v>
      </c>
      <c r="D568" s="46"/>
      <c r="E568" s="47" t="s">
        <v>169</v>
      </c>
      <c r="F568" s="49" t="s">
        <v>951</v>
      </c>
    </row>
    <row r="569" spans="1:6" ht="18.75" customHeight="1">
      <c r="A569" s="50" t="s">
        <v>817</v>
      </c>
      <c r="B569" s="476"/>
      <c r="C569" s="476"/>
      <c r="D569" s="476"/>
      <c r="E569" s="476"/>
      <c r="F569" s="476"/>
    </row>
    <row r="570" spans="1:6" ht="18.75" customHeight="1">
      <c r="A570" s="7" t="s">
        <v>1</v>
      </c>
      <c r="B570" s="52" t="s">
        <v>344</v>
      </c>
      <c r="C570" s="7" t="s">
        <v>818</v>
      </c>
      <c r="D570" s="7" t="s">
        <v>819</v>
      </c>
      <c r="E570" s="7" t="s">
        <v>820</v>
      </c>
      <c r="F570" s="7" t="s">
        <v>821</v>
      </c>
    </row>
    <row r="571" spans="1:6" ht="18.75" customHeight="1">
      <c r="A571" s="7">
        <v>1</v>
      </c>
      <c r="B571" s="52" t="s">
        <v>822</v>
      </c>
      <c r="C571" s="7"/>
      <c r="D571" s="7"/>
      <c r="E571" s="7"/>
      <c r="F571" s="53">
        <f>F572+F579+F580</f>
        <v>538.17372839999996</v>
      </c>
    </row>
    <row r="572" spans="1:6" ht="18.75" customHeight="1">
      <c r="A572" s="7">
        <v>1.1000000000000001</v>
      </c>
      <c r="B572" s="52" t="s">
        <v>823</v>
      </c>
      <c r="C572" s="7"/>
      <c r="D572" s="7"/>
      <c r="E572" s="7"/>
      <c r="F572" s="53">
        <f>F573+F576+F577</f>
        <v>513.52454999999998</v>
      </c>
    </row>
    <row r="573" spans="1:6" ht="18.75" customHeight="1">
      <c r="A573" s="7" t="s">
        <v>47</v>
      </c>
      <c r="B573" s="52" t="s">
        <v>1177</v>
      </c>
      <c r="C573" s="7"/>
      <c r="D573" s="7"/>
      <c r="E573" s="7"/>
      <c r="F573" s="53">
        <f>F574+F575</f>
        <v>285.07100000000003</v>
      </c>
    </row>
    <row r="574" spans="1:6" ht="18.75" customHeight="1">
      <c r="A574" s="7"/>
      <c r="B574" s="52" t="s">
        <v>824</v>
      </c>
      <c r="C574" s="7" t="s">
        <v>825</v>
      </c>
      <c r="D574" s="7">
        <v>8.1</v>
      </c>
      <c r="E574" s="7">
        <v>1.5</v>
      </c>
      <c r="F574" s="53">
        <f>D574*E574</f>
        <v>12.15</v>
      </c>
    </row>
    <row r="575" spans="1:6" ht="18.75" customHeight="1">
      <c r="A575" s="7"/>
      <c r="B575" s="52" t="s">
        <v>826</v>
      </c>
      <c r="C575" s="7" t="s">
        <v>825</v>
      </c>
      <c r="D575" s="7">
        <v>5.77</v>
      </c>
      <c r="E575" s="7">
        <v>47.3</v>
      </c>
      <c r="F575" s="53">
        <f>D575*E575</f>
        <v>272.92099999999999</v>
      </c>
    </row>
    <row r="576" spans="1:6" ht="18.75" customHeight="1">
      <c r="A576" s="7" t="s">
        <v>57</v>
      </c>
      <c r="B576" s="52" t="s">
        <v>1178</v>
      </c>
      <c r="C576" s="7" t="s">
        <v>1047</v>
      </c>
      <c r="D576" s="54">
        <v>2</v>
      </c>
      <c r="E576" s="7">
        <v>102</v>
      </c>
      <c r="F576" s="53">
        <f>D576*E576</f>
        <v>204</v>
      </c>
    </row>
    <row r="577" spans="1:6" ht="18.75" customHeight="1">
      <c r="A577" s="7" t="s">
        <v>835</v>
      </c>
      <c r="B577" s="52" t="s">
        <v>864</v>
      </c>
      <c r="C577" s="7" t="s">
        <v>834</v>
      </c>
      <c r="D577" s="66">
        <f>F573+F576</f>
        <v>489.07100000000003</v>
      </c>
      <c r="E577" s="7">
        <v>5</v>
      </c>
      <c r="F577" s="53">
        <f>D577*E577/100</f>
        <v>24.45355</v>
      </c>
    </row>
    <row r="578" spans="1:6" ht="18.75" customHeight="1">
      <c r="A578" s="7"/>
      <c r="B578" s="52"/>
      <c r="C578" s="7"/>
      <c r="D578" s="7"/>
      <c r="E578" s="7"/>
      <c r="F578" s="53"/>
    </row>
    <row r="579" spans="1:6" ht="18.75" customHeight="1">
      <c r="A579" s="7">
        <v>1.2</v>
      </c>
      <c r="B579" s="52" t="s">
        <v>841</v>
      </c>
      <c r="C579" s="7"/>
      <c r="D579" s="53">
        <f>F572</f>
        <v>513.52454999999998</v>
      </c>
      <c r="E579" s="56">
        <f>E556</f>
        <v>4.8000000000000001E-2</v>
      </c>
      <c r="F579" s="53">
        <f>D579*E579</f>
        <v>24.6491784</v>
      </c>
    </row>
    <row r="580" spans="1:6" ht="18.75" customHeight="1">
      <c r="A580" s="7">
        <v>1.3</v>
      </c>
      <c r="B580" s="52" t="s">
        <v>842</v>
      </c>
      <c r="C580" s="7"/>
      <c r="D580" s="53">
        <f>F572</f>
        <v>513.52454999999998</v>
      </c>
      <c r="E580" s="56">
        <f>E557</f>
        <v>0</v>
      </c>
      <c r="F580" s="53">
        <f>D580*E580</f>
        <v>0</v>
      </c>
    </row>
    <row r="581" spans="1:6" ht="18.75" customHeight="1">
      <c r="A581" s="7">
        <v>2</v>
      </c>
      <c r="B581" s="52" t="s">
        <v>182</v>
      </c>
      <c r="C581" s="7"/>
      <c r="D581" s="53">
        <f>F571</f>
        <v>538.17372839999996</v>
      </c>
      <c r="E581" s="56">
        <f>E558</f>
        <v>0.04</v>
      </c>
      <c r="F581" s="53">
        <f>D581*E581</f>
        <v>21.526949135999999</v>
      </c>
    </row>
    <row r="582" spans="1:6" ht="18.75" customHeight="1">
      <c r="A582" s="7">
        <v>3</v>
      </c>
      <c r="B582" s="52" t="s">
        <v>843</v>
      </c>
      <c r="C582" s="7"/>
      <c r="D582" s="53">
        <f>F571+F581</f>
        <v>559.70067753599994</v>
      </c>
      <c r="E582" s="56">
        <f>E559</f>
        <v>7.0000000000000007E-2</v>
      </c>
      <c r="F582" s="53">
        <f>D582*E582</f>
        <v>39.179047427519997</v>
      </c>
    </row>
    <row r="583" spans="1:6" ht="18.75" customHeight="1">
      <c r="A583" s="7">
        <v>4</v>
      </c>
      <c r="B583" s="52" t="s">
        <v>845</v>
      </c>
      <c r="C583" s="7"/>
      <c r="D583" s="53">
        <f>D582+F582</f>
        <v>598.87972496351995</v>
      </c>
      <c r="E583" s="56">
        <f>E562</f>
        <v>0.09</v>
      </c>
      <c r="F583" s="53">
        <f>D583*E583</f>
        <v>53.899175246716794</v>
      </c>
    </row>
    <row r="584" spans="1:6" ht="18.75" customHeight="1">
      <c r="A584" s="7">
        <v>5</v>
      </c>
      <c r="B584" s="52" t="s">
        <v>809</v>
      </c>
      <c r="C584" s="7"/>
      <c r="D584" s="7"/>
      <c r="E584" s="7"/>
      <c r="F584" s="53">
        <f>D583+F583</f>
        <v>652.77890021023677</v>
      </c>
    </row>
    <row r="585" spans="1:6" ht="18.75" customHeight="1">
      <c r="A585" s="7"/>
      <c r="B585" s="52" t="s">
        <v>846</v>
      </c>
      <c r="C585" s="7"/>
      <c r="D585" s="53">
        <f>F584</f>
        <v>652.77890021023677</v>
      </c>
      <c r="E585" s="56">
        <f>E564</f>
        <v>0.03</v>
      </c>
      <c r="F585" s="53">
        <f>E585*D585</f>
        <v>19.583367006307103</v>
      </c>
    </row>
    <row r="586" spans="1:6" ht="18.75" customHeight="1">
      <c r="A586" s="7"/>
      <c r="B586" s="52" t="s">
        <v>7</v>
      </c>
      <c r="C586" s="7"/>
      <c r="D586" s="7"/>
      <c r="E586" s="7"/>
      <c r="F586" s="53">
        <f>SUM(F584:F585)</f>
        <v>672.36226721654384</v>
      </c>
    </row>
    <row r="587" spans="1:6" ht="22.5" customHeight="1">
      <c r="A587" s="461" t="s">
        <v>813</v>
      </c>
      <c r="B587" s="461"/>
      <c r="C587" s="461"/>
      <c r="D587" s="461"/>
      <c r="E587" s="461"/>
      <c r="F587" s="461"/>
    </row>
    <row r="588" spans="1:6" ht="18.75" customHeight="1">
      <c r="A588" s="481" t="s">
        <v>1179</v>
      </c>
      <c r="B588" s="481"/>
      <c r="C588" s="481"/>
      <c r="D588" s="481"/>
      <c r="E588" s="481"/>
      <c r="F588" s="481"/>
    </row>
    <row r="589" spans="1:6" ht="18.75" customHeight="1">
      <c r="A589" s="47" t="s">
        <v>815</v>
      </c>
      <c r="B589" s="49">
        <v>6004</v>
      </c>
      <c r="D589" s="46"/>
      <c r="E589" s="47" t="s">
        <v>169</v>
      </c>
      <c r="F589" s="49" t="s">
        <v>957</v>
      </c>
    </row>
    <row r="590" spans="1:6" ht="18.75" customHeight="1">
      <c r="A590" s="50" t="s">
        <v>817</v>
      </c>
      <c r="B590" s="476"/>
      <c r="C590" s="476"/>
      <c r="D590" s="476"/>
      <c r="E590" s="476"/>
      <c r="F590" s="476"/>
    </row>
    <row r="591" spans="1:6" ht="18.75" customHeight="1">
      <c r="A591" s="7" t="s">
        <v>1</v>
      </c>
      <c r="B591" s="52" t="s">
        <v>344</v>
      </c>
      <c r="C591" s="7" t="s">
        <v>818</v>
      </c>
      <c r="D591" s="7" t="s">
        <v>819</v>
      </c>
      <c r="E591" s="7" t="s">
        <v>820</v>
      </c>
      <c r="F591" s="7" t="s">
        <v>821</v>
      </c>
    </row>
    <row r="592" spans="1:6" ht="18.75" customHeight="1">
      <c r="A592" s="7">
        <v>1</v>
      </c>
      <c r="B592" s="52" t="s">
        <v>822</v>
      </c>
      <c r="C592" s="7"/>
      <c r="D592" s="7"/>
      <c r="E592" s="7"/>
      <c r="F592" s="53">
        <f>F593+F609+F610</f>
        <v>15781.342926478032</v>
      </c>
    </row>
    <row r="593" spans="1:6" ht="18.75" customHeight="1">
      <c r="A593" s="7">
        <v>1.1000000000000001</v>
      </c>
      <c r="B593" s="52" t="s">
        <v>823</v>
      </c>
      <c r="C593" s="7"/>
      <c r="D593" s="7"/>
      <c r="E593" s="7"/>
      <c r="F593" s="53">
        <f>F594+F597+F605</f>
        <v>15058.533326792014</v>
      </c>
    </row>
    <row r="594" spans="1:6" ht="18.75" customHeight="1">
      <c r="A594" s="7" t="s">
        <v>47</v>
      </c>
      <c r="B594" s="52" t="s">
        <v>176</v>
      </c>
      <c r="C594" s="7"/>
      <c r="D594" s="7"/>
      <c r="E594" s="7"/>
      <c r="F594" s="53">
        <f>F595+F596</f>
        <v>3063.76</v>
      </c>
    </row>
    <row r="595" spans="1:6" ht="18.75" customHeight="1">
      <c r="A595" s="7"/>
      <c r="B595" s="52" t="s">
        <v>824</v>
      </c>
      <c r="C595" s="7" t="s">
        <v>825</v>
      </c>
      <c r="D595" s="7">
        <v>8.1</v>
      </c>
      <c r="E595" s="7">
        <v>225.8</v>
      </c>
      <c r="F595" s="53">
        <f>D595*E595</f>
        <v>1828.98</v>
      </c>
    </row>
    <row r="596" spans="1:6" ht="18.75" customHeight="1">
      <c r="A596" s="7"/>
      <c r="B596" s="52" t="s">
        <v>826</v>
      </c>
      <c r="C596" s="7" t="s">
        <v>825</v>
      </c>
      <c r="D596" s="7">
        <v>5.77</v>
      </c>
      <c r="E596" s="7">
        <v>214</v>
      </c>
      <c r="F596" s="53">
        <f>D596*E596</f>
        <v>1234.78</v>
      </c>
    </row>
    <row r="597" spans="1:6" ht="18.75" customHeight="1">
      <c r="A597" s="7" t="s">
        <v>57</v>
      </c>
      <c r="B597" s="52" t="s">
        <v>177</v>
      </c>
      <c r="C597" s="7"/>
      <c r="D597" s="7"/>
      <c r="E597" s="7"/>
      <c r="F597" s="53">
        <f>F598+F599+F600+F601+F602+F603+F604</f>
        <v>5859.16</v>
      </c>
    </row>
    <row r="598" spans="1:6" ht="18.75" customHeight="1">
      <c r="A598" s="7"/>
      <c r="B598" s="52" t="s">
        <v>379</v>
      </c>
      <c r="C598" s="7" t="s">
        <v>141</v>
      </c>
      <c r="D598" s="7">
        <v>120</v>
      </c>
      <c r="E598" s="7">
        <v>8.9</v>
      </c>
      <c r="F598" s="53">
        <f t="shared" ref="F598:F603" si="1">D598*E598</f>
        <v>1068</v>
      </c>
    </row>
    <row r="599" spans="1:6" ht="18.75" customHeight="1">
      <c r="A599" s="7"/>
      <c r="B599" s="52" t="s">
        <v>1180</v>
      </c>
      <c r="C599" s="7" t="s">
        <v>829</v>
      </c>
      <c r="D599" s="7">
        <v>100</v>
      </c>
      <c r="E599" s="7">
        <v>0.6</v>
      </c>
      <c r="F599" s="53">
        <f t="shared" si="1"/>
        <v>60</v>
      </c>
    </row>
    <row r="600" spans="1:6" ht="18.75" customHeight="1">
      <c r="A600" s="7"/>
      <c r="B600" s="52" t="s">
        <v>1181</v>
      </c>
      <c r="C600" s="7" t="s">
        <v>49</v>
      </c>
      <c r="D600" s="7">
        <v>120</v>
      </c>
      <c r="E600" s="7">
        <v>3.6</v>
      </c>
      <c r="F600" s="53">
        <f t="shared" si="1"/>
        <v>432</v>
      </c>
    </row>
    <row r="601" spans="1:6" ht="18.75" customHeight="1">
      <c r="A601" s="7"/>
      <c r="B601" s="52" t="s">
        <v>1182</v>
      </c>
      <c r="C601" s="7" t="s">
        <v>49</v>
      </c>
      <c r="D601" s="7">
        <v>150</v>
      </c>
      <c r="E601" s="7">
        <v>3.3</v>
      </c>
      <c r="F601" s="53">
        <f t="shared" si="1"/>
        <v>495</v>
      </c>
    </row>
    <row r="602" spans="1:6" ht="18.75" customHeight="1">
      <c r="A602" s="7"/>
      <c r="B602" s="52" t="s">
        <v>1183</v>
      </c>
      <c r="C602" s="7" t="s">
        <v>141</v>
      </c>
      <c r="D602" s="7">
        <v>80</v>
      </c>
      <c r="E602" s="7">
        <v>3.5</v>
      </c>
      <c r="F602" s="53">
        <f t="shared" si="1"/>
        <v>280</v>
      </c>
    </row>
    <row r="603" spans="1:6" ht="18.75" customHeight="1">
      <c r="A603" s="7"/>
      <c r="B603" s="52" t="s">
        <v>806</v>
      </c>
      <c r="C603" s="7" t="s">
        <v>871</v>
      </c>
      <c r="D603" s="55">
        <f>材料预算价格表!K15</f>
        <v>3.88</v>
      </c>
      <c r="E603" s="7">
        <v>700</v>
      </c>
      <c r="F603" s="53">
        <f t="shared" si="1"/>
        <v>2716</v>
      </c>
    </row>
    <row r="604" spans="1:6" ht="18.75" customHeight="1">
      <c r="A604" s="7"/>
      <c r="B604" s="52" t="s">
        <v>833</v>
      </c>
      <c r="C604" s="7" t="s">
        <v>834</v>
      </c>
      <c r="D604" s="7">
        <f>F598+F599+F600+F601+F602+F603</f>
        <v>5051</v>
      </c>
      <c r="E604" s="7">
        <v>16</v>
      </c>
      <c r="F604" s="53">
        <f>D604*E604/100</f>
        <v>808.16</v>
      </c>
    </row>
    <row r="605" spans="1:6" ht="18.75" customHeight="1">
      <c r="A605" s="7" t="s">
        <v>835</v>
      </c>
      <c r="B605" s="52" t="s">
        <v>932</v>
      </c>
      <c r="C605" s="7"/>
      <c r="D605" s="7"/>
      <c r="E605" s="7"/>
      <c r="F605" s="53">
        <f>F606+F607</f>
        <v>6135.6133267920131</v>
      </c>
    </row>
    <row r="606" spans="1:6" ht="18.75" customHeight="1">
      <c r="A606" s="7"/>
      <c r="B606" s="52" t="s">
        <v>709</v>
      </c>
      <c r="C606" s="7" t="s">
        <v>863</v>
      </c>
      <c r="D606" s="66">
        <f>施工机械台时汇总!C83</f>
        <v>47.897059537798697</v>
      </c>
      <c r="E606" s="7">
        <v>122</v>
      </c>
      <c r="F606" s="53">
        <f>D606*E606</f>
        <v>5843.4412636114412</v>
      </c>
    </row>
    <row r="607" spans="1:6" ht="18.75" customHeight="1">
      <c r="A607" s="7"/>
      <c r="B607" s="52" t="s">
        <v>840</v>
      </c>
      <c r="C607" s="7" t="s">
        <v>834</v>
      </c>
      <c r="D607" s="66">
        <f>F606</f>
        <v>5843.4412636114412</v>
      </c>
      <c r="E607" s="7">
        <v>5</v>
      </c>
      <c r="F607" s="53">
        <f>D607*E607/100</f>
        <v>292.17206318057208</v>
      </c>
    </row>
    <row r="608" spans="1:6" ht="18.75" customHeight="1">
      <c r="A608" s="7"/>
      <c r="B608" s="52"/>
      <c r="C608" s="7"/>
      <c r="D608" s="7"/>
      <c r="E608" s="7"/>
      <c r="F608" s="53"/>
    </row>
    <row r="609" spans="1:6" ht="18.75" customHeight="1">
      <c r="A609" s="7">
        <v>1.2</v>
      </c>
      <c r="B609" s="52" t="s">
        <v>841</v>
      </c>
      <c r="C609" s="7"/>
      <c r="D609" s="53">
        <f>F593</f>
        <v>15058.533326792014</v>
      </c>
      <c r="E609" s="56">
        <f>取费!C11</f>
        <v>4.8000000000000001E-2</v>
      </c>
      <c r="F609" s="53">
        <f>D609*E609</f>
        <v>722.80959968601667</v>
      </c>
    </row>
    <row r="610" spans="1:6" ht="18.75" customHeight="1">
      <c r="A610" s="7">
        <v>1.3</v>
      </c>
      <c r="B610" s="52" t="s">
        <v>842</v>
      </c>
      <c r="C610" s="7"/>
      <c r="D610" s="53">
        <f>F593</f>
        <v>15058.533326792014</v>
      </c>
      <c r="E610" s="56">
        <f>取费!D11</f>
        <v>0</v>
      </c>
      <c r="F610" s="53">
        <f>D610*E610</f>
        <v>0</v>
      </c>
    </row>
    <row r="611" spans="1:6" ht="18.75" customHeight="1">
      <c r="A611" s="7">
        <v>2</v>
      </c>
      <c r="B611" s="52" t="s">
        <v>182</v>
      </c>
      <c r="C611" s="7"/>
      <c r="D611" s="53">
        <f>F592</f>
        <v>15781.342926478032</v>
      </c>
      <c r="E611" s="56">
        <f>取费!E11</f>
        <v>9.2499999999999999E-2</v>
      </c>
      <c r="F611" s="53">
        <f>D611*E611</f>
        <v>1459.7742206992179</v>
      </c>
    </row>
    <row r="612" spans="1:6" ht="18.75" customHeight="1">
      <c r="A612" s="7">
        <v>3</v>
      </c>
      <c r="B612" s="52" t="s">
        <v>843</v>
      </c>
      <c r="C612" s="7"/>
      <c r="D612" s="53">
        <f>F592+F611</f>
        <v>17241.11714717725</v>
      </c>
      <c r="E612" s="56">
        <f>取费!F11</f>
        <v>7.0000000000000007E-2</v>
      </c>
      <c r="F612" s="53">
        <f>D612*E612</f>
        <v>1206.8782003024075</v>
      </c>
    </row>
    <row r="613" spans="1:6" ht="18.75" customHeight="1">
      <c r="A613" s="7">
        <v>4</v>
      </c>
      <c r="B613" s="52" t="s">
        <v>845</v>
      </c>
      <c r="C613" s="7"/>
      <c r="D613" s="53">
        <f>F592+F611+F612</f>
        <v>18447.995347479657</v>
      </c>
      <c r="E613" s="56">
        <f>取费!G11</f>
        <v>0.09</v>
      </c>
      <c r="F613" s="53">
        <f>D613*E613</f>
        <v>1660.319581273169</v>
      </c>
    </row>
    <row r="614" spans="1:6" ht="18.75" customHeight="1">
      <c r="A614" s="7">
        <v>5</v>
      </c>
      <c r="B614" s="52" t="s">
        <v>809</v>
      </c>
      <c r="C614" s="7"/>
      <c r="D614" s="53"/>
      <c r="E614" s="7"/>
      <c r="F614" s="53">
        <f>F592+F611+F612+F613</f>
        <v>20108.314928752825</v>
      </c>
    </row>
    <row r="615" spans="1:6" ht="18.75" customHeight="1">
      <c r="A615" s="7"/>
      <c r="B615" s="52" t="s">
        <v>846</v>
      </c>
      <c r="C615" s="7"/>
      <c r="D615" s="53">
        <f>F614</f>
        <v>20108.314928752825</v>
      </c>
      <c r="E615" s="56">
        <f>取费!H6</f>
        <v>0.03</v>
      </c>
      <c r="F615" s="53">
        <f>E615*D615</f>
        <v>603.2494478625847</v>
      </c>
    </row>
    <row r="616" spans="1:6" ht="18.75" customHeight="1">
      <c r="A616" s="7"/>
      <c r="B616" s="52" t="s">
        <v>7</v>
      </c>
      <c r="C616" s="7"/>
      <c r="D616" s="7"/>
      <c r="E616" s="7"/>
      <c r="F616" s="53">
        <f>SUM(F614:F615)</f>
        <v>20711.56437661541</v>
      </c>
    </row>
    <row r="617" spans="1:6" ht="18.75" customHeight="1">
      <c r="A617" s="461" t="s">
        <v>813</v>
      </c>
      <c r="B617" s="461"/>
      <c r="C617" s="461"/>
      <c r="D617" s="461"/>
      <c r="E617" s="461"/>
      <c r="F617" s="461"/>
    </row>
    <row r="618" spans="1:6" ht="18.75" customHeight="1">
      <c r="A618" s="481" t="s">
        <v>1184</v>
      </c>
      <c r="B618" s="481"/>
      <c r="C618" s="481"/>
      <c r="D618" s="481"/>
      <c r="E618" s="481"/>
      <c r="F618" s="481"/>
    </row>
    <row r="619" spans="1:6" ht="18.75" customHeight="1">
      <c r="A619" s="47" t="s">
        <v>815</v>
      </c>
      <c r="B619" s="49">
        <v>6018</v>
      </c>
      <c r="D619" s="46"/>
      <c r="E619" s="47" t="s">
        <v>169</v>
      </c>
      <c r="F619" s="49" t="s">
        <v>957</v>
      </c>
    </row>
    <row r="620" spans="1:6" ht="18.75" customHeight="1">
      <c r="A620" s="50" t="s">
        <v>817</v>
      </c>
      <c r="B620" s="476"/>
      <c r="C620" s="476"/>
      <c r="D620" s="476"/>
      <c r="E620" s="476"/>
      <c r="F620" s="476"/>
    </row>
    <row r="621" spans="1:6" ht="18.75" customHeight="1">
      <c r="A621" s="7" t="s">
        <v>1</v>
      </c>
      <c r="B621" s="52" t="s">
        <v>344</v>
      </c>
      <c r="C621" s="7" t="s">
        <v>818</v>
      </c>
      <c r="D621" s="7" t="s">
        <v>819</v>
      </c>
      <c r="E621" s="7" t="s">
        <v>820</v>
      </c>
      <c r="F621" s="7" t="s">
        <v>821</v>
      </c>
    </row>
    <row r="622" spans="1:6" ht="18.75" customHeight="1">
      <c r="A622" s="7">
        <v>1</v>
      </c>
      <c r="B622" s="52" t="s">
        <v>822</v>
      </c>
      <c r="C622" s="7"/>
      <c r="D622" s="7"/>
      <c r="E622" s="7"/>
      <c r="F622" s="53">
        <f>F623+F638+F639</f>
        <v>22456.605960703266</v>
      </c>
    </row>
    <row r="623" spans="1:6" ht="18.75" customHeight="1">
      <c r="A623" s="7">
        <v>1.1000000000000001</v>
      </c>
      <c r="B623" s="52" t="s">
        <v>823</v>
      </c>
      <c r="C623" s="7"/>
      <c r="D623" s="7"/>
      <c r="E623" s="7"/>
      <c r="F623" s="53">
        <f>F624+F627+F631</f>
        <v>21428.05912280846</v>
      </c>
    </row>
    <row r="624" spans="1:6" ht="18.75" customHeight="1">
      <c r="A624" s="7" t="s">
        <v>47</v>
      </c>
      <c r="B624" s="52" t="s">
        <v>176</v>
      </c>
      <c r="C624" s="7"/>
      <c r="D624" s="7"/>
      <c r="E624" s="7"/>
      <c r="F624" s="53">
        <f>F625+F626</f>
        <v>5976.9</v>
      </c>
    </row>
    <row r="625" spans="1:6" ht="18.75" customHeight="1">
      <c r="A625" s="7"/>
      <c r="B625" s="52" t="s">
        <v>824</v>
      </c>
      <c r="C625" s="7" t="s">
        <v>825</v>
      </c>
      <c r="D625" s="7">
        <v>8.1</v>
      </c>
      <c r="E625" s="7">
        <v>455.8</v>
      </c>
      <c r="F625" s="53">
        <f>D625*E625</f>
        <v>3691.98</v>
      </c>
    </row>
    <row r="626" spans="1:6" ht="18.75" customHeight="1">
      <c r="A626" s="7"/>
      <c r="B626" s="52" t="s">
        <v>826</v>
      </c>
      <c r="C626" s="7" t="s">
        <v>825</v>
      </c>
      <c r="D626" s="7">
        <v>5.77</v>
      </c>
      <c r="E626" s="7">
        <v>396</v>
      </c>
      <c r="F626" s="53">
        <f>D626*E626</f>
        <v>2284.92</v>
      </c>
    </row>
    <row r="627" spans="1:6" ht="18.75" customHeight="1">
      <c r="A627" s="7" t="s">
        <v>57</v>
      </c>
      <c r="B627" s="52" t="s">
        <v>177</v>
      </c>
      <c r="C627" s="7"/>
      <c r="D627" s="7"/>
      <c r="E627" s="7"/>
      <c r="F627" s="53">
        <f>F628+F629+F630</f>
        <v>2556.7249999999999</v>
      </c>
    </row>
    <row r="628" spans="1:6" ht="18.75" customHeight="1">
      <c r="A628" s="7"/>
      <c r="B628" s="52" t="s">
        <v>354</v>
      </c>
      <c r="C628" s="7" t="s">
        <v>88</v>
      </c>
      <c r="D628" s="7">
        <f>材料预算价格表!L6</f>
        <v>255</v>
      </c>
      <c r="E628" s="7">
        <v>2.5</v>
      </c>
      <c r="F628" s="53">
        <f>D628*E628</f>
        <v>637.5</v>
      </c>
    </row>
    <row r="629" spans="1:6" ht="18.75" customHeight="1">
      <c r="A629" s="7"/>
      <c r="B629" s="52" t="s">
        <v>806</v>
      </c>
      <c r="C629" s="7" t="s">
        <v>871</v>
      </c>
      <c r="D629" s="55">
        <f>材料预算价格表!K15</f>
        <v>3.88</v>
      </c>
      <c r="E629" s="7">
        <v>470</v>
      </c>
      <c r="F629" s="53">
        <f>D629*E629</f>
        <v>1823.6</v>
      </c>
    </row>
    <row r="630" spans="1:6" ht="18.75" customHeight="1">
      <c r="A630" s="7"/>
      <c r="B630" s="52" t="s">
        <v>833</v>
      </c>
      <c r="C630" s="7" t="s">
        <v>834</v>
      </c>
      <c r="D630" s="7">
        <f>F628</f>
        <v>637.5</v>
      </c>
      <c r="E630" s="7">
        <v>15</v>
      </c>
      <c r="F630" s="53">
        <f>D630*E630/100</f>
        <v>95.625</v>
      </c>
    </row>
    <row r="631" spans="1:6" ht="18.75" customHeight="1">
      <c r="A631" s="7" t="s">
        <v>835</v>
      </c>
      <c r="B631" s="52" t="s">
        <v>932</v>
      </c>
      <c r="C631" s="7"/>
      <c r="D631" s="7"/>
      <c r="E631" s="7"/>
      <c r="F631" s="53">
        <f>F632+F633+F634+F635+F636</f>
        <v>12894.434122808461</v>
      </c>
    </row>
    <row r="632" spans="1:6" ht="18.75" customHeight="1">
      <c r="A632" s="7"/>
      <c r="B632" s="52" t="s">
        <v>709</v>
      </c>
      <c r="C632" s="7" t="s">
        <v>863</v>
      </c>
      <c r="D632" s="66">
        <f>施工机械台时汇总!C83</f>
        <v>47.897059537798697</v>
      </c>
      <c r="E632" s="7">
        <v>16</v>
      </c>
      <c r="F632" s="53">
        <f>D632*E632</f>
        <v>766.35295260477915</v>
      </c>
    </row>
    <row r="633" spans="1:6" ht="18.75" customHeight="1">
      <c r="A633" s="7"/>
      <c r="B633" s="52" t="s">
        <v>1185</v>
      </c>
      <c r="C633" s="7" t="s">
        <v>863</v>
      </c>
      <c r="D633" s="66">
        <f>施工机械台时汇总!C84</f>
        <v>41.936826478652563</v>
      </c>
      <c r="E633" s="7">
        <v>153.4</v>
      </c>
      <c r="F633" s="53">
        <f>D633*E633</f>
        <v>6433.1091818253035</v>
      </c>
    </row>
    <row r="634" spans="1:6" ht="18.75" customHeight="1">
      <c r="A634" s="7"/>
      <c r="B634" s="52" t="s">
        <v>955</v>
      </c>
      <c r="C634" s="7" t="s">
        <v>863</v>
      </c>
      <c r="D634" s="66">
        <f>施工机械台时汇总!C86</f>
        <v>33.053169212690946</v>
      </c>
      <c r="E634" s="7">
        <v>153.4</v>
      </c>
      <c r="F634" s="53">
        <f>D634*E634</f>
        <v>5070.3561572267918</v>
      </c>
    </row>
    <row r="635" spans="1:6" ht="18.75" customHeight="1">
      <c r="A635" s="7"/>
      <c r="B635" s="52" t="s">
        <v>862</v>
      </c>
      <c r="C635" s="7" t="s">
        <v>863</v>
      </c>
      <c r="D635" s="55">
        <f>施工机械台时汇总!C19</f>
        <v>0.80266353309831595</v>
      </c>
      <c r="E635" s="7">
        <v>13.2</v>
      </c>
      <c r="F635" s="53">
        <f>D635*E635</f>
        <v>10.59515863689777</v>
      </c>
    </row>
    <row r="636" spans="1:6" ht="18.75" customHeight="1">
      <c r="A636" s="7"/>
      <c r="B636" s="52" t="s">
        <v>840</v>
      </c>
      <c r="C636" s="7" t="s">
        <v>834</v>
      </c>
      <c r="D636" s="66">
        <f>F632+F633+F634+F635</f>
        <v>12280.413450293772</v>
      </c>
      <c r="E636" s="7">
        <v>5</v>
      </c>
      <c r="F636" s="53">
        <f>D636*E636/100</f>
        <v>614.02067251468861</v>
      </c>
    </row>
    <row r="637" spans="1:6" ht="18.75" customHeight="1">
      <c r="A637" s="7"/>
      <c r="B637" s="52"/>
      <c r="C637" s="7"/>
      <c r="D637" s="7"/>
      <c r="E637" s="7"/>
      <c r="F637" s="53"/>
    </row>
    <row r="638" spans="1:6" ht="18.75" customHeight="1">
      <c r="A638" s="7">
        <v>1.2</v>
      </c>
      <c r="B638" s="52" t="s">
        <v>841</v>
      </c>
      <c r="C638" s="7"/>
      <c r="D638" s="53">
        <f>F623</f>
        <v>21428.05912280846</v>
      </c>
      <c r="E638" s="56">
        <f>E609</f>
        <v>4.8000000000000001E-2</v>
      </c>
      <c r="F638" s="53">
        <f>D638*E638</f>
        <v>1028.546837894806</v>
      </c>
    </row>
    <row r="639" spans="1:6" ht="18.75" customHeight="1">
      <c r="A639" s="7">
        <v>1.3</v>
      </c>
      <c r="B639" s="52" t="s">
        <v>842</v>
      </c>
      <c r="C639" s="7"/>
      <c r="D639" s="53">
        <f>F623</f>
        <v>21428.05912280846</v>
      </c>
      <c r="E639" s="56">
        <f>E610</f>
        <v>0</v>
      </c>
      <c r="F639" s="53">
        <f>D639*E639</f>
        <v>0</v>
      </c>
    </row>
    <row r="640" spans="1:6" ht="18.75" customHeight="1">
      <c r="A640" s="7">
        <v>2</v>
      </c>
      <c r="B640" s="52" t="s">
        <v>182</v>
      </c>
      <c r="C640" s="7"/>
      <c r="D640" s="53">
        <f>F622</f>
        <v>22456.605960703266</v>
      </c>
      <c r="E640" s="56">
        <f>E611</f>
        <v>9.2499999999999999E-2</v>
      </c>
      <c r="F640" s="53">
        <f>D640*E640</f>
        <v>2077.2360513650519</v>
      </c>
    </row>
    <row r="641" spans="1:6" ht="18.75" customHeight="1">
      <c r="A641" s="7">
        <v>3</v>
      </c>
      <c r="B641" s="52" t="s">
        <v>843</v>
      </c>
      <c r="C641" s="7"/>
      <c r="D641" s="53">
        <f>F622+F640</f>
        <v>24533.842012068319</v>
      </c>
      <c r="E641" s="56">
        <f>E612</f>
        <v>7.0000000000000007E-2</v>
      </c>
      <c r="F641" s="53">
        <f>D641*E641</f>
        <v>1717.3689408447824</v>
      </c>
    </row>
    <row r="642" spans="1:6" ht="18.75" customHeight="1">
      <c r="A642" s="7">
        <v>4</v>
      </c>
      <c r="B642" s="52" t="s">
        <v>184</v>
      </c>
      <c r="C642" s="7"/>
      <c r="D642" s="7"/>
      <c r="E642" s="7"/>
      <c r="F642" s="53">
        <f>F643</f>
        <v>291.03787499999999</v>
      </c>
    </row>
    <row r="643" spans="1:6" ht="18.75" customHeight="1">
      <c r="A643" s="7"/>
      <c r="B643" s="52" t="s">
        <v>354</v>
      </c>
      <c r="C643" s="7" t="s">
        <v>88</v>
      </c>
      <c r="D643" s="66">
        <f>C2</f>
        <v>116.41515</v>
      </c>
      <c r="E643" s="7">
        <f>E628</f>
        <v>2.5</v>
      </c>
      <c r="F643" s="53">
        <f>D643*E643</f>
        <v>291.03787499999999</v>
      </c>
    </row>
    <row r="644" spans="1:6" ht="18.75" customHeight="1">
      <c r="A644" s="7">
        <v>5</v>
      </c>
      <c r="B644" s="52" t="s">
        <v>845</v>
      </c>
      <c r="C644" s="7"/>
      <c r="D644" s="53">
        <f>F622+F640+F641+F642</f>
        <v>26542.248827913099</v>
      </c>
      <c r="E644" s="56">
        <f>E613</f>
        <v>0.09</v>
      </c>
      <c r="F644" s="53">
        <f>D644*E644</f>
        <v>2388.802394512179</v>
      </c>
    </row>
    <row r="645" spans="1:6" ht="18.75" customHeight="1">
      <c r="A645" s="7">
        <v>6</v>
      </c>
      <c r="B645" s="52" t="s">
        <v>809</v>
      </c>
      <c r="C645" s="7"/>
      <c r="D645" s="53"/>
      <c r="E645" s="7"/>
      <c r="F645" s="53">
        <f>F622+F640+F641+F642+F644</f>
        <v>28931.051222425278</v>
      </c>
    </row>
    <row r="646" spans="1:6" ht="18.75" customHeight="1">
      <c r="A646" s="7"/>
      <c r="B646" s="52" t="s">
        <v>846</v>
      </c>
      <c r="C646" s="7"/>
      <c r="D646" s="53">
        <f>F645</f>
        <v>28931.051222425278</v>
      </c>
      <c r="E646" s="56">
        <f>E615</f>
        <v>0.03</v>
      </c>
      <c r="F646" s="53">
        <f>E646*D646</f>
        <v>867.93153667275828</v>
      </c>
    </row>
    <row r="647" spans="1:6" ht="18.75" customHeight="1">
      <c r="A647" s="7"/>
      <c r="B647" s="52" t="s">
        <v>7</v>
      </c>
      <c r="C647" s="7"/>
      <c r="D647" s="7"/>
      <c r="E647" s="7"/>
      <c r="F647" s="53">
        <f>SUM(F645:F646)</f>
        <v>29798.982759098035</v>
      </c>
    </row>
    <row r="648" spans="1:6" ht="18.75" customHeight="1">
      <c r="A648" s="461" t="s">
        <v>813</v>
      </c>
      <c r="B648" s="461"/>
      <c r="C648" s="461"/>
      <c r="D648" s="461"/>
      <c r="E648" s="461"/>
      <c r="F648" s="461"/>
    </row>
    <row r="649" spans="1:6" ht="18.75" customHeight="1">
      <c r="A649" s="481" t="s">
        <v>1186</v>
      </c>
      <c r="B649" s="481"/>
      <c r="C649" s="481"/>
      <c r="D649" s="481"/>
      <c r="E649" s="481"/>
      <c r="F649" s="481"/>
    </row>
    <row r="650" spans="1:6" ht="18.75" customHeight="1">
      <c r="A650" s="47" t="s">
        <v>815</v>
      </c>
      <c r="B650" s="49">
        <v>6088</v>
      </c>
      <c r="D650" s="46"/>
      <c r="E650" s="47" t="s">
        <v>169</v>
      </c>
      <c r="F650" s="49" t="s">
        <v>957</v>
      </c>
    </row>
    <row r="651" spans="1:6" ht="18.75" customHeight="1">
      <c r="A651" s="50" t="s">
        <v>817</v>
      </c>
      <c r="B651" s="476"/>
      <c r="C651" s="476"/>
      <c r="D651" s="476"/>
      <c r="E651" s="476"/>
      <c r="F651" s="476"/>
    </row>
    <row r="652" spans="1:6" ht="18.75" customHeight="1">
      <c r="A652" s="7" t="s">
        <v>1</v>
      </c>
      <c r="B652" s="52" t="s">
        <v>344</v>
      </c>
      <c r="C652" s="7" t="s">
        <v>818</v>
      </c>
      <c r="D652" s="7" t="s">
        <v>819</v>
      </c>
      <c r="E652" s="7" t="s">
        <v>820</v>
      </c>
      <c r="F652" s="7" t="s">
        <v>821</v>
      </c>
    </row>
    <row r="653" spans="1:6" ht="18.75" customHeight="1">
      <c r="A653" s="7">
        <v>1</v>
      </c>
      <c r="B653" s="52" t="s">
        <v>822</v>
      </c>
      <c r="C653" s="7"/>
      <c r="D653" s="7"/>
      <c r="E653" s="7"/>
      <c r="F653" s="53">
        <f>F654+F678+F679</f>
        <v>50724.849429105423</v>
      </c>
    </row>
    <row r="654" spans="1:6" ht="18.75" customHeight="1">
      <c r="A654" s="7">
        <v>1.1000000000000001</v>
      </c>
      <c r="B654" s="52" t="s">
        <v>823</v>
      </c>
      <c r="C654" s="7"/>
      <c r="D654" s="7"/>
      <c r="E654" s="7"/>
      <c r="F654" s="53">
        <f>F655+F658+F668</f>
        <v>48401.573882734185</v>
      </c>
    </row>
    <row r="655" spans="1:6" ht="18.75" customHeight="1">
      <c r="A655" s="7" t="s">
        <v>47</v>
      </c>
      <c r="B655" s="52" t="s">
        <v>176</v>
      </c>
      <c r="C655" s="7"/>
      <c r="D655" s="7"/>
      <c r="E655" s="7"/>
      <c r="F655" s="53">
        <f>F656+F657</f>
        <v>10538.99</v>
      </c>
    </row>
    <row r="656" spans="1:6" ht="18.75" customHeight="1">
      <c r="A656" s="7"/>
      <c r="B656" s="52" t="s">
        <v>824</v>
      </c>
      <c r="C656" s="7" t="s">
        <v>825</v>
      </c>
      <c r="D656" s="7">
        <v>8.1</v>
      </c>
      <c r="E656" s="7">
        <v>1115.9000000000001</v>
      </c>
      <c r="F656" s="53">
        <f>D656*E656</f>
        <v>9038.7900000000009</v>
      </c>
    </row>
    <row r="657" spans="1:6" ht="18.75" customHeight="1">
      <c r="A657" s="7"/>
      <c r="B657" s="52" t="s">
        <v>826</v>
      </c>
      <c r="C657" s="7" t="s">
        <v>825</v>
      </c>
      <c r="D657" s="7">
        <v>5.77</v>
      </c>
      <c r="E657" s="7">
        <v>260</v>
      </c>
      <c r="F657" s="53">
        <f>D657*E657</f>
        <v>1500.2</v>
      </c>
    </row>
    <row r="658" spans="1:6" ht="18.75" customHeight="1">
      <c r="A658" s="7" t="s">
        <v>57</v>
      </c>
      <c r="B658" s="52" t="s">
        <v>177</v>
      </c>
      <c r="C658" s="7"/>
      <c r="D658" s="7"/>
      <c r="E658" s="7"/>
      <c r="F658" s="53">
        <f>SUM(F659:F667)</f>
        <v>9952.8957267999995</v>
      </c>
    </row>
    <row r="659" spans="1:6" ht="18.75" customHeight="1">
      <c r="A659" s="7"/>
      <c r="B659" s="52" t="s">
        <v>870</v>
      </c>
      <c r="C659" s="7" t="s">
        <v>871</v>
      </c>
      <c r="D659" s="7">
        <f>材料预算价格表!L8</f>
        <v>1874.0778</v>
      </c>
      <c r="E659" s="7">
        <v>0.2</v>
      </c>
      <c r="F659" s="53">
        <f t="shared" ref="F659:F666" si="2">D659*E659</f>
        <v>374.81556</v>
      </c>
    </row>
    <row r="660" spans="1:6" ht="18.75" customHeight="1">
      <c r="A660" s="7"/>
      <c r="B660" s="52" t="s">
        <v>1006</v>
      </c>
      <c r="C660" s="7" t="s">
        <v>829</v>
      </c>
      <c r="D660" s="7">
        <f>材料预算价格表!L7/1000</f>
        <v>2.56</v>
      </c>
      <c r="E660" s="7">
        <v>70</v>
      </c>
      <c r="F660" s="53">
        <f t="shared" si="2"/>
        <v>179.20000000000002</v>
      </c>
    </row>
    <row r="661" spans="1:6" ht="18.75" customHeight="1">
      <c r="A661" s="7"/>
      <c r="B661" s="52" t="s">
        <v>1187</v>
      </c>
      <c r="C661" s="7" t="s">
        <v>829</v>
      </c>
      <c r="D661" s="7">
        <v>4.8</v>
      </c>
      <c r="E661" s="7">
        <v>1.3</v>
      </c>
      <c r="F661" s="53">
        <f t="shared" si="2"/>
        <v>6.24</v>
      </c>
    </row>
    <row r="662" spans="1:6" ht="18.75" customHeight="1">
      <c r="A662" s="7"/>
      <c r="B662" s="52" t="s">
        <v>972</v>
      </c>
      <c r="C662" s="7" t="s">
        <v>829</v>
      </c>
      <c r="D662" s="7">
        <v>7.5</v>
      </c>
      <c r="E662" s="7">
        <v>5.5</v>
      </c>
      <c r="F662" s="53">
        <f t="shared" si="2"/>
        <v>41.25</v>
      </c>
    </row>
    <row r="663" spans="1:6" ht="18.75" customHeight="1">
      <c r="A663" s="7"/>
      <c r="B663" s="52" t="s">
        <v>1007</v>
      </c>
      <c r="C663" s="7" t="s">
        <v>871</v>
      </c>
      <c r="D663" s="7">
        <v>30</v>
      </c>
      <c r="E663" s="7">
        <v>108</v>
      </c>
      <c r="F663" s="53">
        <f t="shared" si="2"/>
        <v>3240</v>
      </c>
    </row>
    <row r="664" spans="1:6" ht="18.75" customHeight="1">
      <c r="A664" s="7"/>
      <c r="B664" s="52" t="s">
        <v>1008</v>
      </c>
      <c r="C664" s="7" t="s">
        <v>829</v>
      </c>
      <c r="D664" s="7">
        <v>3</v>
      </c>
      <c r="E664" s="7">
        <v>450</v>
      </c>
      <c r="F664" s="53">
        <f t="shared" si="2"/>
        <v>1350</v>
      </c>
    </row>
    <row r="665" spans="1:6" ht="18.75" customHeight="1">
      <c r="A665" s="7"/>
      <c r="B665" s="52" t="s">
        <v>876</v>
      </c>
      <c r="C665" s="7" t="s">
        <v>829</v>
      </c>
      <c r="D665" s="7">
        <v>7.5</v>
      </c>
      <c r="E665" s="7">
        <v>53</v>
      </c>
      <c r="F665" s="53">
        <f t="shared" si="2"/>
        <v>397.5</v>
      </c>
    </row>
    <row r="666" spans="1:6" ht="18.75" customHeight="1">
      <c r="A666" s="7"/>
      <c r="B666" s="52" t="s">
        <v>806</v>
      </c>
      <c r="C666" s="7" t="s">
        <v>871</v>
      </c>
      <c r="D666" s="55">
        <f>材料预算价格表!K15</f>
        <v>3.88</v>
      </c>
      <c r="E666" s="7">
        <v>1050</v>
      </c>
      <c r="F666" s="53">
        <f t="shared" si="2"/>
        <v>4074</v>
      </c>
    </row>
    <row r="667" spans="1:6" ht="18.75" customHeight="1">
      <c r="A667" s="7"/>
      <c r="B667" s="52" t="s">
        <v>833</v>
      </c>
      <c r="C667" s="7" t="s">
        <v>834</v>
      </c>
      <c r="D667" s="7">
        <f>F659+F660+F661+F662+F663+F664+F665+F666</f>
        <v>9663.0055599999996</v>
      </c>
      <c r="E667" s="7">
        <v>3</v>
      </c>
      <c r="F667" s="53">
        <f>D667*E667/100</f>
        <v>289.89016680000003</v>
      </c>
    </row>
    <row r="668" spans="1:6" ht="18.75" customHeight="1">
      <c r="A668" s="7" t="s">
        <v>835</v>
      </c>
      <c r="B668" s="52" t="s">
        <v>932</v>
      </c>
      <c r="C668" s="7"/>
      <c r="D668" s="7"/>
      <c r="E668" s="7"/>
      <c r="F668" s="53">
        <f>SUM(F669:F676)</f>
        <v>27909.688155934189</v>
      </c>
    </row>
    <row r="669" spans="1:6" ht="18.75" customHeight="1">
      <c r="A669" s="7"/>
      <c r="B669" s="52" t="s">
        <v>1188</v>
      </c>
      <c r="C669" s="7" t="s">
        <v>863</v>
      </c>
      <c r="D669" s="66">
        <f>施工机械台时汇总!C93</f>
        <v>85.314925186055603</v>
      </c>
      <c r="E669" s="7">
        <v>154</v>
      </c>
      <c r="F669" s="53">
        <f t="shared" ref="F669:F675" si="3">D669*E669</f>
        <v>13138.498478652564</v>
      </c>
    </row>
    <row r="670" spans="1:6" ht="18.75" customHeight="1">
      <c r="A670" s="7"/>
      <c r="B670" s="52" t="s">
        <v>1189</v>
      </c>
      <c r="C670" s="7" t="s">
        <v>863</v>
      </c>
      <c r="D670" s="55">
        <f>施工机械台时汇总!C39</f>
        <v>32.598264786525661</v>
      </c>
      <c r="E670" s="7">
        <v>77</v>
      </c>
      <c r="F670" s="53">
        <f t="shared" si="3"/>
        <v>2510.0663885624758</v>
      </c>
    </row>
    <row r="671" spans="1:6" ht="18.75" customHeight="1">
      <c r="A671" s="7"/>
      <c r="B671" s="52" t="s">
        <v>1010</v>
      </c>
      <c r="C671" s="7" t="s">
        <v>863</v>
      </c>
      <c r="D671" s="66">
        <f>施工机械台时汇总!C84</f>
        <v>41.936826478652563</v>
      </c>
      <c r="E671" s="7">
        <v>70</v>
      </c>
      <c r="F671" s="53">
        <f t="shared" si="3"/>
        <v>2935.5778535056793</v>
      </c>
    </row>
    <row r="672" spans="1:6" ht="18.75" customHeight="1">
      <c r="A672" s="7"/>
      <c r="B672" s="52" t="s">
        <v>474</v>
      </c>
      <c r="C672" s="7" t="s">
        <v>863</v>
      </c>
      <c r="D672" s="66">
        <f>施工机械台时汇总!C86</f>
        <v>33.053169212690946</v>
      </c>
      <c r="E672" s="7">
        <v>140</v>
      </c>
      <c r="F672" s="53">
        <f t="shared" si="3"/>
        <v>4627.4436897767328</v>
      </c>
    </row>
    <row r="673" spans="1:6" ht="18.75" customHeight="1">
      <c r="A673" s="7"/>
      <c r="B673" s="52" t="s">
        <v>1190</v>
      </c>
      <c r="C673" s="7" t="s">
        <v>863</v>
      </c>
      <c r="D673" s="66">
        <f>施工机械台时汇总!C60</f>
        <v>160.16566314140198</v>
      </c>
      <c r="E673" s="7">
        <v>8</v>
      </c>
      <c r="F673" s="53">
        <f t="shared" si="3"/>
        <v>1281.3253051312158</v>
      </c>
    </row>
    <row r="674" spans="1:6" ht="18.75" customHeight="1">
      <c r="A674" s="7"/>
      <c r="B674" s="52" t="s">
        <v>1012</v>
      </c>
      <c r="C674" s="7" t="s">
        <v>863</v>
      </c>
      <c r="D674" s="66">
        <f>施工机械台时汇总!C45</f>
        <v>51.907272620446498</v>
      </c>
      <c r="E674" s="7">
        <v>26</v>
      </c>
      <c r="F674" s="53">
        <f t="shared" si="3"/>
        <v>1349.5890881316091</v>
      </c>
    </row>
    <row r="675" spans="1:6" ht="18.75" customHeight="1">
      <c r="A675" s="7"/>
      <c r="B675" s="52" t="s">
        <v>839</v>
      </c>
      <c r="C675" s="7" t="s">
        <v>863</v>
      </c>
      <c r="D675" s="66">
        <f>施工机械台时汇总!C42</f>
        <v>49.210305522914197</v>
      </c>
      <c r="E675" s="7">
        <v>15</v>
      </c>
      <c r="F675" s="53">
        <f t="shared" si="3"/>
        <v>738.154582843713</v>
      </c>
    </row>
    <row r="676" spans="1:6" ht="18.75" customHeight="1">
      <c r="A676" s="7"/>
      <c r="B676" s="52" t="s">
        <v>840</v>
      </c>
      <c r="C676" s="7" t="s">
        <v>834</v>
      </c>
      <c r="D676" s="66">
        <f>F669+F670+F671+F672+F673+F674+F675</f>
        <v>26580.65538660399</v>
      </c>
      <c r="E676" s="7">
        <v>5</v>
      </c>
      <c r="F676" s="53">
        <f>D676*E676/100</f>
        <v>1329.0327693301995</v>
      </c>
    </row>
    <row r="677" spans="1:6" ht="18.75" customHeight="1">
      <c r="A677" s="7"/>
      <c r="B677" s="52"/>
      <c r="C677" s="7"/>
      <c r="D677" s="7"/>
      <c r="E677" s="7"/>
      <c r="F677" s="53"/>
    </row>
    <row r="678" spans="1:6" ht="18.75" customHeight="1">
      <c r="A678" s="7">
        <v>1.2</v>
      </c>
      <c r="B678" s="52" t="s">
        <v>841</v>
      </c>
      <c r="C678" s="7"/>
      <c r="D678" s="53">
        <f>F654</f>
        <v>48401.573882734185</v>
      </c>
      <c r="E678" s="56">
        <f>E638</f>
        <v>4.8000000000000001E-2</v>
      </c>
      <c r="F678" s="53">
        <f>D678*E678</f>
        <v>2323.275546371241</v>
      </c>
    </row>
    <row r="679" spans="1:6" ht="18.75" customHeight="1">
      <c r="A679" s="7">
        <v>1.3</v>
      </c>
      <c r="B679" s="52" t="s">
        <v>842</v>
      </c>
      <c r="C679" s="7"/>
      <c r="D679" s="53">
        <f>F654</f>
        <v>48401.573882734185</v>
      </c>
      <c r="E679" s="56">
        <f>E639</f>
        <v>0</v>
      </c>
      <c r="F679" s="53">
        <f>D679*E679</f>
        <v>0</v>
      </c>
    </row>
    <row r="680" spans="1:6" ht="18.75" customHeight="1">
      <c r="A680" s="7">
        <v>2</v>
      </c>
      <c r="B680" s="52" t="s">
        <v>182</v>
      </c>
      <c r="C680" s="7"/>
      <c r="D680" s="53">
        <f>F653</f>
        <v>50724.849429105423</v>
      </c>
      <c r="E680" s="56">
        <f>E640</f>
        <v>9.2499999999999999E-2</v>
      </c>
      <c r="F680" s="53">
        <f>D680*E680</f>
        <v>4692.0485721922514</v>
      </c>
    </row>
    <row r="681" spans="1:6" ht="18.75" customHeight="1">
      <c r="A681" s="7">
        <v>3</v>
      </c>
      <c r="B681" s="52" t="s">
        <v>843</v>
      </c>
      <c r="C681" s="7"/>
      <c r="D681" s="53">
        <f>F653+F680</f>
        <v>55416.898001297675</v>
      </c>
      <c r="E681" s="56">
        <f>E641</f>
        <v>7.0000000000000007E-2</v>
      </c>
      <c r="F681" s="53">
        <f>D681*E681</f>
        <v>3879.1828600908375</v>
      </c>
    </row>
    <row r="682" spans="1:6" ht="18.75" customHeight="1">
      <c r="A682" s="7">
        <v>4</v>
      </c>
      <c r="B682" s="52" t="s">
        <v>184</v>
      </c>
      <c r="C682" s="7"/>
      <c r="D682" s="7"/>
      <c r="E682" s="7"/>
      <c r="F682" s="53">
        <f>SUM(F683:F686)</f>
        <v>1795.7479421999999</v>
      </c>
    </row>
    <row r="683" spans="1:6" ht="18.75" customHeight="1">
      <c r="A683" s="7"/>
      <c r="B683" s="52" t="s">
        <v>506</v>
      </c>
      <c r="C683" s="7" t="s">
        <v>871</v>
      </c>
      <c r="D683" s="69">
        <f>E2</f>
        <v>0</v>
      </c>
      <c r="E683" s="7">
        <f>E659</f>
        <v>0.2</v>
      </c>
      <c r="F683" s="53">
        <f>E683*D683</f>
        <v>0</v>
      </c>
    </row>
    <row r="684" spans="1:6" ht="18.75" customHeight="1">
      <c r="A684" s="7"/>
      <c r="B684" s="52" t="s">
        <v>1006</v>
      </c>
      <c r="C684" s="7" t="s">
        <v>829</v>
      </c>
      <c r="D684" s="66">
        <f>D2/1000</f>
        <v>1.49471346</v>
      </c>
      <c r="E684" s="7">
        <f>E660</f>
        <v>70</v>
      </c>
      <c r="F684" s="53">
        <f>E684*D684</f>
        <v>104.6299422</v>
      </c>
    </row>
    <row r="685" spans="1:6" ht="18.75" customHeight="1">
      <c r="A685" s="7"/>
      <c r="B685" s="52" t="s">
        <v>515</v>
      </c>
      <c r="C685" s="7" t="s">
        <v>829</v>
      </c>
      <c r="D685" s="7">
        <f>A2</f>
        <v>4.7450000000000001</v>
      </c>
      <c r="E685" s="7">
        <f>E675*台时!AK19</f>
        <v>108</v>
      </c>
      <c r="F685" s="53">
        <f>E685*D685</f>
        <v>512.46</v>
      </c>
    </row>
    <row r="686" spans="1:6" ht="18.75" customHeight="1">
      <c r="A686" s="7"/>
      <c r="B686" s="52" t="s">
        <v>516</v>
      </c>
      <c r="C686" s="7" t="s">
        <v>829</v>
      </c>
      <c r="D686" s="7">
        <f>B2</f>
        <v>3.51</v>
      </c>
      <c r="E686" s="7">
        <f>E674*台时!AN22+土石方!E673*台时!BC22</f>
        <v>335.8</v>
      </c>
      <c r="F686" s="53">
        <f>E686*D686</f>
        <v>1178.6579999999999</v>
      </c>
    </row>
    <row r="687" spans="1:6" ht="18.75" customHeight="1">
      <c r="A687" s="7">
        <v>4</v>
      </c>
      <c r="B687" s="52" t="s">
        <v>845</v>
      </c>
      <c r="C687" s="7"/>
      <c r="D687" s="53">
        <f>F653+F680+F681+F682</f>
        <v>61091.82880358852</v>
      </c>
      <c r="E687" s="56">
        <f>E644</f>
        <v>0.09</v>
      </c>
      <c r="F687" s="53">
        <f>D687*E687</f>
        <v>5498.2645923229666</v>
      </c>
    </row>
    <row r="688" spans="1:6" ht="18.75" customHeight="1">
      <c r="A688" s="7">
        <v>5</v>
      </c>
      <c r="B688" s="52" t="s">
        <v>809</v>
      </c>
      <c r="C688" s="7"/>
      <c r="D688" s="7"/>
      <c r="E688" s="7"/>
      <c r="F688" s="53">
        <f>F653+F680+F681+F682+F687</f>
        <v>66590.093395911492</v>
      </c>
    </row>
    <row r="689" spans="1:6" ht="18.75" customHeight="1">
      <c r="A689" s="7"/>
      <c r="B689" s="52" t="s">
        <v>846</v>
      </c>
      <c r="C689" s="7"/>
      <c r="D689" s="53">
        <f>F688</f>
        <v>66590.093395911492</v>
      </c>
      <c r="E689" s="56">
        <f>E646</f>
        <v>0.03</v>
      </c>
      <c r="F689" s="53">
        <f>E689*D689</f>
        <v>1997.7028018773447</v>
      </c>
    </row>
    <row r="690" spans="1:6" ht="18.75" customHeight="1">
      <c r="A690" s="7"/>
      <c r="B690" s="52" t="s">
        <v>7</v>
      </c>
      <c r="C690" s="7"/>
      <c r="D690" s="7"/>
      <c r="E690" s="7"/>
      <c r="F690" s="53">
        <f>SUM(F688:F689)</f>
        <v>68587.796197788834</v>
      </c>
    </row>
    <row r="691" spans="1:6" ht="22.5" customHeight="1">
      <c r="A691" s="461" t="s">
        <v>813</v>
      </c>
      <c r="B691" s="461"/>
      <c r="C691" s="461"/>
      <c r="D691" s="461"/>
      <c r="E691" s="461"/>
      <c r="F691" s="461"/>
    </row>
    <row r="692" spans="1:6" ht="18.75" customHeight="1">
      <c r="A692" s="462" t="s">
        <v>1191</v>
      </c>
      <c r="B692" s="462"/>
      <c r="C692" s="462"/>
      <c r="D692" s="462"/>
      <c r="E692" s="462"/>
      <c r="F692" s="462"/>
    </row>
    <row r="693" spans="1:6" ht="18.75" customHeight="1">
      <c r="A693" s="47" t="s">
        <v>815</v>
      </c>
      <c r="B693" s="49">
        <v>6007</v>
      </c>
      <c r="D693" s="46"/>
      <c r="E693" s="47" t="s">
        <v>169</v>
      </c>
      <c r="F693" s="49" t="s">
        <v>957</v>
      </c>
    </row>
    <row r="694" spans="1:6" ht="18.75" customHeight="1">
      <c r="A694" s="50" t="s">
        <v>817</v>
      </c>
      <c r="B694" s="476"/>
      <c r="C694" s="476"/>
      <c r="D694" s="476"/>
      <c r="E694" s="476"/>
      <c r="F694" s="476"/>
    </row>
    <row r="695" spans="1:6" ht="18.75" customHeight="1">
      <c r="A695" s="7" t="s">
        <v>1</v>
      </c>
      <c r="B695" s="52" t="s">
        <v>344</v>
      </c>
      <c r="C695" s="7" t="s">
        <v>818</v>
      </c>
      <c r="D695" s="7" t="s">
        <v>819</v>
      </c>
      <c r="E695" s="7" t="s">
        <v>820</v>
      </c>
      <c r="F695" s="7" t="s">
        <v>821</v>
      </c>
    </row>
    <row r="696" spans="1:6" ht="18.75" customHeight="1">
      <c r="A696" s="7">
        <v>1</v>
      </c>
      <c r="B696" s="52" t="s">
        <v>822</v>
      </c>
      <c r="C696" s="7"/>
      <c r="D696" s="7"/>
      <c r="E696" s="7"/>
      <c r="F696" s="53">
        <f>F697+F713+F714</f>
        <v>4058.5686966486483</v>
      </c>
    </row>
    <row r="697" spans="1:6" ht="18.75" customHeight="1">
      <c r="A697" s="7">
        <v>1.1000000000000001</v>
      </c>
      <c r="B697" s="52" t="s">
        <v>823</v>
      </c>
      <c r="C697" s="7"/>
      <c r="D697" s="7"/>
      <c r="E697" s="7"/>
      <c r="F697" s="53">
        <f>F698+F701+F709</f>
        <v>3872.6800540540535</v>
      </c>
    </row>
    <row r="698" spans="1:6" ht="18.75" customHeight="1">
      <c r="A698" s="7" t="s">
        <v>47</v>
      </c>
      <c r="B698" s="52" t="s">
        <v>176</v>
      </c>
      <c r="C698" s="7"/>
      <c r="D698" s="7"/>
      <c r="E698" s="7"/>
      <c r="F698" s="53">
        <f>F699+F700</f>
        <v>542.13</v>
      </c>
    </row>
    <row r="699" spans="1:6" ht="18.75" customHeight="1">
      <c r="A699" s="7"/>
      <c r="B699" s="52" t="s">
        <v>824</v>
      </c>
      <c r="C699" s="7" t="s">
        <v>825</v>
      </c>
      <c r="D699" s="7">
        <v>8.1</v>
      </c>
      <c r="E699" s="7">
        <v>30.6</v>
      </c>
      <c r="F699" s="53">
        <f>D699*E699</f>
        <v>247.86</v>
      </c>
    </row>
    <row r="700" spans="1:6" ht="18.75" customHeight="1">
      <c r="A700" s="7"/>
      <c r="B700" s="52" t="s">
        <v>826</v>
      </c>
      <c r="C700" s="7" t="s">
        <v>825</v>
      </c>
      <c r="D700" s="7">
        <v>5.77</v>
      </c>
      <c r="E700" s="7">
        <v>51</v>
      </c>
      <c r="F700" s="53">
        <f>D700*E700</f>
        <v>294.27</v>
      </c>
    </row>
    <row r="701" spans="1:6" ht="18.75" customHeight="1">
      <c r="A701" s="7" t="s">
        <v>57</v>
      </c>
      <c r="B701" s="52" t="s">
        <v>177</v>
      </c>
      <c r="C701" s="7"/>
      <c r="D701" s="7"/>
      <c r="E701" s="7"/>
      <c r="F701" s="53">
        <f>F702+F703+F704+F705+F706+F707+F708</f>
        <v>2785.4303999999997</v>
      </c>
    </row>
    <row r="702" spans="1:6" ht="18.75" customHeight="1">
      <c r="A702" s="7"/>
      <c r="B702" s="52" t="s">
        <v>379</v>
      </c>
      <c r="C702" s="7" t="s">
        <v>141</v>
      </c>
      <c r="D702" s="7">
        <v>120</v>
      </c>
      <c r="E702" s="7">
        <v>20</v>
      </c>
      <c r="F702" s="53">
        <f t="shared" ref="F702:F707" si="4">D702*E702</f>
        <v>2400</v>
      </c>
    </row>
    <row r="703" spans="1:6" ht="18.75" customHeight="1">
      <c r="A703" s="7"/>
      <c r="B703" s="52" t="s">
        <v>1192</v>
      </c>
      <c r="C703" s="7" t="s">
        <v>829</v>
      </c>
      <c r="D703" s="7">
        <f>次要材料汇总!F14</f>
        <v>15</v>
      </c>
      <c r="E703" s="7">
        <v>1.08</v>
      </c>
      <c r="F703" s="53">
        <f t="shared" si="4"/>
        <v>16.200000000000003</v>
      </c>
    </row>
    <row r="704" spans="1:6" ht="18.75" customHeight="1">
      <c r="A704" s="7"/>
      <c r="B704" s="52" t="s">
        <v>1181</v>
      </c>
      <c r="C704" s="7" t="s">
        <v>49</v>
      </c>
      <c r="D704" s="7">
        <v>120</v>
      </c>
      <c r="E704" s="7">
        <v>0</v>
      </c>
      <c r="F704" s="53">
        <f t="shared" si="4"/>
        <v>0</v>
      </c>
    </row>
    <row r="705" spans="1:6" ht="18.75" customHeight="1">
      <c r="A705" s="7"/>
      <c r="B705" s="52" t="s">
        <v>1182</v>
      </c>
      <c r="C705" s="7" t="s">
        <v>49</v>
      </c>
      <c r="D705" s="7">
        <v>150</v>
      </c>
      <c r="E705" s="7">
        <v>0</v>
      </c>
      <c r="F705" s="53">
        <f t="shared" si="4"/>
        <v>0</v>
      </c>
    </row>
    <row r="706" spans="1:6" ht="18.75" customHeight="1">
      <c r="A706" s="7"/>
      <c r="B706" s="52" t="s">
        <v>1183</v>
      </c>
      <c r="C706" s="7" t="s">
        <v>141</v>
      </c>
      <c r="D706" s="7">
        <v>80</v>
      </c>
      <c r="E706" s="7">
        <v>0</v>
      </c>
      <c r="F706" s="53">
        <f t="shared" si="4"/>
        <v>0</v>
      </c>
    </row>
    <row r="707" spans="1:6" ht="18.75" customHeight="1">
      <c r="A707" s="7"/>
      <c r="B707" s="52" t="s">
        <v>806</v>
      </c>
      <c r="C707" s="7" t="s">
        <v>871</v>
      </c>
      <c r="D707" s="55">
        <f>材料预算价格表!K15</f>
        <v>3.88</v>
      </c>
      <c r="E707" s="7">
        <v>7</v>
      </c>
      <c r="F707" s="53">
        <f t="shared" si="4"/>
        <v>27.16</v>
      </c>
    </row>
    <row r="708" spans="1:6" ht="18.75" customHeight="1">
      <c r="A708" s="7"/>
      <c r="B708" s="52" t="s">
        <v>833</v>
      </c>
      <c r="C708" s="7" t="s">
        <v>834</v>
      </c>
      <c r="D708" s="7">
        <f>F702+F703+F704+F705+F706+F707</f>
        <v>2443.3599999999997</v>
      </c>
      <c r="E708" s="7">
        <v>14</v>
      </c>
      <c r="F708" s="53">
        <f>D708*E708/100</f>
        <v>342.07039999999995</v>
      </c>
    </row>
    <row r="709" spans="1:6" ht="18.75" customHeight="1">
      <c r="A709" s="7" t="s">
        <v>835</v>
      </c>
      <c r="B709" s="52" t="s">
        <v>932</v>
      </c>
      <c r="C709" s="7"/>
      <c r="D709" s="7"/>
      <c r="E709" s="7"/>
      <c r="F709" s="53">
        <f>F710+F711</f>
        <v>545.11965405405385</v>
      </c>
    </row>
    <row r="710" spans="1:6" ht="18.75" customHeight="1">
      <c r="A710" s="7"/>
      <c r="B710" s="52" t="s">
        <v>699</v>
      </c>
      <c r="C710" s="7" t="s">
        <v>863</v>
      </c>
      <c r="D710" s="66">
        <f>施工机械台时汇总!C81</f>
        <v>24.948267920094001</v>
      </c>
      <c r="E710" s="7">
        <v>19</v>
      </c>
      <c r="F710" s="53">
        <f>D710*E710</f>
        <v>474.017090481786</v>
      </c>
    </row>
    <row r="711" spans="1:6" ht="18.75" customHeight="1">
      <c r="A711" s="7"/>
      <c r="B711" s="52" t="s">
        <v>840</v>
      </c>
      <c r="C711" s="7" t="s">
        <v>834</v>
      </c>
      <c r="D711" s="66">
        <f>F710</f>
        <v>474.017090481786</v>
      </c>
      <c r="E711" s="7">
        <v>15</v>
      </c>
      <c r="F711" s="53">
        <f>D711*E711/100</f>
        <v>71.102563572267897</v>
      </c>
    </row>
    <row r="712" spans="1:6" ht="18.75" customHeight="1">
      <c r="A712" s="7"/>
      <c r="B712" s="52"/>
      <c r="C712" s="7"/>
      <c r="D712" s="7"/>
      <c r="E712" s="7"/>
      <c r="F712" s="53"/>
    </row>
    <row r="713" spans="1:6" ht="18.75" customHeight="1">
      <c r="A713" s="7">
        <v>1.2</v>
      </c>
      <c r="B713" s="52" t="s">
        <v>841</v>
      </c>
      <c r="C713" s="7"/>
      <c r="D713" s="53">
        <f>F697</f>
        <v>3872.6800540540535</v>
      </c>
      <c r="E713" s="56">
        <f>E678</f>
        <v>4.8000000000000001E-2</v>
      </c>
      <c r="F713" s="53">
        <f>D713*E713</f>
        <v>185.88864259459456</v>
      </c>
    </row>
    <row r="714" spans="1:6" ht="18.75" customHeight="1">
      <c r="A714" s="7">
        <v>1.3</v>
      </c>
      <c r="B714" s="52" t="s">
        <v>842</v>
      </c>
      <c r="C714" s="7"/>
      <c r="D714" s="53">
        <f>F697</f>
        <v>3872.6800540540535</v>
      </c>
      <c r="E714" s="56">
        <f>E679</f>
        <v>0</v>
      </c>
      <c r="F714" s="53">
        <f>D714*E714</f>
        <v>0</v>
      </c>
    </row>
    <row r="715" spans="1:6" ht="18.75" customHeight="1">
      <c r="A715" s="7">
        <v>2</v>
      </c>
      <c r="B715" s="52" t="s">
        <v>182</v>
      </c>
      <c r="C715" s="7"/>
      <c r="D715" s="53">
        <f>F696</f>
        <v>4058.5686966486483</v>
      </c>
      <c r="E715" s="56">
        <f>E680</f>
        <v>9.2499999999999999E-2</v>
      </c>
      <c r="F715" s="53">
        <f>D715*E715</f>
        <v>375.41760443999993</v>
      </c>
    </row>
    <row r="716" spans="1:6" ht="18.75" customHeight="1">
      <c r="A716" s="7">
        <v>3</v>
      </c>
      <c r="B716" s="52" t="s">
        <v>843</v>
      </c>
      <c r="C716" s="7"/>
      <c r="D716" s="53">
        <f>F696+F715</f>
        <v>4433.9863010886484</v>
      </c>
      <c r="E716" s="56">
        <f>E681</f>
        <v>7.0000000000000007E-2</v>
      </c>
      <c r="F716" s="53">
        <f>D716*E716</f>
        <v>310.3790410762054</v>
      </c>
    </row>
    <row r="717" spans="1:6" ht="18.75" customHeight="1">
      <c r="A717" s="7">
        <v>4</v>
      </c>
      <c r="B717" s="52" t="s">
        <v>845</v>
      </c>
      <c r="C717" s="7"/>
      <c r="D717" s="53">
        <f>F696+F715+F716</f>
        <v>4744.3653421648542</v>
      </c>
      <c r="E717" s="56">
        <f>E687</f>
        <v>0.09</v>
      </c>
      <c r="F717" s="53">
        <f>D717*E717</f>
        <v>426.99288079483688</v>
      </c>
    </row>
    <row r="718" spans="1:6" ht="18.75" customHeight="1">
      <c r="A718" s="7">
        <v>5</v>
      </c>
      <c r="B718" s="52" t="s">
        <v>809</v>
      </c>
      <c r="C718" s="7"/>
      <c r="D718" s="53"/>
      <c r="E718" s="7"/>
      <c r="F718" s="53">
        <f>F696+F715+F716+F717</f>
        <v>5171.3582229596914</v>
      </c>
    </row>
    <row r="719" spans="1:6" ht="18.75" customHeight="1">
      <c r="A719" s="7"/>
      <c r="B719" s="52" t="s">
        <v>846</v>
      </c>
      <c r="C719" s="7"/>
      <c r="D719" s="53">
        <f>F718</f>
        <v>5171.3582229596914</v>
      </c>
      <c r="E719" s="56">
        <f>E689</f>
        <v>0.03</v>
      </c>
      <c r="F719" s="53">
        <f>E719*D719</f>
        <v>155.14074668879073</v>
      </c>
    </row>
    <row r="720" spans="1:6" ht="18.75" customHeight="1">
      <c r="A720" s="7"/>
      <c r="B720" s="52" t="s">
        <v>7</v>
      </c>
      <c r="C720" s="7"/>
      <c r="D720" s="7"/>
      <c r="E720" s="7"/>
      <c r="F720" s="53">
        <f>SUM(F718:F719)</f>
        <v>5326.4989696484818</v>
      </c>
    </row>
    <row r="721" spans="1:6" ht="22.5" customHeight="1">
      <c r="A721" s="479" t="s">
        <v>813</v>
      </c>
      <c r="B721" s="479"/>
      <c r="C721" s="479"/>
      <c r="D721" s="479"/>
      <c r="E721" s="479"/>
      <c r="F721" s="479"/>
    </row>
    <row r="722" spans="1:6" ht="18.75" customHeight="1">
      <c r="A722" s="462" t="s">
        <v>1193</v>
      </c>
      <c r="B722" s="462"/>
      <c r="C722" s="462"/>
      <c r="D722" s="462"/>
      <c r="E722" s="462"/>
      <c r="F722" s="462"/>
    </row>
    <row r="723" spans="1:6" ht="18.75" customHeight="1">
      <c r="A723" s="47" t="s">
        <v>815</v>
      </c>
      <c r="B723" s="49">
        <v>3072</v>
      </c>
      <c r="D723" s="46"/>
      <c r="E723" s="47" t="s">
        <v>169</v>
      </c>
      <c r="F723" s="49" t="s">
        <v>869</v>
      </c>
    </row>
    <row r="724" spans="1:6" ht="18.75" customHeight="1">
      <c r="A724" s="50" t="s">
        <v>817</v>
      </c>
      <c r="B724" s="52"/>
      <c r="C724" s="7"/>
      <c r="D724" s="7"/>
      <c r="E724" s="7"/>
      <c r="F724" s="7"/>
    </row>
    <row r="725" spans="1:6" ht="18.75" customHeight="1">
      <c r="A725" s="7" t="s">
        <v>1</v>
      </c>
      <c r="B725" s="52" t="s">
        <v>344</v>
      </c>
      <c r="C725" s="7" t="s">
        <v>818</v>
      </c>
      <c r="D725" s="7" t="s">
        <v>819</v>
      </c>
      <c r="E725" s="7" t="s">
        <v>820</v>
      </c>
      <c r="F725" s="7" t="s">
        <v>821</v>
      </c>
    </row>
    <row r="726" spans="1:6" ht="18.75" customHeight="1">
      <c r="A726" s="7">
        <v>1</v>
      </c>
      <c r="B726" s="52" t="s">
        <v>822</v>
      </c>
      <c r="C726" s="7"/>
      <c r="D726" s="7"/>
      <c r="E726" s="7"/>
      <c r="F726" s="53">
        <f>F727+F737+F738</f>
        <v>227.64838398514291</v>
      </c>
    </row>
    <row r="727" spans="1:6" ht="18.75" customHeight="1">
      <c r="A727" s="7">
        <v>1.1000000000000001</v>
      </c>
      <c r="B727" s="52" t="s">
        <v>823</v>
      </c>
      <c r="C727" s="7"/>
      <c r="D727" s="7"/>
      <c r="E727" s="7"/>
      <c r="F727" s="53">
        <f>F728+F729+F735</f>
        <v>217.22174044383866</v>
      </c>
    </row>
    <row r="728" spans="1:6" ht="18.75" customHeight="1">
      <c r="A728" s="7" t="s">
        <v>47</v>
      </c>
      <c r="B728" s="52" t="s">
        <v>1136</v>
      </c>
      <c r="C728" s="7" t="s">
        <v>825</v>
      </c>
      <c r="D728" s="7">
        <v>5.77</v>
      </c>
      <c r="E728" s="7">
        <v>18</v>
      </c>
      <c r="F728" s="53">
        <f>D728*E728</f>
        <v>103.86</v>
      </c>
    </row>
    <row r="729" spans="1:6" ht="18.75" customHeight="1">
      <c r="A729" s="7" t="s">
        <v>57</v>
      </c>
      <c r="B729" s="52" t="s">
        <v>836</v>
      </c>
      <c r="C729" s="7"/>
      <c r="D729" s="7"/>
      <c r="E729" s="7"/>
      <c r="F729" s="53">
        <f>SUM(F730:F734)</f>
        <v>93.614309494398753</v>
      </c>
    </row>
    <row r="730" spans="1:6" ht="18.75" customHeight="1">
      <c r="A730" s="7"/>
      <c r="B730" s="52" t="s">
        <v>1194</v>
      </c>
      <c r="C730" s="7" t="s">
        <v>863</v>
      </c>
      <c r="D730" s="55">
        <f>施工机械台时汇总!C95</f>
        <v>49.784005092048602</v>
      </c>
      <c r="E730" s="7">
        <v>0.24</v>
      </c>
      <c r="F730" s="53">
        <f>D730*E730</f>
        <v>11.948161222091665</v>
      </c>
    </row>
    <row r="731" spans="1:6" ht="18.75" customHeight="1">
      <c r="A731" s="7"/>
      <c r="B731" s="52" t="s">
        <v>1137</v>
      </c>
      <c r="C731" s="7" t="s">
        <v>863</v>
      </c>
      <c r="D731" s="66">
        <f>施工机械台时汇总!$C$12</f>
        <v>68.224556600078401</v>
      </c>
      <c r="E731" s="7">
        <v>0.24</v>
      </c>
      <c r="F731" s="53">
        <f>D731*E731</f>
        <v>16.373893584018816</v>
      </c>
    </row>
    <row r="732" spans="1:6" ht="18.75" customHeight="1">
      <c r="A732" s="7"/>
      <c r="B732" s="52" t="s">
        <v>1138</v>
      </c>
      <c r="C732" s="7" t="s">
        <v>863</v>
      </c>
      <c r="D732" s="66">
        <f>施工机械台时汇总!$C$9</f>
        <v>89.065288679984292</v>
      </c>
      <c r="E732" s="7">
        <v>0.5</v>
      </c>
      <c r="F732" s="53">
        <f>D732*E732</f>
        <v>44.532644339992146</v>
      </c>
    </row>
    <row r="733" spans="1:6" ht="18.75" customHeight="1">
      <c r="A733" s="7"/>
      <c r="B733" s="52" t="s">
        <v>1139</v>
      </c>
      <c r="C733" s="7" t="s">
        <v>863</v>
      </c>
      <c r="D733" s="66">
        <f>施工机械台时汇总!$C$15</f>
        <v>19.832735996866429</v>
      </c>
      <c r="E733" s="7">
        <v>1</v>
      </c>
      <c r="F733" s="53">
        <f>D733*E733</f>
        <v>19.832735996866429</v>
      </c>
    </row>
    <row r="734" spans="1:6" ht="18.75" customHeight="1">
      <c r="A734" s="7"/>
      <c r="B734" s="52" t="s">
        <v>840</v>
      </c>
      <c r="C734" s="7" t="s">
        <v>834</v>
      </c>
      <c r="D734" s="66">
        <f>SUM(F730:F733)</f>
        <v>92.687435142969065</v>
      </c>
      <c r="E734" s="7">
        <v>1</v>
      </c>
      <c r="F734" s="53">
        <f>D734*E734/100</f>
        <v>0.92687435142969066</v>
      </c>
    </row>
    <row r="735" spans="1:6" ht="18.75" customHeight="1">
      <c r="A735" s="7" t="s">
        <v>835</v>
      </c>
      <c r="B735" s="52" t="s">
        <v>864</v>
      </c>
      <c r="C735" s="7" t="s">
        <v>834</v>
      </c>
      <c r="D735" s="66">
        <f>F728+F729</f>
        <v>197.47430949439877</v>
      </c>
      <c r="E735" s="7">
        <v>10</v>
      </c>
      <c r="F735" s="53">
        <f>D735*E735/100</f>
        <v>19.747430949439877</v>
      </c>
    </row>
    <row r="736" spans="1:6" ht="18.75" customHeight="1">
      <c r="A736" s="7"/>
      <c r="B736" s="52"/>
      <c r="C736" s="7"/>
      <c r="D736" s="7"/>
      <c r="E736" s="7"/>
      <c r="F736" s="53"/>
    </row>
    <row r="737" spans="1:6" ht="18.75" customHeight="1">
      <c r="A737" s="7">
        <v>1.2</v>
      </c>
      <c r="B737" s="52" t="s">
        <v>841</v>
      </c>
      <c r="C737" s="7"/>
      <c r="D737" s="53">
        <f>F727</f>
        <v>217.22174044383866</v>
      </c>
      <c r="E737" s="56">
        <f>取费!C7</f>
        <v>4.8000000000000001E-2</v>
      </c>
      <c r="F737" s="53">
        <f>D737*E737</f>
        <v>10.426643541304255</v>
      </c>
    </row>
    <row r="738" spans="1:6" ht="18.75" customHeight="1">
      <c r="A738" s="7">
        <v>1.3</v>
      </c>
      <c r="B738" s="52" t="s">
        <v>842</v>
      </c>
      <c r="C738" s="7"/>
      <c r="D738" s="53">
        <f>F727</f>
        <v>217.22174044383866</v>
      </c>
      <c r="E738" s="56">
        <f>取费!D7</f>
        <v>0</v>
      </c>
      <c r="F738" s="53">
        <f>D738*E738</f>
        <v>0</v>
      </c>
    </row>
    <row r="739" spans="1:6" ht="18.75" customHeight="1">
      <c r="A739" s="7">
        <v>2</v>
      </c>
      <c r="B739" s="52" t="s">
        <v>182</v>
      </c>
      <c r="C739" s="7"/>
      <c r="D739" s="53">
        <f>F726</f>
        <v>227.64838398514291</v>
      </c>
      <c r="E739" s="56">
        <f>取费!E7</f>
        <v>8.5000000000000006E-2</v>
      </c>
      <c r="F739" s="53">
        <f>D739*E739</f>
        <v>19.350112638737148</v>
      </c>
    </row>
    <row r="740" spans="1:6" ht="18.75" customHeight="1">
      <c r="A740" s="7">
        <v>3</v>
      </c>
      <c r="B740" s="52" t="s">
        <v>843</v>
      </c>
      <c r="C740" s="7"/>
      <c r="D740" s="53">
        <f>F726+F739</f>
        <v>246.99849662388007</v>
      </c>
      <c r="E740" s="56">
        <f>取费!F7</f>
        <v>7.0000000000000007E-2</v>
      </c>
      <c r="F740" s="53">
        <f>D740*E740</f>
        <v>17.289894763671608</v>
      </c>
    </row>
    <row r="741" spans="1:6" ht="18.75" customHeight="1">
      <c r="A741" s="7">
        <v>4</v>
      </c>
      <c r="B741" s="52" t="s">
        <v>184</v>
      </c>
      <c r="C741" s="7"/>
      <c r="D741" s="7"/>
      <c r="E741" s="7"/>
      <c r="F741" s="53">
        <f>F742</f>
        <v>34.945559999999993</v>
      </c>
    </row>
    <row r="742" spans="1:6" ht="18.75" customHeight="1">
      <c r="A742" s="7"/>
      <c r="B742" s="52" t="s">
        <v>516</v>
      </c>
      <c r="C742" s="7"/>
      <c r="D742" s="7">
        <f>B2</f>
        <v>3.51</v>
      </c>
      <c r="E742" s="66">
        <f>E730*台时!CN22+E731*台时!L22+土石方!E732*台时!I22</f>
        <v>9.9559999999999995</v>
      </c>
      <c r="F742" s="53">
        <f>D742*E742</f>
        <v>34.945559999999993</v>
      </c>
    </row>
    <row r="743" spans="1:6" ht="18.75" customHeight="1">
      <c r="A743" s="7">
        <v>5</v>
      </c>
      <c r="B743" s="52" t="s">
        <v>845</v>
      </c>
      <c r="C743" s="7"/>
      <c r="D743" s="53">
        <f>F726+F739+F740+F741</f>
        <v>299.23395138755166</v>
      </c>
      <c r="E743" s="56">
        <f>取费!G7</f>
        <v>0.09</v>
      </c>
      <c r="F743" s="53">
        <f>D743*E743</f>
        <v>26.931055624879647</v>
      </c>
    </row>
    <row r="744" spans="1:6" ht="18.75" customHeight="1">
      <c r="A744" s="7">
        <v>6</v>
      </c>
      <c r="B744" s="52" t="s">
        <v>7</v>
      </c>
      <c r="C744" s="7"/>
      <c r="D744" s="7"/>
      <c r="E744" s="7"/>
      <c r="F744" s="53">
        <f>F726+F739+F740+F741+F743</f>
        <v>326.16500701243132</v>
      </c>
    </row>
    <row r="745" spans="1:6" ht="18.75" customHeight="1">
      <c r="A745" s="7"/>
      <c r="B745" s="52" t="s">
        <v>846</v>
      </c>
      <c r="C745" s="7"/>
      <c r="D745" s="53">
        <f>F744</f>
        <v>326.16500701243132</v>
      </c>
      <c r="E745" s="56">
        <f>取费!H6</f>
        <v>0.03</v>
      </c>
      <c r="F745" s="53">
        <f>E745*D745</f>
        <v>9.7849502103729389</v>
      </c>
    </row>
    <row r="746" spans="1:6" ht="18.75" customHeight="1">
      <c r="A746" s="7"/>
      <c r="B746" s="52" t="s">
        <v>44</v>
      </c>
      <c r="C746" s="7"/>
      <c r="D746" s="7"/>
      <c r="E746" s="7"/>
      <c r="F746" s="53">
        <f>SUM(F744:F745)</f>
        <v>335.94995722280424</v>
      </c>
    </row>
    <row r="747" spans="1:6" ht="22.5" customHeight="1">
      <c r="A747" s="479" t="s">
        <v>813</v>
      </c>
      <c r="B747" s="479"/>
      <c r="C747" s="479"/>
      <c r="D747" s="479"/>
      <c r="E747" s="479"/>
      <c r="F747" s="479"/>
    </row>
    <row r="748" spans="1:6" ht="18.75" customHeight="1">
      <c r="A748" s="462" t="s">
        <v>1195</v>
      </c>
      <c r="B748" s="462"/>
      <c r="C748" s="462"/>
      <c r="D748" s="462"/>
      <c r="E748" s="462"/>
      <c r="F748" s="462"/>
    </row>
    <row r="749" spans="1:6" ht="18.75" customHeight="1">
      <c r="A749" s="47" t="s">
        <v>815</v>
      </c>
      <c r="B749" s="49">
        <v>3073</v>
      </c>
      <c r="D749" s="46"/>
      <c r="E749" s="47" t="s">
        <v>169</v>
      </c>
      <c r="F749" s="49" t="s">
        <v>869</v>
      </c>
    </row>
    <row r="750" spans="1:6" ht="18.75" customHeight="1">
      <c r="A750" s="50" t="s">
        <v>817</v>
      </c>
      <c r="B750" s="52"/>
      <c r="C750" s="7"/>
      <c r="D750" s="7"/>
      <c r="E750" s="7"/>
      <c r="F750" s="7"/>
    </row>
    <row r="751" spans="1:6" ht="18.75" customHeight="1">
      <c r="A751" s="7" t="s">
        <v>1</v>
      </c>
      <c r="B751" s="52" t="s">
        <v>344</v>
      </c>
      <c r="C751" s="7" t="s">
        <v>818</v>
      </c>
      <c r="D751" s="7" t="s">
        <v>819</v>
      </c>
      <c r="E751" s="7" t="s">
        <v>820</v>
      </c>
      <c r="F751" s="7" t="s">
        <v>821</v>
      </c>
    </row>
    <row r="752" spans="1:6" ht="18.75" customHeight="1">
      <c r="A752" s="7">
        <v>1</v>
      </c>
      <c r="B752" s="52" t="s">
        <v>822</v>
      </c>
      <c r="C752" s="7"/>
      <c r="D752" s="7"/>
      <c r="E752" s="7"/>
      <c r="F752" s="53">
        <f>F753+F763+F764</f>
        <v>261.78017450871704</v>
      </c>
    </row>
    <row r="753" spans="1:6" ht="18.75" customHeight="1">
      <c r="A753" s="7">
        <v>1.1000000000000001</v>
      </c>
      <c r="B753" s="52" t="s">
        <v>823</v>
      </c>
      <c r="C753" s="7"/>
      <c r="D753" s="7"/>
      <c r="E753" s="7"/>
      <c r="F753" s="53">
        <f>F754+F755+F761</f>
        <v>249.79024285182925</v>
      </c>
    </row>
    <row r="754" spans="1:6" ht="18.75" customHeight="1">
      <c r="A754" s="7" t="s">
        <v>47</v>
      </c>
      <c r="B754" s="52" t="s">
        <v>1136</v>
      </c>
      <c r="C754" s="7" t="s">
        <v>825</v>
      </c>
      <c r="D754" s="7">
        <v>5.77</v>
      </c>
      <c r="E754" s="7">
        <v>19</v>
      </c>
      <c r="F754" s="53">
        <f>D754*E754</f>
        <v>109.63</v>
      </c>
    </row>
    <row r="755" spans="1:6" ht="18.75" customHeight="1">
      <c r="A755" s="7" t="s">
        <v>57</v>
      </c>
      <c r="B755" s="52" t="s">
        <v>836</v>
      </c>
      <c r="C755" s="7"/>
      <c r="D755" s="7"/>
      <c r="E755" s="7"/>
      <c r="F755" s="53">
        <f>SUM(F756:F760)</f>
        <v>117.4520389562084</v>
      </c>
    </row>
    <row r="756" spans="1:6" ht="18.75" customHeight="1">
      <c r="A756" s="7"/>
      <c r="B756" s="52" t="s">
        <v>1194</v>
      </c>
      <c r="C756" s="7" t="s">
        <v>863</v>
      </c>
      <c r="D756" s="55">
        <f>施工机械台时汇总!C95</f>
        <v>49.784005092048602</v>
      </c>
      <c r="E756" s="7">
        <v>0.44</v>
      </c>
      <c r="F756" s="53">
        <f>D756*E756</f>
        <v>21.904962240501384</v>
      </c>
    </row>
    <row r="757" spans="1:6" ht="18.75" customHeight="1">
      <c r="A757" s="7"/>
      <c r="B757" s="52" t="s">
        <v>1137</v>
      </c>
      <c r="C757" s="7" t="s">
        <v>863</v>
      </c>
      <c r="D757" s="66">
        <f>施工机械台时汇总!$C$12</f>
        <v>68.224556600078401</v>
      </c>
      <c r="E757" s="7">
        <v>0.44</v>
      </c>
      <c r="F757" s="53">
        <f>D757*E757</f>
        <v>30.018804904034496</v>
      </c>
    </row>
    <row r="758" spans="1:6" ht="18.75" customHeight="1">
      <c r="A758" s="7"/>
      <c r="B758" s="52" t="s">
        <v>1138</v>
      </c>
      <c r="C758" s="7" t="s">
        <v>863</v>
      </c>
      <c r="D758" s="66">
        <f>施工机械台时汇总!$C$9</f>
        <v>89.065288679984292</v>
      </c>
      <c r="E758" s="7">
        <v>0.5</v>
      </c>
      <c r="F758" s="53">
        <f>D758*E758</f>
        <v>44.532644339992146</v>
      </c>
    </row>
    <row r="759" spans="1:6" ht="18.75" customHeight="1">
      <c r="A759" s="7"/>
      <c r="B759" s="52" t="s">
        <v>1139</v>
      </c>
      <c r="C759" s="7" t="s">
        <v>863</v>
      </c>
      <c r="D759" s="66">
        <f>施工机械台时汇总!$C$15</f>
        <v>19.832735996866429</v>
      </c>
      <c r="E759" s="7">
        <v>1</v>
      </c>
      <c r="F759" s="53">
        <f>D759*E759</f>
        <v>19.832735996866429</v>
      </c>
    </row>
    <row r="760" spans="1:6" ht="18.75" customHeight="1">
      <c r="A760" s="7"/>
      <c r="B760" s="52" t="s">
        <v>840</v>
      </c>
      <c r="C760" s="7" t="s">
        <v>834</v>
      </c>
      <c r="D760" s="66">
        <f>SUM(F756:F759)</f>
        <v>116.28914748139445</v>
      </c>
      <c r="E760" s="7">
        <v>1</v>
      </c>
      <c r="F760" s="53">
        <f>D760*E760/100</f>
        <v>1.1628914748139445</v>
      </c>
    </row>
    <row r="761" spans="1:6" ht="18.75" customHeight="1">
      <c r="A761" s="7" t="s">
        <v>835</v>
      </c>
      <c r="B761" s="52" t="s">
        <v>864</v>
      </c>
      <c r="C761" s="7" t="s">
        <v>834</v>
      </c>
      <c r="D761" s="66">
        <f>F754+F755</f>
        <v>227.08203895620841</v>
      </c>
      <c r="E761" s="7">
        <v>10</v>
      </c>
      <c r="F761" s="53">
        <f>D761*E761/100</f>
        <v>22.708203895620841</v>
      </c>
    </row>
    <row r="762" spans="1:6" ht="18.75" customHeight="1">
      <c r="A762" s="7"/>
      <c r="B762" s="52"/>
      <c r="C762" s="7"/>
      <c r="D762" s="7"/>
      <c r="E762" s="7"/>
      <c r="F762" s="53"/>
    </row>
    <row r="763" spans="1:6" ht="18.75" customHeight="1">
      <c r="A763" s="7">
        <v>1.2</v>
      </c>
      <c r="B763" s="52" t="s">
        <v>841</v>
      </c>
      <c r="C763" s="7"/>
      <c r="D763" s="53">
        <f>F753</f>
        <v>249.79024285182925</v>
      </c>
      <c r="E763" s="56">
        <f>E737</f>
        <v>4.8000000000000001E-2</v>
      </c>
      <c r="F763" s="53">
        <f>D763*E763</f>
        <v>11.989931656887805</v>
      </c>
    </row>
    <row r="764" spans="1:6" ht="18.75" customHeight="1">
      <c r="A764" s="7">
        <v>1.3</v>
      </c>
      <c r="B764" s="52" t="s">
        <v>842</v>
      </c>
      <c r="C764" s="7"/>
      <c r="D764" s="53">
        <f>F753</f>
        <v>249.79024285182925</v>
      </c>
      <c r="E764" s="56">
        <f>E738</f>
        <v>0</v>
      </c>
      <c r="F764" s="53">
        <f>D764*E764</f>
        <v>0</v>
      </c>
    </row>
    <row r="765" spans="1:6" ht="18.75" customHeight="1">
      <c r="A765" s="7">
        <v>2</v>
      </c>
      <c r="B765" s="52" t="s">
        <v>182</v>
      </c>
      <c r="C765" s="7"/>
      <c r="D765" s="53">
        <f>F752</f>
        <v>261.78017450871704</v>
      </c>
      <c r="E765" s="56">
        <f>E739</f>
        <v>8.5000000000000006E-2</v>
      </c>
      <c r="F765" s="53">
        <f>D765*E765</f>
        <v>22.251314833240951</v>
      </c>
    </row>
    <row r="766" spans="1:6" ht="18.75" customHeight="1">
      <c r="A766" s="7">
        <v>3</v>
      </c>
      <c r="B766" s="52" t="s">
        <v>843</v>
      </c>
      <c r="C766" s="7"/>
      <c r="D766" s="53">
        <f>F752+F765</f>
        <v>284.03148934195798</v>
      </c>
      <c r="E766" s="56">
        <f>E740</f>
        <v>7.0000000000000007E-2</v>
      </c>
      <c r="F766" s="53">
        <f>D766*E766</f>
        <v>19.882204253937061</v>
      </c>
    </row>
    <row r="767" spans="1:6" ht="18.75" customHeight="1">
      <c r="A767" s="7">
        <v>4</v>
      </c>
      <c r="B767" s="52" t="s">
        <v>184</v>
      </c>
      <c r="C767" s="7"/>
      <c r="D767" s="7"/>
      <c r="E767" s="7"/>
      <c r="F767" s="53">
        <f>F768</f>
        <v>48.564359999999994</v>
      </c>
    </row>
    <row r="768" spans="1:6" ht="18.75" customHeight="1">
      <c r="A768" s="7"/>
      <c r="B768" s="52" t="s">
        <v>516</v>
      </c>
      <c r="C768" s="7"/>
      <c r="D768" s="7">
        <f>B2</f>
        <v>3.51</v>
      </c>
      <c r="E768" s="66">
        <f>E756*台时!CN22+E757*台时!L22+土石方!E758*台时!I22</f>
        <v>13.835999999999999</v>
      </c>
      <c r="F768" s="53">
        <f>D768*E768</f>
        <v>48.564359999999994</v>
      </c>
    </row>
    <row r="769" spans="1:6" ht="18.75" customHeight="1">
      <c r="A769" s="7">
        <v>5</v>
      </c>
      <c r="B769" s="52" t="s">
        <v>845</v>
      </c>
      <c r="C769" s="7"/>
      <c r="D769" s="53">
        <f>F752+F765+F766+F767</f>
        <v>352.47805359589506</v>
      </c>
      <c r="E769" s="56">
        <f>E743</f>
        <v>0.09</v>
      </c>
      <c r="F769" s="53">
        <f>D769*E769</f>
        <v>31.723024823630553</v>
      </c>
    </row>
    <row r="770" spans="1:6" ht="18.75" customHeight="1">
      <c r="A770" s="7">
        <v>6</v>
      </c>
      <c r="B770" s="52" t="s">
        <v>7</v>
      </c>
      <c r="C770" s="7"/>
      <c r="D770" s="7"/>
      <c r="E770" s="7"/>
      <c r="F770" s="53">
        <f>F752+F765+F766+F767+F769</f>
        <v>384.20107841952563</v>
      </c>
    </row>
    <row r="771" spans="1:6" ht="18.75" customHeight="1">
      <c r="A771" s="7"/>
      <c r="B771" s="52" t="s">
        <v>846</v>
      </c>
      <c r="C771" s="7"/>
      <c r="D771" s="53">
        <f>F770</f>
        <v>384.20107841952563</v>
      </c>
      <c r="E771" s="56">
        <f>E745</f>
        <v>0.03</v>
      </c>
      <c r="F771" s="53">
        <f>E771*D771</f>
        <v>11.526032352585769</v>
      </c>
    </row>
    <row r="772" spans="1:6" ht="18.75" customHeight="1">
      <c r="A772" s="7"/>
      <c r="B772" s="52" t="s">
        <v>44</v>
      </c>
      <c r="C772" s="7"/>
      <c r="D772" s="7"/>
      <c r="E772" s="7"/>
      <c r="F772" s="53">
        <f>SUM(F770:F771)</f>
        <v>395.72711077211142</v>
      </c>
    </row>
    <row r="773" spans="1:6" ht="22.5" customHeight="1">
      <c r="A773" s="479" t="s">
        <v>813</v>
      </c>
      <c r="B773" s="479"/>
      <c r="C773" s="479"/>
      <c r="D773" s="479"/>
      <c r="E773" s="479"/>
      <c r="F773" s="479"/>
    </row>
    <row r="774" spans="1:6" ht="18.75" customHeight="1">
      <c r="A774" s="462" t="s">
        <v>1196</v>
      </c>
      <c r="B774" s="462"/>
      <c r="C774" s="462"/>
      <c r="D774" s="462"/>
      <c r="E774" s="462"/>
      <c r="F774" s="462"/>
    </row>
    <row r="775" spans="1:6" ht="18.75" customHeight="1">
      <c r="A775" s="47" t="s">
        <v>815</v>
      </c>
      <c r="B775" s="49">
        <v>2418</v>
      </c>
      <c r="D775" s="46"/>
      <c r="E775" s="47" t="s">
        <v>169</v>
      </c>
      <c r="F775" s="49" t="s">
        <v>869</v>
      </c>
    </row>
    <row r="776" spans="1:6" ht="18.75" customHeight="1">
      <c r="A776" s="50" t="s">
        <v>817</v>
      </c>
      <c r="B776" s="458"/>
      <c r="C776" s="459"/>
      <c r="D776" s="459"/>
      <c r="E776" s="459"/>
      <c r="F776" s="460"/>
    </row>
    <row r="777" spans="1:6" ht="18.75" customHeight="1">
      <c r="A777" s="7" t="s">
        <v>1</v>
      </c>
      <c r="B777" s="52" t="s">
        <v>344</v>
      </c>
      <c r="C777" s="7" t="s">
        <v>818</v>
      </c>
      <c r="D777" s="7" t="s">
        <v>819</v>
      </c>
      <c r="E777" s="7" t="s">
        <v>820</v>
      </c>
      <c r="F777" s="7" t="s">
        <v>821</v>
      </c>
    </row>
    <row r="778" spans="1:6" ht="18.75" customHeight="1">
      <c r="A778" s="7">
        <v>1</v>
      </c>
      <c r="B778" s="52" t="s">
        <v>822</v>
      </c>
      <c r="C778" s="7"/>
      <c r="D778" s="7"/>
      <c r="E778" s="7"/>
      <c r="F778" s="53">
        <f>F779+F787+F788</f>
        <v>1775.8028475147187</v>
      </c>
    </row>
    <row r="779" spans="1:6" ht="18.75" customHeight="1">
      <c r="A779" s="7">
        <v>1.1000000000000001</v>
      </c>
      <c r="B779" s="52" t="s">
        <v>823</v>
      </c>
      <c r="C779" s="7"/>
      <c r="D779" s="7"/>
      <c r="E779" s="7"/>
      <c r="F779" s="53">
        <f>F780+F781+F785</f>
        <v>1774.9508710965922</v>
      </c>
    </row>
    <row r="780" spans="1:6" ht="18.75" customHeight="1">
      <c r="A780" s="7" t="s">
        <v>47</v>
      </c>
      <c r="B780" s="52" t="s">
        <v>1143</v>
      </c>
      <c r="C780" s="7" t="s">
        <v>825</v>
      </c>
      <c r="D780" s="7">
        <v>5.77</v>
      </c>
      <c r="E780" s="7">
        <v>18.2</v>
      </c>
      <c r="F780" s="53">
        <f>D780*E780</f>
        <v>105.014</v>
      </c>
    </row>
    <row r="781" spans="1:6" ht="18.75" customHeight="1">
      <c r="A781" s="7" t="s">
        <v>57</v>
      </c>
      <c r="B781" s="52" t="s">
        <v>836</v>
      </c>
      <c r="C781" s="7"/>
      <c r="D781" s="7"/>
      <c r="E781" s="7"/>
      <c r="F781" s="53">
        <f>F782+F783+F784</f>
        <v>1635.1339128397965</v>
      </c>
    </row>
    <row r="782" spans="1:6" ht="18.75" customHeight="1">
      <c r="A782" s="7"/>
      <c r="B782" s="52" t="s">
        <v>1197</v>
      </c>
      <c r="C782" s="7" t="s">
        <v>863</v>
      </c>
      <c r="D782" s="66">
        <f>施工机械台时汇总!$C$6</f>
        <v>116.55532824128471</v>
      </c>
      <c r="E782" s="7">
        <v>2.74</v>
      </c>
      <c r="F782" s="53">
        <f>D782*E782</f>
        <v>319.36159938112013</v>
      </c>
    </row>
    <row r="783" spans="1:6" ht="18.75" customHeight="1">
      <c r="A783" s="7"/>
      <c r="B783" s="52" t="s">
        <v>1158</v>
      </c>
      <c r="C783" s="7" t="s">
        <v>863</v>
      </c>
      <c r="D783" s="66">
        <f>施工机械台时汇总!$C$9</f>
        <v>89.065288679984292</v>
      </c>
      <c r="E783" s="7">
        <v>1.37</v>
      </c>
      <c r="F783" s="53">
        <f>D783*E783</f>
        <v>122.01944549157849</v>
      </c>
    </row>
    <row r="784" spans="1:6" ht="18.75" customHeight="1">
      <c r="A784" s="7"/>
      <c r="B784" s="52" t="s">
        <v>1198</v>
      </c>
      <c r="C784" s="7" t="s">
        <v>863</v>
      </c>
      <c r="D784" s="66">
        <f>施工机械台时汇总!$C$46</f>
        <v>72.878685468076796</v>
      </c>
      <c r="E784" s="7">
        <v>16.38</v>
      </c>
      <c r="F784" s="53">
        <f>D784*E784</f>
        <v>1193.7528679670979</v>
      </c>
    </row>
    <row r="785" spans="1:6" ht="18.75" customHeight="1">
      <c r="A785" s="7" t="s">
        <v>835</v>
      </c>
      <c r="B785" s="52" t="s">
        <v>864</v>
      </c>
      <c r="C785" s="7" t="s">
        <v>834</v>
      </c>
      <c r="D785" s="66">
        <f>F780+F781</f>
        <v>1740.1479128397964</v>
      </c>
      <c r="E785" s="7">
        <v>2</v>
      </c>
      <c r="F785" s="53">
        <f>D785*E785/100</f>
        <v>34.802958256795925</v>
      </c>
    </row>
    <row r="786" spans="1:6" ht="18.75" customHeight="1">
      <c r="A786" s="7"/>
      <c r="B786" s="52"/>
      <c r="C786" s="7"/>
      <c r="D786" s="7"/>
      <c r="E786" s="7"/>
      <c r="F786" s="53"/>
    </row>
    <row r="787" spans="1:6" ht="18.75" customHeight="1">
      <c r="A787" s="7">
        <v>1.2</v>
      </c>
      <c r="B787" s="52" t="s">
        <v>841</v>
      </c>
      <c r="C787" s="7"/>
      <c r="D787" s="53">
        <f>F779</f>
        <v>1774.9508710965922</v>
      </c>
      <c r="E787" s="56">
        <f>E763</f>
        <v>4.8000000000000001E-2</v>
      </c>
      <c r="F787" s="53">
        <f>D787*E787/100</f>
        <v>0.85197641812636438</v>
      </c>
    </row>
    <row r="788" spans="1:6" ht="18.75" customHeight="1">
      <c r="A788" s="7">
        <v>1.3</v>
      </c>
      <c r="B788" s="52" t="s">
        <v>842</v>
      </c>
      <c r="C788" s="7"/>
      <c r="D788" s="53">
        <f>F779</f>
        <v>1774.9508710965922</v>
      </c>
      <c r="E788" s="56">
        <f>E764</f>
        <v>0</v>
      </c>
      <c r="F788" s="53">
        <f>D788*E788/100</f>
        <v>0</v>
      </c>
    </row>
    <row r="789" spans="1:6" ht="18.75" customHeight="1">
      <c r="A789" s="7">
        <v>2</v>
      </c>
      <c r="B789" s="52" t="s">
        <v>182</v>
      </c>
      <c r="C789" s="7"/>
      <c r="D789" s="53">
        <f>F778</f>
        <v>1775.8028475147187</v>
      </c>
      <c r="E789" s="56">
        <f>E765</f>
        <v>8.5000000000000006E-2</v>
      </c>
      <c r="F789" s="53">
        <f>D789*E789/100</f>
        <v>1.5094324203875109</v>
      </c>
    </row>
    <row r="790" spans="1:6" ht="18.75" customHeight="1">
      <c r="A790" s="7">
        <v>3</v>
      </c>
      <c r="B790" s="52" t="s">
        <v>843</v>
      </c>
      <c r="C790" s="7"/>
      <c r="D790" s="53">
        <f>F778+F789</f>
        <v>1777.3122799351063</v>
      </c>
      <c r="E790" s="56">
        <f>E766</f>
        <v>7.0000000000000007E-2</v>
      </c>
      <c r="F790" s="53">
        <f>D790*E790/100</f>
        <v>1.2441185959545746</v>
      </c>
    </row>
    <row r="791" spans="1:6" ht="18.75" customHeight="1">
      <c r="A791" s="7">
        <v>4</v>
      </c>
      <c r="B791" s="52" t="s">
        <v>184</v>
      </c>
      <c r="C791" s="7"/>
      <c r="D791" s="7"/>
      <c r="E791" s="7"/>
      <c r="F791" s="53">
        <f>F792</f>
        <v>689.51439999999991</v>
      </c>
    </row>
    <row r="792" spans="1:6" ht="18.75" customHeight="1">
      <c r="A792" s="7"/>
      <c r="B792" s="52" t="s">
        <v>516</v>
      </c>
      <c r="C792" s="7" t="s">
        <v>829</v>
      </c>
      <c r="D792" s="7">
        <f>D264</f>
        <v>3.1</v>
      </c>
      <c r="E792" s="66">
        <f>E782*台时!F22+土石方!E783*台时!I22+土石方!E784*台时!AO22</f>
        <v>222.42399999999998</v>
      </c>
      <c r="F792" s="53">
        <f>D792*E792</f>
        <v>689.51439999999991</v>
      </c>
    </row>
    <row r="793" spans="1:6" ht="18.75" customHeight="1">
      <c r="A793" s="7">
        <v>5</v>
      </c>
      <c r="B793" s="52" t="s">
        <v>845</v>
      </c>
      <c r="C793" s="7"/>
      <c r="D793" s="53">
        <f>F778+F789+F790+F791</f>
        <v>2468.070798531061</v>
      </c>
      <c r="E793" s="56">
        <f>E769</f>
        <v>0.09</v>
      </c>
      <c r="F793" s="53">
        <f>D793*E793/100</f>
        <v>2.2212637186779549</v>
      </c>
    </row>
    <row r="794" spans="1:6" ht="18.75" customHeight="1">
      <c r="A794" s="7">
        <v>6</v>
      </c>
      <c r="B794" s="52" t="s">
        <v>7</v>
      </c>
      <c r="C794" s="7"/>
      <c r="D794" s="7"/>
      <c r="E794" s="7"/>
      <c r="F794" s="53">
        <f>F778+F789+F790+F791+F793</f>
        <v>2470.292062249739</v>
      </c>
    </row>
    <row r="795" spans="1:6" ht="18.75" customHeight="1">
      <c r="A795" s="7"/>
      <c r="B795" s="52" t="s">
        <v>846</v>
      </c>
      <c r="C795" s="7"/>
      <c r="D795" s="53">
        <f>F794</f>
        <v>2470.292062249739</v>
      </c>
      <c r="E795" s="56">
        <f>E771</f>
        <v>0.03</v>
      </c>
      <c r="F795" s="53">
        <f>E795*D795</f>
        <v>74.108761867492163</v>
      </c>
    </row>
    <row r="796" spans="1:6" ht="18.75" customHeight="1">
      <c r="A796" s="7"/>
      <c r="B796" s="52" t="s">
        <v>44</v>
      </c>
      <c r="C796" s="7"/>
      <c r="D796" s="7"/>
      <c r="E796" s="7"/>
      <c r="F796" s="53">
        <f>SUM(F794:F795)</f>
        <v>2544.4008241172314</v>
      </c>
    </row>
    <row r="797" spans="1:6" ht="19.5">
      <c r="A797" s="461" t="s">
        <v>813</v>
      </c>
      <c r="B797" s="461"/>
      <c r="C797" s="461"/>
      <c r="D797" s="461"/>
      <c r="E797" s="461"/>
      <c r="F797" s="461"/>
    </row>
    <row r="798" spans="1:6" ht="18.75" customHeight="1">
      <c r="A798" s="481" t="s">
        <v>1199</v>
      </c>
      <c r="B798" s="481"/>
      <c r="C798" s="481"/>
      <c r="D798" s="481"/>
      <c r="E798" s="481"/>
      <c r="F798" s="481"/>
    </row>
    <row r="799" spans="1:6" ht="18.75" customHeight="1">
      <c r="A799" s="47" t="s">
        <v>815</v>
      </c>
      <c r="B799" s="49">
        <v>1056</v>
      </c>
      <c r="D799" s="46"/>
      <c r="E799" s="47" t="s">
        <v>169</v>
      </c>
      <c r="F799" s="49" t="s">
        <v>869</v>
      </c>
    </row>
    <row r="800" spans="1:6" ht="18.75" customHeight="1">
      <c r="A800" s="50" t="s">
        <v>1200</v>
      </c>
      <c r="B800" s="458"/>
      <c r="C800" s="459"/>
      <c r="D800" s="459"/>
      <c r="E800" s="459"/>
      <c r="F800" s="460"/>
    </row>
    <row r="801" spans="1:6" ht="18.75" customHeight="1">
      <c r="A801" s="7" t="s">
        <v>1</v>
      </c>
      <c r="B801" s="52" t="s">
        <v>344</v>
      </c>
      <c r="C801" s="7" t="s">
        <v>818</v>
      </c>
      <c r="D801" s="7" t="s">
        <v>819</v>
      </c>
      <c r="E801" s="7" t="s">
        <v>820</v>
      </c>
      <c r="F801" s="7" t="s">
        <v>821</v>
      </c>
    </row>
    <row r="802" spans="1:6" ht="18.75" customHeight="1">
      <c r="A802" s="7">
        <v>1</v>
      </c>
      <c r="B802" s="52" t="s">
        <v>822</v>
      </c>
      <c r="C802" s="7"/>
      <c r="D802" s="7"/>
      <c r="E802" s="7"/>
      <c r="F802" s="53">
        <f>F803+F813+F814</f>
        <v>9560.0173752211213</v>
      </c>
    </row>
    <row r="803" spans="1:6" ht="18.75" customHeight="1">
      <c r="A803" s="7">
        <v>1.1000000000000001</v>
      </c>
      <c r="B803" s="52" t="s">
        <v>823</v>
      </c>
      <c r="C803" s="7"/>
      <c r="D803" s="7"/>
      <c r="E803" s="7"/>
      <c r="F803" s="53">
        <f>F804+F807+F810+F811</f>
        <v>9122.1539839896195</v>
      </c>
    </row>
    <row r="804" spans="1:6" ht="18.75" customHeight="1">
      <c r="A804" s="7" t="s">
        <v>47</v>
      </c>
      <c r="B804" s="52" t="s">
        <v>1177</v>
      </c>
      <c r="C804" s="7"/>
      <c r="D804" s="7"/>
      <c r="E804" s="7"/>
      <c r="F804" s="53">
        <f>F805+F806</f>
        <v>4552.183</v>
      </c>
    </row>
    <row r="805" spans="1:6" ht="18.75" customHeight="1">
      <c r="A805" s="7"/>
      <c r="B805" s="52" t="s">
        <v>824</v>
      </c>
      <c r="C805" s="7" t="s">
        <v>825</v>
      </c>
      <c r="D805" s="7">
        <v>8.1</v>
      </c>
      <c r="E805" s="7">
        <v>15.7</v>
      </c>
      <c r="F805" s="53">
        <f>D805*E805</f>
        <v>127.17</v>
      </c>
    </row>
    <row r="806" spans="1:6" ht="18.75" customHeight="1">
      <c r="A806" s="7"/>
      <c r="B806" s="52" t="s">
        <v>826</v>
      </c>
      <c r="C806" s="7" t="s">
        <v>825</v>
      </c>
      <c r="D806" s="7">
        <v>5.77</v>
      </c>
      <c r="E806" s="7">
        <v>766.9</v>
      </c>
      <c r="F806" s="53">
        <f>D806*E806</f>
        <v>4425.0129999999999</v>
      </c>
    </row>
    <row r="807" spans="1:6" ht="18.75" customHeight="1">
      <c r="A807" s="7" t="s">
        <v>57</v>
      </c>
      <c r="B807" s="52" t="s">
        <v>836</v>
      </c>
      <c r="C807" s="7"/>
      <c r="D807" s="7"/>
      <c r="E807" s="7"/>
      <c r="F807" s="53">
        <f>F808+F809</f>
        <v>838.69599327849551</v>
      </c>
    </row>
    <row r="808" spans="1:6" ht="18.75" customHeight="1">
      <c r="A808" s="7"/>
      <c r="B808" s="52" t="s">
        <v>1201</v>
      </c>
      <c r="C808" s="7" t="s">
        <v>863</v>
      </c>
      <c r="D808" s="66">
        <f>施工机械台时汇总!$C$50</f>
        <v>15.82635174304739</v>
      </c>
      <c r="E808" s="7">
        <v>49.59</v>
      </c>
      <c r="F808" s="53">
        <f>D808*E808</f>
        <v>784.82878293772012</v>
      </c>
    </row>
    <row r="809" spans="1:6" ht="18.75" customHeight="1">
      <c r="A809" s="7"/>
      <c r="B809" s="52" t="s">
        <v>1202</v>
      </c>
      <c r="C809" s="7" t="s">
        <v>863</v>
      </c>
      <c r="D809" s="66">
        <f>施工机械台时汇总!$C$29</f>
        <v>1.0862514688601601</v>
      </c>
      <c r="E809" s="7">
        <v>49.59</v>
      </c>
      <c r="F809" s="53">
        <f>D809*E809</f>
        <v>53.867210340775344</v>
      </c>
    </row>
    <row r="810" spans="1:6" ht="18.75" customHeight="1">
      <c r="A810" s="7" t="s">
        <v>835</v>
      </c>
      <c r="B810" s="52" t="s">
        <v>864</v>
      </c>
      <c r="C810" s="7" t="s">
        <v>834</v>
      </c>
      <c r="D810" s="66">
        <f>F804+F807</f>
        <v>5390.8789932784957</v>
      </c>
      <c r="E810" s="7">
        <v>1</v>
      </c>
      <c r="F810" s="53">
        <f>D810*E810/100</f>
        <v>53.908789932784956</v>
      </c>
    </row>
    <row r="811" spans="1:6" ht="18.75" customHeight="1">
      <c r="A811" s="7" t="s">
        <v>884</v>
      </c>
      <c r="B811" s="52" t="s">
        <v>1203</v>
      </c>
      <c r="C811" s="7" t="s">
        <v>871</v>
      </c>
      <c r="D811" s="66">
        <f>F827/100</f>
        <v>36.773662007783386</v>
      </c>
      <c r="E811" s="7">
        <v>100</v>
      </c>
      <c r="F811" s="53">
        <f>D811*E811</f>
        <v>3677.3662007783387</v>
      </c>
    </row>
    <row r="812" spans="1:6" ht="18.75" customHeight="1">
      <c r="A812" s="7"/>
      <c r="B812" s="52"/>
      <c r="C812" s="7"/>
      <c r="D812" s="7"/>
      <c r="E812" s="7"/>
      <c r="F812" s="53"/>
    </row>
    <row r="813" spans="1:6" ht="18.75" customHeight="1">
      <c r="A813" s="7">
        <v>1.2</v>
      </c>
      <c r="B813" s="52" t="s">
        <v>841</v>
      </c>
      <c r="C813" s="7"/>
      <c r="D813" s="53">
        <f>F803</f>
        <v>9122.1539839896195</v>
      </c>
      <c r="E813" s="56">
        <f>E787</f>
        <v>4.8000000000000001E-2</v>
      </c>
      <c r="F813" s="53">
        <f>D813*E813</f>
        <v>437.86339123150174</v>
      </c>
    </row>
    <row r="814" spans="1:6" ht="18.75" customHeight="1">
      <c r="A814" s="7">
        <v>1.3</v>
      </c>
      <c r="B814" s="52" t="s">
        <v>842</v>
      </c>
      <c r="C814" s="7"/>
      <c r="D814" s="53">
        <f>F803</f>
        <v>9122.1539839896195</v>
      </c>
      <c r="E814" s="56">
        <f>E788</f>
        <v>0</v>
      </c>
      <c r="F814" s="53">
        <f>D814*E814</f>
        <v>0</v>
      </c>
    </row>
    <row r="815" spans="1:6" ht="18.75" customHeight="1">
      <c r="A815" s="7">
        <v>2</v>
      </c>
      <c r="B815" s="52" t="s">
        <v>182</v>
      </c>
      <c r="C815" s="7"/>
      <c r="D815" s="53">
        <f>F802</f>
        <v>9560.0173752211213</v>
      </c>
      <c r="E815" s="56">
        <f>E789</f>
        <v>8.5000000000000006E-2</v>
      </c>
      <c r="F815" s="53">
        <f>D815*E815</f>
        <v>812.60147689379539</v>
      </c>
    </row>
    <row r="816" spans="1:6" ht="18.75" customHeight="1">
      <c r="A816" s="7">
        <v>3</v>
      </c>
      <c r="B816" s="52" t="s">
        <v>843</v>
      </c>
      <c r="C816" s="7"/>
      <c r="D816" s="53">
        <f>F802+F815</f>
        <v>10372.618852114916</v>
      </c>
      <c r="E816" s="56">
        <f>E790</f>
        <v>7.0000000000000007E-2</v>
      </c>
      <c r="F816" s="53">
        <f>D816*E816</f>
        <v>726.08331964804415</v>
      </c>
    </row>
    <row r="817" spans="1:6" ht="18.75" customHeight="1">
      <c r="A817" s="7">
        <v>4</v>
      </c>
      <c r="B817" s="52" t="s">
        <v>845</v>
      </c>
      <c r="C817" s="7"/>
      <c r="D817" s="53">
        <f>D816+F816</f>
        <v>11098.70217176296</v>
      </c>
      <c r="E817" s="56">
        <f>E793</f>
        <v>0.09</v>
      </c>
      <c r="F817" s="53">
        <f>D817*E817</f>
        <v>998.88319545866636</v>
      </c>
    </row>
    <row r="818" spans="1:6" ht="18.75" customHeight="1">
      <c r="A818" s="7">
        <v>5</v>
      </c>
      <c r="B818" s="52" t="s">
        <v>7</v>
      </c>
      <c r="C818" s="7"/>
      <c r="D818" s="7"/>
      <c r="E818" s="7"/>
      <c r="F818" s="53">
        <f>D817+F817</f>
        <v>12097.585367221625</v>
      </c>
    </row>
    <row r="819" spans="1:6" ht="18.75" customHeight="1">
      <c r="A819" s="7"/>
      <c r="B819" s="52" t="s">
        <v>846</v>
      </c>
      <c r="C819" s="7"/>
      <c r="D819" s="53">
        <f>F818</f>
        <v>12097.585367221625</v>
      </c>
      <c r="E819" s="56">
        <f>E795</f>
        <v>0.03</v>
      </c>
      <c r="F819" s="53">
        <f>E819*D819</f>
        <v>362.92756101664872</v>
      </c>
    </row>
    <row r="820" spans="1:6" ht="18.75" customHeight="1">
      <c r="A820" s="7"/>
      <c r="B820" s="52" t="s">
        <v>44</v>
      </c>
      <c r="C820" s="7"/>
      <c r="D820" s="7"/>
      <c r="E820" s="7"/>
      <c r="F820" s="53">
        <f>SUM(F818:F819)</f>
        <v>12460.512928238273</v>
      </c>
    </row>
    <row r="821" spans="1:6" ht="19.5">
      <c r="A821" s="461" t="s">
        <v>813</v>
      </c>
      <c r="B821" s="461"/>
      <c r="C821" s="461"/>
      <c r="D821" s="461"/>
      <c r="E821" s="461"/>
      <c r="F821" s="461"/>
    </row>
    <row r="822" spans="1:6" ht="18.75" customHeight="1">
      <c r="A822" s="481" t="s">
        <v>1204</v>
      </c>
      <c r="B822" s="481"/>
      <c r="C822" s="481"/>
      <c r="D822" s="481"/>
      <c r="E822" s="481"/>
      <c r="F822" s="481"/>
    </row>
    <row r="823" spans="1:6" ht="18.75" customHeight="1">
      <c r="A823" s="47" t="s">
        <v>815</v>
      </c>
      <c r="B823" s="49">
        <v>2410</v>
      </c>
      <c r="D823" s="46"/>
      <c r="E823" s="47" t="s">
        <v>169</v>
      </c>
      <c r="F823" s="49" t="s">
        <v>869</v>
      </c>
    </row>
    <row r="824" spans="1:6" ht="18.75" customHeight="1">
      <c r="A824" s="50" t="s">
        <v>1200</v>
      </c>
      <c r="B824" s="476"/>
      <c r="C824" s="476"/>
      <c r="D824" s="476"/>
      <c r="E824" s="476"/>
      <c r="F824" s="476"/>
    </row>
    <row r="825" spans="1:6" ht="18.75" customHeight="1">
      <c r="A825" s="7" t="s">
        <v>1</v>
      </c>
      <c r="B825" s="52" t="s">
        <v>344</v>
      </c>
      <c r="C825" s="7" t="s">
        <v>818</v>
      </c>
      <c r="D825" s="7" t="s">
        <v>819</v>
      </c>
      <c r="E825" s="7" t="s">
        <v>820</v>
      </c>
      <c r="F825" s="7" t="s">
        <v>821</v>
      </c>
    </row>
    <row r="826" spans="1:6" ht="18.75" customHeight="1">
      <c r="A826" s="7">
        <v>1</v>
      </c>
      <c r="B826" s="52" t="s">
        <v>822</v>
      </c>
      <c r="C826" s="7"/>
      <c r="D826" s="7"/>
      <c r="E826" s="7"/>
      <c r="F826" s="53">
        <f>F827</f>
        <v>3677.3662007783387</v>
      </c>
    </row>
    <row r="827" spans="1:6" ht="18.75" customHeight="1">
      <c r="A827" s="7">
        <v>1.1000000000000001</v>
      </c>
      <c r="B827" s="52" t="s">
        <v>823</v>
      </c>
      <c r="C827" s="7"/>
      <c r="D827" s="7"/>
      <c r="E827" s="7"/>
      <c r="F827" s="53">
        <f>F828+F831+F834</f>
        <v>3677.3662007783387</v>
      </c>
    </row>
    <row r="828" spans="1:6" ht="18.75" customHeight="1">
      <c r="A828" s="7" t="s">
        <v>47</v>
      </c>
      <c r="B828" s="52" t="s">
        <v>1177</v>
      </c>
      <c r="C828" s="7"/>
      <c r="D828" s="7"/>
      <c r="E828" s="7"/>
      <c r="F828" s="53">
        <f>F829+F830</f>
        <v>2312.19</v>
      </c>
    </row>
    <row r="829" spans="1:6" ht="18.75" customHeight="1">
      <c r="A829" s="7"/>
      <c r="B829" s="52" t="s">
        <v>824</v>
      </c>
      <c r="C829" s="7" t="s">
        <v>825</v>
      </c>
      <c r="D829" s="7">
        <v>8.1</v>
      </c>
      <c r="E829" s="7">
        <v>138</v>
      </c>
      <c r="F829" s="53">
        <f>D829*E829</f>
        <v>1117.8</v>
      </c>
    </row>
    <row r="830" spans="1:6" ht="18.75" customHeight="1">
      <c r="A830" s="7"/>
      <c r="B830" s="52" t="s">
        <v>826</v>
      </c>
      <c r="C830" s="7" t="s">
        <v>825</v>
      </c>
      <c r="D830" s="7">
        <v>5.77</v>
      </c>
      <c r="E830" s="7">
        <v>207</v>
      </c>
      <c r="F830" s="53">
        <f>D830*E830</f>
        <v>1194.3900000000001</v>
      </c>
    </row>
    <row r="831" spans="1:6" ht="18.75" customHeight="1">
      <c r="A831" s="7" t="s">
        <v>57</v>
      </c>
      <c r="B831" s="52" t="s">
        <v>836</v>
      </c>
      <c r="C831" s="7"/>
      <c r="D831" s="7"/>
      <c r="E831" s="7"/>
      <c r="F831" s="53">
        <f>F832+F833</f>
        <v>1328.7666344339987</v>
      </c>
    </row>
    <row r="832" spans="1:6" ht="18.75" customHeight="1">
      <c r="A832" s="7"/>
      <c r="B832" s="52" t="s">
        <v>933</v>
      </c>
      <c r="C832" s="7" t="s">
        <v>863</v>
      </c>
      <c r="D832" s="66">
        <f>施工机械台时汇总!$C$51</f>
        <v>22.344653740697211</v>
      </c>
      <c r="E832" s="7">
        <v>56.71</v>
      </c>
      <c r="F832" s="53">
        <f>D832*E832</f>
        <v>1267.1653136349389</v>
      </c>
    </row>
    <row r="833" spans="1:6" ht="18.75" customHeight="1">
      <c r="A833" s="7"/>
      <c r="B833" s="52" t="s">
        <v>1202</v>
      </c>
      <c r="C833" s="7" t="s">
        <v>863</v>
      </c>
      <c r="D833" s="7">
        <f>施工机械台时汇总!$C$29</f>
        <v>1.0862514688601601</v>
      </c>
      <c r="E833" s="7">
        <v>56.71</v>
      </c>
      <c r="F833" s="53">
        <f>D833*E833</f>
        <v>61.601320799059678</v>
      </c>
    </row>
    <row r="834" spans="1:6" ht="18.75" customHeight="1">
      <c r="A834" s="7" t="s">
        <v>835</v>
      </c>
      <c r="B834" s="52" t="s">
        <v>864</v>
      </c>
      <c r="C834" s="7" t="s">
        <v>834</v>
      </c>
      <c r="D834" s="66">
        <f>F828+F831</f>
        <v>3640.9566344339987</v>
      </c>
      <c r="E834" s="7">
        <v>1</v>
      </c>
      <c r="F834" s="53">
        <f>D834*E834/100</f>
        <v>36.409566344339986</v>
      </c>
    </row>
    <row r="835" spans="1:6" ht="24" customHeight="1">
      <c r="A835" s="461" t="s">
        <v>813</v>
      </c>
      <c r="B835" s="461"/>
      <c r="C835" s="461"/>
      <c r="D835" s="461"/>
      <c r="E835" s="461"/>
      <c r="F835" s="461"/>
    </row>
    <row r="836" spans="1:6" ht="18.75" customHeight="1">
      <c r="A836" s="462" t="s">
        <v>1205</v>
      </c>
      <c r="B836" s="462"/>
      <c r="C836" s="462"/>
      <c r="D836" s="462"/>
      <c r="E836" s="462"/>
      <c r="F836" s="462"/>
    </row>
    <row r="837" spans="1:6" ht="18.75" customHeight="1">
      <c r="A837" s="47" t="s">
        <v>815</v>
      </c>
      <c r="B837" s="49">
        <v>2060</v>
      </c>
      <c r="D837" s="46"/>
      <c r="E837" s="47" t="s">
        <v>169</v>
      </c>
      <c r="F837" s="49" t="s">
        <v>869</v>
      </c>
    </row>
    <row r="838" spans="1:6" ht="18.75" customHeight="1">
      <c r="A838" s="50" t="s">
        <v>1200</v>
      </c>
      <c r="B838" s="482"/>
      <c r="C838" s="482"/>
      <c r="D838" s="482"/>
      <c r="E838" s="482"/>
      <c r="F838" s="482"/>
    </row>
    <row r="839" spans="1:6" ht="18.75" customHeight="1">
      <c r="A839" s="7" t="s">
        <v>1</v>
      </c>
      <c r="B839" s="52" t="s">
        <v>344</v>
      </c>
      <c r="C839" s="7" t="s">
        <v>818</v>
      </c>
      <c r="D839" s="7" t="s">
        <v>819</v>
      </c>
      <c r="E839" s="7" t="s">
        <v>820</v>
      </c>
      <c r="F839" s="7" t="s">
        <v>821</v>
      </c>
    </row>
    <row r="840" spans="1:6" ht="18.75" customHeight="1">
      <c r="A840" s="7">
        <v>1</v>
      </c>
      <c r="B840" s="52" t="s">
        <v>822</v>
      </c>
      <c r="C840" s="7"/>
      <c r="D840" s="7"/>
      <c r="E840" s="7"/>
      <c r="F840" s="53">
        <f>F841+F855+F856</f>
        <v>1585.5475300384489</v>
      </c>
    </row>
    <row r="841" spans="1:6" ht="18.75" customHeight="1">
      <c r="A841" s="7">
        <v>1.1000000000000001</v>
      </c>
      <c r="B841" s="52" t="s">
        <v>823</v>
      </c>
      <c r="C841" s="7"/>
      <c r="D841" s="7"/>
      <c r="E841" s="7"/>
      <c r="F841" s="53">
        <f>F842+F845+F851</f>
        <v>1512.9270324794361</v>
      </c>
    </row>
    <row r="842" spans="1:6" ht="18.75" customHeight="1">
      <c r="A842" s="7" t="s">
        <v>47</v>
      </c>
      <c r="B842" s="52" t="s">
        <v>176</v>
      </c>
      <c r="C842" s="7"/>
      <c r="D842" s="7"/>
      <c r="E842" s="7"/>
      <c r="F842" s="53">
        <f>F843+F844</f>
        <v>907.90599999999995</v>
      </c>
    </row>
    <row r="843" spans="1:6" ht="18.75" customHeight="1">
      <c r="A843" s="7"/>
      <c r="B843" s="52" t="s">
        <v>824</v>
      </c>
      <c r="C843" s="7" t="s">
        <v>825</v>
      </c>
      <c r="D843" s="7">
        <v>8.1</v>
      </c>
      <c r="E843" s="7">
        <v>18.2</v>
      </c>
      <c r="F843" s="53">
        <f>D843*E843</f>
        <v>147.41999999999999</v>
      </c>
    </row>
    <row r="844" spans="1:6" ht="18.75" customHeight="1">
      <c r="A844" s="7"/>
      <c r="B844" s="52" t="s">
        <v>826</v>
      </c>
      <c r="C844" s="7" t="s">
        <v>825</v>
      </c>
      <c r="D844" s="7">
        <v>5.77</v>
      </c>
      <c r="E844" s="7">
        <v>131.80000000000001</v>
      </c>
      <c r="F844" s="53">
        <f>D844*E844</f>
        <v>760.48599999999999</v>
      </c>
    </row>
    <row r="845" spans="1:6" ht="18.75" customHeight="1">
      <c r="A845" s="7" t="s">
        <v>57</v>
      </c>
      <c r="B845" s="52" t="s">
        <v>177</v>
      </c>
      <c r="C845" s="7"/>
      <c r="D845" s="7"/>
      <c r="E845" s="7"/>
      <c r="F845" s="53">
        <f>F846+F847+F848+F849+F850</f>
        <v>436.24599999999998</v>
      </c>
    </row>
    <row r="846" spans="1:6" ht="18.75" customHeight="1">
      <c r="A846" s="7"/>
      <c r="B846" s="52" t="s">
        <v>379</v>
      </c>
      <c r="C846" s="7" t="s">
        <v>141</v>
      </c>
      <c r="D846" s="7">
        <f>次要材料汇总!$F$13</f>
        <v>120</v>
      </c>
      <c r="E846" s="7">
        <v>1.23</v>
      </c>
      <c r="F846" s="53">
        <f>D846*E846</f>
        <v>147.6</v>
      </c>
    </row>
    <row r="847" spans="1:6" ht="18.75" customHeight="1">
      <c r="A847" s="7"/>
      <c r="B847" s="52" t="s">
        <v>1206</v>
      </c>
      <c r="C847" s="7" t="s">
        <v>829</v>
      </c>
      <c r="D847" s="7">
        <f>次要材料汇总!$F$17</f>
        <v>6</v>
      </c>
      <c r="E847" s="7">
        <v>27.9</v>
      </c>
      <c r="F847" s="53">
        <f>D847*E847</f>
        <v>167.39999999999998</v>
      </c>
    </row>
    <row r="848" spans="1:6" ht="18.75" customHeight="1">
      <c r="A848" s="7"/>
      <c r="B848" s="52" t="s">
        <v>1207</v>
      </c>
      <c r="C848" s="7" t="s">
        <v>141</v>
      </c>
      <c r="D848" s="7">
        <f>次要材料汇总!$F$18</f>
        <v>0.8</v>
      </c>
      <c r="E848" s="7">
        <v>25.5</v>
      </c>
      <c r="F848" s="53">
        <f>D848*E848</f>
        <v>20.400000000000002</v>
      </c>
    </row>
    <row r="849" spans="1:6" ht="18.75" customHeight="1">
      <c r="A849" s="7"/>
      <c r="B849" s="52" t="s">
        <v>1208</v>
      </c>
      <c r="C849" s="7" t="s">
        <v>49</v>
      </c>
      <c r="D849" s="7">
        <f>次要材料汇总!$F$19</f>
        <v>0.5</v>
      </c>
      <c r="E849" s="7">
        <v>68.599999999999994</v>
      </c>
      <c r="F849" s="53">
        <f>D849*E849</f>
        <v>34.299999999999997</v>
      </c>
    </row>
    <row r="850" spans="1:6" ht="18.75" customHeight="1">
      <c r="A850" s="7"/>
      <c r="B850" s="52" t="s">
        <v>833</v>
      </c>
      <c r="C850" s="7" t="s">
        <v>834</v>
      </c>
      <c r="D850" s="7">
        <f>F846+F847+F848+F849</f>
        <v>369.7</v>
      </c>
      <c r="E850" s="7">
        <v>18</v>
      </c>
      <c r="F850" s="53">
        <f>D850*E850/100</f>
        <v>66.545999999999992</v>
      </c>
    </row>
    <row r="851" spans="1:6" ht="18.75" customHeight="1">
      <c r="A851" s="7" t="s">
        <v>835</v>
      </c>
      <c r="B851" s="52" t="s">
        <v>932</v>
      </c>
      <c r="C851" s="7"/>
      <c r="D851" s="7"/>
      <c r="E851" s="7"/>
      <c r="F851" s="53">
        <f>F852+F853</f>
        <v>168.77503247943594</v>
      </c>
    </row>
    <row r="852" spans="1:6" ht="18.75" customHeight="1">
      <c r="A852" s="7"/>
      <c r="B852" s="52" t="s">
        <v>1209</v>
      </c>
      <c r="C852" s="7" t="s">
        <v>863</v>
      </c>
      <c r="D852" s="66">
        <f>施工机械台时汇总!$C$81</f>
        <v>24.948267920094001</v>
      </c>
      <c r="E852" s="7">
        <v>6.15</v>
      </c>
      <c r="F852" s="53">
        <f>D852*E852</f>
        <v>153.43184770857812</v>
      </c>
    </row>
    <row r="853" spans="1:6" ht="18.75" customHeight="1">
      <c r="A853" s="7"/>
      <c r="B853" s="52" t="s">
        <v>840</v>
      </c>
      <c r="C853" s="7" t="s">
        <v>834</v>
      </c>
      <c r="D853" s="66">
        <f>F852</f>
        <v>153.43184770857812</v>
      </c>
      <c r="E853" s="7">
        <v>10</v>
      </c>
      <c r="F853" s="53">
        <f>D853*E853/100</f>
        <v>15.34318477085781</v>
      </c>
    </row>
    <row r="854" spans="1:6" ht="18.75" customHeight="1">
      <c r="A854" s="7"/>
      <c r="B854" s="52"/>
      <c r="C854" s="7"/>
      <c r="D854" s="7"/>
      <c r="E854" s="7"/>
      <c r="F854" s="53"/>
    </row>
    <row r="855" spans="1:6" ht="18.75" customHeight="1">
      <c r="A855" s="7">
        <v>1.2</v>
      </c>
      <c r="B855" s="52" t="s">
        <v>841</v>
      </c>
      <c r="C855" s="7"/>
      <c r="D855" s="53">
        <f>F841</f>
        <v>1512.9270324794361</v>
      </c>
      <c r="E855" s="56">
        <f>E813</f>
        <v>4.8000000000000001E-2</v>
      </c>
      <c r="F855" s="53">
        <f>D855*E855</f>
        <v>72.620497559012932</v>
      </c>
    </row>
    <row r="856" spans="1:6" ht="18.75" customHeight="1">
      <c r="A856" s="7">
        <v>1.3</v>
      </c>
      <c r="B856" s="52" t="s">
        <v>842</v>
      </c>
      <c r="C856" s="7"/>
      <c r="D856" s="53">
        <f>F841</f>
        <v>1512.9270324794361</v>
      </c>
      <c r="E856" s="56">
        <f>E814</f>
        <v>0</v>
      </c>
      <c r="F856" s="53">
        <f>D856*E856</f>
        <v>0</v>
      </c>
    </row>
    <row r="857" spans="1:6" ht="18.75" customHeight="1">
      <c r="A857" s="7">
        <v>2</v>
      </c>
      <c r="B857" s="52" t="s">
        <v>182</v>
      </c>
      <c r="C857" s="7"/>
      <c r="D857" s="53">
        <f>F840</f>
        <v>1585.5475300384489</v>
      </c>
      <c r="E857" s="56">
        <f>E815</f>
        <v>8.5000000000000006E-2</v>
      </c>
      <c r="F857" s="53">
        <f>D857*E857</f>
        <v>134.77154005326818</v>
      </c>
    </row>
    <row r="858" spans="1:6" ht="18.75" customHeight="1">
      <c r="A858" s="7">
        <v>3</v>
      </c>
      <c r="B858" s="52" t="s">
        <v>843</v>
      </c>
      <c r="C858" s="7"/>
      <c r="D858" s="53">
        <f>F840+F857</f>
        <v>1720.3190700917171</v>
      </c>
      <c r="E858" s="56">
        <f>E816</f>
        <v>7.0000000000000007E-2</v>
      </c>
      <c r="F858" s="53">
        <f>D858*E858</f>
        <v>120.4223349064202</v>
      </c>
    </row>
    <row r="859" spans="1:6" ht="18.75" customHeight="1">
      <c r="A859" s="7">
        <v>4</v>
      </c>
      <c r="B859" s="52" t="s">
        <v>845</v>
      </c>
      <c r="C859" s="7"/>
      <c r="D859" s="53">
        <f>F840+F857+F858</f>
        <v>1840.7414049981373</v>
      </c>
      <c r="E859" s="56">
        <f>E817</f>
        <v>0.09</v>
      </c>
      <c r="F859" s="53">
        <f>D859*E859</f>
        <v>165.66672644983237</v>
      </c>
    </row>
    <row r="860" spans="1:6" ht="18.75" customHeight="1">
      <c r="A860" s="7">
        <v>5</v>
      </c>
      <c r="B860" s="52" t="s">
        <v>7</v>
      </c>
      <c r="C860" s="7"/>
      <c r="D860" s="7"/>
      <c r="E860" s="7"/>
      <c r="F860" s="53">
        <f>F840+F857+F858+F859</f>
        <v>2006.4081314479697</v>
      </c>
    </row>
    <row r="861" spans="1:6" ht="18.75" customHeight="1">
      <c r="A861" s="7"/>
      <c r="B861" s="52" t="s">
        <v>846</v>
      </c>
      <c r="C861" s="7"/>
      <c r="D861" s="53">
        <f>F860</f>
        <v>2006.4081314479697</v>
      </c>
      <c r="E861" s="56">
        <f>E819</f>
        <v>0.03</v>
      </c>
      <c r="F861" s="53">
        <f>E861*D861</f>
        <v>60.192243943439088</v>
      </c>
    </row>
    <row r="862" spans="1:6" ht="18.75" customHeight="1">
      <c r="A862" s="7"/>
      <c r="B862" s="52" t="s">
        <v>44</v>
      </c>
      <c r="C862" s="7"/>
      <c r="D862" s="7"/>
      <c r="E862" s="7"/>
      <c r="F862" s="53">
        <f>SUM(F860:F861)</f>
        <v>2066.6003753914088</v>
      </c>
    </row>
    <row r="863" spans="1:6" ht="19.5">
      <c r="A863" s="461" t="s">
        <v>813</v>
      </c>
      <c r="B863" s="461"/>
      <c r="C863" s="461"/>
      <c r="D863" s="461"/>
      <c r="E863" s="461"/>
      <c r="F863" s="461"/>
    </row>
    <row r="864" spans="1:6" ht="18.75" customHeight="1">
      <c r="A864" s="462" t="s">
        <v>1210</v>
      </c>
      <c r="B864" s="462"/>
      <c r="C864" s="462"/>
      <c r="D864" s="462"/>
      <c r="E864" s="462"/>
      <c r="F864" s="462"/>
    </row>
    <row r="865" spans="1:6" ht="18.75" customHeight="1">
      <c r="A865" s="47" t="s">
        <v>815</v>
      </c>
      <c r="B865" s="49">
        <v>2103</v>
      </c>
      <c r="D865" s="46"/>
      <c r="E865" s="47" t="s">
        <v>169</v>
      </c>
      <c r="F865" s="49" t="s">
        <v>869</v>
      </c>
    </row>
    <row r="866" spans="1:6" ht="18.75" customHeight="1">
      <c r="A866" s="70" t="s">
        <v>1200</v>
      </c>
      <c r="B866" s="476"/>
      <c r="C866" s="476"/>
      <c r="D866" s="476"/>
      <c r="E866" s="476"/>
      <c r="F866" s="476"/>
    </row>
    <row r="867" spans="1:6" ht="18.75" customHeight="1">
      <c r="A867" s="7" t="s">
        <v>1</v>
      </c>
      <c r="B867" s="52" t="s">
        <v>344</v>
      </c>
      <c r="C867" s="7" t="s">
        <v>818</v>
      </c>
      <c r="D867" s="7" t="s">
        <v>819</v>
      </c>
      <c r="E867" s="7" t="s">
        <v>820</v>
      </c>
      <c r="F867" s="7" t="s">
        <v>821</v>
      </c>
    </row>
    <row r="868" spans="1:6" ht="18.75" customHeight="1">
      <c r="A868" s="7">
        <v>1</v>
      </c>
      <c r="B868" s="52" t="s">
        <v>822</v>
      </c>
      <c r="C868" s="7"/>
      <c r="D868" s="7"/>
      <c r="E868" s="7"/>
      <c r="F868" s="53">
        <f>F869+F883+F884</f>
        <v>4643.1304972133485</v>
      </c>
    </row>
    <row r="869" spans="1:6" ht="18.75" customHeight="1">
      <c r="A869" s="7">
        <v>1.1000000000000001</v>
      </c>
      <c r="B869" s="52" t="s">
        <v>823</v>
      </c>
      <c r="C869" s="7"/>
      <c r="D869" s="7"/>
      <c r="E869" s="7"/>
      <c r="F869" s="53">
        <f>F870+F873+F879</f>
        <v>4430.4680316921267</v>
      </c>
    </row>
    <row r="870" spans="1:6" ht="18.75" customHeight="1">
      <c r="A870" s="7" t="s">
        <v>47</v>
      </c>
      <c r="B870" s="52" t="s">
        <v>176</v>
      </c>
      <c r="C870" s="7"/>
      <c r="D870" s="7"/>
      <c r="E870" s="7"/>
      <c r="F870" s="53">
        <f>F871+F872</f>
        <v>2537.2939999999999</v>
      </c>
    </row>
    <row r="871" spans="1:6" ht="18.75" customHeight="1">
      <c r="A871" s="7"/>
      <c r="B871" s="52" t="s">
        <v>824</v>
      </c>
      <c r="C871" s="7" t="s">
        <v>825</v>
      </c>
      <c r="D871" s="7">
        <v>8.1</v>
      </c>
      <c r="E871" s="7">
        <v>99.4</v>
      </c>
      <c r="F871" s="53">
        <f>D871*E871</f>
        <v>805.14</v>
      </c>
    </row>
    <row r="872" spans="1:6" ht="18.75" customHeight="1">
      <c r="A872" s="7"/>
      <c r="B872" s="52" t="s">
        <v>826</v>
      </c>
      <c r="C872" s="7" t="s">
        <v>825</v>
      </c>
      <c r="D872" s="7">
        <v>5.77</v>
      </c>
      <c r="E872" s="7">
        <v>300.2</v>
      </c>
      <c r="F872" s="53">
        <f>D872*E872</f>
        <v>1732.154</v>
      </c>
    </row>
    <row r="873" spans="1:6" ht="18.75" customHeight="1">
      <c r="A873" s="7" t="s">
        <v>57</v>
      </c>
      <c r="B873" s="52" t="s">
        <v>177</v>
      </c>
      <c r="C873" s="7"/>
      <c r="D873" s="7"/>
      <c r="E873" s="7"/>
      <c r="F873" s="53">
        <f>F874+F875+F876+F877+F878</f>
        <v>1434.87435</v>
      </c>
    </row>
    <row r="874" spans="1:6" ht="18.75" customHeight="1">
      <c r="A874" s="7"/>
      <c r="B874" s="52" t="s">
        <v>379</v>
      </c>
      <c r="C874" s="7" t="s">
        <v>141</v>
      </c>
      <c r="D874" s="7">
        <f>次要材料汇总!$F$13</f>
        <v>120</v>
      </c>
      <c r="E874" s="7">
        <v>3.89</v>
      </c>
      <c r="F874" s="53">
        <f>D874*E874</f>
        <v>466.8</v>
      </c>
    </row>
    <row r="875" spans="1:6" ht="18.75" customHeight="1">
      <c r="A875" s="7"/>
      <c r="B875" s="52" t="s">
        <v>1206</v>
      </c>
      <c r="C875" s="7" t="s">
        <v>829</v>
      </c>
      <c r="D875" s="7">
        <f>次要材料汇总!$F$17</f>
        <v>6</v>
      </c>
      <c r="E875" s="7">
        <v>90.62</v>
      </c>
      <c r="F875" s="53">
        <f>D875*E875</f>
        <v>543.72</v>
      </c>
    </row>
    <row r="876" spans="1:6" ht="18.75" customHeight="1">
      <c r="A876" s="7"/>
      <c r="B876" s="52" t="s">
        <v>1207</v>
      </c>
      <c r="C876" s="7" t="s">
        <v>141</v>
      </c>
      <c r="D876" s="7">
        <f>次要材料汇总!$F$18</f>
        <v>0.8</v>
      </c>
      <c r="E876" s="7">
        <v>227.94</v>
      </c>
      <c r="F876" s="53">
        <f>D876*E876</f>
        <v>182.352</v>
      </c>
    </row>
    <row r="877" spans="1:6" ht="18.75" customHeight="1">
      <c r="A877" s="7"/>
      <c r="B877" s="52" t="s">
        <v>1208</v>
      </c>
      <c r="C877" s="7" t="s">
        <v>49</v>
      </c>
      <c r="D877" s="7">
        <f>次要材料汇总!$F$19</f>
        <v>0.5</v>
      </c>
      <c r="E877" s="7">
        <v>347.35</v>
      </c>
      <c r="F877" s="53">
        <f>D877*E877</f>
        <v>173.67500000000001</v>
      </c>
    </row>
    <row r="878" spans="1:6" ht="18.75" customHeight="1">
      <c r="A878" s="7"/>
      <c r="B878" s="52" t="s">
        <v>833</v>
      </c>
      <c r="C878" s="7" t="s">
        <v>834</v>
      </c>
      <c r="D878" s="66">
        <f>F874+F875+F876+F877</f>
        <v>1366.547</v>
      </c>
      <c r="E878" s="7">
        <v>5</v>
      </c>
      <c r="F878" s="53">
        <f>D878*E878/100</f>
        <v>68.32735000000001</v>
      </c>
    </row>
    <row r="879" spans="1:6" ht="18.75" customHeight="1">
      <c r="A879" s="7" t="s">
        <v>835</v>
      </c>
      <c r="B879" s="52" t="s">
        <v>932</v>
      </c>
      <c r="C879" s="7"/>
      <c r="D879" s="7"/>
      <c r="E879" s="7"/>
      <c r="F879" s="53">
        <f>F880+F881</f>
        <v>458.2996816921268</v>
      </c>
    </row>
    <row r="880" spans="1:6" ht="18.75" customHeight="1">
      <c r="A880" s="7"/>
      <c r="B880" s="52" t="s">
        <v>1209</v>
      </c>
      <c r="C880" s="7" t="s">
        <v>863</v>
      </c>
      <c r="D880" s="66">
        <f>施工机械台时汇总!$C$81</f>
        <v>24.948267920094001</v>
      </c>
      <c r="E880" s="7">
        <v>16.7</v>
      </c>
      <c r="F880" s="53">
        <f>D880*E880</f>
        <v>416.63607426556979</v>
      </c>
    </row>
    <row r="881" spans="1:6" ht="18.75" customHeight="1">
      <c r="A881" s="7"/>
      <c r="B881" s="52" t="s">
        <v>840</v>
      </c>
      <c r="C881" s="7" t="s">
        <v>834</v>
      </c>
      <c r="D881" s="66">
        <f>F880</f>
        <v>416.63607426556979</v>
      </c>
      <c r="E881" s="7">
        <v>10</v>
      </c>
      <c r="F881" s="53">
        <f>D881*E881/100</f>
        <v>41.663607426556979</v>
      </c>
    </row>
    <row r="882" spans="1:6" ht="18.75" customHeight="1">
      <c r="A882" s="7"/>
      <c r="B882" s="52"/>
      <c r="C882" s="7"/>
      <c r="D882" s="7"/>
      <c r="E882" s="7"/>
      <c r="F882" s="53"/>
    </row>
    <row r="883" spans="1:6" ht="18.75" customHeight="1">
      <c r="A883" s="7">
        <v>1.2</v>
      </c>
      <c r="B883" s="52" t="s">
        <v>841</v>
      </c>
      <c r="C883" s="7"/>
      <c r="D883" s="53">
        <f>F869</f>
        <v>4430.4680316921267</v>
      </c>
      <c r="E883" s="56">
        <f>E855</f>
        <v>4.8000000000000001E-2</v>
      </c>
      <c r="F883" s="53">
        <f>D883*E883</f>
        <v>212.66246552122209</v>
      </c>
    </row>
    <row r="884" spans="1:6" ht="18.75" customHeight="1">
      <c r="A884" s="7">
        <v>1.3</v>
      </c>
      <c r="B884" s="52" t="s">
        <v>842</v>
      </c>
      <c r="C884" s="7"/>
      <c r="D884" s="53">
        <f>F869</f>
        <v>4430.4680316921267</v>
      </c>
      <c r="E884" s="56">
        <f>E856</f>
        <v>0</v>
      </c>
      <c r="F884" s="53">
        <f>D884*E884</f>
        <v>0</v>
      </c>
    </row>
    <row r="885" spans="1:6" ht="18.75" customHeight="1">
      <c r="A885" s="7">
        <v>2</v>
      </c>
      <c r="B885" s="52" t="s">
        <v>182</v>
      </c>
      <c r="C885" s="7"/>
      <c r="D885" s="53">
        <f>F868</f>
        <v>4643.1304972133485</v>
      </c>
      <c r="E885" s="56">
        <f>E857</f>
        <v>8.5000000000000006E-2</v>
      </c>
      <c r="F885" s="53">
        <f>D885*E885</f>
        <v>394.66609226313466</v>
      </c>
    </row>
    <row r="886" spans="1:6" ht="18.75" customHeight="1">
      <c r="A886" s="7">
        <v>3</v>
      </c>
      <c r="B886" s="52" t="s">
        <v>843</v>
      </c>
      <c r="C886" s="7"/>
      <c r="D886" s="53">
        <f>F868+F885</f>
        <v>5037.7965894764829</v>
      </c>
      <c r="E886" s="56">
        <f>E858</f>
        <v>7.0000000000000007E-2</v>
      </c>
      <c r="F886" s="53">
        <f>D886*E886</f>
        <v>352.64576126335385</v>
      </c>
    </row>
    <row r="887" spans="1:6" ht="18.75" customHeight="1">
      <c r="A887" s="7">
        <v>4</v>
      </c>
      <c r="B887" s="52" t="s">
        <v>845</v>
      </c>
      <c r="C887" s="7"/>
      <c r="D887" s="53">
        <f>F868+F885+F886</f>
        <v>5390.4423507398369</v>
      </c>
      <c r="E887" s="56">
        <f>E859</f>
        <v>0.09</v>
      </c>
      <c r="F887" s="53">
        <f>D887*E887</f>
        <v>485.13981156658531</v>
      </c>
    </row>
    <row r="888" spans="1:6" ht="18.75" customHeight="1">
      <c r="A888" s="7">
        <v>5</v>
      </c>
      <c r="B888" s="52" t="s">
        <v>7</v>
      </c>
      <c r="C888" s="7"/>
      <c r="D888" s="7"/>
      <c r="E888" s="7"/>
      <c r="F888" s="53">
        <f>F868+F885+F886+F887</f>
        <v>5875.5821623064221</v>
      </c>
    </row>
    <row r="889" spans="1:6" ht="18.75" customHeight="1">
      <c r="A889" s="7"/>
      <c r="B889" s="52" t="s">
        <v>846</v>
      </c>
      <c r="C889" s="7"/>
      <c r="D889" s="53">
        <f>F888</f>
        <v>5875.5821623064221</v>
      </c>
      <c r="E889" s="56">
        <f>E861</f>
        <v>0.03</v>
      </c>
      <c r="F889" s="53">
        <f>E889*D889</f>
        <v>176.26746486919265</v>
      </c>
    </row>
    <row r="890" spans="1:6" ht="18.75" customHeight="1">
      <c r="A890" s="7"/>
      <c r="B890" s="52" t="s">
        <v>44</v>
      </c>
      <c r="C890" s="7"/>
      <c r="D890" s="7"/>
      <c r="E890" s="7"/>
      <c r="F890" s="53">
        <f>SUM(F888:F889)</f>
        <v>6051.8496271756148</v>
      </c>
    </row>
    <row r="891" spans="1:6" ht="19.5">
      <c r="A891" s="461" t="s">
        <v>813</v>
      </c>
      <c r="B891" s="461"/>
      <c r="C891" s="461"/>
      <c r="D891" s="461"/>
      <c r="E891" s="461"/>
      <c r="F891" s="461"/>
    </row>
    <row r="892" spans="1:6" ht="18.75" customHeight="1">
      <c r="A892" s="462" t="s">
        <v>1211</v>
      </c>
      <c r="B892" s="462"/>
      <c r="C892" s="462"/>
      <c r="D892" s="462"/>
      <c r="E892" s="462"/>
      <c r="F892" s="462"/>
    </row>
    <row r="893" spans="1:6" ht="18.75" customHeight="1">
      <c r="A893" s="47" t="s">
        <v>815</v>
      </c>
      <c r="B893" s="49">
        <v>2110</v>
      </c>
      <c r="D893" s="46"/>
      <c r="E893" s="47" t="s">
        <v>169</v>
      </c>
      <c r="F893" s="49" t="s">
        <v>869</v>
      </c>
    </row>
    <row r="894" spans="1:6" ht="18.75" customHeight="1">
      <c r="A894" s="70" t="s">
        <v>1200</v>
      </c>
      <c r="B894" s="476"/>
      <c r="C894" s="476"/>
      <c r="D894" s="476"/>
      <c r="E894" s="476"/>
      <c r="F894" s="476"/>
    </row>
    <row r="895" spans="1:6" ht="18.75" customHeight="1">
      <c r="A895" s="7" t="s">
        <v>1</v>
      </c>
      <c r="B895" s="52" t="s">
        <v>344</v>
      </c>
      <c r="C895" s="7" t="s">
        <v>818</v>
      </c>
      <c r="D895" s="7" t="s">
        <v>819</v>
      </c>
      <c r="E895" s="7" t="s">
        <v>820</v>
      </c>
      <c r="F895" s="7" t="s">
        <v>821</v>
      </c>
    </row>
    <row r="896" spans="1:6" ht="18.75" customHeight="1">
      <c r="A896" s="7">
        <v>1</v>
      </c>
      <c r="B896" s="52" t="s">
        <v>822</v>
      </c>
      <c r="C896" s="7"/>
      <c r="D896" s="7"/>
      <c r="E896" s="7"/>
      <c r="F896" s="53">
        <f>F897+F911+F912</f>
        <v>2511.0617172805828</v>
      </c>
    </row>
    <row r="897" spans="1:6" ht="18.75" customHeight="1">
      <c r="A897" s="7">
        <v>1.1000000000000001</v>
      </c>
      <c r="B897" s="52" t="s">
        <v>823</v>
      </c>
      <c r="C897" s="7"/>
      <c r="D897" s="7"/>
      <c r="E897" s="7"/>
      <c r="F897" s="53">
        <f>F898+F901+F907</f>
        <v>2396.0512569471211</v>
      </c>
    </row>
    <row r="898" spans="1:6" ht="18.75" customHeight="1">
      <c r="A898" s="7" t="s">
        <v>47</v>
      </c>
      <c r="B898" s="52" t="s">
        <v>176</v>
      </c>
      <c r="C898" s="7"/>
      <c r="D898" s="7"/>
      <c r="E898" s="7"/>
      <c r="F898" s="53">
        <f>F899+F900</f>
        <v>1392.8130000000001</v>
      </c>
    </row>
    <row r="899" spans="1:6" ht="18.75" customHeight="1">
      <c r="A899" s="7"/>
      <c r="B899" s="52" t="s">
        <v>824</v>
      </c>
      <c r="C899" s="7" t="s">
        <v>825</v>
      </c>
      <c r="D899" s="7">
        <v>8.1</v>
      </c>
      <c r="E899" s="7">
        <v>49.5</v>
      </c>
      <c r="F899" s="53">
        <f>D899*E899</f>
        <v>400.95</v>
      </c>
    </row>
    <row r="900" spans="1:6" ht="18.75" customHeight="1">
      <c r="A900" s="7"/>
      <c r="B900" s="52" t="s">
        <v>826</v>
      </c>
      <c r="C900" s="7" t="s">
        <v>825</v>
      </c>
      <c r="D900" s="7">
        <v>5.77</v>
      </c>
      <c r="E900" s="7">
        <v>171.9</v>
      </c>
      <c r="F900" s="53">
        <f>D900*E900</f>
        <v>991.86300000000006</v>
      </c>
    </row>
    <row r="901" spans="1:6" ht="18.75" customHeight="1">
      <c r="A901" s="7" t="s">
        <v>57</v>
      </c>
      <c r="B901" s="52" t="s">
        <v>177</v>
      </c>
      <c r="C901" s="7"/>
      <c r="D901" s="7"/>
      <c r="E901" s="7"/>
      <c r="F901" s="53">
        <f>F902+F903+F904+F905+F906</f>
        <v>769.42309</v>
      </c>
    </row>
    <row r="902" spans="1:6" ht="18.75" customHeight="1">
      <c r="A902" s="7"/>
      <c r="B902" s="52" t="s">
        <v>379</v>
      </c>
      <c r="C902" s="7" t="s">
        <v>141</v>
      </c>
      <c r="D902" s="7">
        <f>次要材料汇总!$F$13</f>
        <v>120</v>
      </c>
      <c r="E902" s="7">
        <v>1.99</v>
      </c>
      <c r="F902" s="53">
        <f>D902*E902</f>
        <v>238.8</v>
      </c>
    </row>
    <row r="903" spans="1:6" ht="18.75" customHeight="1">
      <c r="A903" s="7"/>
      <c r="B903" s="52" t="s">
        <v>1206</v>
      </c>
      <c r="C903" s="7" t="s">
        <v>829</v>
      </c>
      <c r="D903" s="7">
        <f>次要材料汇总!$F$17</f>
        <v>6</v>
      </c>
      <c r="E903" s="7">
        <v>55.51</v>
      </c>
      <c r="F903" s="53">
        <f>D903*E903</f>
        <v>333.06</v>
      </c>
    </row>
    <row r="904" spans="1:6" ht="18.75" customHeight="1">
      <c r="A904" s="7"/>
      <c r="B904" s="52" t="s">
        <v>1207</v>
      </c>
      <c r="C904" s="7" t="s">
        <v>141</v>
      </c>
      <c r="D904" s="7">
        <f>次要材料汇总!$F$18</f>
        <v>0.8</v>
      </c>
      <c r="E904" s="7">
        <v>82.89</v>
      </c>
      <c r="F904" s="53">
        <f>D904*E904</f>
        <v>66.311999999999998</v>
      </c>
    </row>
    <row r="905" spans="1:6" ht="18.75" customHeight="1">
      <c r="A905" s="7"/>
      <c r="B905" s="52" t="s">
        <v>1208</v>
      </c>
      <c r="C905" s="7" t="s">
        <v>49</v>
      </c>
      <c r="D905" s="7">
        <f>次要材料汇总!$F$19</f>
        <v>0.5</v>
      </c>
      <c r="E905" s="7">
        <v>161.83000000000001</v>
      </c>
      <c r="F905" s="53">
        <f>D905*E905</f>
        <v>80.915000000000006</v>
      </c>
    </row>
    <row r="906" spans="1:6" ht="18.75" customHeight="1">
      <c r="A906" s="7"/>
      <c r="B906" s="52" t="s">
        <v>833</v>
      </c>
      <c r="C906" s="7" t="s">
        <v>834</v>
      </c>
      <c r="D906" s="66">
        <f>F902+F903+F904+F905</f>
        <v>719.08699999999999</v>
      </c>
      <c r="E906" s="7">
        <v>7</v>
      </c>
      <c r="F906" s="53">
        <f>D906*E906/100</f>
        <v>50.336090000000006</v>
      </c>
    </row>
    <row r="907" spans="1:6" ht="18.75" customHeight="1">
      <c r="A907" s="7" t="s">
        <v>835</v>
      </c>
      <c r="B907" s="52" t="s">
        <v>932</v>
      </c>
      <c r="C907" s="7"/>
      <c r="D907" s="66"/>
      <c r="E907" s="7"/>
      <c r="F907" s="53">
        <f>F908+F909</f>
        <v>233.81516694712096</v>
      </c>
    </row>
    <row r="908" spans="1:6" ht="18.75" customHeight="1">
      <c r="A908" s="7"/>
      <c r="B908" s="52" t="s">
        <v>1209</v>
      </c>
      <c r="C908" s="7" t="s">
        <v>863</v>
      </c>
      <c r="D908" s="66">
        <f>施工机械台时汇总!$C$81</f>
        <v>24.948267920094001</v>
      </c>
      <c r="E908" s="7">
        <v>8.52</v>
      </c>
      <c r="F908" s="53">
        <f>D908*E908</f>
        <v>212.55924267920088</v>
      </c>
    </row>
    <row r="909" spans="1:6" ht="18.75" customHeight="1">
      <c r="A909" s="7"/>
      <c r="B909" s="52" t="s">
        <v>840</v>
      </c>
      <c r="C909" s="7" t="s">
        <v>834</v>
      </c>
      <c r="D909" s="66">
        <f>F908</f>
        <v>212.55924267920088</v>
      </c>
      <c r="E909" s="7">
        <v>10</v>
      </c>
      <c r="F909" s="53">
        <f>D909*E909/100</f>
        <v>21.255924267920086</v>
      </c>
    </row>
    <row r="910" spans="1:6" ht="18.75" customHeight="1">
      <c r="A910" s="7"/>
      <c r="B910" s="52"/>
      <c r="C910" s="7"/>
      <c r="D910" s="7"/>
      <c r="E910" s="7"/>
      <c r="F910" s="53"/>
    </row>
    <row r="911" spans="1:6" ht="18.75" customHeight="1">
      <c r="A911" s="7">
        <v>1.2</v>
      </c>
      <c r="B911" s="52" t="s">
        <v>841</v>
      </c>
      <c r="C911" s="7"/>
      <c r="D911" s="53">
        <f>F897</f>
        <v>2396.0512569471211</v>
      </c>
      <c r="E911" s="56">
        <f>E883</f>
        <v>4.8000000000000001E-2</v>
      </c>
      <c r="F911" s="53">
        <f>D911*E911</f>
        <v>115.01046033346182</v>
      </c>
    </row>
    <row r="912" spans="1:6" ht="18.75" customHeight="1">
      <c r="A912" s="7">
        <v>1.3</v>
      </c>
      <c r="B912" s="52" t="s">
        <v>842</v>
      </c>
      <c r="C912" s="7"/>
      <c r="D912" s="53">
        <f>F897</f>
        <v>2396.0512569471211</v>
      </c>
      <c r="E912" s="56">
        <f>E884</f>
        <v>0</v>
      </c>
      <c r="F912" s="53">
        <f>D912*E912</f>
        <v>0</v>
      </c>
    </row>
    <row r="913" spans="1:6" ht="18.75" customHeight="1">
      <c r="A913" s="7">
        <v>2</v>
      </c>
      <c r="B913" s="52" t="s">
        <v>182</v>
      </c>
      <c r="C913" s="7"/>
      <c r="D913" s="53">
        <f>F896</f>
        <v>2511.0617172805828</v>
      </c>
      <c r="E913" s="56">
        <f>E885</f>
        <v>8.5000000000000006E-2</v>
      </c>
      <c r="F913" s="53">
        <f>D913*E913</f>
        <v>213.44024596884955</v>
      </c>
    </row>
    <row r="914" spans="1:6" ht="18.75" customHeight="1">
      <c r="A914" s="7">
        <v>3</v>
      </c>
      <c r="B914" s="52" t="s">
        <v>843</v>
      </c>
      <c r="C914" s="7"/>
      <c r="D914" s="53">
        <f>F896+F913</f>
        <v>2724.5019632494323</v>
      </c>
      <c r="E914" s="56">
        <f>E886</f>
        <v>7.0000000000000007E-2</v>
      </c>
      <c r="F914" s="53">
        <f>D914*E914</f>
        <v>190.71513742746026</v>
      </c>
    </row>
    <row r="915" spans="1:6" ht="18.75" customHeight="1">
      <c r="A915" s="7">
        <v>4</v>
      </c>
      <c r="B915" s="52" t="s">
        <v>845</v>
      </c>
      <c r="C915" s="7"/>
      <c r="D915" s="53">
        <f>F896+F913+F914</f>
        <v>2915.2171006768926</v>
      </c>
      <c r="E915" s="56">
        <f>E887</f>
        <v>0.09</v>
      </c>
      <c r="F915" s="53">
        <f>D915*E915</f>
        <v>262.36953906092032</v>
      </c>
    </row>
    <row r="916" spans="1:6" ht="18.75" customHeight="1">
      <c r="A916" s="7">
        <v>5</v>
      </c>
      <c r="B916" s="52" t="s">
        <v>7</v>
      </c>
      <c r="C916" s="7"/>
      <c r="D916" s="7"/>
      <c r="E916" s="7"/>
      <c r="F916" s="53">
        <f>F896+F913+F914+F915</f>
        <v>3177.5866397378131</v>
      </c>
    </row>
    <row r="917" spans="1:6" ht="18.75" customHeight="1">
      <c r="A917" s="7"/>
      <c r="B917" s="52" t="s">
        <v>846</v>
      </c>
      <c r="C917" s="7"/>
      <c r="D917" s="53">
        <f>F916</f>
        <v>3177.5866397378131</v>
      </c>
      <c r="E917" s="56">
        <f>E889</f>
        <v>0.03</v>
      </c>
      <c r="F917" s="53">
        <f>E917*D917</f>
        <v>95.327599192134386</v>
      </c>
    </row>
    <row r="918" spans="1:6" ht="18.75" customHeight="1">
      <c r="A918" s="7"/>
      <c r="B918" s="52" t="s">
        <v>44</v>
      </c>
      <c r="C918" s="7"/>
      <c r="D918" s="7"/>
      <c r="E918" s="7"/>
      <c r="F918" s="53">
        <f>SUM(F916:F917)</f>
        <v>3272.9142389299477</v>
      </c>
    </row>
    <row r="919" spans="1:6" ht="19.5">
      <c r="A919" s="461" t="s">
        <v>813</v>
      </c>
      <c r="B919" s="461"/>
      <c r="C919" s="461"/>
      <c r="D919" s="461"/>
      <c r="E919" s="461"/>
      <c r="F919" s="461"/>
    </row>
    <row r="920" spans="1:6" ht="18.75" customHeight="1">
      <c r="A920" s="462" t="s">
        <v>1212</v>
      </c>
      <c r="B920" s="462"/>
      <c r="C920" s="462"/>
      <c r="D920" s="462"/>
      <c r="E920" s="462"/>
      <c r="F920" s="462"/>
    </row>
    <row r="921" spans="1:6" ht="18.75" customHeight="1">
      <c r="A921" s="47" t="s">
        <v>815</v>
      </c>
      <c r="B921" s="49">
        <v>2117</v>
      </c>
      <c r="D921" s="46"/>
      <c r="E921" s="47" t="s">
        <v>169</v>
      </c>
      <c r="F921" s="49" t="s">
        <v>869</v>
      </c>
    </row>
    <row r="922" spans="1:6" ht="18.75" customHeight="1">
      <c r="A922" s="70" t="s">
        <v>1200</v>
      </c>
      <c r="B922" s="476"/>
      <c r="C922" s="476"/>
      <c r="D922" s="476"/>
      <c r="E922" s="476"/>
      <c r="F922" s="476"/>
    </row>
    <row r="923" spans="1:6" ht="18.75" customHeight="1">
      <c r="A923" s="7" t="s">
        <v>1</v>
      </c>
      <c r="B923" s="52" t="s">
        <v>344</v>
      </c>
      <c r="C923" s="7" t="s">
        <v>818</v>
      </c>
      <c r="D923" s="7" t="s">
        <v>819</v>
      </c>
      <c r="E923" s="7" t="s">
        <v>820</v>
      </c>
      <c r="F923" s="7" t="s">
        <v>821</v>
      </c>
    </row>
    <row r="924" spans="1:6" ht="18.75" customHeight="1">
      <c r="A924" s="7">
        <v>1</v>
      </c>
      <c r="B924" s="52" t="s">
        <v>822</v>
      </c>
      <c r="C924" s="7"/>
      <c r="D924" s="7"/>
      <c r="E924" s="7"/>
      <c r="F924" s="53">
        <f>F925+F939+F940</f>
        <v>1836.2084595081174</v>
      </c>
    </row>
    <row r="925" spans="1:6" ht="18.75" customHeight="1">
      <c r="A925" s="7">
        <v>1.1000000000000001</v>
      </c>
      <c r="B925" s="52" t="s">
        <v>823</v>
      </c>
      <c r="C925" s="7"/>
      <c r="D925" s="7"/>
      <c r="E925" s="7"/>
      <c r="F925" s="53">
        <f>F926+F929+F935</f>
        <v>1752.1073086909516</v>
      </c>
    </row>
    <row r="926" spans="1:6" ht="18.75" customHeight="1">
      <c r="A926" s="7" t="s">
        <v>47</v>
      </c>
      <c r="B926" s="52" t="s">
        <v>176</v>
      </c>
      <c r="C926" s="7"/>
      <c r="D926" s="7"/>
      <c r="E926" s="7"/>
      <c r="F926" s="53">
        <f>F927+F928</f>
        <v>1054.4059999999999</v>
      </c>
    </row>
    <row r="927" spans="1:6" ht="18.75" customHeight="1">
      <c r="A927" s="7"/>
      <c r="B927" s="52" t="s">
        <v>824</v>
      </c>
      <c r="C927" s="7" t="s">
        <v>825</v>
      </c>
      <c r="D927" s="7">
        <v>8.1</v>
      </c>
      <c r="E927" s="7">
        <v>31.3</v>
      </c>
      <c r="F927" s="53">
        <f>D927*E927</f>
        <v>253.53</v>
      </c>
    </row>
    <row r="928" spans="1:6" ht="18.75" customHeight="1">
      <c r="A928" s="7"/>
      <c r="B928" s="52" t="s">
        <v>826</v>
      </c>
      <c r="C928" s="7" t="s">
        <v>825</v>
      </c>
      <c r="D928" s="7">
        <v>5.77</v>
      </c>
      <c r="E928" s="7">
        <v>138.80000000000001</v>
      </c>
      <c r="F928" s="53">
        <f>D928*E928</f>
        <v>800.87599999999998</v>
      </c>
    </row>
    <row r="929" spans="1:6" ht="18.75" customHeight="1">
      <c r="A929" s="7" t="s">
        <v>57</v>
      </c>
      <c r="B929" s="52" t="s">
        <v>177</v>
      </c>
      <c r="C929" s="7"/>
      <c r="D929" s="7"/>
      <c r="E929" s="7"/>
      <c r="F929" s="53">
        <f>F930+F931+F932+F933+F934</f>
        <v>530.024</v>
      </c>
    </row>
    <row r="930" spans="1:6" ht="18.75" customHeight="1">
      <c r="A930" s="7"/>
      <c r="B930" s="52" t="s">
        <v>379</v>
      </c>
      <c r="C930" s="7" t="s">
        <v>141</v>
      </c>
      <c r="D930" s="7">
        <f>次要材料汇总!$F$13</f>
        <v>120</v>
      </c>
      <c r="E930" s="7">
        <v>1.33</v>
      </c>
      <c r="F930" s="53">
        <f>D930*E930</f>
        <v>159.60000000000002</v>
      </c>
    </row>
    <row r="931" spans="1:6" ht="18.75" customHeight="1">
      <c r="A931" s="7"/>
      <c r="B931" s="52" t="s">
        <v>1206</v>
      </c>
      <c r="C931" s="7" t="s">
        <v>829</v>
      </c>
      <c r="D931" s="7">
        <f>次要材料汇总!$F$17</f>
        <v>6</v>
      </c>
      <c r="E931" s="7">
        <v>40.15</v>
      </c>
      <c r="F931" s="53">
        <f>D931*E931</f>
        <v>240.89999999999998</v>
      </c>
    </row>
    <row r="932" spans="1:6" ht="18.75" customHeight="1">
      <c r="A932" s="7"/>
      <c r="B932" s="52" t="s">
        <v>1207</v>
      </c>
      <c r="C932" s="7" t="s">
        <v>141</v>
      </c>
      <c r="D932" s="7">
        <f>次要材料汇总!$F$18</f>
        <v>0.8</v>
      </c>
      <c r="E932" s="7">
        <v>39</v>
      </c>
      <c r="F932" s="53">
        <f>D932*E932</f>
        <v>31.200000000000003</v>
      </c>
    </row>
    <row r="933" spans="1:6" ht="18.75" customHeight="1">
      <c r="A933" s="7"/>
      <c r="B933" s="52" t="s">
        <v>1208</v>
      </c>
      <c r="C933" s="7" t="s">
        <v>49</v>
      </c>
      <c r="D933" s="7">
        <f>次要材料汇总!$F$19</f>
        <v>0.5</v>
      </c>
      <c r="E933" s="7">
        <v>100.28</v>
      </c>
      <c r="F933" s="53">
        <f>D933*E933</f>
        <v>50.14</v>
      </c>
    </row>
    <row r="934" spans="1:6" ht="18.75" customHeight="1">
      <c r="A934" s="7"/>
      <c r="B934" s="52" t="s">
        <v>833</v>
      </c>
      <c r="C934" s="7" t="s">
        <v>834</v>
      </c>
      <c r="D934" s="66">
        <f>F930+F931+F932+F933</f>
        <v>481.84</v>
      </c>
      <c r="E934" s="7">
        <v>10</v>
      </c>
      <c r="F934" s="53">
        <f>D934*E934/100</f>
        <v>48.183999999999997</v>
      </c>
    </row>
    <row r="935" spans="1:6" ht="18.75" customHeight="1">
      <c r="A935" s="7" t="s">
        <v>835</v>
      </c>
      <c r="B935" s="52" t="s">
        <v>932</v>
      </c>
      <c r="C935" s="7"/>
      <c r="D935" s="66"/>
      <c r="E935" s="7"/>
      <c r="F935" s="53">
        <f>F936+F937</f>
        <v>167.67730869095178</v>
      </c>
    </row>
    <row r="936" spans="1:6" ht="18.75" customHeight="1">
      <c r="A936" s="7"/>
      <c r="B936" s="52" t="s">
        <v>1209</v>
      </c>
      <c r="C936" s="7" t="s">
        <v>863</v>
      </c>
      <c r="D936" s="66">
        <f>施工机械台时汇总!$C$81</f>
        <v>24.948267920094001</v>
      </c>
      <c r="E936" s="7">
        <v>6.11</v>
      </c>
      <c r="F936" s="53">
        <f>D936*E936</f>
        <v>152.43391699177434</v>
      </c>
    </row>
    <row r="937" spans="1:6" ht="18.75" customHeight="1">
      <c r="A937" s="7"/>
      <c r="B937" s="52" t="s">
        <v>840</v>
      </c>
      <c r="C937" s="7" t="s">
        <v>834</v>
      </c>
      <c r="D937" s="66">
        <f>F936</f>
        <v>152.43391699177434</v>
      </c>
      <c r="E937" s="7">
        <v>10</v>
      </c>
      <c r="F937" s="53">
        <f>D937*E937/100</f>
        <v>15.243391699177435</v>
      </c>
    </row>
    <row r="938" spans="1:6" ht="18.75" customHeight="1">
      <c r="A938" s="7"/>
      <c r="B938" s="52"/>
      <c r="C938" s="7"/>
      <c r="D938" s="7"/>
      <c r="E938" s="7"/>
      <c r="F938" s="53"/>
    </row>
    <row r="939" spans="1:6" ht="18.75" customHeight="1">
      <c r="A939" s="7">
        <v>1.2</v>
      </c>
      <c r="B939" s="52" t="s">
        <v>841</v>
      </c>
      <c r="C939" s="7"/>
      <c r="D939" s="53">
        <f>F925</f>
        <v>1752.1073086909516</v>
      </c>
      <c r="E939" s="56">
        <f>E911</f>
        <v>4.8000000000000001E-2</v>
      </c>
      <c r="F939" s="53">
        <f>D939*E939</f>
        <v>84.101150817165674</v>
      </c>
    </row>
    <row r="940" spans="1:6" ht="18.75" customHeight="1">
      <c r="A940" s="7">
        <v>1.3</v>
      </c>
      <c r="B940" s="52" t="s">
        <v>842</v>
      </c>
      <c r="C940" s="7"/>
      <c r="D940" s="53">
        <f>F925</f>
        <v>1752.1073086909516</v>
      </c>
      <c r="E940" s="56">
        <f>E912</f>
        <v>0</v>
      </c>
      <c r="F940" s="53">
        <f>D940*E940</f>
        <v>0</v>
      </c>
    </row>
    <row r="941" spans="1:6" ht="18.75" customHeight="1">
      <c r="A941" s="7">
        <v>2</v>
      </c>
      <c r="B941" s="52" t="s">
        <v>182</v>
      </c>
      <c r="C941" s="7"/>
      <c r="D941" s="53">
        <f>F924</f>
        <v>1836.2084595081174</v>
      </c>
      <c r="E941" s="56">
        <f>E913</f>
        <v>8.5000000000000006E-2</v>
      </c>
      <c r="F941" s="53">
        <f>D941*E941</f>
        <v>156.07771905818998</v>
      </c>
    </row>
    <row r="942" spans="1:6" ht="18.75" customHeight="1">
      <c r="A942" s="7">
        <v>3</v>
      </c>
      <c r="B942" s="52" t="s">
        <v>843</v>
      </c>
      <c r="C942" s="7"/>
      <c r="D942" s="53">
        <f>F924+F941</f>
        <v>1992.2861785663074</v>
      </c>
      <c r="E942" s="56">
        <f>E914</f>
        <v>7.0000000000000007E-2</v>
      </c>
      <c r="F942" s="53">
        <f>D942*E942</f>
        <v>139.46003249964153</v>
      </c>
    </row>
    <row r="943" spans="1:6" ht="18.75" customHeight="1">
      <c r="A943" s="7">
        <v>4</v>
      </c>
      <c r="B943" s="52" t="s">
        <v>845</v>
      </c>
      <c r="C943" s="7"/>
      <c r="D943" s="53">
        <f>F924+F941+F942</f>
        <v>2131.746211065949</v>
      </c>
      <c r="E943" s="56">
        <f>E915</f>
        <v>0.09</v>
      </c>
      <c r="F943" s="53">
        <f>D943*E943</f>
        <v>191.85715899593541</v>
      </c>
    </row>
    <row r="944" spans="1:6" ht="18.75" customHeight="1">
      <c r="A944" s="7">
        <v>5</v>
      </c>
      <c r="B944" s="52" t="s">
        <v>7</v>
      </c>
      <c r="C944" s="7"/>
      <c r="D944" s="7"/>
      <c r="E944" s="7"/>
      <c r="F944" s="53">
        <f>F924+F941+F942+F943</f>
        <v>2323.6033700618846</v>
      </c>
    </row>
    <row r="945" spans="1:6" ht="18.75" customHeight="1">
      <c r="A945" s="7"/>
      <c r="B945" s="52" t="s">
        <v>846</v>
      </c>
      <c r="C945" s="7"/>
      <c r="D945" s="53">
        <f>F944</f>
        <v>2323.6033700618846</v>
      </c>
      <c r="E945" s="56">
        <f>E917</f>
        <v>0.03</v>
      </c>
      <c r="F945" s="53">
        <f>E945*D945</f>
        <v>69.708101101856528</v>
      </c>
    </row>
    <row r="946" spans="1:6" ht="18.75" customHeight="1">
      <c r="A946" s="7"/>
      <c r="B946" s="52" t="s">
        <v>44</v>
      </c>
      <c r="C946" s="7"/>
      <c r="D946" s="7"/>
      <c r="E946" s="7"/>
      <c r="F946" s="53">
        <f>SUM(F944:F945)</f>
        <v>2393.3114711637409</v>
      </c>
    </row>
    <row r="947" spans="1:6" ht="19.5">
      <c r="A947" s="461" t="s">
        <v>813</v>
      </c>
      <c r="B947" s="461"/>
      <c r="C947" s="461"/>
      <c r="D947" s="461"/>
      <c r="E947" s="461"/>
      <c r="F947" s="461"/>
    </row>
    <row r="948" spans="1:6" ht="18.75" customHeight="1">
      <c r="A948" s="462" t="s">
        <v>1213</v>
      </c>
      <c r="B948" s="462"/>
      <c r="C948" s="462"/>
      <c r="D948" s="462"/>
      <c r="E948" s="462"/>
      <c r="F948" s="462"/>
    </row>
    <row r="949" spans="1:6" ht="18.75" customHeight="1">
      <c r="A949" s="47" t="s">
        <v>815</v>
      </c>
      <c r="B949" s="49">
        <v>2145</v>
      </c>
      <c r="D949" s="46"/>
      <c r="E949" s="47" t="s">
        <v>169</v>
      </c>
      <c r="F949" s="49" t="s">
        <v>869</v>
      </c>
    </row>
    <row r="950" spans="1:6" ht="18.75" customHeight="1">
      <c r="A950" s="70" t="s">
        <v>1200</v>
      </c>
      <c r="B950" s="476"/>
      <c r="C950" s="476"/>
      <c r="D950" s="476"/>
      <c r="E950" s="476"/>
      <c r="F950" s="476"/>
    </row>
    <row r="951" spans="1:6" ht="18.75" customHeight="1">
      <c r="A951" s="7" t="s">
        <v>1</v>
      </c>
      <c r="B951" s="52" t="s">
        <v>344</v>
      </c>
      <c r="C951" s="7" t="s">
        <v>818</v>
      </c>
      <c r="D951" s="7" t="s">
        <v>819</v>
      </c>
      <c r="E951" s="7" t="s">
        <v>820</v>
      </c>
      <c r="F951" s="7" t="s">
        <v>821</v>
      </c>
    </row>
    <row r="952" spans="1:6" ht="18.75" customHeight="1">
      <c r="A952" s="7">
        <v>1</v>
      </c>
      <c r="B952" s="52" t="s">
        <v>822</v>
      </c>
      <c r="C952" s="7"/>
      <c r="D952" s="7"/>
      <c r="E952" s="7"/>
      <c r="F952" s="53">
        <f>F953+F967+F968</f>
        <v>4040.7906467113512</v>
      </c>
    </row>
    <row r="953" spans="1:6" ht="18.75" customHeight="1">
      <c r="A953" s="7">
        <v>1.1000000000000001</v>
      </c>
      <c r="B953" s="52" t="s">
        <v>823</v>
      </c>
      <c r="C953" s="7"/>
      <c r="D953" s="7"/>
      <c r="E953" s="7"/>
      <c r="F953" s="53">
        <f>F954+F957+F963</f>
        <v>3855.7162659459459</v>
      </c>
    </row>
    <row r="954" spans="1:6" ht="18.75" customHeight="1">
      <c r="A954" s="7" t="s">
        <v>47</v>
      </c>
      <c r="B954" s="52" t="s">
        <v>176</v>
      </c>
      <c r="C954" s="7"/>
      <c r="D954" s="7"/>
      <c r="E954" s="7"/>
      <c r="F954" s="53">
        <f>F955+F956</f>
        <v>2172.0650000000001</v>
      </c>
    </row>
    <row r="955" spans="1:6" ht="18.75" customHeight="1">
      <c r="A955" s="7"/>
      <c r="B955" s="52" t="s">
        <v>824</v>
      </c>
      <c r="C955" s="7" t="s">
        <v>825</v>
      </c>
      <c r="D955" s="7">
        <v>8.1</v>
      </c>
      <c r="E955" s="7">
        <v>94.7</v>
      </c>
      <c r="F955" s="53">
        <f>D955*E955</f>
        <v>767.07</v>
      </c>
    </row>
    <row r="956" spans="1:6" ht="18.75" customHeight="1">
      <c r="A956" s="7"/>
      <c r="B956" s="52" t="s">
        <v>826</v>
      </c>
      <c r="C956" s="7" t="s">
        <v>825</v>
      </c>
      <c r="D956" s="7">
        <v>5.77</v>
      </c>
      <c r="E956" s="7">
        <v>243.5</v>
      </c>
      <c r="F956" s="53">
        <f>D956*E956</f>
        <v>1404.9949999999999</v>
      </c>
    </row>
    <row r="957" spans="1:6" ht="18.75" customHeight="1">
      <c r="A957" s="7" t="s">
        <v>57</v>
      </c>
      <c r="B957" s="52" t="s">
        <v>177</v>
      </c>
      <c r="C957" s="7"/>
      <c r="D957" s="7"/>
      <c r="E957" s="7"/>
      <c r="F957" s="53">
        <f>F958+F959+F960+F961+F962</f>
        <v>1273.377</v>
      </c>
    </row>
    <row r="958" spans="1:6" ht="18.75" customHeight="1">
      <c r="A958" s="7"/>
      <c r="B958" s="52" t="s">
        <v>379</v>
      </c>
      <c r="C958" s="7" t="s">
        <v>141</v>
      </c>
      <c r="D958" s="7">
        <f>次要材料汇总!$F$13</f>
        <v>120</v>
      </c>
      <c r="E958" s="7">
        <v>3.26</v>
      </c>
      <c r="F958" s="53">
        <f>D958*E958</f>
        <v>391.2</v>
      </c>
    </row>
    <row r="959" spans="1:6" ht="18.75" customHeight="1">
      <c r="A959" s="7"/>
      <c r="B959" s="52" t="s">
        <v>1206</v>
      </c>
      <c r="C959" s="7" t="s">
        <v>829</v>
      </c>
      <c r="D959" s="7">
        <f>次要材料汇总!$F$17</f>
        <v>6</v>
      </c>
      <c r="E959" s="7">
        <v>95.5</v>
      </c>
      <c r="F959" s="53">
        <f>D959*E959</f>
        <v>573</v>
      </c>
    </row>
    <row r="960" spans="1:6" ht="18.75" customHeight="1">
      <c r="A960" s="7"/>
      <c r="B960" s="52" t="s">
        <v>1207</v>
      </c>
      <c r="C960" s="7" t="s">
        <v>141</v>
      </c>
      <c r="D960" s="7">
        <f>次要材料汇总!$F$18</f>
        <v>0.8</v>
      </c>
      <c r="E960" s="7">
        <v>146.30000000000001</v>
      </c>
      <c r="F960" s="53">
        <f>D960*E960</f>
        <v>117.04000000000002</v>
      </c>
    </row>
    <row r="961" spans="1:6" ht="18.75" customHeight="1">
      <c r="A961" s="7"/>
      <c r="B961" s="52" t="s">
        <v>1208</v>
      </c>
      <c r="C961" s="7" t="s">
        <v>49</v>
      </c>
      <c r="D961" s="7">
        <f>次要材料汇总!$F$19</f>
        <v>0.5</v>
      </c>
      <c r="E961" s="7">
        <v>263</v>
      </c>
      <c r="F961" s="53">
        <f>D961*E961</f>
        <v>131.5</v>
      </c>
    </row>
    <row r="962" spans="1:6" ht="18.75" customHeight="1">
      <c r="A962" s="7"/>
      <c r="B962" s="52" t="s">
        <v>833</v>
      </c>
      <c r="C962" s="7" t="s">
        <v>834</v>
      </c>
      <c r="D962" s="66">
        <f>F958+F959+F960+F961</f>
        <v>1212.74</v>
      </c>
      <c r="E962" s="7">
        <v>5</v>
      </c>
      <c r="F962" s="53">
        <f>D962*E962/100</f>
        <v>60.637</v>
      </c>
    </row>
    <row r="963" spans="1:6" ht="18.75" customHeight="1">
      <c r="A963" s="7" t="s">
        <v>835</v>
      </c>
      <c r="B963" s="52" t="s">
        <v>932</v>
      </c>
      <c r="C963" s="7"/>
      <c r="D963" s="66"/>
      <c r="E963" s="7"/>
      <c r="F963" s="53">
        <f>F964+F965</f>
        <v>410.27426594594579</v>
      </c>
    </row>
    <row r="964" spans="1:6" ht="18.75" customHeight="1">
      <c r="A964" s="7"/>
      <c r="B964" s="52" t="s">
        <v>1209</v>
      </c>
      <c r="C964" s="7" t="s">
        <v>863</v>
      </c>
      <c r="D964" s="66">
        <f>施工机械台时汇总!$C$81</f>
        <v>24.948267920094001</v>
      </c>
      <c r="E964" s="7">
        <v>14.95</v>
      </c>
      <c r="F964" s="53">
        <f>D964*E964</f>
        <v>372.97660540540528</v>
      </c>
    </row>
    <row r="965" spans="1:6" ht="18.75" customHeight="1">
      <c r="A965" s="7"/>
      <c r="B965" s="52" t="s">
        <v>840</v>
      </c>
      <c r="C965" s="7" t="s">
        <v>834</v>
      </c>
      <c r="D965" s="66">
        <f>F964</f>
        <v>372.97660540540528</v>
      </c>
      <c r="E965" s="7">
        <v>10</v>
      </c>
      <c r="F965" s="53">
        <f>D965*E965/100</f>
        <v>37.297660540540527</v>
      </c>
    </row>
    <row r="966" spans="1:6" ht="18.75" customHeight="1">
      <c r="A966" s="7"/>
      <c r="B966" s="52"/>
      <c r="C966" s="7"/>
      <c r="D966" s="7"/>
      <c r="E966" s="7"/>
      <c r="F966" s="53"/>
    </row>
    <row r="967" spans="1:6" ht="18.75" customHeight="1">
      <c r="A967" s="7">
        <v>1.2</v>
      </c>
      <c r="B967" s="52" t="s">
        <v>841</v>
      </c>
      <c r="C967" s="7"/>
      <c r="D967" s="53">
        <f>F953</f>
        <v>3855.7162659459459</v>
      </c>
      <c r="E967" s="56">
        <f>E939</f>
        <v>4.8000000000000001E-2</v>
      </c>
      <c r="F967" s="53">
        <f>D967*E967</f>
        <v>185.07438076540541</v>
      </c>
    </row>
    <row r="968" spans="1:6" ht="18.75" customHeight="1">
      <c r="A968" s="7">
        <v>1.3</v>
      </c>
      <c r="B968" s="52" t="s">
        <v>842</v>
      </c>
      <c r="C968" s="7"/>
      <c r="D968" s="53">
        <f>F953</f>
        <v>3855.7162659459459</v>
      </c>
      <c r="E968" s="56">
        <f>E940</f>
        <v>0</v>
      </c>
      <c r="F968" s="53">
        <f>D968*E968</f>
        <v>0</v>
      </c>
    </row>
    <row r="969" spans="1:6" ht="18.75" customHeight="1">
      <c r="A969" s="7">
        <v>2</v>
      </c>
      <c r="B969" s="52" t="s">
        <v>182</v>
      </c>
      <c r="C969" s="7"/>
      <c r="D969" s="53">
        <f>F952</f>
        <v>4040.7906467113512</v>
      </c>
      <c r="E969" s="56">
        <f>E941</f>
        <v>8.5000000000000006E-2</v>
      </c>
      <c r="F969" s="53">
        <f>D969*E969</f>
        <v>343.46720497046488</v>
      </c>
    </row>
    <row r="970" spans="1:6" ht="18.75" customHeight="1">
      <c r="A970" s="7">
        <v>3</v>
      </c>
      <c r="B970" s="52" t="s">
        <v>843</v>
      </c>
      <c r="C970" s="7"/>
      <c r="D970" s="53">
        <f>F952+F969</f>
        <v>4384.2578516818157</v>
      </c>
      <c r="E970" s="56">
        <f>E942</f>
        <v>7.0000000000000007E-2</v>
      </c>
      <c r="F970" s="53">
        <f>D970*E970</f>
        <v>306.89804961772711</v>
      </c>
    </row>
    <row r="971" spans="1:6" ht="18.75" customHeight="1">
      <c r="A971" s="7">
        <v>4</v>
      </c>
      <c r="B971" s="52" t="s">
        <v>845</v>
      </c>
      <c r="C971" s="7"/>
      <c r="D971" s="53">
        <f>F952+F969+F970</f>
        <v>4691.1559012995431</v>
      </c>
      <c r="E971" s="56">
        <f>E943</f>
        <v>0.09</v>
      </c>
      <c r="F971" s="53">
        <f>D971*E971</f>
        <v>422.20403111695884</v>
      </c>
    </row>
    <row r="972" spans="1:6" ht="18.75" customHeight="1">
      <c r="A972" s="7">
        <v>5</v>
      </c>
      <c r="B972" s="52" t="s">
        <v>7</v>
      </c>
      <c r="C972" s="7"/>
      <c r="D972" s="7"/>
      <c r="E972" s="7"/>
      <c r="F972" s="53">
        <f>F952+F969+F970+F971</f>
        <v>5113.3599324165016</v>
      </c>
    </row>
    <row r="973" spans="1:6" ht="18.75" customHeight="1">
      <c r="A973" s="7"/>
      <c r="B973" s="52" t="s">
        <v>846</v>
      </c>
      <c r="C973" s="7"/>
      <c r="D973" s="53">
        <f>F972</f>
        <v>5113.3599324165016</v>
      </c>
      <c r="E973" s="56">
        <f>E945</f>
        <v>0.03</v>
      </c>
      <c r="F973" s="53">
        <f>E973*D973</f>
        <v>153.40079797249504</v>
      </c>
    </row>
    <row r="974" spans="1:6" ht="18.75" customHeight="1">
      <c r="A974" s="7"/>
      <c r="B974" s="52" t="s">
        <v>44</v>
      </c>
      <c r="C974" s="7"/>
      <c r="D974" s="7"/>
      <c r="E974" s="7"/>
      <c r="F974" s="53">
        <f>SUM(F972:F973)</f>
        <v>5266.7607303889963</v>
      </c>
    </row>
    <row r="975" spans="1:6" ht="19.5">
      <c r="A975" s="461" t="s">
        <v>813</v>
      </c>
      <c r="B975" s="461"/>
      <c r="C975" s="461"/>
      <c r="D975" s="461"/>
      <c r="E975" s="461"/>
      <c r="F975" s="461"/>
    </row>
    <row r="976" spans="1:6" ht="18.75" customHeight="1">
      <c r="A976" s="462" t="s">
        <v>1214</v>
      </c>
      <c r="B976" s="462"/>
      <c r="C976" s="462"/>
      <c r="D976" s="462"/>
      <c r="E976" s="462"/>
      <c r="F976" s="462"/>
    </row>
    <row r="977" spans="1:6" ht="18.75" customHeight="1">
      <c r="A977" s="47" t="s">
        <v>815</v>
      </c>
      <c r="B977" s="49">
        <v>2152</v>
      </c>
      <c r="D977" s="46"/>
      <c r="E977" s="47" t="s">
        <v>169</v>
      </c>
      <c r="F977" s="49" t="s">
        <v>869</v>
      </c>
    </row>
    <row r="978" spans="1:6" ht="18.75" customHeight="1">
      <c r="A978" s="70" t="s">
        <v>1200</v>
      </c>
      <c r="B978" s="476"/>
      <c r="C978" s="476"/>
      <c r="D978" s="476"/>
      <c r="E978" s="476"/>
      <c r="F978" s="476"/>
    </row>
    <row r="979" spans="1:6" ht="18.75" customHeight="1">
      <c r="A979" s="7" t="s">
        <v>1</v>
      </c>
      <c r="B979" s="52" t="s">
        <v>344</v>
      </c>
      <c r="C979" s="7" t="s">
        <v>818</v>
      </c>
      <c r="D979" s="7" t="s">
        <v>819</v>
      </c>
      <c r="E979" s="7" t="s">
        <v>820</v>
      </c>
      <c r="F979" s="7" t="s">
        <v>821</v>
      </c>
    </row>
    <row r="980" spans="1:6" ht="18.75" customHeight="1">
      <c r="A980" s="7">
        <v>1</v>
      </c>
      <c r="B980" s="52" t="s">
        <v>822</v>
      </c>
      <c r="C980" s="7"/>
      <c r="D980" s="7"/>
      <c r="E980" s="7"/>
      <c r="F980" s="53">
        <f>F981+F995+F996</f>
        <v>3020.6652373746465</v>
      </c>
    </row>
    <row r="981" spans="1:6" ht="18.75" customHeight="1">
      <c r="A981" s="7">
        <v>1.1000000000000001</v>
      </c>
      <c r="B981" s="52" t="s">
        <v>823</v>
      </c>
      <c r="C981" s="7"/>
      <c r="D981" s="7"/>
      <c r="E981" s="7"/>
      <c r="F981" s="53">
        <f>F982+F985+F991</f>
        <v>2882.3141578002351</v>
      </c>
    </row>
    <row r="982" spans="1:6" ht="18.75" customHeight="1">
      <c r="A982" s="7" t="s">
        <v>47</v>
      </c>
      <c r="B982" s="52" t="s">
        <v>176</v>
      </c>
      <c r="C982" s="7"/>
      <c r="D982" s="7"/>
      <c r="E982" s="7"/>
      <c r="F982" s="53">
        <f>F983+F984</f>
        <v>1608.1410000000001</v>
      </c>
    </row>
    <row r="983" spans="1:6" ht="18.75" customHeight="1">
      <c r="A983" s="7"/>
      <c r="B983" s="52" t="s">
        <v>824</v>
      </c>
      <c r="C983" s="7" t="s">
        <v>825</v>
      </c>
      <c r="D983" s="7">
        <v>8.1</v>
      </c>
      <c r="E983" s="7">
        <v>70.099999999999994</v>
      </c>
      <c r="F983" s="53">
        <f>D983*E983</f>
        <v>567.80999999999995</v>
      </c>
    </row>
    <row r="984" spans="1:6" ht="18.75" customHeight="1">
      <c r="A984" s="7"/>
      <c r="B984" s="52" t="s">
        <v>826</v>
      </c>
      <c r="C984" s="7" t="s">
        <v>825</v>
      </c>
      <c r="D984" s="7">
        <v>5.77</v>
      </c>
      <c r="E984" s="7">
        <v>180.3</v>
      </c>
      <c r="F984" s="53">
        <f>D984*E984</f>
        <v>1040.3309999999999</v>
      </c>
    </row>
    <row r="985" spans="1:6" ht="18.75" customHeight="1">
      <c r="A985" s="7" t="s">
        <v>57</v>
      </c>
      <c r="B985" s="52" t="s">
        <v>177</v>
      </c>
      <c r="C985" s="7"/>
      <c r="D985" s="7"/>
      <c r="E985" s="7"/>
      <c r="F985" s="53">
        <f>F986+F987+F988+F989+F990</f>
        <v>935.7998</v>
      </c>
    </row>
    <row r="986" spans="1:6" ht="18.75" customHeight="1">
      <c r="A986" s="7"/>
      <c r="B986" s="52" t="s">
        <v>379</v>
      </c>
      <c r="C986" s="7" t="s">
        <v>141</v>
      </c>
      <c r="D986" s="7">
        <f>次要材料汇总!$F$13</f>
        <v>120</v>
      </c>
      <c r="E986" s="7">
        <v>2.4500000000000002</v>
      </c>
      <c r="F986" s="53">
        <f>D986*E986</f>
        <v>294</v>
      </c>
    </row>
    <row r="987" spans="1:6" ht="18.75" customHeight="1">
      <c r="A987" s="7"/>
      <c r="B987" s="52" t="s">
        <v>1206</v>
      </c>
      <c r="C987" s="7" t="s">
        <v>829</v>
      </c>
      <c r="D987" s="7">
        <f>次要材料汇总!$F$17</f>
        <v>6</v>
      </c>
      <c r="E987" s="7">
        <v>69</v>
      </c>
      <c r="F987" s="53">
        <f>D987*E987</f>
        <v>414</v>
      </c>
    </row>
    <row r="988" spans="1:6" ht="18.75" customHeight="1">
      <c r="A988" s="7"/>
      <c r="B988" s="52" t="s">
        <v>1207</v>
      </c>
      <c r="C988" s="7" t="s">
        <v>141</v>
      </c>
      <c r="D988" s="7">
        <f>次要材料汇总!$F$18</f>
        <v>0.8</v>
      </c>
      <c r="E988" s="7">
        <v>97.6</v>
      </c>
      <c r="F988" s="53">
        <f>D988*E988</f>
        <v>78.08</v>
      </c>
    </row>
    <row r="989" spans="1:6" ht="18.75" customHeight="1">
      <c r="A989" s="7"/>
      <c r="B989" s="52" t="s">
        <v>1208</v>
      </c>
      <c r="C989" s="7" t="s">
        <v>49</v>
      </c>
      <c r="D989" s="7">
        <f>次要材料汇总!$F$19</f>
        <v>0.5</v>
      </c>
      <c r="E989" s="7">
        <v>193.5</v>
      </c>
      <c r="F989" s="53">
        <f>D989*E989</f>
        <v>96.75</v>
      </c>
    </row>
    <row r="990" spans="1:6" ht="18.75" customHeight="1">
      <c r="A990" s="7"/>
      <c r="B990" s="52" t="s">
        <v>833</v>
      </c>
      <c r="C990" s="7" t="s">
        <v>834</v>
      </c>
      <c r="D990" s="66">
        <f>F986+F987+F988+F989</f>
        <v>882.83</v>
      </c>
      <c r="E990" s="7">
        <v>6</v>
      </c>
      <c r="F990" s="53">
        <f>D990*E990/100</f>
        <v>52.969800000000006</v>
      </c>
    </row>
    <row r="991" spans="1:6" ht="18.75" customHeight="1">
      <c r="A991" s="7" t="s">
        <v>835</v>
      </c>
      <c r="B991" s="52" t="s">
        <v>932</v>
      </c>
      <c r="C991" s="7"/>
      <c r="D991" s="66"/>
      <c r="E991" s="7"/>
      <c r="F991" s="53">
        <f>F992+F993</f>
        <v>338.37335780023488</v>
      </c>
    </row>
    <row r="992" spans="1:6" ht="18.75" customHeight="1">
      <c r="A992" s="7"/>
      <c r="B992" s="52" t="s">
        <v>1209</v>
      </c>
      <c r="C992" s="7" t="s">
        <v>863</v>
      </c>
      <c r="D992" s="66">
        <f>施工机械台时汇总!$C$81</f>
        <v>24.948267920094001</v>
      </c>
      <c r="E992" s="7">
        <v>12.33</v>
      </c>
      <c r="F992" s="53">
        <f>D992*E992</f>
        <v>307.61214345475901</v>
      </c>
    </row>
    <row r="993" spans="1:6" ht="18.75" customHeight="1">
      <c r="A993" s="7"/>
      <c r="B993" s="52" t="s">
        <v>840</v>
      </c>
      <c r="C993" s="7" t="s">
        <v>834</v>
      </c>
      <c r="D993" s="66">
        <f>F992</f>
        <v>307.61214345475901</v>
      </c>
      <c r="E993" s="7">
        <v>10</v>
      </c>
      <c r="F993" s="53">
        <f>D993*E993/100</f>
        <v>30.761214345475899</v>
      </c>
    </row>
    <row r="994" spans="1:6" ht="18.75" customHeight="1">
      <c r="A994" s="7"/>
      <c r="B994" s="52"/>
      <c r="C994" s="7"/>
      <c r="D994" s="7"/>
      <c r="E994" s="7"/>
      <c r="F994" s="53"/>
    </row>
    <row r="995" spans="1:6" ht="18.75" customHeight="1">
      <c r="A995" s="7">
        <v>1.2</v>
      </c>
      <c r="B995" s="52" t="s">
        <v>841</v>
      </c>
      <c r="C995" s="7"/>
      <c r="D995" s="53">
        <f>F981</f>
        <v>2882.3141578002351</v>
      </c>
      <c r="E995" s="56">
        <f>E967</f>
        <v>4.8000000000000001E-2</v>
      </c>
      <c r="F995" s="53">
        <f>D995*E995</f>
        <v>138.35107957441127</v>
      </c>
    </row>
    <row r="996" spans="1:6" ht="18.75" customHeight="1">
      <c r="A996" s="7">
        <v>1.3</v>
      </c>
      <c r="B996" s="52" t="s">
        <v>842</v>
      </c>
      <c r="C996" s="7"/>
      <c r="D996" s="53">
        <f>F981</f>
        <v>2882.3141578002351</v>
      </c>
      <c r="E996" s="56">
        <f>E968</f>
        <v>0</v>
      </c>
      <c r="F996" s="53">
        <f>D996*E996</f>
        <v>0</v>
      </c>
    </row>
    <row r="997" spans="1:6" ht="18.75" customHeight="1">
      <c r="A997" s="7">
        <v>2</v>
      </c>
      <c r="B997" s="52" t="s">
        <v>182</v>
      </c>
      <c r="C997" s="7"/>
      <c r="D997" s="53">
        <f>F980</f>
        <v>3020.6652373746465</v>
      </c>
      <c r="E997" s="56">
        <f>E969</f>
        <v>8.5000000000000006E-2</v>
      </c>
      <c r="F997" s="53">
        <f>D997*E997</f>
        <v>256.75654517684495</v>
      </c>
    </row>
    <row r="998" spans="1:6" ht="18.75" customHeight="1">
      <c r="A998" s="7">
        <v>3</v>
      </c>
      <c r="B998" s="52" t="s">
        <v>843</v>
      </c>
      <c r="C998" s="7"/>
      <c r="D998" s="53">
        <f>F980+F997</f>
        <v>3277.4217825514916</v>
      </c>
      <c r="E998" s="56">
        <f>E970</f>
        <v>7.0000000000000007E-2</v>
      </c>
      <c r="F998" s="53">
        <f>D998*E998</f>
        <v>229.41952477860443</v>
      </c>
    </row>
    <row r="999" spans="1:6" ht="18.75" customHeight="1">
      <c r="A999" s="7">
        <v>4</v>
      </c>
      <c r="B999" s="52" t="s">
        <v>845</v>
      </c>
      <c r="C999" s="7"/>
      <c r="D999" s="53">
        <f>F980+F997+F998</f>
        <v>3506.8413073300958</v>
      </c>
      <c r="E999" s="56">
        <f>E971</f>
        <v>0.09</v>
      </c>
      <c r="F999" s="53">
        <f>D999*E999</f>
        <v>315.61571765970859</v>
      </c>
    </row>
    <row r="1000" spans="1:6" ht="18.75" customHeight="1">
      <c r="A1000" s="7">
        <v>5</v>
      </c>
      <c r="B1000" s="52" t="s">
        <v>7</v>
      </c>
      <c r="C1000" s="7"/>
      <c r="D1000" s="7"/>
      <c r="E1000" s="7"/>
      <c r="F1000" s="53">
        <f>F980+F997+F998+F999</f>
        <v>3822.4570249898043</v>
      </c>
    </row>
    <row r="1001" spans="1:6" ht="18.75" customHeight="1">
      <c r="A1001" s="7"/>
      <c r="B1001" s="52" t="s">
        <v>846</v>
      </c>
      <c r="C1001" s="7"/>
      <c r="D1001" s="53">
        <f>F1000</f>
        <v>3822.4570249898043</v>
      </c>
      <c r="E1001" s="56">
        <f>E973</f>
        <v>0.03</v>
      </c>
      <c r="F1001" s="53">
        <f>E1001*D1001</f>
        <v>114.67371074969412</v>
      </c>
    </row>
    <row r="1002" spans="1:6" ht="18.75" customHeight="1">
      <c r="A1002" s="7"/>
      <c r="B1002" s="52" t="s">
        <v>44</v>
      </c>
      <c r="C1002" s="7"/>
      <c r="D1002" s="7"/>
      <c r="E1002" s="7"/>
      <c r="F1002" s="53">
        <f>SUM(F1000:F1001)</f>
        <v>3937.1307357394985</v>
      </c>
    </row>
    <row r="1003" spans="1:6" ht="19.5">
      <c r="A1003" s="461" t="s">
        <v>813</v>
      </c>
      <c r="B1003" s="461"/>
      <c r="C1003" s="461"/>
      <c r="D1003" s="461"/>
      <c r="E1003" s="461"/>
      <c r="F1003" s="461"/>
    </row>
    <row r="1004" spans="1:6" ht="18.75" customHeight="1">
      <c r="A1004" s="462" t="s">
        <v>1215</v>
      </c>
      <c r="B1004" s="462"/>
      <c r="C1004" s="462"/>
      <c r="D1004" s="462"/>
      <c r="E1004" s="462"/>
      <c r="F1004" s="462"/>
    </row>
    <row r="1005" spans="1:6" ht="18.75" customHeight="1">
      <c r="A1005" s="47" t="s">
        <v>815</v>
      </c>
      <c r="B1005" s="49">
        <v>2182</v>
      </c>
      <c r="D1005" s="46"/>
      <c r="E1005" s="47" t="s">
        <v>169</v>
      </c>
      <c r="F1005" s="49" t="s">
        <v>869</v>
      </c>
    </row>
    <row r="1006" spans="1:6" ht="18.75" customHeight="1">
      <c r="A1006" s="50" t="s">
        <v>1200</v>
      </c>
      <c r="B1006" s="476"/>
      <c r="C1006" s="476"/>
      <c r="D1006" s="476"/>
      <c r="E1006" s="476"/>
      <c r="F1006" s="476"/>
    </row>
    <row r="1007" spans="1:6" ht="18.75" customHeight="1">
      <c r="A1007" s="7" t="s">
        <v>1</v>
      </c>
      <c r="B1007" s="52" t="s">
        <v>344</v>
      </c>
      <c r="C1007" s="7" t="s">
        <v>818</v>
      </c>
      <c r="D1007" s="7" t="s">
        <v>819</v>
      </c>
      <c r="E1007" s="7" t="s">
        <v>820</v>
      </c>
      <c r="F1007" s="7" t="s">
        <v>821</v>
      </c>
    </row>
    <row r="1008" spans="1:6" ht="18.75" customHeight="1">
      <c r="A1008" s="7">
        <v>1</v>
      </c>
      <c r="B1008" s="52" t="s">
        <v>822</v>
      </c>
      <c r="C1008" s="7"/>
      <c r="D1008" s="7"/>
      <c r="E1008" s="7"/>
      <c r="F1008" s="53">
        <f>F1009+F1024+F1025</f>
        <v>9578.7411369658184</v>
      </c>
    </row>
    <row r="1009" spans="1:6" ht="18.75" customHeight="1">
      <c r="A1009" s="7">
        <v>1.1000000000000001</v>
      </c>
      <c r="B1009" s="52" t="s">
        <v>823</v>
      </c>
      <c r="C1009" s="7"/>
      <c r="D1009" s="7"/>
      <c r="E1009" s="7"/>
      <c r="F1009" s="53">
        <f>F1010+F1013+F1019</f>
        <v>9140.0201688605139</v>
      </c>
    </row>
    <row r="1010" spans="1:6" ht="18.75" customHeight="1">
      <c r="A1010" s="7" t="s">
        <v>47</v>
      </c>
      <c r="B1010" s="52" t="s">
        <v>176</v>
      </c>
      <c r="C1010" s="7"/>
      <c r="D1010" s="7"/>
      <c r="E1010" s="7"/>
      <c r="F1010" s="53">
        <f>F1011+F1012</f>
        <v>4265.8230000000003</v>
      </c>
    </row>
    <row r="1011" spans="1:6" ht="18.75" customHeight="1">
      <c r="A1011" s="7"/>
      <c r="B1011" s="52" t="s">
        <v>824</v>
      </c>
      <c r="C1011" s="7" t="s">
        <v>825</v>
      </c>
      <c r="D1011" s="7">
        <v>8.1</v>
      </c>
      <c r="E1011" s="7">
        <v>254.6</v>
      </c>
      <c r="F1011" s="53">
        <f>D1011*E1011</f>
        <v>2062.2600000000002</v>
      </c>
    </row>
    <row r="1012" spans="1:6" ht="18.75" customHeight="1">
      <c r="A1012" s="7"/>
      <c r="B1012" s="52" t="s">
        <v>826</v>
      </c>
      <c r="C1012" s="7" t="s">
        <v>825</v>
      </c>
      <c r="D1012" s="7">
        <v>5.77</v>
      </c>
      <c r="E1012" s="7">
        <v>381.9</v>
      </c>
      <c r="F1012" s="53">
        <f>D1012*E1012</f>
        <v>2203.5630000000001</v>
      </c>
    </row>
    <row r="1013" spans="1:6" ht="18.75" customHeight="1">
      <c r="A1013" s="7" t="s">
        <v>57</v>
      </c>
      <c r="B1013" s="52" t="s">
        <v>177</v>
      </c>
      <c r="C1013" s="7"/>
      <c r="D1013" s="7"/>
      <c r="E1013" s="7"/>
      <c r="F1013" s="53">
        <f>F1014+F1015+F1016+F1017+F1018</f>
        <v>3299.3272000000002</v>
      </c>
    </row>
    <row r="1014" spans="1:6" ht="18.75" customHeight="1">
      <c r="A1014" s="7"/>
      <c r="B1014" s="52" t="s">
        <v>379</v>
      </c>
      <c r="C1014" s="7" t="s">
        <v>141</v>
      </c>
      <c r="D1014" s="7">
        <f>[2]次要材料汇总!$F$13</f>
        <v>120</v>
      </c>
      <c r="E1014" s="7">
        <v>8.61</v>
      </c>
      <c r="F1014" s="53">
        <f>D1014*E1014</f>
        <v>1033.2</v>
      </c>
    </row>
    <row r="1015" spans="1:6" ht="18.75" customHeight="1">
      <c r="A1015" s="7"/>
      <c r="B1015" s="52" t="s">
        <v>1206</v>
      </c>
      <c r="C1015" s="7" t="s">
        <v>829</v>
      </c>
      <c r="D1015" s="7">
        <f>[2]次要材料汇总!$F$17</f>
        <v>6</v>
      </c>
      <c r="E1015" s="7">
        <v>233.8</v>
      </c>
      <c r="F1015" s="53">
        <f>D1015*E1015</f>
        <v>1402.8</v>
      </c>
    </row>
    <row r="1016" spans="1:6" ht="18.75" customHeight="1">
      <c r="A1016" s="7"/>
      <c r="B1016" s="52" t="s">
        <v>1207</v>
      </c>
      <c r="C1016" s="7" t="s">
        <v>141</v>
      </c>
      <c r="D1016" s="7">
        <f>[2]次要材料汇总!$F$18</f>
        <v>0.8</v>
      </c>
      <c r="E1016" s="7">
        <v>458.1</v>
      </c>
      <c r="F1016" s="53">
        <f>D1016*E1016</f>
        <v>366.48</v>
      </c>
    </row>
    <row r="1017" spans="1:6" ht="18.75" customHeight="1">
      <c r="A1017" s="7"/>
      <c r="B1017" s="52" t="s">
        <v>1208</v>
      </c>
      <c r="C1017" s="7" t="s">
        <v>49</v>
      </c>
      <c r="D1017" s="7">
        <f>[2]次要材料汇总!$F$19</f>
        <v>0.5</v>
      </c>
      <c r="E1017" s="7">
        <v>739.9</v>
      </c>
      <c r="F1017" s="53">
        <f>D1017*E1017</f>
        <v>369.95</v>
      </c>
    </row>
    <row r="1018" spans="1:6" ht="18.75" customHeight="1">
      <c r="A1018" s="7"/>
      <c r="B1018" s="52" t="s">
        <v>833</v>
      </c>
      <c r="C1018" s="7" t="s">
        <v>834</v>
      </c>
      <c r="D1018" s="7">
        <f>F1014+F1015+F1016+F1017</f>
        <v>3172.43</v>
      </c>
      <c r="E1018" s="7">
        <v>4</v>
      </c>
      <c r="F1018" s="53">
        <f>D1018*E1018/100</f>
        <v>126.8972</v>
      </c>
    </row>
    <row r="1019" spans="1:6" ht="18.75" customHeight="1">
      <c r="A1019" s="7" t="s">
        <v>835</v>
      </c>
      <c r="B1019" s="52" t="s">
        <v>932</v>
      </c>
      <c r="C1019" s="7"/>
      <c r="D1019" s="7"/>
      <c r="E1019" s="7"/>
      <c r="F1019" s="53">
        <f>F1020+F1022</f>
        <v>1574.8699688605134</v>
      </c>
    </row>
    <row r="1020" spans="1:6" ht="18.75" customHeight="1">
      <c r="A1020" s="7"/>
      <c r="B1020" s="52" t="s">
        <v>1209</v>
      </c>
      <c r="C1020" s="7" t="s">
        <v>863</v>
      </c>
      <c r="D1020" s="7">
        <f>施工机械台时汇总!$C$81</f>
        <v>24.948267920094001</v>
      </c>
      <c r="E1020" s="7">
        <v>59.67</v>
      </c>
      <c r="F1020" s="53">
        <f>D1020*E1020</f>
        <v>1488.663146792009</v>
      </c>
    </row>
    <row r="1021" spans="1:6" ht="18.75" customHeight="1">
      <c r="A1021" s="7"/>
      <c r="B1021" s="52" t="s">
        <v>1216</v>
      </c>
      <c r="C1021" s="7" t="s">
        <v>863</v>
      </c>
      <c r="D1021" s="7">
        <f>施工机械台时汇总!$C$88</f>
        <v>17.647831179005102</v>
      </c>
      <c r="E1021" s="7">
        <f>23.17*1.63</f>
        <v>37.767099999999999</v>
      </c>
      <c r="F1021" s="53">
        <f>D1021*E1021</f>
        <v>666.50740492060356</v>
      </c>
    </row>
    <row r="1022" spans="1:6" ht="18.75" customHeight="1">
      <c r="A1022" s="7"/>
      <c r="B1022" s="52" t="s">
        <v>840</v>
      </c>
      <c r="C1022" s="7" t="s">
        <v>834</v>
      </c>
      <c r="D1022" s="66">
        <f>F1020+F1021</f>
        <v>2155.1705517126125</v>
      </c>
      <c r="E1022" s="7">
        <v>4</v>
      </c>
      <c r="F1022" s="53">
        <f>D1022*E1022/100</f>
        <v>86.206822068504493</v>
      </c>
    </row>
    <row r="1023" spans="1:6" ht="18.75" customHeight="1">
      <c r="A1023" s="7"/>
      <c r="B1023" s="52"/>
      <c r="C1023" s="7"/>
      <c r="D1023" s="7"/>
      <c r="E1023" s="7"/>
      <c r="F1023" s="53"/>
    </row>
    <row r="1024" spans="1:6" ht="18.75" customHeight="1">
      <c r="A1024" s="7">
        <v>1.2</v>
      </c>
      <c r="B1024" s="52" t="s">
        <v>841</v>
      </c>
      <c r="C1024" s="7"/>
      <c r="D1024" s="53">
        <f>F1009</f>
        <v>9140.0201688605139</v>
      </c>
      <c r="E1024" s="56">
        <f>E995</f>
        <v>4.8000000000000001E-2</v>
      </c>
      <c r="F1024" s="53">
        <f>D1024*E1024</f>
        <v>438.72096810530468</v>
      </c>
    </row>
    <row r="1025" spans="1:6" ht="18.75" customHeight="1">
      <c r="A1025" s="7">
        <v>1.3</v>
      </c>
      <c r="B1025" s="52" t="s">
        <v>842</v>
      </c>
      <c r="C1025" s="7"/>
      <c r="D1025" s="53">
        <f>F1009</f>
        <v>9140.0201688605139</v>
      </c>
      <c r="E1025" s="56">
        <f>E996</f>
        <v>0</v>
      </c>
      <c r="F1025" s="53">
        <f>D1025*E1025</f>
        <v>0</v>
      </c>
    </row>
    <row r="1026" spans="1:6" ht="18.75" customHeight="1">
      <c r="A1026" s="7">
        <v>2</v>
      </c>
      <c r="B1026" s="52" t="s">
        <v>182</v>
      </c>
      <c r="C1026" s="7"/>
      <c r="D1026" s="53">
        <f>F1008</f>
        <v>9578.7411369658184</v>
      </c>
      <c r="E1026" s="56">
        <f>E997</f>
        <v>8.5000000000000006E-2</v>
      </c>
      <c r="F1026" s="53">
        <f>D1026*E1026</f>
        <v>814.19299664209461</v>
      </c>
    </row>
    <row r="1027" spans="1:6" ht="18.75" customHeight="1">
      <c r="A1027" s="7">
        <v>3</v>
      </c>
      <c r="B1027" s="52" t="s">
        <v>843</v>
      </c>
      <c r="C1027" s="7"/>
      <c r="D1027" s="53">
        <f>F1008+F1026</f>
        <v>10392.934133607912</v>
      </c>
      <c r="E1027" s="56">
        <f>E998</f>
        <v>7.0000000000000007E-2</v>
      </c>
      <c r="F1027" s="53">
        <f>D1027*E1027</f>
        <v>727.50538935255395</v>
      </c>
    </row>
    <row r="1028" spans="1:6" ht="18.75" customHeight="1">
      <c r="A1028" s="7">
        <v>4</v>
      </c>
      <c r="B1028" s="52" t="s">
        <v>845</v>
      </c>
      <c r="C1028" s="7"/>
      <c r="D1028" s="53">
        <f>F1008+F1026+F1027</f>
        <v>11120.439522960467</v>
      </c>
      <c r="E1028" s="56">
        <f>E999</f>
        <v>0.09</v>
      </c>
      <c r="F1028" s="53">
        <f>D1028*E1028</f>
        <v>1000.839557066442</v>
      </c>
    </row>
    <row r="1029" spans="1:6" ht="18.75" customHeight="1">
      <c r="A1029" s="7">
        <v>5</v>
      </c>
      <c r="B1029" s="52" t="s">
        <v>7</v>
      </c>
      <c r="C1029" s="7"/>
      <c r="D1029" s="7"/>
      <c r="E1029" s="7"/>
      <c r="F1029" s="53">
        <f>F1008+F1026+F1027+F1028</f>
        <v>12121.279080026909</v>
      </c>
    </row>
    <row r="1030" spans="1:6" ht="18.75" customHeight="1">
      <c r="A1030" s="7"/>
      <c r="B1030" s="52" t="s">
        <v>846</v>
      </c>
      <c r="C1030" s="7"/>
      <c r="D1030" s="53">
        <f>F1029</f>
        <v>12121.279080026909</v>
      </c>
      <c r="E1030" s="56">
        <f>E1001</f>
        <v>0.03</v>
      </c>
      <c r="F1030" s="53">
        <f>E1030*D1030</f>
        <v>363.63837240080727</v>
      </c>
    </row>
    <row r="1031" spans="1:6" ht="18.75" customHeight="1">
      <c r="A1031" s="7"/>
      <c r="B1031" s="52" t="s">
        <v>44</v>
      </c>
      <c r="C1031" s="7"/>
      <c r="D1031" s="7"/>
      <c r="E1031" s="7"/>
      <c r="F1031" s="53">
        <f>SUM(F1029:F1030)</f>
        <v>12484.917452427715</v>
      </c>
    </row>
    <row r="1032" spans="1:6" ht="22.5" customHeight="1">
      <c r="A1032" s="461" t="s">
        <v>813</v>
      </c>
      <c r="B1032" s="461"/>
      <c r="C1032" s="461"/>
      <c r="D1032" s="461"/>
      <c r="E1032" s="461"/>
      <c r="F1032" s="461"/>
    </row>
    <row r="1033" spans="1:6" ht="18.75" customHeight="1">
      <c r="A1033" s="462" t="s">
        <v>1217</v>
      </c>
      <c r="B1033" s="462"/>
      <c r="C1033" s="462"/>
      <c r="D1033" s="462"/>
      <c r="E1033" s="462"/>
      <c r="F1033" s="462"/>
    </row>
    <row r="1034" spans="1:6" ht="18.75" customHeight="1">
      <c r="A1034" s="47" t="s">
        <v>815</v>
      </c>
      <c r="B1034" s="71" t="s">
        <v>1218</v>
      </c>
      <c r="D1034" s="46"/>
      <c r="E1034" s="47" t="s">
        <v>169</v>
      </c>
      <c r="F1034" s="49" t="s">
        <v>869</v>
      </c>
    </row>
    <row r="1035" spans="1:6" ht="18.75" customHeight="1">
      <c r="A1035" s="50" t="s">
        <v>1200</v>
      </c>
      <c r="B1035" s="484" t="s">
        <v>1219</v>
      </c>
      <c r="C1035" s="485"/>
      <c r="D1035" s="485"/>
      <c r="E1035" s="485"/>
      <c r="F1035" s="486"/>
    </row>
    <row r="1036" spans="1:6" ht="18.75" customHeight="1">
      <c r="A1036" s="7" t="s">
        <v>1</v>
      </c>
      <c r="B1036" s="52" t="s">
        <v>344</v>
      </c>
      <c r="C1036" s="7" t="s">
        <v>818</v>
      </c>
      <c r="D1036" s="7" t="s">
        <v>819</v>
      </c>
      <c r="E1036" s="7" t="s">
        <v>820</v>
      </c>
      <c r="F1036" s="7" t="s">
        <v>821</v>
      </c>
    </row>
    <row r="1037" spans="1:6" ht="18.75" customHeight="1">
      <c r="A1037" s="7">
        <v>1</v>
      </c>
      <c r="B1037" s="52" t="s">
        <v>822</v>
      </c>
      <c r="C1037" s="7"/>
      <c r="D1037" s="7"/>
      <c r="E1037" s="7"/>
      <c r="F1037" s="53">
        <f>F1038+F1044+F1045</f>
        <v>4912.2052014385299</v>
      </c>
    </row>
    <row r="1038" spans="1:6" ht="18.75" customHeight="1">
      <c r="A1038" s="7">
        <v>1.1000000000000001</v>
      </c>
      <c r="B1038" s="52" t="s">
        <v>823</v>
      </c>
      <c r="C1038" s="7"/>
      <c r="D1038" s="7"/>
      <c r="E1038" s="7"/>
      <c r="F1038" s="53">
        <f>F1039+F1040+F1042</f>
        <v>4687.2187036627192</v>
      </c>
    </row>
    <row r="1039" spans="1:6" ht="18.75" customHeight="1">
      <c r="A1039" s="7" t="s">
        <v>47</v>
      </c>
      <c r="B1039" s="52" t="s">
        <v>1143</v>
      </c>
      <c r="C1039" s="7" t="s">
        <v>825</v>
      </c>
      <c r="D1039" s="7">
        <v>5.77</v>
      </c>
      <c r="E1039" s="7">
        <f>343.8*1.45</f>
        <v>498.51</v>
      </c>
      <c r="F1039" s="53">
        <f>D1039*E1039</f>
        <v>2876.4027000000001</v>
      </c>
    </row>
    <row r="1040" spans="1:6" ht="18.75" customHeight="1">
      <c r="A1040" s="7" t="s">
        <v>57</v>
      </c>
      <c r="B1040" s="52" t="s">
        <v>836</v>
      </c>
      <c r="C1040" s="7"/>
      <c r="D1040" s="7"/>
      <c r="E1040" s="7"/>
      <c r="F1040" s="53">
        <f>F1041</f>
        <v>1764.4078976858602</v>
      </c>
    </row>
    <row r="1041" spans="1:6" ht="18.75" customHeight="1">
      <c r="A1041" s="7"/>
      <c r="B1041" s="52" t="s">
        <v>1220</v>
      </c>
      <c r="C1041" s="7" t="s">
        <v>863</v>
      </c>
      <c r="D1041" s="7">
        <f>施工机械台时汇总!$C$13</f>
        <v>15.877257735996871</v>
      </c>
      <c r="E1041" s="7">
        <f>(69.44+3.6*2)*1.45</f>
        <v>111.128</v>
      </c>
      <c r="F1041" s="53">
        <f>D1041*E1041</f>
        <v>1764.4078976858602</v>
      </c>
    </row>
    <row r="1042" spans="1:6" ht="18.75" customHeight="1">
      <c r="A1042" s="7" t="s">
        <v>835</v>
      </c>
      <c r="B1042" s="52" t="s">
        <v>864</v>
      </c>
      <c r="C1042" s="7" t="s">
        <v>834</v>
      </c>
      <c r="D1042" s="66">
        <f>F1039+F1040</f>
        <v>4640.8105976858606</v>
      </c>
      <c r="E1042" s="7">
        <v>1</v>
      </c>
      <c r="F1042" s="53">
        <f>D1042*E1042/100</f>
        <v>46.408105976858607</v>
      </c>
    </row>
    <row r="1043" spans="1:6" ht="18.75" customHeight="1">
      <c r="A1043" s="7"/>
      <c r="B1043" s="52"/>
      <c r="C1043" s="7"/>
      <c r="D1043" s="7"/>
      <c r="E1043" s="7"/>
      <c r="F1043" s="53"/>
    </row>
    <row r="1044" spans="1:6" ht="18.75" customHeight="1">
      <c r="A1044" s="7">
        <v>1.2</v>
      </c>
      <c r="B1044" s="52" t="s">
        <v>841</v>
      </c>
      <c r="C1044" s="7"/>
      <c r="D1044" s="53">
        <f>F1038</f>
        <v>4687.2187036627192</v>
      </c>
      <c r="E1044" s="56">
        <f>E1024</f>
        <v>4.8000000000000001E-2</v>
      </c>
      <c r="F1044" s="53">
        <f>D1044*E1044</f>
        <v>224.98649777581053</v>
      </c>
    </row>
    <row r="1045" spans="1:6" ht="18.75" customHeight="1">
      <c r="A1045" s="7">
        <v>1.3</v>
      </c>
      <c r="B1045" s="52" t="s">
        <v>842</v>
      </c>
      <c r="C1045" s="7"/>
      <c r="D1045" s="53">
        <f>F1038</f>
        <v>4687.2187036627192</v>
      </c>
      <c r="E1045" s="56">
        <f>E1025</f>
        <v>0</v>
      </c>
      <c r="F1045" s="53">
        <f>D1045*E1045</f>
        <v>0</v>
      </c>
    </row>
    <row r="1046" spans="1:6" ht="18.75" customHeight="1">
      <c r="A1046" s="7">
        <v>2</v>
      </c>
      <c r="B1046" s="52" t="s">
        <v>182</v>
      </c>
      <c r="C1046" s="7"/>
      <c r="D1046" s="53">
        <f>F1037</f>
        <v>4912.2052014385299</v>
      </c>
      <c r="E1046" s="56">
        <f>E1026</f>
        <v>8.5000000000000006E-2</v>
      </c>
      <c r="F1046" s="53">
        <f>D1046*E1046</f>
        <v>417.53744212227508</v>
      </c>
    </row>
    <row r="1047" spans="1:6" ht="18.75" customHeight="1">
      <c r="A1047" s="7">
        <v>3</v>
      </c>
      <c r="B1047" s="52" t="s">
        <v>843</v>
      </c>
      <c r="C1047" s="7"/>
      <c r="D1047" s="53">
        <f>F1037+F1046</f>
        <v>5329.7426435608049</v>
      </c>
      <c r="E1047" s="56">
        <f>E1027</f>
        <v>7.0000000000000007E-2</v>
      </c>
      <c r="F1047" s="53">
        <f>D1047*E1047</f>
        <v>373.08198504925639</v>
      </c>
    </row>
    <row r="1048" spans="1:6" ht="18.75" customHeight="1">
      <c r="A1048" s="7">
        <v>4</v>
      </c>
      <c r="B1048" s="52" t="s">
        <v>184</v>
      </c>
      <c r="C1048" s="7"/>
      <c r="D1048" s="7"/>
      <c r="E1048" s="7"/>
      <c r="F1048" s="53">
        <f>F1049</f>
        <v>663.10077599999988</v>
      </c>
    </row>
    <row r="1049" spans="1:6" ht="18.75" customHeight="1">
      <c r="A1049" s="7"/>
      <c r="B1049" s="52" t="s">
        <v>516</v>
      </c>
      <c r="C1049" s="7"/>
      <c r="D1049" s="7">
        <f>B2</f>
        <v>3.51</v>
      </c>
      <c r="E1049" s="66">
        <f>E1041*台时!M22</f>
        <v>188.91759999999999</v>
      </c>
      <c r="F1049" s="53">
        <f>D1049*E1049</f>
        <v>663.10077599999988</v>
      </c>
    </row>
    <row r="1050" spans="1:6" ht="18.75" customHeight="1">
      <c r="A1050" s="7">
        <v>5</v>
      </c>
      <c r="B1050" s="52" t="s">
        <v>845</v>
      </c>
      <c r="C1050" s="7"/>
      <c r="D1050" s="53">
        <f>F1037+F1046+F1047+F1048</f>
        <v>6365.9254046100614</v>
      </c>
      <c r="E1050" s="56">
        <f>E1028</f>
        <v>0.09</v>
      </c>
      <c r="F1050" s="53">
        <f>D1050*E1050</f>
        <v>572.93328641490552</v>
      </c>
    </row>
    <row r="1051" spans="1:6" ht="18.75" customHeight="1">
      <c r="A1051" s="7">
        <v>6</v>
      </c>
      <c r="B1051" s="52" t="s">
        <v>7</v>
      </c>
      <c r="C1051" s="7"/>
      <c r="D1051" s="7"/>
      <c r="E1051" s="7"/>
      <c r="F1051" s="53">
        <f>F1037+F1046+F1047+F1048+F1050</f>
        <v>6938.8586910249669</v>
      </c>
    </row>
    <row r="1052" spans="1:6" ht="18.75" customHeight="1">
      <c r="A1052" s="7"/>
      <c r="B1052" s="52" t="s">
        <v>846</v>
      </c>
      <c r="C1052" s="7"/>
      <c r="D1052" s="53">
        <f>F1051</f>
        <v>6938.8586910249669</v>
      </c>
      <c r="E1052" s="56">
        <f>E1030</f>
        <v>0.03</v>
      </c>
      <c r="F1052" s="53">
        <f>E1052*D1052</f>
        <v>208.16576073074899</v>
      </c>
    </row>
    <row r="1053" spans="1:6" ht="18.75" customHeight="1">
      <c r="A1053" s="7"/>
      <c r="B1053" s="52" t="s">
        <v>44</v>
      </c>
      <c r="C1053" s="7"/>
      <c r="D1053" s="7"/>
      <c r="E1053" s="7"/>
      <c r="F1053" s="53">
        <f>SUM(F1051:F1052)</f>
        <v>7147.0244517557157</v>
      </c>
    </row>
  </sheetData>
  <mergeCells count="121">
    <mergeCell ref="B1006:F1006"/>
    <mergeCell ref="A1032:F1032"/>
    <mergeCell ref="A1033:F1033"/>
    <mergeCell ref="B1035:F1035"/>
    <mergeCell ref="B922:F922"/>
    <mergeCell ref="A947:F947"/>
    <mergeCell ref="A948:F948"/>
    <mergeCell ref="B950:F950"/>
    <mergeCell ref="A975:F975"/>
    <mergeCell ref="A976:F976"/>
    <mergeCell ref="B978:F978"/>
    <mergeCell ref="A1003:F1003"/>
    <mergeCell ref="A1004:F1004"/>
    <mergeCell ref="B838:F838"/>
    <mergeCell ref="A863:F863"/>
    <mergeCell ref="A864:F864"/>
    <mergeCell ref="B866:F866"/>
    <mergeCell ref="A891:F891"/>
    <mergeCell ref="A892:F892"/>
    <mergeCell ref="B894:F894"/>
    <mergeCell ref="A919:F919"/>
    <mergeCell ref="A920:F920"/>
    <mergeCell ref="B776:F776"/>
    <mergeCell ref="A797:F797"/>
    <mergeCell ref="A798:F798"/>
    <mergeCell ref="B800:F800"/>
    <mergeCell ref="A821:F821"/>
    <mergeCell ref="A822:F822"/>
    <mergeCell ref="B824:F824"/>
    <mergeCell ref="A835:F835"/>
    <mergeCell ref="A836:F836"/>
    <mergeCell ref="A691:F691"/>
    <mergeCell ref="A692:F692"/>
    <mergeCell ref="B694:F694"/>
    <mergeCell ref="A721:F721"/>
    <mergeCell ref="A722:F722"/>
    <mergeCell ref="A747:F747"/>
    <mergeCell ref="A748:F748"/>
    <mergeCell ref="A773:F773"/>
    <mergeCell ref="A774:F774"/>
    <mergeCell ref="A587:F587"/>
    <mergeCell ref="A588:F588"/>
    <mergeCell ref="B590:F590"/>
    <mergeCell ref="A617:F617"/>
    <mergeCell ref="A618:F618"/>
    <mergeCell ref="B620:F620"/>
    <mergeCell ref="A648:F648"/>
    <mergeCell ref="A649:F649"/>
    <mergeCell ref="B651:F651"/>
    <mergeCell ref="A519:F519"/>
    <mergeCell ref="A520:F520"/>
    <mergeCell ref="B522:F522"/>
    <mergeCell ref="A544:F544"/>
    <mergeCell ref="A545:F545"/>
    <mergeCell ref="B547:F547"/>
    <mergeCell ref="A566:F566"/>
    <mergeCell ref="A567:F567"/>
    <mergeCell ref="B569:F569"/>
    <mergeCell ref="A445:F445"/>
    <mergeCell ref="A446:F446"/>
    <mergeCell ref="B448:F448"/>
    <mergeCell ref="A470:F470"/>
    <mergeCell ref="A471:F471"/>
    <mergeCell ref="B473:F473"/>
    <mergeCell ref="A492:F492"/>
    <mergeCell ref="A493:F493"/>
    <mergeCell ref="B495:F495"/>
    <mergeCell ref="A379:F379"/>
    <mergeCell ref="A380:F380"/>
    <mergeCell ref="B382:F382"/>
    <mergeCell ref="A401:F401"/>
    <mergeCell ref="A402:F402"/>
    <mergeCell ref="B404:F404"/>
    <mergeCell ref="A423:F423"/>
    <mergeCell ref="A424:F424"/>
    <mergeCell ref="B426:F426"/>
    <mergeCell ref="A313:F313"/>
    <mergeCell ref="A314:F314"/>
    <mergeCell ref="B316:F316"/>
    <mergeCell ref="A335:F335"/>
    <mergeCell ref="A336:F336"/>
    <mergeCell ref="B338:F338"/>
    <mergeCell ref="A357:F357"/>
    <mergeCell ref="A358:F358"/>
    <mergeCell ref="B360:F360"/>
    <mergeCell ref="A247:F247"/>
    <mergeCell ref="A248:F248"/>
    <mergeCell ref="B250:F250"/>
    <mergeCell ref="A269:F269"/>
    <mergeCell ref="A270:F270"/>
    <mergeCell ref="B272:F272"/>
    <mergeCell ref="A291:F291"/>
    <mergeCell ref="A292:F292"/>
    <mergeCell ref="B294:F294"/>
    <mergeCell ref="A151:F151"/>
    <mergeCell ref="A152:F152"/>
    <mergeCell ref="B154:F154"/>
    <mergeCell ref="A175:F175"/>
    <mergeCell ref="A176:F176"/>
    <mergeCell ref="A199:F199"/>
    <mergeCell ref="A200:F200"/>
    <mergeCell ref="A223:F223"/>
    <mergeCell ref="A224:F224"/>
    <mergeCell ref="A79:F79"/>
    <mergeCell ref="A80:F80"/>
    <mergeCell ref="B82:F82"/>
    <mergeCell ref="A103:F103"/>
    <mergeCell ref="A104:F104"/>
    <mergeCell ref="B106:F106"/>
    <mergeCell ref="A127:F127"/>
    <mergeCell ref="A128:F128"/>
    <mergeCell ref="B130:F130"/>
    <mergeCell ref="A3:F3"/>
    <mergeCell ref="A4:F4"/>
    <mergeCell ref="B6:F6"/>
    <mergeCell ref="A29:F29"/>
    <mergeCell ref="A30:F30"/>
    <mergeCell ref="B32:F32"/>
    <mergeCell ref="A55:F55"/>
    <mergeCell ref="A56:F56"/>
    <mergeCell ref="B58:F58"/>
  </mergeCells>
  <phoneticPr fontId="79" type="noConversion"/>
  <printOptions horizontalCentered="1"/>
  <pageMargins left="0.94444444444444398" right="0.74791666666666701" top="0.98402777777777795" bottom="0.98402777777777795" header="0.51180555555555596" footer="0.51180555555555596"/>
  <pageSetup paperSize="9" orientation="portrait" horizontalDpi="1200" verticalDpi="1200"/>
  <headerFooter alignWithMargins="0"/>
</worksheet>
</file>

<file path=xl/worksheets/sheet18.xml><?xml version="1.0" encoding="utf-8"?>
<worksheet xmlns="http://schemas.openxmlformats.org/spreadsheetml/2006/main" xmlns:r="http://schemas.openxmlformats.org/officeDocument/2006/relationships">
  <dimension ref="A1:F66"/>
  <sheetViews>
    <sheetView workbookViewId="0">
      <selection activeCell="D55" sqref="D55"/>
    </sheetView>
  </sheetViews>
  <sheetFormatPr defaultColWidth="9" defaultRowHeight="14.25"/>
  <cols>
    <col min="2" max="2" width="20.375" customWidth="1"/>
    <col min="3" max="6" width="9.875" customWidth="1"/>
  </cols>
  <sheetData>
    <row r="1" spans="1:6" ht="22.5" customHeight="1">
      <c r="A1" s="461" t="s">
        <v>813</v>
      </c>
      <c r="B1" s="461"/>
      <c r="C1" s="461"/>
      <c r="D1" s="461"/>
      <c r="E1" s="461"/>
      <c r="F1" s="461"/>
    </row>
    <row r="2" spans="1:6" ht="18.75" customHeight="1">
      <c r="A2" s="462" t="s">
        <v>1221</v>
      </c>
      <c r="B2" s="462"/>
      <c r="C2" s="462"/>
      <c r="D2" s="462"/>
      <c r="E2" s="462"/>
      <c r="F2" s="462"/>
    </row>
    <row r="3" spans="1:6" ht="18.75" customHeight="1">
      <c r="A3" s="47" t="s">
        <v>815</v>
      </c>
      <c r="B3" s="48" t="s">
        <v>1222</v>
      </c>
      <c r="D3" s="46"/>
      <c r="E3" s="47" t="s">
        <v>169</v>
      </c>
      <c r="F3" s="49" t="s">
        <v>337</v>
      </c>
    </row>
    <row r="4" spans="1:6" ht="18.75" customHeight="1">
      <c r="A4" s="50" t="s">
        <v>817</v>
      </c>
      <c r="B4" s="476"/>
      <c r="C4" s="476"/>
      <c r="D4" s="476"/>
      <c r="E4" s="476"/>
      <c r="F4" s="476"/>
    </row>
    <row r="5" spans="1:6" ht="18.75" customHeight="1">
      <c r="A5" s="7" t="s">
        <v>1</v>
      </c>
      <c r="B5" s="52" t="s">
        <v>344</v>
      </c>
      <c r="C5" s="7" t="s">
        <v>818</v>
      </c>
      <c r="D5" s="7" t="s">
        <v>819</v>
      </c>
      <c r="E5" s="7" t="s">
        <v>820</v>
      </c>
      <c r="F5" s="7" t="s">
        <v>821</v>
      </c>
    </row>
    <row r="6" spans="1:6" ht="18.75" customHeight="1">
      <c r="A6" s="7">
        <v>1</v>
      </c>
      <c r="B6" s="52" t="s">
        <v>822</v>
      </c>
      <c r="C6" s="7"/>
      <c r="D6" s="7"/>
      <c r="E6" s="7"/>
      <c r="F6" s="53">
        <f>F7+F16+F17</f>
        <v>532.78098239999997</v>
      </c>
    </row>
    <row r="7" spans="1:6" ht="18.75" customHeight="1">
      <c r="A7" s="7">
        <v>1.1000000000000001</v>
      </c>
      <c r="B7" s="52" t="s">
        <v>823</v>
      </c>
      <c r="C7" s="7"/>
      <c r="D7" s="7"/>
      <c r="E7" s="7"/>
      <c r="F7" s="53">
        <f>F8+F11</f>
        <v>508.37880000000001</v>
      </c>
    </row>
    <row r="8" spans="1:6" ht="18.75" customHeight="1">
      <c r="A8" s="7" t="s">
        <v>47</v>
      </c>
      <c r="B8" s="52" t="s">
        <v>1177</v>
      </c>
      <c r="C8" s="7"/>
      <c r="D8" s="7"/>
      <c r="E8" s="7"/>
      <c r="F8" s="53">
        <f>F9+F10</f>
        <v>502.32</v>
      </c>
    </row>
    <row r="9" spans="1:6" ht="18.75" customHeight="1">
      <c r="A9" s="7"/>
      <c r="B9" s="52" t="s">
        <v>824</v>
      </c>
      <c r="C9" s="7" t="s">
        <v>825</v>
      </c>
      <c r="D9" s="7">
        <v>8.1</v>
      </c>
      <c r="E9" s="7">
        <v>15</v>
      </c>
      <c r="F9" s="53">
        <f>D9*E9</f>
        <v>121.5</v>
      </c>
    </row>
    <row r="10" spans="1:6" ht="18.75" customHeight="1">
      <c r="A10" s="7"/>
      <c r="B10" s="52" t="s">
        <v>826</v>
      </c>
      <c r="C10" s="7" t="s">
        <v>825</v>
      </c>
      <c r="D10" s="7">
        <v>5.77</v>
      </c>
      <c r="E10" s="7">
        <v>66</v>
      </c>
      <c r="F10" s="53">
        <f>D10*E10</f>
        <v>380.82</v>
      </c>
    </row>
    <row r="11" spans="1:6" ht="18.75" customHeight="1">
      <c r="A11" s="7" t="s">
        <v>57</v>
      </c>
      <c r="B11" s="52" t="s">
        <v>177</v>
      </c>
      <c r="C11" s="7"/>
      <c r="D11" s="54"/>
      <c r="E11" s="7"/>
      <c r="F11" s="53">
        <f>SUM(F12:F14)</f>
        <v>6.0587999999999997</v>
      </c>
    </row>
    <row r="12" spans="1:6" ht="18.75" customHeight="1">
      <c r="A12" s="7"/>
      <c r="B12" s="52" t="s">
        <v>1223</v>
      </c>
      <c r="C12" s="7" t="s">
        <v>1224</v>
      </c>
      <c r="D12" s="54">
        <v>2</v>
      </c>
      <c r="E12" s="7">
        <v>102</v>
      </c>
      <c r="F12" s="53"/>
    </row>
    <row r="13" spans="1:6" ht="18.75" customHeight="1">
      <c r="A13" s="7"/>
      <c r="B13" s="52" t="s">
        <v>806</v>
      </c>
      <c r="C13" s="7" t="s">
        <v>871</v>
      </c>
      <c r="D13" s="55">
        <f>材料预算价格表!K15</f>
        <v>3.88</v>
      </c>
      <c r="E13" s="7">
        <v>0.5</v>
      </c>
      <c r="F13" s="53">
        <f>E13*D13</f>
        <v>1.94</v>
      </c>
    </row>
    <row r="14" spans="1:6" ht="18.75" customHeight="1">
      <c r="A14" s="7"/>
      <c r="B14" s="52" t="s">
        <v>833</v>
      </c>
      <c r="C14" s="7" t="s">
        <v>834</v>
      </c>
      <c r="D14" s="7">
        <f>F13+E12*D12</f>
        <v>205.94</v>
      </c>
      <c r="E14" s="7">
        <v>2</v>
      </c>
      <c r="F14" s="54">
        <f>E14*D14/100</f>
        <v>4.1188000000000002</v>
      </c>
    </row>
    <row r="15" spans="1:6" ht="18.75" customHeight="1">
      <c r="A15" s="7"/>
      <c r="B15" s="52"/>
      <c r="C15" s="7"/>
      <c r="D15" s="7"/>
      <c r="E15" s="7"/>
      <c r="F15" s="53"/>
    </row>
    <row r="16" spans="1:6" ht="18.75" customHeight="1">
      <c r="A16" s="7">
        <v>1.2</v>
      </c>
      <c r="B16" s="52" t="s">
        <v>841</v>
      </c>
      <c r="C16" s="7"/>
      <c r="D16" s="53">
        <f>F7</f>
        <v>508.37880000000001</v>
      </c>
      <c r="E16" s="56">
        <f>取费!C14</f>
        <v>4.8000000000000001E-2</v>
      </c>
      <c r="F16" s="53">
        <f>D16*E16</f>
        <v>24.402182400000001</v>
      </c>
    </row>
    <row r="17" spans="1:6" ht="18.75" customHeight="1">
      <c r="A17" s="7">
        <v>1.3</v>
      </c>
      <c r="B17" s="52" t="s">
        <v>842</v>
      </c>
      <c r="C17" s="7"/>
      <c r="D17" s="53">
        <f>F7</f>
        <v>508.37880000000001</v>
      </c>
      <c r="E17" s="56">
        <f>取费!D14</f>
        <v>0</v>
      </c>
      <c r="F17" s="53">
        <f>D17*E17</f>
        <v>0</v>
      </c>
    </row>
    <row r="18" spans="1:6" ht="18.75" customHeight="1">
      <c r="A18" s="7">
        <v>2</v>
      </c>
      <c r="B18" s="52" t="s">
        <v>182</v>
      </c>
      <c r="C18" s="7"/>
      <c r="D18" s="53">
        <f>F6</f>
        <v>532.78098239999997</v>
      </c>
      <c r="E18" s="56">
        <f>取费!E14</f>
        <v>7.2499999999999995E-2</v>
      </c>
      <c r="F18" s="53">
        <f>D18*E18</f>
        <v>38.626621223999997</v>
      </c>
    </row>
    <row r="19" spans="1:6" ht="18.75" customHeight="1">
      <c r="A19" s="7">
        <v>3</v>
      </c>
      <c r="B19" s="52" t="s">
        <v>843</v>
      </c>
      <c r="C19" s="7"/>
      <c r="D19" s="53">
        <f>F6+F18</f>
        <v>571.40760362399999</v>
      </c>
      <c r="E19" s="56">
        <f>取费!F14</f>
        <v>7.0000000000000007E-2</v>
      </c>
      <c r="F19" s="53">
        <f>D19*E19</f>
        <v>39.998532253680004</v>
      </c>
    </row>
    <row r="20" spans="1:6" ht="18.75" customHeight="1">
      <c r="A20" s="7">
        <v>4</v>
      </c>
      <c r="B20" s="52" t="s">
        <v>845</v>
      </c>
      <c r="C20" s="7"/>
      <c r="D20" s="53">
        <f>D19+F19</f>
        <v>611.40613587767996</v>
      </c>
      <c r="E20" s="56">
        <f>取费!G14</f>
        <v>0.09</v>
      </c>
      <c r="F20" s="53">
        <f>D20*E20</f>
        <v>55.026552228991193</v>
      </c>
    </row>
    <row r="21" spans="1:6" ht="18.75" customHeight="1">
      <c r="A21" s="7">
        <v>5</v>
      </c>
      <c r="B21" s="52" t="s">
        <v>809</v>
      </c>
      <c r="C21" s="7"/>
      <c r="D21" s="7"/>
      <c r="E21" s="7"/>
      <c r="F21" s="53">
        <f>D20+F20</f>
        <v>666.43268810667109</v>
      </c>
    </row>
    <row r="22" spans="1:6" ht="18.75" customHeight="1">
      <c r="A22" s="7"/>
      <c r="B22" s="52" t="s">
        <v>846</v>
      </c>
      <c r="C22" s="7"/>
      <c r="D22" s="53">
        <f>F21</f>
        <v>666.43268810667109</v>
      </c>
      <c r="E22" s="56">
        <f>取费!H6</f>
        <v>0.03</v>
      </c>
      <c r="F22" s="53">
        <f>E22*D22</f>
        <v>19.992980643200131</v>
      </c>
    </row>
    <row r="23" spans="1:6" ht="18.75" customHeight="1">
      <c r="A23" s="7"/>
      <c r="B23" s="52" t="s">
        <v>7</v>
      </c>
      <c r="C23" s="7"/>
      <c r="D23" s="7"/>
      <c r="E23" s="7"/>
      <c r="F23" s="53">
        <f>SUM(F21:F22)</f>
        <v>686.42566874987119</v>
      </c>
    </row>
    <row r="24" spans="1:6" ht="22.5" customHeight="1">
      <c r="A24" s="461" t="s">
        <v>813</v>
      </c>
      <c r="B24" s="461"/>
      <c r="C24" s="461"/>
      <c r="D24" s="461"/>
      <c r="E24" s="461"/>
      <c r="F24" s="461"/>
    </row>
    <row r="25" spans="1:6" ht="18.75" customHeight="1">
      <c r="A25" s="462" t="s">
        <v>1225</v>
      </c>
      <c r="B25" s="462"/>
      <c r="C25" s="462"/>
      <c r="D25" s="462"/>
      <c r="E25" s="462"/>
      <c r="F25" s="462"/>
    </row>
    <row r="26" spans="1:6" ht="18.75" customHeight="1">
      <c r="A26" s="47" t="s">
        <v>815</v>
      </c>
      <c r="B26" s="48" t="s">
        <v>1226</v>
      </c>
      <c r="D26" s="46"/>
      <c r="E26" s="47" t="s">
        <v>169</v>
      </c>
      <c r="F26" s="49" t="s">
        <v>337</v>
      </c>
    </row>
    <row r="27" spans="1:6" ht="18.75" customHeight="1">
      <c r="A27" s="50" t="s">
        <v>817</v>
      </c>
      <c r="B27" s="476"/>
      <c r="C27" s="476"/>
      <c r="D27" s="476"/>
      <c r="E27" s="476"/>
      <c r="F27" s="476"/>
    </row>
    <row r="28" spans="1:6" ht="18.75" customHeight="1">
      <c r="A28" s="7" t="s">
        <v>1</v>
      </c>
      <c r="B28" s="52" t="s">
        <v>344</v>
      </c>
      <c r="C28" s="7" t="s">
        <v>818</v>
      </c>
      <c r="D28" s="7" t="s">
        <v>819</v>
      </c>
      <c r="E28" s="7" t="s">
        <v>820</v>
      </c>
      <c r="F28" s="7" t="s">
        <v>821</v>
      </c>
    </row>
    <row r="29" spans="1:6" ht="18.75" customHeight="1">
      <c r="A29" s="7">
        <v>1</v>
      </c>
      <c r="B29" s="52" t="s">
        <v>822</v>
      </c>
      <c r="C29" s="7"/>
      <c r="D29" s="7"/>
      <c r="E29" s="7"/>
      <c r="F29" s="53">
        <f>F30+F39+F40</f>
        <v>1340.5479424</v>
      </c>
    </row>
    <row r="30" spans="1:6" ht="18.75" customHeight="1">
      <c r="A30" s="7">
        <v>1.1000000000000001</v>
      </c>
      <c r="B30" s="52" t="s">
        <v>823</v>
      </c>
      <c r="C30" s="7"/>
      <c r="D30" s="7"/>
      <c r="E30" s="7"/>
      <c r="F30" s="53">
        <f>F31+F34</f>
        <v>1279.1487999999999</v>
      </c>
    </row>
    <row r="31" spans="1:6" ht="18.75" customHeight="1">
      <c r="A31" s="7" t="s">
        <v>47</v>
      </c>
      <c r="B31" s="52" t="s">
        <v>1177</v>
      </c>
      <c r="C31" s="7"/>
      <c r="D31" s="7"/>
      <c r="E31" s="7"/>
      <c r="F31" s="53">
        <f>F32+F33</f>
        <v>1154.77</v>
      </c>
    </row>
    <row r="32" spans="1:6" ht="18.75" customHeight="1">
      <c r="A32" s="7"/>
      <c r="B32" s="52" t="s">
        <v>824</v>
      </c>
      <c r="C32" s="7" t="s">
        <v>825</v>
      </c>
      <c r="D32" s="7">
        <v>8.1</v>
      </c>
      <c r="E32" s="7">
        <v>35</v>
      </c>
      <c r="F32" s="53">
        <f>D32*E32</f>
        <v>283.5</v>
      </c>
    </row>
    <row r="33" spans="1:6" ht="18.75" customHeight="1">
      <c r="A33" s="7"/>
      <c r="B33" s="52" t="s">
        <v>826</v>
      </c>
      <c r="C33" s="7" t="s">
        <v>825</v>
      </c>
      <c r="D33" s="7">
        <v>5.77</v>
      </c>
      <c r="E33" s="7">
        <v>151</v>
      </c>
      <c r="F33" s="53">
        <f>D33*E33</f>
        <v>871.27</v>
      </c>
    </row>
    <row r="34" spans="1:6" ht="18.75" customHeight="1">
      <c r="A34" s="7" t="s">
        <v>57</v>
      </c>
      <c r="B34" s="52" t="s">
        <v>177</v>
      </c>
      <c r="C34" s="7"/>
      <c r="D34" s="54"/>
      <c r="E34" s="7"/>
      <c r="F34" s="53">
        <f>SUM(F35:F37)</f>
        <v>124.37879999999998</v>
      </c>
    </row>
    <row r="35" spans="1:6" ht="18.75" customHeight="1">
      <c r="A35" s="7"/>
      <c r="B35" s="52" t="s">
        <v>1223</v>
      </c>
      <c r="C35" s="7" t="s">
        <v>1224</v>
      </c>
      <c r="D35" s="54">
        <v>60</v>
      </c>
      <c r="E35" s="7">
        <v>102</v>
      </c>
      <c r="F35" s="53"/>
    </row>
    <row r="36" spans="1:6" ht="18.75" customHeight="1">
      <c r="A36" s="7"/>
      <c r="B36" s="52" t="s">
        <v>806</v>
      </c>
      <c r="C36" s="7" t="s">
        <v>871</v>
      </c>
      <c r="D36" s="55">
        <f>材料预算价格表!K15</f>
        <v>3.88</v>
      </c>
      <c r="E36" s="7">
        <v>0.5</v>
      </c>
      <c r="F36" s="53">
        <f>E36*D36</f>
        <v>1.94</v>
      </c>
    </row>
    <row r="37" spans="1:6" ht="18.75" customHeight="1">
      <c r="A37" s="7"/>
      <c r="B37" s="52" t="s">
        <v>833</v>
      </c>
      <c r="C37" s="7" t="s">
        <v>834</v>
      </c>
      <c r="D37" s="7">
        <f>F36+E35*D35</f>
        <v>6121.94</v>
      </c>
      <c r="E37" s="7">
        <v>2</v>
      </c>
      <c r="F37" s="54">
        <f>E37*D37/100</f>
        <v>122.43879999999999</v>
      </c>
    </row>
    <row r="38" spans="1:6" ht="18.75" customHeight="1">
      <c r="A38" s="7"/>
      <c r="B38" s="52"/>
      <c r="C38" s="7"/>
      <c r="D38" s="7"/>
      <c r="E38" s="7"/>
      <c r="F38" s="53"/>
    </row>
    <row r="39" spans="1:6" ht="18.75" customHeight="1">
      <c r="A39" s="7">
        <v>1.2</v>
      </c>
      <c r="B39" s="52" t="s">
        <v>841</v>
      </c>
      <c r="C39" s="7"/>
      <c r="D39" s="53">
        <f>F30</f>
        <v>1279.1487999999999</v>
      </c>
      <c r="E39" s="56">
        <f>E16</f>
        <v>4.8000000000000001E-2</v>
      </c>
      <c r="F39" s="53">
        <f>D39*E39</f>
        <v>61.399142399999995</v>
      </c>
    </row>
    <row r="40" spans="1:6" ht="18.75" customHeight="1">
      <c r="A40" s="7">
        <v>1.3</v>
      </c>
      <c r="B40" s="52" t="s">
        <v>842</v>
      </c>
      <c r="C40" s="7"/>
      <c r="D40" s="53">
        <f>F30</f>
        <v>1279.1487999999999</v>
      </c>
      <c r="E40" s="56">
        <f>E17</f>
        <v>0</v>
      </c>
      <c r="F40" s="53">
        <f>D40*E40</f>
        <v>0</v>
      </c>
    </row>
    <row r="41" spans="1:6" ht="18.75" customHeight="1">
      <c r="A41" s="7">
        <v>2</v>
      </c>
      <c r="B41" s="52" t="s">
        <v>182</v>
      </c>
      <c r="C41" s="7"/>
      <c r="D41" s="53">
        <f>F29</f>
        <v>1340.5479424</v>
      </c>
      <c r="E41" s="56">
        <f>E18</f>
        <v>7.2499999999999995E-2</v>
      </c>
      <c r="F41" s="53">
        <f>D41*E41</f>
        <v>97.189725823999993</v>
      </c>
    </row>
    <row r="42" spans="1:6" ht="18.75" customHeight="1">
      <c r="A42" s="7">
        <v>3</v>
      </c>
      <c r="B42" s="52" t="s">
        <v>843</v>
      </c>
      <c r="C42" s="7"/>
      <c r="D42" s="53">
        <f>F29+F41</f>
        <v>1437.7376682240001</v>
      </c>
      <c r="E42" s="56">
        <f>E19</f>
        <v>7.0000000000000007E-2</v>
      </c>
      <c r="F42" s="53">
        <f>D42*E42</f>
        <v>100.64163677568001</v>
      </c>
    </row>
    <row r="43" spans="1:6" ht="18.75" customHeight="1">
      <c r="A43" s="7">
        <v>4</v>
      </c>
      <c r="B43" s="52" t="s">
        <v>845</v>
      </c>
      <c r="C43" s="7"/>
      <c r="D43" s="53">
        <f>D42+F42</f>
        <v>1538.3793049996802</v>
      </c>
      <c r="E43" s="56">
        <f>E20</f>
        <v>0.09</v>
      </c>
      <c r="F43" s="53">
        <f>D43*E43</f>
        <v>138.45413744997123</v>
      </c>
    </row>
    <row r="44" spans="1:6" ht="18.75" customHeight="1">
      <c r="A44" s="7">
        <v>5</v>
      </c>
      <c r="B44" s="52" t="s">
        <v>809</v>
      </c>
      <c r="C44" s="7"/>
      <c r="D44" s="7"/>
      <c r="E44" s="7"/>
      <c r="F44" s="53">
        <f>D43+F43</f>
        <v>1676.8334424496516</v>
      </c>
    </row>
    <row r="45" spans="1:6" ht="18.75" customHeight="1">
      <c r="A45" s="7"/>
      <c r="B45" s="52" t="s">
        <v>846</v>
      </c>
      <c r="C45" s="7"/>
      <c r="D45" s="53">
        <f>F44</f>
        <v>1676.8334424496516</v>
      </c>
      <c r="E45" s="56">
        <f>E22</f>
        <v>0.03</v>
      </c>
      <c r="F45" s="53">
        <f>E45*D45</f>
        <v>50.305003273489547</v>
      </c>
    </row>
    <row r="46" spans="1:6" ht="18.75" customHeight="1">
      <c r="A46" s="7"/>
      <c r="B46" s="52" t="s">
        <v>7</v>
      </c>
      <c r="C46" s="7"/>
      <c r="D46" s="7"/>
      <c r="E46" s="7"/>
      <c r="F46" s="53">
        <f>SUM(F44:F45)</f>
        <v>1727.1384457231411</v>
      </c>
    </row>
    <row r="47" spans="1:6" ht="18" customHeight="1">
      <c r="A47" s="491" t="s">
        <v>1227</v>
      </c>
      <c r="B47" s="491"/>
      <c r="C47" s="491"/>
      <c r="D47" s="491"/>
      <c r="E47" s="491"/>
      <c r="F47" s="491"/>
    </row>
    <row r="48" spans="1:6" ht="18" customHeight="1">
      <c r="A48" s="492" t="s">
        <v>1228</v>
      </c>
      <c r="B48" s="492"/>
      <c r="C48" s="492"/>
      <c r="D48" s="492"/>
      <c r="E48" s="492"/>
      <c r="F48" s="492"/>
    </row>
    <row r="49" spans="1:6" ht="18" customHeight="1">
      <c r="A49" s="493" t="s">
        <v>1229</v>
      </c>
      <c r="B49" s="493"/>
      <c r="C49" s="57"/>
      <c r="D49" s="57"/>
      <c r="E49" s="492" t="s">
        <v>1230</v>
      </c>
      <c r="F49" s="492"/>
    </row>
    <row r="50" spans="1:6" ht="18" customHeight="1">
      <c r="A50" s="488" t="s">
        <v>1231</v>
      </c>
      <c r="B50" s="489"/>
      <c r="C50" s="489"/>
      <c r="D50" s="489"/>
      <c r="E50" s="489"/>
      <c r="F50" s="490"/>
    </row>
    <row r="51" spans="1:6" ht="18" customHeight="1">
      <c r="A51" s="58" t="s">
        <v>1</v>
      </c>
      <c r="B51" s="58" t="s">
        <v>344</v>
      </c>
      <c r="C51" s="58" t="s">
        <v>818</v>
      </c>
      <c r="D51" s="58" t="s">
        <v>1232</v>
      </c>
      <c r="E51" s="58" t="s">
        <v>820</v>
      </c>
      <c r="F51" s="58" t="s">
        <v>1233</v>
      </c>
    </row>
    <row r="52" spans="1:6" ht="18" customHeight="1">
      <c r="A52" s="58" t="s">
        <v>18</v>
      </c>
      <c r="B52" s="59" t="s">
        <v>822</v>
      </c>
      <c r="C52" s="58"/>
      <c r="D52" s="58"/>
      <c r="E52" s="58"/>
      <c r="F52" s="58">
        <f>F53+F59+F60</f>
        <v>2124.0759199999998</v>
      </c>
    </row>
    <row r="53" spans="1:6" ht="18" customHeight="1">
      <c r="A53" s="58" t="s">
        <v>1234</v>
      </c>
      <c r="B53" s="59" t="s">
        <v>823</v>
      </c>
      <c r="C53" s="58"/>
      <c r="D53" s="58"/>
      <c r="E53" s="58"/>
      <c r="F53" s="58">
        <f>F54+F55</f>
        <v>2026.79</v>
      </c>
    </row>
    <row r="54" spans="1:6" ht="18" customHeight="1">
      <c r="A54" s="60">
        <v>1</v>
      </c>
      <c r="B54" s="59" t="s">
        <v>788</v>
      </c>
      <c r="C54" s="58" t="s">
        <v>825</v>
      </c>
      <c r="D54" s="58">
        <v>5.77</v>
      </c>
      <c r="E54" s="58">
        <v>327</v>
      </c>
      <c r="F54" s="58">
        <f>D54*E54</f>
        <v>1886.79</v>
      </c>
    </row>
    <row r="55" spans="1:6" ht="18" customHeight="1">
      <c r="A55" s="60">
        <v>2</v>
      </c>
      <c r="B55" s="59" t="s">
        <v>177</v>
      </c>
      <c r="C55" s="58"/>
      <c r="D55" s="58"/>
      <c r="E55" s="58"/>
      <c r="F55" s="58">
        <f>F56+F57</f>
        <v>140</v>
      </c>
    </row>
    <row r="56" spans="1:6" ht="18" customHeight="1">
      <c r="A56" s="60"/>
      <c r="B56" s="59" t="s">
        <v>1235</v>
      </c>
      <c r="C56" s="61" t="s">
        <v>829</v>
      </c>
      <c r="D56" s="58">
        <v>35</v>
      </c>
      <c r="E56" s="58">
        <v>80</v>
      </c>
      <c r="F56" s="58"/>
    </row>
    <row r="57" spans="1:6" ht="18" customHeight="1">
      <c r="A57" s="60"/>
      <c r="B57" s="59" t="s">
        <v>833</v>
      </c>
      <c r="C57" s="62"/>
      <c r="D57" s="58">
        <f>D56*E56</f>
        <v>2800</v>
      </c>
      <c r="E57" s="63">
        <v>0.05</v>
      </c>
      <c r="F57" s="58">
        <f>D57*E57</f>
        <v>140</v>
      </c>
    </row>
    <row r="58" spans="1:6" ht="18" customHeight="1">
      <c r="A58" s="60">
        <v>3</v>
      </c>
      <c r="B58" s="59" t="s">
        <v>1236</v>
      </c>
      <c r="C58" s="58"/>
      <c r="D58" s="58"/>
      <c r="E58" s="58"/>
      <c r="F58" s="58"/>
    </row>
    <row r="59" spans="1:6" ht="18" customHeight="1">
      <c r="A59" s="58" t="s">
        <v>1237</v>
      </c>
      <c r="B59" s="59" t="s">
        <v>841</v>
      </c>
      <c r="C59" s="58"/>
      <c r="D59" s="58"/>
      <c r="E59" s="63">
        <f>E39</f>
        <v>4.8000000000000001E-2</v>
      </c>
      <c r="F59" s="58">
        <f>F53*E59</f>
        <v>97.285920000000004</v>
      </c>
    </row>
    <row r="60" spans="1:6" ht="18" customHeight="1">
      <c r="A60" s="58" t="s">
        <v>1238</v>
      </c>
      <c r="B60" s="59" t="s">
        <v>842</v>
      </c>
      <c r="C60" s="58"/>
      <c r="D60" s="58"/>
      <c r="E60" s="63">
        <f>E40</f>
        <v>0</v>
      </c>
      <c r="F60" s="58">
        <f>F53*E60</f>
        <v>0</v>
      </c>
    </row>
    <row r="61" spans="1:6" ht="18" customHeight="1">
      <c r="A61" s="58" t="s">
        <v>20</v>
      </c>
      <c r="B61" s="59" t="s">
        <v>182</v>
      </c>
      <c r="C61" s="58"/>
      <c r="D61" s="58">
        <f>F52</f>
        <v>2124.0759199999998</v>
      </c>
      <c r="E61" s="63">
        <f>E41</f>
        <v>7.2499999999999995E-2</v>
      </c>
      <c r="F61" s="58">
        <f>D61*E61</f>
        <v>153.99550419999997</v>
      </c>
    </row>
    <row r="62" spans="1:6" ht="18" customHeight="1">
      <c r="A62" s="58" t="s">
        <v>22</v>
      </c>
      <c r="B62" s="59" t="s">
        <v>843</v>
      </c>
      <c r="C62" s="58"/>
      <c r="D62" s="58">
        <f>D61+F61</f>
        <v>2278.0714241999999</v>
      </c>
      <c r="E62" s="63">
        <f>E42</f>
        <v>7.0000000000000007E-2</v>
      </c>
      <c r="F62" s="58">
        <f>D62*E62</f>
        <v>159.464999694</v>
      </c>
    </row>
    <row r="63" spans="1:6" ht="18" customHeight="1">
      <c r="A63" s="58" t="s">
        <v>24</v>
      </c>
      <c r="B63" s="59" t="s">
        <v>845</v>
      </c>
      <c r="C63" s="58"/>
      <c r="D63" s="58">
        <f>D62+F62</f>
        <v>2437.5364238940001</v>
      </c>
      <c r="E63" s="63">
        <f>E43</f>
        <v>0.09</v>
      </c>
      <c r="F63" s="58">
        <f>D63*E63</f>
        <v>219.37827815046001</v>
      </c>
    </row>
    <row r="64" spans="1:6" ht="18" customHeight="1">
      <c r="A64" s="58"/>
      <c r="B64" s="59" t="s">
        <v>7</v>
      </c>
      <c r="C64" s="58"/>
      <c r="D64" s="58"/>
      <c r="E64" s="58"/>
      <c r="F64" s="58">
        <f>F52+F61+F62+F63</f>
        <v>2656.9147020444602</v>
      </c>
    </row>
    <row r="65" spans="1:6" ht="18" customHeight="1">
      <c r="A65" s="58"/>
      <c r="B65" s="59" t="s">
        <v>1239</v>
      </c>
      <c r="C65" s="58"/>
      <c r="D65" s="58">
        <f>F64</f>
        <v>2656.9147020444602</v>
      </c>
      <c r="E65" s="64">
        <f>E45</f>
        <v>0.03</v>
      </c>
      <c r="F65" s="58">
        <f>E65*D65</f>
        <v>79.70744106133381</v>
      </c>
    </row>
    <row r="66" spans="1:6" ht="18" customHeight="1">
      <c r="A66" s="58"/>
      <c r="B66" s="59" t="s">
        <v>7</v>
      </c>
      <c r="C66" s="58"/>
      <c r="D66" s="58"/>
      <c r="E66" s="58"/>
      <c r="F66" s="58">
        <f>F64+F65</f>
        <v>2736.6221431057938</v>
      </c>
    </row>
  </sheetData>
  <mergeCells count="11">
    <mergeCell ref="A50:F50"/>
    <mergeCell ref="B27:F27"/>
    <mergeCell ref="A47:F47"/>
    <mergeCell ref="A48:F48"/>
    <mergeCell ref="A49:B49"/>
    <mergeCell ref="E49:F49"/>
    <mergeCell ref="A1:F1"/>
    <mergeCell ref="A2:F2"/>
    <mergeCell ref="B4:F4"/>
    <mergeCell ref="A24:F24"/>
    <mergeCell ref="A25:F25"/>
  </mergeCells>
  <phoneticPr fontId="79" type="noConversion"/>
  <pageMargins left="0.75" right="0.75" top="1" bottom="1" header="0.5" footer="0.5"/>
  <pageSetup paperSize="9" orientation="portrait" horizontalDpi="1200" verticalDpi="1200"/>
  <headerFooter alignWithMargins="0"/>
</worksheet>
</file>

<file path=xl/worksheets/sheet19.xml><?xml version="1.0" encoding="utf-8"?>
<worksheet xmlns="http://schemas.openxmlformats.org/spreadsheetml/2006/main" xmlns:r="http://schemas.openxmlformats.org/officeDocument/2006/relationships">
  <dimension ref="A1:AC53"/>
  <sheetViews>
    <sheetView topLeftCell="E1" workbookViewId="0">
      <selection activeCell="H10" sqref="H10"/>
    </sheetView>
  </sheetViews>
  <sheetFormatPr defaultColWidth="9" defaultRowHeight="14.25"/>
  <cols>
    <col min="10" max="10" width="1.875" customWidth="1"/>
    <col min="11" max="11" width="7.75" customWidth="1"/>
    <col min="12" max="12" width="8.625" customWidth="1"/>
    <col min="19" max="19" width="7.375" customWidth="1"/>
    <col min="20" max="20" width="3" customWidth="1"/>
    <col min="21" max="21" width="7.25" customWidth="1"/>
    <col min="22" max="22" width="8.125" customWidth="1"/>
    <col min="23" max="23" width="8" customWidth="1"/>
    <col min="24" max="24" width="8.75" customWidth="1"/>
  </cols>
  <sheetData>
    <row r="1" spans="1:29" ht="18.75">
      <c r="A1" s="15" t="s">
        <v>1240</v>
      </c>
      <c r="B1" s="15"/>
      <c r="K1" s="15" t="s">
        <v>1240</v>
      </c>
      <c r="L1" s="15"/>
      <c r="T1" s="31"/>
      <c r="U1" s="32" t="s">
        <v>1241</v>
      </c>
      <c r="V1" s="32"/>
      <c r="W1" s="33"/>
      <c r="X1" s="33"/>
      <c r="Y1" s="33"/>
      <c r="Z1" s="33"/>
      <c r="AA1" s="33"/>
      <c r="AB1" s="33" t="s">
        <v>1242</v>
      </c>
      <c r="AC1" s="33"/>
    </row>
    <row r="2" spans="1:29" ht="21.75" customHeight="1">
      <c r="E2" s="16" t="s">
        <v>1243</v>
      </c>
      <c r="F2" s="17">
        <v>9150</v>
      </c>
      <c r="G2" s="18" t="s">
        <v>1244</v>
      </c>
      <c r="H2" s="18" t="s">
        <v>1245</v>
      </c>
      <c r="O2" s="16" t="s">
        <v>1243</v>
      </c>
      <c r="P2" s="17">
        <v>11500</v>
      </c>
      <c r="Q2" s="18" t="s">
        <v>1244</v>
      </c>
      <c r="R2" s="18" t="s">
        <v>1246</v>
      </c>
      <c r="T2" s="34"/>
      <c r="U2" s="35"/>
      <c r="V2" s="35"/>
      <c r="W2" s="33"/>
      <c r="X2" s="33"/>
      <c r="Y2" s="33"/>
      <c r="Z2" s="33"/>
      <c r="AA2" s="33"/>
      <c r="AB2" s="33"/>
      <c r="AC2" s="33"/>
    </row>
    <row r="3" spans="1:29" ht="23.25" customHeight="1">
      <c r="A3" s="498" t="s">
        <v>1247</v>
      </c>
      <c r="B3" s="19"/>
      <c r="C3" s="498" t="s">
        <v>1248</v>
      </c>
      <c r="D3" s="498"/>
      <c r="E3" s="498"/>
      <c r="F3" s="498"/>
      <c r="G3" s="498"/>
      <c r="H3" s="498"/>
      <c r="I3" s="498"/>
      <c r="K3" s="498" t="s">
        <v>1247</v>
      </c>
      <c r="L3" s="19"/>
      <c r="M3" s="498" t="s">
        <v>1248</v>
      </c>
      <c r="N3" s="498"/>
      <c r="O3" s="498"/>
      <c r="P3" s="498"/>
      <c r="Q3" s="498"/>
      <c r="R3" s="498"/>
      <c r="S3" s="498"/>
      <c r="T3" s="36"/>
      <c r="U3" s="499" t="s">
        <v>1249</v>
      </c>
      <c r="V3" s="494" t="s">
        <v>1250</v>
      </c>
      <c r="W3" s="495"/>
      <c r="X3" s="495"/>
      <c r="Y3" s="495"/>
      <c r="Z3" s="495"/>
      <c r="AA3" s="495"/>
      <c r="AB3" s="495"/>
      <c r="AC3" s="496"/>
    </row>
    <row r="4" spans="1:29" ht="28.5">
      <c r="A4" s="498"/>
      <c r="B4" s="20" t="s">
        <v>1251</v>
      </c>
      <c r="C4" s="21" t="s">
        <v>1252</v>
      </c>
      <c r="D4" s="21" t="s">
        <v>1253</v>
      </c>
      <c r="E4" s="21" t="s">
        <v>1254</v>
      </c>
      <c r="F4" s="21" t="s">
        <v>1255</v>
      </c>
      <c r="G4" s="21" t="s">
        <v>1256</v>
      </c>
      <c r="H4" s="21" t="s">
        <v>1257</v>
      </c>
      <c r="I4" s="21" t="s">
        <v>1258</v>
      </c>
      <c r="K4" s="498"/>
      <c r="L4" s="25" t="s">
        <v>1251</v>
      </c>
      <c r="M4" s="21" t="s">
        <v>1252</v>
      </c>
      <c r="N4" s="21" t="s">
        <v>1253</v>
      </c>
      <c r="O4" s="21" t="s">
        <v>1254</v>
      </c>
      <c r="P4" s="21" t="s">
        <v>1255</v>
      </c>
      <c r="Q4" s="21" t="s">
        <v>1256</v>
      </c>
      <c r="R4" s="21" t="s">
        <v>1257</v>
      </c>
      <c r="S4" s="21" t="s">
        <v>1258</v>
      </c>
      <c r="T4" s="36"/>
      <c r="U4" s="500"/>
      <c r="V4" s="25" t="s">
        <v>1251</v>
      </c>
      <c r="W4" s="25" t="s">
        <v>1252</v>
      </c>
      <c r="X4" s="25" t="s">
        <v>1253</v>
      </c>
      <c r="Y4" s="25" t="s">
        <v>1254</v>
      </c>
      <c r="Z4" s="25" t="s">
        <v>1255</v>
      </c>
      <c r="AA4" s="25" t="s">
        <v>1256</v>
      </c>
      <c r="AB4" s="25" t="s">
        <v>1257</v>
      </c>
      <c r="AC4" s="25" t="s">
        <v>1258</v>
      </c>
    </row>
    <row r="5" spans="1:29" ht="15.75">
      <c r="A5" s="19" t="s">
        <v>1259</v>
      </c>
      <c r="B5" s="19"/>
      <c r="C5" s="22"/>
      <c r="D5" s="22"/>
      <c r="E5" s="22"/>
      <c r="F5" s="22"/>
      <c r="G5" s="22"/>
      <c r="H5" s="23">
        <f t="shared" ref="H5:I20" si="0">R5*1000</f>
        <v>2110</v>
      </c>
      <c r="I5" s="23">
        <f t="shared" si="0"/>
        <v>2400</v>
      </c>
      <c r="K5" s="19" t="s">
        <v>1259</v>
      </c>
      <c r="L5" s="19"/>
      <c r="M5" s="22"/>
      <c r="N5" s="22"/>
      <c r="O5" s="22"/>
      <c r="P5" s="22"/>
      <c r="Q5" s="22"/>
      <c r="R5" s="26">
        <f t="shared" ref="R5:S20" si="1">ROUND($P$2*AB5/1000,2)</f>
        <v>2.11</v>
      </c>
      <c r="S5" s="26">
        <f t="shared" si="1"/>
        <v>2.4</v>
      </c>
      <c r="T5" s="36"/>
      <c r="U5" s="25" t="s">
        <v>1259</v>
      </c>
      <c r="V5" s="25"/>
      <c r="W5" s="38"/>
      <c r="X5" s="38"/>
      <c r="Y5" s="38"/>
      <c r="Z5" s="38"/>
      <c r="AA5" s="38"/>
      <c r="AB5" s="38">
        <v>0.18329999999999999</v>
      </c>
      <c r="AC5" s="38">
        <v>0.20830000000000001</v>
      </c>
    </row>
    <row r="6" spans="1:29" ht="15.75">
      <c r="A6" s="19" t="s">
        <v>1260</v>
      </c>
      <c r="B6" s="19"/>
      <c r="C6" s="22"/>
      <c r="D6" s="22"/>
      <c r="E6" s="22"/>
      <c r="F6" s="22"/>
      <c r="G6" s="23">
        <f t="shared" ref="G6:H26" si="2">Q6*1000</f>
        <v>2660</v>
      </c>
      <c r="H6" s="23">
        <f t="shared" si="0"/>
        <v>3080</v>
      </c>
      <c r="I6" s="23">
        <f t="shared" si="0"/>
        <v>3610</v>
      </c>
      <c r="K6" s="19" t="s">
        <v>1260</v>
      </c>
      <c r="L6" s="19"/>
      <c r="M6" s="22"/>
      <c r="N6" s="22"/>
      <c r="O6" s="22"/>
      <c r="P6" s="22"/>
      <c r="Q6" s="26">
        <f t="shared" ref="Q6:R26" si="3">ROUND($P$2*AA6/1000,2)</f>
        <v>2.66</v>
      </c>
      <c r="R6" s="26">
        <f t="shared" si="1"/>
        <v>3.08</v>
      </c>
      <c r="S6" s="26">
        <f t="shared" si="1"/>
        <v>3.61</v>
      </c>
      <c r="T6" s="36"/>
      <c r="U6" s="25" t="s">
        <v>1260</v>
      </c>
      <c r="V6" s="25"/>
      <c r="W6" s="38"/>
      <c r="X6" s="38"/>
      <c r="Y6" s="38"/>
      <c r="Z6" s="38"/>
      <c r="AA6" s="38">
        <v>0.2311</v>
      </c>
      <c r="AB6" s="38">
        <v>0.26800000000000002</v>
      </c>
      <c r="AC6" s="38">
        <v>0.3135</v>
      </c>
    </row>
    <row r="7" spans="1:29" ht="15.75">
      <c r="A7" s="19" t="s">
        <v>1261</v>
      </c>
      <c r="B7" s="19"/>
      <c r="C7" s="22"/>
      <c r="D7" s="22"/>
      <c r="E7" s="22"/>
      <c r="F7" s="23">
        <f t="shared" ref="F7:F26" si="4">P7*1000</f>
        <v>3480</v>
      </c>
      <c r="G7" s="23">
        <f t="shared" si="2"/>
        <v>4130</v>
      </c>
      <c r="H7" s="23">
        <f t="shared" si="0"/>
        <v>4900</v>
      </c>
      <c r="I7" s="23">
        <f t="shared" si="0"/>
        <v>5900</v>
      </c>
      <c r="K7" s="19" t="s">
        <v>1261</v>
      </c>
      <c r="L7" s="19"/>
      <c r="M7" s="22"/>
      <c r="N7" s="22"/>
      <c r="O7" s="22"/>
      <c r="P7" s="26">
        <f t="shared" ref="P7:P26" si="5">ROUND($P$2*Z7/1000,2)</f>
        <v>3.48</v>
      </c>
      <c r="Q7" s="26">
        <f t="shared" si="3"/>
        <v>4.13</v>
      </c>
      <c r="R7" s="26">
        <f t="shared" si="1"/>
        <v>4.9000000000000004</v>
      </c>
      <c r="S7" s="26">
        <f t="shared" si="1"/>
        <v>5.9</v>
      </c>
      <c r="T7" s="36"/>
      <c r="U7" s="25" t="s">
        <v>1261</v>
      </c>
      <c r="V7" s="25"/>
      <c r="W7" s="38"/>
      <c r="X7" s="38"/>
      <c r="Y7" s="38"/>
      <c r="Z7" s="38">
        <v>0.30259999999999998</v>
      </c>
      <c r="AA7" s="38">
        <v>0.3589</v>
      </c>
      <c r="AB7" s="38">
        <v>0.42580000000000001</v>
      </c>
      <c r="AC7" s="38">
        <v>0.51339999999999997</v>
      </c>
    </row>
    <row r="8" spans="1:29" ht="15.75">
      <c r="A8" s="19" t="s">
        <v>1262</v>
      </c>
      <c r="B8" s="19"/>
      <c r="C8" s="22"/>
      <c r="D8" s="22"/>
      <c r="E8" s="23">
        <f t="shared" ref="E8:E26" si="6">O8*1000</f>
        <v>4420</v>
      </c>
      <c r="F8" s="23">
        <f t="shared" si="4"/>
        <v>5260</v>
      </c>
      <c r="G8" s="23">
        <f t="shared" si="2"/>
        <v>6350</v>
      </c>
      <c r="H8" s="23">
        <f t="shared" si="0"/>
        <v>7780</v>
      </c>
      <c r="I8" s="23">
        <f t="shared" si="0"/>
        <v>9210</v>
      </c>
      <c r="K8" s="19" t="s">
        <v>1262</v>
      </c>
      <c r="L8" s="19"/>
      <c r="M8" s="22"/>
      <c r="N8" s="22"/>
      <c r="O8" s="26">
        <f t="shared" ref="O8:O26" si="7">ROUND($P$2*Y8/1000,2)</f>
        <v>4.42</v>
      </c>
      <c r="P8" s="26">
        <f t="shared" si="5"/>
        <v>5.26</v>
      </c>
      <c r="Q8" s="26">
        <f t="shared" si="3"/>
        <v>6.35</v>
      </c>
      <c r="R8" s="26">
        <f t="shared" si="1"/>
        <v>7.78</v>
      </c>
      <c r="S8" s="26">
        <f t="shared" si="1"/>
        <v>9.2100000000000009</v>
      </c>
      <c r="T8" s="36"/>
      <c r="U8" s="25" t="s">
        <v>1262</v>
      </c>
      <c r="V8" s="25"/>
      <c r="W8" s="38"/>
      <c r="X8" s="38"/>
      <c r="Y8" s="38">
        <v>0.3841</v>
      </c>
      <c r="Z8" s="38">
        <v>0.45739999999999997</v>
      </c>
      <c r="AA8" s="38">
        <v>0.55210000000000004</v>
      </c>
      <c r="AB8" s="38">
        <v>0.67610000000000003</v>
      </c>
      <c r="AC8" s="38">
        <v>0.80049999999999999</v>
      </c>
    </row>
    <row r="9" spans="1:29" ht="15.75">
      <c r="A9" s="19" t="s">
        <v>1263</v>
      </c>
      <c r="B9" s="19"/>
      <c r="C9" s="22"/>
      <c r="D9" s="23">
        <f t="shared" ref="D9:D26" si="8">N9*1000</f>
        <v>5620</v>
      </c>
      <c r="E9" s="23">
        <f t="shared" si="6"/>
        <v>6700</v>
      </c>
      <c r="F9" s="23">
        <f t="shared" si="4"/>
        <v>8120</v>
      </c>
      <c r="G9" s="23">
        <f t="shared" si="2"/>
        <v>10220</v>
      </c>
      <c r="H9" s="23">
        <f t="shared" si="0"/>
        <v>12110</v>
      </c>
      <c r="I9" s="23">
        <f t="shared" si="0"/>
        <v>14440</v>
      </c>
      <c r="K9" s="19" t="s">
        <v>1263</v>
      </c>
      <c r="L9" s="19"/>
      <c r="M9" s="22"/>
      <c r="N9" s="26">
        <f t="shared" ref="N9:N26" si="9">ROUND($P$2*X9/1000,2)</f>
        <v>5.62</v>
      </c>
      <c r="O9" s="26">
        <f t="shared" si="7"/>
        <v>6.7</v>
      </c>
      <c r="P9" s="26">
        <f t="shared" si="5"/>
        <v>8.1199999999999992</v>
      </c>
      <c r="Q9" s="26">
        <f t="shared" si="3"/>
        <v>10.220000000000001</v>
      </c>
      <c r="R9" s="26">
        <f t="shared" si="1"/>
        <v>12.11</v>
      </c>
      <c r="S9" s="26">
        <f t="shared" si="1"/>
        <v>14.44</v>
      </c>
      <c r="T9" s="36"/>
      <c r="U9" s="25" t="s">
        <v>1263</v>
      </c>
      <c r="V9" s="25"/>
      <c r="W9" s="38"/>
      <c r="X9" s="38">
        <v>0.48870000000000002</v>
      </c>
      <c r="Y9" s="38">
        <v>0.58289999999999997</v>
      </c>
      <c r="Z9" s="38">
        <v>0.70630000000000004</v>
      </c>
      <c r="AA9" s="38">
        <v>0.88890000000000002</v>
      </c>
      <c r="AB9" s="38">
        <v>1.0530999999999999</v>
      </c>
      <c r="AC9" s="38">
        <v>1.2556</v>
      </c>
    </row>
    <row r="10" spans="1:29" ht="15.75">
      <c r="A10" s="19" t="s">
        <v>1264</v>
      </c>
      <c r="B10" s="19"/>
      <c r="C10" s="23">
        <f t="shared" ref="C10:C26" si="10">M10*1000</f>
        <v>7200</v>
      </c>
      <c r="D10" s="23">
        <f t="shared" si="8"/>
        <v>8870</v>
      </c>
      <c r="E10" s="23">
        <f t="shared" si="6"/>
        <v>10390</v>
      </c>
      <c r="F10" s="23">
        <f t="shared" si="4"/>
        <v>12920</v>
      </c>
      <c r="G10" s="23">
        <f t="shared" si="2"/>
        <v>15800</v>
      </c>
      <c r="H10" s="23">
        <f t="shared" si="0"/>
        <v>19290</v>
      </c>
      <c r="I10" s="23">
        <f t="shared" si="0"/>
        <v>23030</v>
      </c>
      <c r="K10" s="19" t="s">
        <v>1264</v>
      </c>
      <c r="L10" s="19"/>
      <c r="M10" s="26">
        <f t="shared" ref="M10:M26" si="11">ROUND($P$2*W10/1000,2)</f>
        <v>7.2</v>
      </c>
      <c r="N10" s="26">
        <f t="shared" si="9"/>
        <v>8.8699999999999992</v>
      </c>
      <c r="O10" s="26">
        <f t="shared" si="7"/>
        <v>10.39</v>
      </c>
      <c r="P10" s="26">
        <f t="shared" si="5"/>
        <v>12.92</v>
      </c>
      <c r="Q10" s="26">
        <f t="shared" si="3"/>
        <v>15.8</v>
      </c>
      <c r="R10" s="26">
        <f t="shared" si="1"/>
        <v>19.29</v>
      </c>
      <c r="S10" s="26">
        <f t="shared" si="1"/>
        <v>23.03</v>
      </c>
      <c r="T10" s="36"/>
      <c r="U10" s="25" t="s">
        <v>1264</v>
      </c>
      <c r="V10" s="37"/>
      <c r="W10" s="38">
        <v>0.626</v>
      </c>
      <c r="X10" s="38">
        <v>0.77139999999999997</v>
      </c>
      <c r="Y10" s="38">
        <v>0.90359999999999996</v>
      </c>
      <c r="Z10" s="38">
        <v>1.1236999999999999</v>
      </c>
      <c r="AA10" s="38">
        <v>1.3743000000000001</v>
      </c>
      <c r="AB10" s="38">
        <v>1.6777</v>
      </c>
      <c r="AC10" s="38">
        <v>2.0028999999999999</v>
      </c>
    </row>
    <row r="11" spans="1:29" ht="15.75">
      <c r="A11" s="19" t="s">
        <v>1265</v>
      </c>
      <c r="B11" s="23">
        <f t="shared" ref="B11:B22" si="12">L11*1000</f>
        <v>6440</v>
      </c>
      <c r="C11" s="23">
        <f t="shared" si="10"/>
        <v>9900</v>
      </c>
      <c r="D11" s="23">
        <f t="shared" si="8"/>
        <v>12140</v>
      </c>
      <c r="E11" s="23">
        <f t="shared" si="6"/>
        <v>14860</v>
      </c>
      <c r="F11" s="23">
        <f t="shared" si="4"/>
        <v>18240</v>
      </c>
      <c r="G11" s="23">
        <f t="shared" si="2"/>
        <v>22360</v>
      </c>
      <c r="H11" s="23">
        <f t="shared" si="0"/>
        <v>27420</v>
      </c>
      <c r="I11" s="23">
        <f t="shared" si="0"/>
        <v>32520</v>
      </c>
      <c r="K11" s="19" t="s">
        <v>1265</v>
      </c>
      <c r="L11" s="26">
        <f t="shared" ref="L11:L22" si="13">ROUND($P$2*V11/1000,2)</f>
        <v>6.44</v>
      </c>
      <c r="M11" s="26">
        <f t="shared" si="11"/>
        <v>9.9</v>
      </c>
      <c r="N11" s="26">
        <f t="shared" si="9"/>
        <v>12.14</v>
      </c>
      <c r="O11" s="26">
        <f t="shared" si="7"/>
        <v>14.86</v>
      </c>
      <c r="P11" s="26">
        <f t="shared" si="5"/>
        <v>18.239999999999998</v>
      </c>
      <c r="Q11" s="26">
        <f t="shared" si="3"/>
        <v>22.36</v>
      </c>
      <c r="R11" s="26">
        <f t="shared" si="1"/>
        <v>27.42</v>
      </c>
      <c r="S11" s="26">
        <f t="shared" si="1"/>
        <v>32.520000000000003</v>
      </c>
      <c r="T11" s="36"/>
      <c r="U11" s="39" t="s">
        <v>1265</v>
      </c>
      <c r="V11" s="40">
        <v>0.56000000000000005</v>
      </c>
      <c r="W11" s="41">
        <v>0.86109999999999998</v>
      </c>
      <c r="X11" s="38">
        <v>1.0552999999999999</v>
      </c>
      <c r="Y11" s="38">
        <v>1.2924</v>
      </c>
      <c r="Z11" s="38">
        <v>1.5857000000000001</v>
      </c>
      <c r="AA11" s="38">
        <v>1.9442999999999999</v>
      </c>
      <c r="AB11" s="38">
        <v>2.3843000000000001</v>
      </c>
      <c r="AC11" s="38">
        <v>2.8277999999999999</v>
      </c>
    </row>
    <row r="12" spans="1:29" ht="15.75">
      <c r="A12" s="19" t="s">
        <v>1266</v>
      </c>
      <c r="B12" s="23">
        <f t="shared" si="12"/>
        <v>9510</v>
      </c>
      <c r="C12" s="23">
        <f t="shared" si="10"/>
        <v>14230</v>
      </c>
      <c r="D12" s="23">
        <f t="shared" si="8"/>
        <v>17570</v>
      </c>
      <c r="E12" s="23">
        <f t="shared" si="6"/>
        <v>21290</v>
      </c>
      <c r="F12" s="23">
        <f t="shared" si="4"/>
        <v>26410</v>
      </c>
      <c r="G12" s="23">
        <f t="shared" si="2"/>
        <v>33780</v>
      </c>
      <c r="H12" s="23">
        <f t="shared" si="0"/>
        <v>39160</v>
      </c>
      <c r="I12" s="23">
        <f t="shared" si="0"/>
        <v>46830</v>
      </c>
      <c r="K12" s="19" t="s">
        <v>1266</v>
      </c>
      <c r="L12" s="26">
        <f t="shared" si="13"/>
        <v>9.51</v>
      </c>
      <c r="M12" s="26">
        <f t="shared" si="11"/>
        <v>14.23</v>
      </c>
      <c r="N12" s="26">
        <f t="shared" si="9"/>
        <v>17.57</v>
      </c>
      <c r="O12" s="26">
        <f t="shared" si="7"/>
        <v>21.29</v>
      </c>
      <c r="P12" s="26">
        <f t="shared" si="5"/>
        <v>26.41</v>
      </c>
      <c r="Q12" s="26">
        <f t="shared" si="3"/>
        <v>33.78</v>
      </c>
      <c r="R12" s="26">
        <f t="shared" si="1"/>
        <v>39.159999999999997</v>
      </c>
      <c r="S12" s="26">
        <f t="shared" si="1"/>
        <v>46.83</v>
      </c>
      <c r="T12" s="36"/>
      <c r="U12" s="39" t="s">
        <v>1266</v>
      </c>
      <c r="V12" s="40">
        <v>0.82699999999999996</v>
      </c>
      <c r="W12" s="41">
        <v>1.2373000000000001</v>
      </c>
      <c r="X12" s="38">
        <v>1.528</v>
      </c>
      <c r="Y12" s="38">
        <v>1.8512</v>
      </c>
      <c r="Z12" s="38">
        <v>2.2963</v>
      </c>
      <c r="AA12" s="38">
        <v>2.9369999999999998</v>
      </c>
      <c r="AB12" s="38">
        <v>3.4055</v>
      </c>
      <c r="AC12" s="38">
        <v>4.0720999999999998</v>
      </c>
    </row>
    <row r="13" spans="1:29" ht="15.75">
      <c r="A13" s="19" t="s">
        <v>1267</v>
      </c>
      <c r="B13" s="23">
        <f t="shared" si="12"/>
        <v>14550</v>
      </c>
      <c r="C13" s="23">
        <f t="shared" si="10"/>
        <v>17010</v>
      </c>
      <c r="D13" s="23">
        <f t="shared" si="8"/>
        <v>21180</v>
      </c>
      <c r="E13" s="23">
        <f t="shared" si="6"/>
        <v>25840</v>
      </c>
      <c r="F13" s="23">
        <f t="shared" si="4"/>
        <v>32010</v>
      </c>
      <c r="G13" s="23">
        <f t="shared" si="2"/>
        <v>39340</v>
      </c>
      <c r="H13" s="23">
        <f t="shared" si="0"/>
        <v>48470</v>
      </c>
      <c r="I13" s="23">
        <f t="shared" si="0"/>
        <v>58370</v>
      </c>
      <c r="K13" s="19" t="s">
        <v>1267</v>
      </c>
      <c r="L13" s="26">
        <f t="shared" si="13"/>
        <v>14.55</v>
      </c>
      <c r="M13" s="26">
        <f t="shared" si="11"/>
        <v>17.010000000000002</v>
      </c>
      <c r="N13" s="26">
        <f t="shared" si="9"/>
        <v>21.18</v>
      </c>
      <c r="O13" s="26">
        <f t="shared" si="7"/>
        <v>25.84</v>
      </c>
      <c r="P13" s="26">
        <f t="shared" si="5"/>
        <v>32.01</v>
      </c>
      <c r="Q13" s="26">
        <f t="shared" si="3"/>
        <v>39.340000000000003</v>
      </c>
      <c r="R13" s="26">
        <f t="shared" si="1"/>
        <v>48.47</v>
      </c>
      <c r="S13" s="26">
        <f t="shared" si="1"/>
        <v>58.37</v>
      </c>
      <c r="T13" s="36"/>
      <c r="U13" s="39" t="s">
        <v>1267</v>
      </c>
      <c r="V13" s="40">
        <v>1.2649999999999999</v>
      </c>
      <c r="W13" s="41">
        <v>1.4792000000000001</v>
      </c>
      <c r="X13" s="38">
        <v>1.8415999999999999</v>
      </c>
      <c r="Y13" s="38">
        <v>2.2469000000000001</v>
      </c>
      <c r="Z13" s="38">
        <v>2.7837999999999998</v>
      </c>
      <c r="AA13" s="38">
        <v>3.4207999999999998</v>
      </c>
      <c r="AB13" s="38">
        <v>4.2146999999999997</v>
      </c>
      <c r="AC13" s="38">
        <v>5.0758000000000001</v>
      </c>
    </row>
    <row r="14" spans="1:29" ht="15.75">
      <c r="A14" s="19" t="s">
        <v>1268</v>
      </c>
      <c r="B14" s="23">
        <f t="shared" si="12"/>
        <v>17140</v>
      </c>
      <c r="C14" s="23">
        <f t="shared" si="10"/>
        <v>22280</v>
      </c>
      <c r="D14" s="23">
        <f t="shared" si="8"/>
        <v>27340</v>
      </c>
      <c r="E14" s="23">
        <f t="shared" si="6"/>
        <v>33580</v>
      </c>
      <c r="F14" s="23">
        <f t="shared" si="4"/>
        <v>41190</v>
      </c>
      <c r="G14" s="23">
        <f t="shared" si="2"/>
        <v>50990</v>
      </c>
      <c r="H14" s="23">
        <f t="shared" si="0"/>
        <v>62390</v>
      </c>
      <c r="I14" s="23">
        <f t="shared" si="0"/>
        <v>75900</v>
      </c>
      <c r="K14" s="19" t="s">
        <v>1268</v>
      </c>
      <c r="L14" s="26">
        <f t="shared" si="13"/>
        <v>17.14</v>
      </c>
      <c r="M14" s="26">
        <f t="shared" si="11"/>
        <v>22.28</v>
      </c>
      <c r="N14" s="26">
        <f t="shared" si="9"/>
        <v>27.34</v>
      </c>
      <c r="O14" s="26">
        <f t="shared" si="7"/>
        <v>33.58</v>
      </c>
      <c r="P14" s="26">
        <f t="shared" si="5"/>
        <v>41.19</v>
      </c>
      <c r="Q14" s="26">
        <f t="shared" si="3"/>
        <v>50.99</v>
      </c>
      <c r="R14" s="26">
        <f t="shared" si="1"/>
        <v>62.39</v>
      </c>
      <c r="S14" s="26">
        <f t="shared" si="1"/>
        <v>75.900000000000006</v>
      </c>
      <c r="T14" s="36"/>
      <c r="U14" s="39" t="s">
        <v>1268</v>
      </c>
      <c r="V14" s="40">
        <v>1.49</v>
      </c>
      <c r="W14" s="41">
        <v>1.9371</v>
      </c>
      <c r="X14" s="38">
        <v>2.3774000000000002</v>
      </c>
      <c r="Y14" s="38">
        <v>2.9199000000000002</v>
      </c>
      <c r="Z14" s="38">
        <v>3.5813999999999999</v>
      </c>
      <c r="AA14" s="38">
        <v>4.4340000000000002</v>
      </c>
      <c r="AB14" s="38">
        <v>5.4253999999999998</v>
      </c>
      <c r="AC14" s="38">
        <v>6.6</v>
      </c>
    </row>
    <row r="15" spans="1:29" ht="15.75">
      <c r="A15" s="19" t="s">
        <v>1269</v>
      </c>
      <c r="B15" s="23">
        <f t="shared" si="12"/>
        <v>24000</v>
      </c>
      <c r="C15" s="23">
        <f t="shared" si="10"/>
        <v>27890</v>
      </c>
      <c r="D15" s="23">
        <f t="shared" si="8"/>
        <v>33920</v>
      </c>
      <c r="E15" s="23">
        <f t="shared" si="6"/>
        <v>42300</v>
      </c>
      <c r="F15" s="23">
        <f t="shared" si="4"/>
        <v>51840</v>
      </c>
      <c r="G15" s="23">
        <f t="shared" si="2"/>
        <v>64400</v>
      </c>
      <c r="H15" s="23">
        <f t="shared" si="0"/>
        <v>78340</v>
      </c>
      <c r="I15" s="23">
        <f t="shared" si="0"/>
        <v>94740</v>
      </c>
      <c r="K15" s="19" t="s">
        <v>1269</v>
      </c>
      <c r="L15" s="26">
        <f t="shared" si="13"/>
        <v>24</v>
      </c>
      <c r="M15" s="26">
        <f t="shared" si="11"/>
        <v>27.89</v>
      </c>
      <c r="N15" s="26">
        <f t="shared" si="9"/>
        <v>33.92</v>
      </c>
      <c r="O15" s="26">
        <f t="shared" si="7"/>
        <v>42.3</v>
      </c>
      <c r="P15" s="26">
        <f t="shared" si="5"/>
        <v>51.84</v>
      </c>
      <c r="Q15" s="26">
        <f t="shared" si="3"/>
        <v>64.400000000000006</v>
      </c>
      <c r="R15" s="26">
        <f t="shared" si="1"/>
        <v>78.34</v>
      </c>
      <c r="S15" s="26">
        <f t="shared" si="1"/>
        <v>94.74</v>
      </c>
      <c r="T15" s="36"/>
      <c r="U15" s="39" t="s">
        <v>1269</v>
      </c>
      <c r="V15" s="40">
        <v>2.0870000000000002</v>
      </c>
      <c r="W15" s="41">
        <v>2.4253999999999998</v>
      </c>
      <c r="X15" s="38">
        <v>2.9496000000000002</v>
      </c>
      <c r="Y15" s="38">
        <v>3.6779999999999999</v>
      </c>
      <c r="Z15" s="38">
        <v>4.5077999999999996</v>
      </c>
      <c r="AA15" s="38">
        <v>5.5998000000000001</v>
      </c>
      <c r="AB15" s="38">
        <v>6.8122999999999996</v>
      </c>
      <c r="AC15" s="38">
        <v>8.2383000000000006</v>
      </c>
    </row>
    <row r="16" spans="1:29" ht="15.75">
      <c r="A16" s="19" t="s">
        <v>1270</v>
      </c>
      <c r="B16" s="23">
        <f t="shared" si="12"/>
        <v>29610</v>
      </c>
      <c r="C16" s="23">
        <f t="shared" si="10"/>
        <v>36110</v>
      </c>
      <c r="D16" s="23">
        <f t="shared" si="8"/>
        <v>44220</v>
      </c>
      <c r="E16" s="23">
        <f t="shared" si="6"/>
        <v>55400</v>
      </c>
      <c r="F16" s="23">
        <f t="shared" si="4"/>
        <v>67880</v>
      </c>
      <c r="G16" s="23">
        <f t="shared" si="2"/>
        <v>82740</v>
      </c>
      <c r="H16" s="23">
        <f t="shared" si="0"/>
        <v>102510</v>
      </c>
      <c r="I16" s="23">
        <f t="shared" si="0"/>
        <v>124150</v>
      </c>
      <c r="K16" s="19" t="s">
        <v>1270</v>
      </c>
      <c r="L16" s="26">
        <f t="shared" si="13"/>
        <v>29.61</v>
      </c>
      <c r="M16" s="26">
        <f t="shared" si="11"/>
        <v>36.11</v>
      </c>
      <c r="N16" s="26">
        <f t="shared" si="9"/>
        <v>44.22</v>
      </c>
      <c r="O16" s="26">
        <f t="shared" si="7"/>
        <v>55.4</v>
      </c>
      <c r="P16" s="26">
        <f t="shared" si="5"/>
        <v>67.88</v>
      </c>
      <c r="Q16" s="26">
        <f t="shared" si="3"/>
        <v>82.74</v>
      </c>
      <c r="R16" s="26">
        <f t="shared" si="1"/>
        <v>102.51</v>
      </c>
      <c r="S16" s="26">
        <f t="shared" si="1"/>
        <v>124.15</v>
      </c>
      <c r="T16" s="36"/>
      <c r="U16" s="39" t="s">
        <v>1270</v>
      </c>
      <c r="V16" s="40">
        <v>2.5750000000000002</v>
      </c>
      <c r="W16" s="41">
        <v>3.1400999999999999</v>
      </c>
      <c r="X16" s="38">
        <v>3.8456000000000001</v>
      </c>
      <c r="Y16" s="38">
        <v>4.8170000000000002</v>
      </c>
      <c r="Z16" s="38">
        <v>5.9021999999999997</v>
      </c>
      <c r="AA16" s="38">
        <v>7.1951000000000001</v>
      </c>
      <c r="AB16" s="38">
        <v>8.9140999999999995</v>
      </c>
      <c r="AC16" s="38">
        <v>10.795400000000001</v>
      </c>
    </row>
    <row r="17" spans="1:29" ht="15.75">
      <c r="A17" s="19" t="s">
        <v>1271</v>
      </c>
      <c r="B17" s="23">
        <f t="shared" si="12"/>
        <v>35810</v>
      </c>
      <c r="C17" s="23">
        <f t="shared" si="10"/>
        <v>44930</v>
      </c>
      <c r="D17" s="23">
        <f t="shared" si="8"/>
        <v>55900</v>
      </c>
      <c r="E17" s="23">
        <f t="shared" si="6"/>
        <v>69400</v>
      </c>
      <c r="F17" s="23">
        <f t="shared" si="4"/>
        <v>85210</v>
      </c>
      <c r="G17" s="23">
        <f t="shared" si="2"/>
        <v>107090</v>
      </c>
      <c r="H17" s="23">
        <f t="shared" si="0"/>
        <v>129950</v>
      </c>
      <c r="I17" s="23">
        <f t="shared" si="0"/>
        <v>157150</v>
      </c>
      <c r="K17" s="19" t="s">
        <v>1271</v>
      </c>
      <c r="L17" s="26">
        <f t="shared" si="13"/>
        <v>35.81</v>
      </c>
      <c r="M17" s="26">
        <f t="shared" si="11"/>
        <v>44.93</v>
      </c>
      <c r="N17" s="26">
        <f t="shared" si="9"/>
        <v>55.9</v>
      </c>
      <c r="O17" s="26">
        <f t="shared" si="7"/>
        <v>69.400000000000006</v>
      </c>
      <c r="P17" s="26">
        <f t="shared" si="5"/>
        <v>85.21</v>
      </c>
      <c r="Q17" s="26">
        <f t="shared" si="3"/>
        <v>107.09</v>
      </c>
      <c r="R17" s="26">
        <f t="shared" si="1"/>
        <v>129.94999999999999</v>
      </c>
      <c r="S17" s="26">
        <f t="shared" si="1"/>
        <v>157.15</v>
      </c>
      <c r="T17" s="42"/>
      <c r="U17" s="39" t="s">
        <v>1271</v>
      </c>
      <c r="V17" s="40">
        <v>3.1139999999999999</v>
      </c>
      <c r="W17" s="41">
        <v>3.9070999999999998</v>
      </c>
      <c r="X17" s="38">
        <v>4.8608000000000002</v>
      </c>
      <c r="Y17" s="38">
        <v>6.0346000000000002</v>
      </c>
      <c r="Z17" s="38">
        <v>7.4097999999999997</v>
      </c>
      <c r="AA17" s="38">
        <v>9.3123000000000005</v>
      </c>
      <c r="AB17" s="38">
        <v>11.3001</v>
      </c>
      <c r="AC17" s="38">
        <v>13.6653</v>
      </c>
    </row>
    <row r="18" spans="1:29" ht="15.75">
      <c r="A18" s="19" t="s">
        <v>1272</v>
      </c>
      <c r="B18" s="23">
        <f t="shared" si="12"/>
        <v>44130</v>
      </c>
      <c r="C18" s="23">
        <f t="shared" si="10"/>
        <v>55880</v>
      </c>
      <c r="D18" s="23">
        <f t="shared" si="8"/>
        <v>70140</v>
      </c>
      <c r="E18" s="23">
        <f t="shared" si="6"/>
        <v>86160</v>
      </c>
      <c r="F18" s="23">
        <f t="shared" si="4"/>
        <v>108980</v>
      </c>
      <c r="G18" s="23">
        <f t="shared" si="2"/>
        <v>131740</v>
      </c>
      <c r="H18" s="23">
        <f t="shared" si="0"/>
        <v>160600</v>
      </c>
      <c r="I18" s="23">
        <f t="shared" si="0"/>
        <v>194550</v>
      </c>
      <c r="K18" s="19" t="s">
        <v>1272</v>
      </c>
      <c r="L18" s="26">
        <f t="shared" si="13"/>
        <v>44.13</v>
      </c>
      <c r="M18" s="26">
        <f t="shared" si="11"/>
        <v>55.88</v>
      </c>
      <c r="N18" s="26">
        <f t="shared" si="9"/>
        <v>70.14</v>
      </c>
      <c r="O18" s="26">
        <f t="shared" si="7"/>
        <v>86.16</v>
      </c>
      <c r="P18" s="26">
        <f t="shared" si="5"/>
        <v>108.98</v>
      </c>
      <c r="Q18" s="26">
        <f t="shared" si="3"/>
        <v>131.74</v>
      </c>
      <c r="R18" s="26">
        <f t="shared" si="1"/>
        <v>160.6</v>
      </c>
      <c r="S18" s="26">
        <f t="shared" si="1"/>
        <v>194.55</v>
      </c>
      <c r="T18" s="42"/>
      <c r="U18" s="39" t="s">
        <v>1272</v>
      </c>
      <c r="V18" s="40">
        <v>3.8370000000000002</v>
      </c>
      <c r="W18" s="41">
        <v>4.8592000000000004</v>
      </c>
      <c r="X18" s="38">
        <v>6.0994000000000002</v>
      </c>
      <c r="Y18" s="38">
        <v>7.4926000000000004</v>
      </c>
      <c r="Z18" s="38">
        <v>9.4761000000000006</v>
      </c>
      <c r="AA18" s="38">
        <v>11.455500000000001</v>
      </c>
      <c r="AB18" s="38">
        <v>13.9648</v>
      </c>
      <c r="AC18" s="38">
        <v>16.917200000000001</v>
      </c>
    </row>
    <row r="19" spans="1:29" ht="15.75">
      <c r="A19" s="19" t="s">
        <v>1273</v>
      </c>
      <c r="B19" s="23">
        <f t="shared" si="12"/>
        <v>57620</v>
      </c>
      <c r="C19" s="23">
        <f t="shared" si="10"/>
        <v>70640</v>
      </c>
      <c r="D19" s="23">
        <f t="shared" si="8"/>
        <v>87840</v>
      </c>
      <c r="E19" s="23">
        <f t="shared" si="6"/>
        <v>108170</v>
      </c>
      <c r="F19" s="23">
        <f t="shared" si="4"/>
        <v>134720</v>
      </c>
      <c r="G19" s="23">
        <f t="shared" si="2"/>
        <v>167440</v>
      </c>
      <c r="H19" s="23">
        <f t="shared" si="0"/>
        <v>203610</v>
      </c>
      <c r="I19" s="22"/>
      <c r="K19" s="19" t="s">
        <v>1273</v>
      </c>
      <c r="L19" s="26">
        <f t="shared" si="13"/>
        <v>57.62</v>
      </c>
      <c r="M19" s="26">
        <f t="shared" si="11"/>
        <v>70.64</v>
      </c>
      <c r="N19" s="26">
        <f t="shared" si="9"/>
        <v>87.84</v>
      </c>
      <c r="O19" s="26">
        <f t="shared" si="7"/>
        <v>108.17</v>
      </c>
      <c r="P19" s="26">
        <f t="shared" si="5"/>
        <v>134.72</v>
      </c>
      <c r="Q19" s="26">
        <f t="shared" si="3"/>
        <v>167.44</v>
      </c>
      <c r="R19" s="26">
        <f t="shared" si="1"/>
        <v>203.61</v>
      </c>
      <c r="S19" s="22"/>
      <c r="T19" s="42"/>
      <c r="U19" s="39" t="s">
        <v>1273</v>
      </c>
      <c r="V19" s="40">
        <v>5.01</v>
      </c>
      <c r="W19" s="41">
        <v>6.1425000000000001</v>
      </c>
      <c r="X19" s="38">
        <v>7.6383999999999999</v>
      </c>
      <c r="Y19" s="38">
        <v>9.4056999999999995</v>
      </c>
      <c r="Z19" s="38">
        <v>11.714499999999999</v>
      </c>
      <c r="AA19" s="38">
        <v>14.559699999999999</v>
      </c>
      <c r="AB19" s="38">
        <v>17.7056</v>
      </c>
      <c r="AC19" s="38"/>
    </row>
    <row r="20" spans="1:29" ht="15.75">
      <c r="A20" s="19" t="s">
        <v>1274</v>
      </c>
      <c r="B20" s="23">
        <f t="shared" si="12"/>
        <v>69330</v>
      </c>
      <c r="C20" s="23">
        <f t="shared" si="10"/>
        <v>88560</v>
      </c>
      <c r="D20" s="23">
        <f t="shared" si="8"/>
        <v>109000</v>
      </c>
      <c r="E20" s="23">
        <f t="shared" si="6"/>
        <v>134760</v>
      </c>
      <c r="F20" s="23">
        <f t="shared" si="4"/>
        <v>164970</v>
      </c>
      <c r="G20" s="23">
        <f t="shared" si="2"/>
        <v>204090</v>
      </c>
      <c r="H20" s="23">
        <f t="shared" si="0"/>
        <v>251600</v>
      </c>
      <c r="I20" s="22"/>
      <c r="K20" s="19" t="s">
        <v>1274</v>
      </c>
      <c r="L20" s="26">
        <f t="shared" si="13"/>
        <v>69.33</v>
      </c>
      <c r="M20" s="26">
        <f t="shared" si="11"/>
        <v>88.56</v>
      </c>
      <c r="N20" s="26">
        <f t="shared" si="9"/>
        <v>109</v>
      </c>
      <c r="O20" s="26">
        <f t="shared" si="7"/>
        <v>134.76</v>
      </c>
      <c r="P20" s="26">
        <f t="shared" si="5"/>
        <v>164.97</v>
      </c>
      <c r="Q20" s="26">
        <f t="shared" si="3"/>
        <v>204.09</v>
      </c>
      <c r="R20" s="26">
        <f t="shared" si="1"/>
        <v>251.6</v>
      </c>
      <c r="S20" s="22"/>
      <c r="T20" s="42"/>
      <c r="U20" s="39" t="s">
        <v>1274</v>
      </c>
      <c r="V20" s="40">
        <v>6.0289999999999999</v>
      </c>
      <c r="W20" s="41">
        <v>7.7012999999999998</v>
      </c>
      <c r="X20" s="38">
        <v>9.4780999999999995</v>
      </c>
      <c r="Y20" s="38">
        <v>11.718299999999999</v>
      </c>
      <c r="Z20" s="38">
        <v>14.344799999999999</v>
      </c>
      <c r="AA20" s="38">
        <v>17.7469</v>
      </c>
      <c r="AB20" s="38">
        <v>21.878299999999999</v>
      </c>
      <c r="AC20" s="38"/>
    </row>
    <row r="21" spans="1:29" ht="15.75">
      <c r="A21" s="19" t="s">
        <v>1275</v>
      </c>
      <c r="B21" s="23">
        <f t="shared" si="12"/>
        <v>88550</v>
      </c>
      <c r="C21" s="23">
        <f t="shared" si="10"/>
        <v>110860</v>
      </c>
      <c r="D21" s="23">
        <f t="shared" si="8"/>
        <v>137450</v>
      </c>
      <c r="E21" s="23">
        <f t="shared" si="6"/>
        <v>169280</v>
      </c>
      <c r="F21" s="23">
        <f t="shared" si="4"/>
        <v>209370</v>
      </c>
      <c r="G21" s="23">
        <f t="shared" si="2"/>
        <v>257720</v>
      </c>
      <c r="H21" s="23">
        <f t="shared" si="2"/>
        <v>316800</v>
      </c>
      <c r="I21" s="22"/>
      <c r="K21" s="19" t="s">
        <v>1275</v>
      </c>
      <c r="L21" s="26">
        <f t="shared" si="13"/>
        <v>88.55</v>
      </c>
      <c r="M21" s="26">
        <f t="shared" si="11"/>
        <v>110.86</v>
      </c>
      <c r="N21" s="26">
        <f t="shared" si="9"/>
        <v>137.44999999999999</v>
      </c>
      <c r="O21" s="26">
        <f t="shared" si="7"/>
        <v>169.28</v>
      </c>
      <c r="P21" s="26">
        <f t="shared" si="5"/>
        <v>209.37</v>
      </c>
      <c r="Q21" s="26">
        <f t="shared" si="3"/>
        <v>257.72000000000003</v>
      </c>
      <c r="R21" s="26">
        <f t="shared" si="3"/>
        <v>316.8</v>
      </c>
      <c r="S21" s="22"/>
      <c r="T21" s="42"/>
      <c r="U21" s="39" t="s">
        <v>1275</v>
      </c>
      <c r="V21" s="40">
        <v>7.7</v>
      </c>
      <c r="W21" s="41">
        <v>9.64</v>
      </c>
      <c r="X21" s="38">
        <v>11.952199999999999</v>
      </c>
      <c r="Y21" s="38">
        <v>14.719799999999999</v>
      </c>
      <c r="Z21" s="38">
        <v>18.2057</v>
      </c>
      <c r="AA21" s="38">
        <v>22.41</v>
      </c>
      <c r="AB21" s="38">
        <v>27.547799999999999</v>
      </c>
      <c r="AC21" s="38"/>
    </row>
    <row r="22" spans="1:29" ht="15.75">
      <c r="A22" s="19" t="s">
        <v>1276</v>
      </c>
      <c r="B22" s="23">
        <f t="shared" si="12"/>
        <v>111480</v>
      </c>
      <c r="C22" s="23">
        <f t="shared" si="10"/>
        <v>139210</v>
      </c>
      <c r="D22" s="23">
        <f t="shared" si="8"/>
        <v>174030</v>
      </c>
      <c r="E22" s="23">
        <f t="shared" si="6"/>
        <v>215480</v>
      </c>
      <c r="F22" s="23">
        <f t="shared" si="4"/>
        <v>263830</v>
      </c>
      <c r="G22" s="23">
        <f t="shared" si="2"/>
        <v>324880</v>
      </c>
      <c r="H22" s="23">
        <f t="shared" si="2"/>
        <v>402060</v>
      </c>
      <c r="I22" s="22"/>
      <c r="K22" s="19" t="s">
        <v>1276</v>
      </c>
      <c r="L22" s="26">
        <f t="shared" si="13"/>
        <v>111.48</v>
      </c>
      <c r="M22" s="26">
        <f t="shared" si="11"/>
        <v>139.21</v>
      </c>
      <c r="N22" s="26">
        <f t="shared" si="9"/>
        <v>174.03</v>
      </c>
      <c r="O22" s="26">
        <f t="shared" si="7"/>
        <v>215.48</v>
      </c>
      <c r="P22" s="26">
        <f t="shared" si="5"/>
        <v>263.83</v>
      </c>
      <c r="Q22" s="26">
        <f t="shared" si="3"/>
        <v>324.88</v>
      </c>
      <c r="R22" s="26">
        <f t="shared" si="3"/>
        <v>402.06</v>
      </c>
      <c r="S22" s="22"/>
      <c r="T22" s="42"/>
      <c r="U22" s="39" t="s">
        <v>1276</v>
      </c>
      <c r="V22" s="40">
        <v>9.6940000000000008</v>
      </c>
      <c r="W22" s="41">
        <v>12.1052</v>
      </c>
      <c r="X22" s="38">
        <v>15.1333</v>
      </c>
      <c r="Y22" s="38">
        <v>18.7378</v>
      </c>
      <c r="Z22" s="38">
        <v>22.941400000000002</v>
      </c>
      <c r="AA22" s="38">
        <v>28.25</v>
      </c>
      <c r="AB22" s="38">
        <v>34.961399999999998</v>
      </c>
      <c r="AC22" s="38"/>
    </row>
    <row r="23" spans="1:29" ht="15.75">
      <c r="A23" s="19" t="s">
        <v>1277</v>
      </c>
      <c r="B23" s="24"/>
      <c r="C23" s="23">
        <f t="shared" si="10"/>
        <v>178090</v>
      </c>
      <c r="D23" s="23">
        <f t="shared" si="8"/>
        <v>221080</v>
      </c>
      <c r="E23" s="23">
        <f t="shared" si="6"/>
        <v>273320</v>
      </c>
      <c r="F23" s="23">
        <f t="shared" si="4"/>
        <v>335810</v>
      </c>
      <c r="G23" s="23">
        <f t="shared" si="2"/>
        <v>413660</v>
      </c>
      <c r="H23" s="23">
        <f t="shared" si="2"/>
        <v>511580</v>
      </c>
      <c r="I23" s="22"/>
      <c r="K23" s="19" t="s">
        <v>1277</v>
      </c>
      <c r="L23" s="24"/>
      <c r="M23" s="26">
        <f t="shared" si="11"/>
        <v>178.09</v>
      </c>
      <c r="N23" s="26">
        <f t="shared" si="9"/>
        <v>221.08</v>
      </c>
      <c r="O23" s="26">
        <f t="shared" si="7"/>
        <v>273.32</v>
      </c>
      <c r="P23" s="26">
        <f t="shared" si="5"/>
        <v>335.81</v>
      </c>
      <c r="Q23" s="26">
        <f t="shared" si="3"/>
        <v>413.66</v>
      </c>
      <c r="R23" s="26">
        <f t="shared" si="3"/>
        <v>511.58</v>
      </c>
      <c r="S23" s="22"/>
      <c r="T23" s="42"/>
      <c r="U23" s="39" t="s">
        <v>1277</v>
      </c>
      <c r="V23" s="40"/>
      <c r="W23" s="41">
        <v>15.4857</v>
      </c>
      <c r="X23" s="38">
        <v>19.224599999999999</v>
      </c>
      <c r="Y23" s="38">
        <v>23.7668</v>
      </c>
      <c r="Z23" s="38">
        <v>29.200600000000001</v>
      </c>
      <c r="AA23" s="38">
        <v>35.97</v>
      </c>
      <c r="AB23" s="38">
        <v>44.484900000000003</v>
      </c>
      <c r="AC23" s="38"/>
    </row>
    <row r="24" spans="1:29" ht="15.75">
      <c r="A24" s="19" t="s">
        <v>1278</v>
      </c>
      <c r="B24" s="23">
        <f>L24*1000</f>
        <v>175470</v>
      </c>
      <c r="C24" s="23">
        <f t="shared" si="10"/>
        <v>226310</v>
      </c>
      <c r="D24" s="23">
        <f t="shared" si="8"/>
        <v>282260</v>
      </c>
      <c r="E24" s="23">
        <f t="shared" si="6"/>
        <v>347330</v>
      </c>
      <c r="F24" s="23">
        <f t="shared" si="4"/>
        <v>429280</v>
      </c>
      <c r="G24" s="23">
        <f t="shared" si="2"/>
        <v>526470</v>
      </c>
      <c r="H24" s="23">
        <f t="shared" si="2"/>
        <v>652390</v>
      </c>
      <c r="I24" s="22"/>
      <c r="K24" s="19" t="s">
        <v>1278</v>
      </c>
      <c r="L24" s="26">
        <f>ROUND($P$2*V24/1000,2)</f>
        <v>175.47</v>
      </c>
      <c r="M24" s="26">
        <f t="shared" si="11"/>
        <v>226.31</v>
      </c>
      <c r="N24" s="26">
        <f t="shared" si="9"/>
        <v>282.26</v>
      </c>
      <c r="O24" s="26">
        <f t="shared" si="7"/>
        <v>347.33</v>
      </c>
      <c r="P24" s="26">
        <f t="shared" si="5"/>
        <v>429.28</v>
      </c>
      <c r="Q24" s="26">
        <f t="shared" si="3"/>
        <v>526.47</v>
      </c>
      <c r="R24" s="26">
        <f t="shared" si="3"/>
        <v>652.39</v>
      </c>
      <c r="S24" s="22"/>
      <c r="T24" s="42"/>
      <c r="U24" s="39" t="s">
        <v>1278</v>
      </c>
      <c r="V24" s="40">
        <v>15.257999999999999</v>
      </c>
      <c r="W24" s="41">
        <v>19.679400000000001</v>
      </c>
      <c r="X24" s="38">
        <v>24.5442</v>
      </c>
      <c r="Y24" s="38">
        <v>30.202300000000001</v>
      </c>
      <c r="Z24" s="38">
        <v>37.329000000000001</v>
      </c>
      <c r="AA24" s="38">
        <v>45.78</v>
      </c>
      <c r="AB24" s="38">
        <v>56.729700000000001</v>
      </c>
      <c r="AC24" s="38"/>
    </row>
    <row r="25" spans="1:29" ht="15.75">
      <c r="A25" s="19" t="s">
        <v>1279</v>
      </c>
      <c r="B25" s="24"/>
      <c r="C25" s="23">
        <f t="shared" si="10"/>
        <v>286210</v>
      </c>
      <c r="D25" s="23">
        <f t="shared" si="8"/>
        <v>356210</v>
      </c>
      <c r="E25" s="23">
        <f t="shared" si="6"/>
        <v>439790</v>
      </c>
      <c r="F25" s="23">
        <f t="shared" si="4"/>
        <v>544410</v>
      </c>
      <c r="G25" s="23">
        <f t="shared" si="2"/>
        <v>667230</v>
      </c>
      <c r="H25" s="23">
        <f t="shared" si="2"/>
        <v>830450</v>
      </c>
      <c r="I25" s="22"/>
      <c r="K25" s="19" t="s">
        <v>1279</v>
      </c>
      <c r="L25" s="24"/>
      <c r="M25" s="26">
        <f t="shared" si="11"/>
        <v>286.20999999999998</v>
      </c>
      <c r="N25" s="26">
        <f t="shared" si="9"/>
        <v>356.21</v>
      </c>
      <c r="O25" s="26">
        <f t="shared" si="7"/>
        <v>439.79</v>
      </c>
      <c r="P25" s="26">
        <f t="shared" si="5"/>
        <v>544.41</v>
      </c>
      <c r="Q25" s="26">
        <f t="shared" si="3"/>
        <v>667.23</v>
      </c>
      <c r="R25" s="26">
        <f t="shared" si="3"/>
        <v>830.45</v>
      </c>
      <c r="S25" s="22"/>
      <c r="U25" s="39" t="s">
        <v>1279</v>
      </c>
      <c r="V25" s="40"/>
      <c r="W25" s="41">
        <v>24.887699999999999</v>
      </c>
      <c r="X25" s="38">
        <v>30.974799999999998</v>
      </c>
      <c r="Y25" s="38">
        <v>38.242899999999999</v>
      </c>
      <c r="Z25" s="38">
        <v>47.339700000000001</v>
      </c>
      <c r="AA25" s="38">
        <v>58.02</v>
      </c>
      <c r="AB25" s="38">
        <v>72.212900000000005</v>
      </c>
      <c r="AC25" s="38"/>
    </row>
    <row r="26" spans="1:29" ht="15.75">
      <c r="A26" s="19" t="s">
        <v>1280</v>
      </c>
      <c r="B26" s="23">
        <f>L26*1000</f>
        <v>268560</v>
      </c>
      <c r="C26" s="23">
        <f t="shared" si="10"/>
        <v>355530</v>
      </c>
      <c r="D26" s="23">
        <f t="shared" si="8"/>
        <v>438480</v>
      </c>
      <c r="E26" s="23">
        <f t="shared" si="6"/>
        <v>549700</v>
      </c>
      <c r="F26" s="23">
        <f t="shared" si="4"/>
        <v>671560</v>
      </c>
      <c r="G26" s="23">
        <f t="shared" si="2"/>
        <v>827540</v>
      </c>
      <c r="H26" s="23">
        <f t="shared" si="2"/>
        <v>1034580</v>
      </c>
      <c r="I26" s="22"/>
      <c r="K26" s="19" t="s">
        <v>1280</v>
      </c>
      <c r="L26" s="26">
        <f>ROUND($P$2*V26/1000,2)</f>
        <v>268.56</v>
      </c>
      <c r="M26" s="26">
        <f t="shared" si="11"/>
        <v>355.53</v>
      </c>
      <c r="N26" s="26">
        <f t="shared" si="9"/>
        <v>438.48</v>
      </c>
      <c r="O26" s="26">
        <f t="shared" si="7"/>
        <v>549.70000000000005</v>
      </c>
      <c r="P26" s="26">
        <f t="shared" si="5"/>
        <v>671.56</v>
      </c>
      <c r="Q26" s="26">
        <f t="shared" si="3"/>
        <v>827.54</v>
      </c>
      <c r="R26" s="26">
        <f t="shared" si="3"/>
        <v>1034.58</v>
      </c>
      <c r="S26" s="22"/>
      <c r="U26" s="39" t="s">
        <v>1280</v>
      </c>
      <c r="V26" s="40">
        <v>23.353000000000002</v>
      </c>
      <c r="W26" s="41">
        <v>30.915299999999998</v>
      </c>
      <c r="X26" s="38">
        <v>38.128900000000002</v>
      </c>
      <c r="Y26" s="38">
        <v>47.8</v>
      </c>
      <c r="Z26" s="38">
        <v>58.396299999999997</v>
      </c>
      <c r="AA26" s="38">
        <v>71.959999999999994</v>
      </c>
      <c r="AB26" s="38">
        <v>89.963499999999996</v>
      </c>
      <c r="AC26" s="38"/>
    </row>
    <row r="28" spans="1:29" ht="18.75">
      <c r="U28" s="15" t="s">
        <v>1281</v>
      </c>
      <c r="V28" s="15"/>
    </row>
    <row r="29" spans="1:29" ht="22.5">
      <c r="U29" s="43"/>
      <c r="V29" s="43"/>
      <c r="AB29" s="45" t="s">
        <v>1282</v>
      </c>
    </row>
    <row r="30" spans="1:29" ht="21.75" customHeight="1">
      <c r="K30" s="497" t="s">
        <v>1247</v>
      </c>
      <c r="L30" s="27"/>
      <c r="M30" s="497" t="s">
        <v>1248</v>
      </c>
      <c r="N30" s="497"/>
      <c r="O30" s="497"/>
      <c r="P30" s="497"/>
      <c r="Q30" s="497"/>
      <c r="R30" s="497"/>
      <c r="S30" s="497"/>
      <c r="U30" s="497" t="s">
        <v>1247</v>
      </c>
      <c r="V30" s="27"/>
      <c r="W30" s="497" t="s">
        <v>1248</v>
      </c>
      <c r="X30" s="497"/>
      <c r="Y30" s="497"/>
      <c r="Z30" s="497"/>
      <c r="AA30" s="497"/>
      <c r="AB30" s="497"/>
      <c r="AC30" s="497"/>
    </row>
    <row r="31" spans="1:29" ht="15">
      <c r="K31" s="497"/>
      <c r="L31" s="27"/>
      <c r="M31" s="28" t="s">
        <v>1252</v>
      </c>
      <c r="N31" s="28" t="s">
        <v>1253</v>
      </c>
      <c r="O31" s="28" t="s">
        <v>1254</v>
      </c>
      <c r="P31" s="28" t="s">
        <v>1255</v>
      </c>
      <c r="Q31" s="28" t="s">
        <v>1256</v>
      </c>
      <c r="R31" s="28" t="s">
        <v>1257</v>
      </c>
      <c r="S31" s="28" t="s">
        <v>1258</v>
      </c>
      <c r="U31" s="497"/>
      <c r="V31" s="27"/>
      <c r="W31" s="28" t="s">
        <v>1252</v>
      </c>
      <c r="X31" s="28" t="s">
        <v>1253</v>
      </c>
      <c r="Y31" s="28" t="s">
        <v>1254</v>
      </c>
      <c r="Z31" s="28" t="s">
        <v>1255</v>
      </c>
      <c r="AA31" s="28" t="s">
        <v>1256</v>
      </c>
      <c r="AB31" s="28" t="s">
        <v>1257</v>
      </c>
      <c r="AC31" s="28" t="s">
        <v>1258</v>
      </c>
    </row>
    <row r="32" spans="1:29" ht="15.75">
      <c r="K32" s="27" t="s">
        <v>1259</v>
      </c>
      <c r="L32" s="27"/>
      <c r="M32" s="29"/>
      <c r="N32" s="29"/>
      <c r="O32" s="29"/>
      <c r="P32" s="29"/>
      <c r="Q32" s="29"/>
      <c r="R32" s="30">
        <f t="shared" ref="R32:S47" si="14">R5-AB32</f>
        <v>-9.0000000000000302E-2</v>
      </c>
      <c r="S32" s="30">
        <f t="shared" si="14"/>
        <v>-0.1</v>
      </c>
      <c r="U32" s="27" t="s">
        <v>1259</v>
      </c>
      <c r="V32" s="27"/>
      <c r="W32" s="29"/>
      <c r="X32" s="29"/>
      <c r="Y32" s="29"/>
      <c r="Z32" s="29"/>
      <c r="AA32" s="29"/>
      <c r="AB32" s="44">
        <v>2.2000000000000002</v>
      </c>
      <c r="AC32" s="44">
        <v>2.5</v>
      </c>
    </row>
    <row r="33" spans="11:29" ht="15.75">
      <c r="K33" s="27" t="s">
        <v>1260</v>
      </c>
      <c r="L33" s="27"/>
      <c r="M33" s="29"/>
      <c r="N33" s="29"/>
      <c r="O33" s="29"/>
      <c r="P33" s="29"/>
      <c r="Q33" s="30">
        <f t="shared" ref="Q33:R48" si="15">Q6-AA33</f>
        <v>-0.11</v>
      </c>
      <c r="R33" s="30">
        <f t="shared" si="14"/>
        <v>-0.14000000000000001</v>
      </c>
      <c r="S33" s="30">
        <f t="shared" si="14"/>
        <v>-0.15</v>
      </c>
      <c r="U33" s="27" t="s">
        <v>1260</v>
      </c>
      <c r="V33" s="27"/>
      <c r="W33" s="29"/>
      <c r="X33" s="29"/>
      <c r="Y33" s="29"/>
      <c r="Z33" s="29"/>
      <c r="AA33" s="44">
        <v>2.77</v>
      </c>
      <c r="AB33" s="44">
        <v>3.22</v>
      </c>
      <c r="AC33" s="44">
        <v>3.76</v>
      </c>
    </row>
    <row r="34" spans="11:29" ht="15.75">
      <c r="K34" s="27" t="s">
        <v>1261</v>
      </c>
      <c r="L34" s="27"/>
      <c r="M34" s="29"/>
      <c r="N34" s="29"/>
      <c r="O34" s="29"/>
      <c r="P34" s="30">
        <f t="shared" ref="P34:R49" si="16">P7-Z34</f>
        <v>-0.15</v>
      </c>
      <c r="Q34" s="30">
        <f t="shared" si="15"/>
        <v>-0.18</v>
      </c>
      <c r="R34" s="30">
        <f t="shared" si="14"/>
        <v>-0.21</v>
      </c>
      <c r="S34" s="30">
        <f t="shared" si="14"/>
        <v>-0.26</v>
      </c>
      <c r="U34" s="27" t="s">
        <v>1261</v>
      </c>
      <c r="V34" s="27"/>
      <c r="W34" s="29"/>
      <c r="X34" s="29"/>
      <c r="Y34" s="29"/>
      <c r="Z34" s="44">
        <v>3.63</v>
      </c>
      <c r="AA34" s="44">
        <v>4.3099999999999996</v>
      </c>
      <c r="AB34" s="44">
        <v>5.1100000000000003</v>
      </c>
      <c r="AC34" s="44">
        <v>6.16</v>
      </c>
    </row>
    <row r="35" spans="11:29" ht="15.75">
      <c r="K35" s="27" t="s">
        <v>1262</v>
      </c>
      <c r="L35" s="27"/>
      <c r="M35" s="29"/>
      <c r="N35" s="29"/>
      <c r="O35" s="30">
        <f t="shared" ref="O35:R50" si="17">O8-Y35</f>
        <v>-0.19</v>
      </c>
      <c r="P35" s="30">
        <f t="shared" si="16"/>
        <v>-0.23</v>
      </c>
      <c r="Q35" s="30">
        <f t="shared" si="15"/>
        <v>-0.28000000000000003</v>
      </c>
      <c r="R35" s="30">
        <f t="shared" si="14"/>
        <v>-0.32999999999999902</v>
      </c>
      <c r="S35" s="30">
        <f t="shared" si="14"/>
        <v>-0.39999999999999902</v>
      </c>
      <c r="U35" s="27" t="s">
        <v>1262</v>
      </c>
      <c r="V35" s="27"/>
      <c r="W35" s="29"/>
      <c r="X35" s="29"/>
      <c r="Y35" s="44">
        <v>4.6100000000000003</v>
      </c>
      <c r="Z35" s="44">
        <v>5.49</v>
      </c>
      <c r="AA35" s="44">
        <v>6.63</v>
      </c>
      <c r="AB35" s="44">
        <v>8.11</v>
      </c>
      <c r="AC35" s="44">
        <v>9.61</v>
      </c>
    </row>
    <row r="36" spans="11:29" ht="15.75">
      <c r="K36" s="27" t="s">
        <v>1263</v>
      </c>
      <c r="L36" s="27"/>
      <c r="M36" s="29"/>
      <c r="N36" s="30">
        <f t="shared" ref="N36:R51" si="18">N9-X36</f>
        <v>-0.24</v>
      </c>
      <c r="O36" s="30">
        <f t="shared" si="17"/>
        <v>-0.28999999999999998</v>
      </c>
      <c r="P36" s="30">
        <f t="shared" si="16"/>
        <v>-0.36000000000000099</v>
      </c>
      <c r="Q36" s="30">
        <f t="shared" si="15"/>
        <v>-0.44999999999999901</v>
      </c>
      <c r="R36" s="30">
        <f t="shared" si="14"/>
        <v>-0.53000000000000103</v>
      </c>
      <c r="S36" s="30">
        <f t="shared" si="14"/>
        <v>-0.630000000000001</v>
      </c>
      <c r="U36" s="27" t="s">
        <v>1263</v>
      </c>
      <c r="V36" s="27"/>
      <c r="W36" s="29"/>
      <c r="X36" s="44">
        <v>5.86</v>
      </c>
      <c r="Y36" s="44">
        <v>6.99</v>
      </c>
      <c r="Z36" s="44">
        <v>8.48</v>
      </c>
      <c r="AA36" s="44">
        <v>10.67</v>
      </c>
      <c r="AB36" s="44">
        <v>12.64</v>
      </c>
      <c r="AC36" s="44">
        <v>15.07</v>
      </c>
    </row>
    <row r="37" spans="11:29" ht="15.75">
      <c r="K37" s="27" t="s">
        <v>1264</v>
      </c>
      <c r="L37" s="27"/>
      <c r="M37" s="30">
        <f t="shared" ref="M37:R52" si="19">M10-W37</f>
        <v>-0.31</v>
      </c>
      <c r="N37" s="30">
        <f t="shared" si="18"/>
        <v>-0.39000000000000101</v>
      </c>
      <c r="O37" s="30">
        <f t="shared" si="17"/>
        <v>-0.44999999999999901</v>
      </c>
      <c r="P37" s="30">
        <f t="shared" si="16"/>
        <v>-0.56000000000000005</v>
      </c>
      <c r="Q37" s="30">
        <f t="shared" si="15"/>
        <v>-0.68999999999999795</v>
      </c>
      <c r="R37" s="30">
        <f t="shared" si="14"/>
        <v>-0.84</v>
      </c>
      <c r="S37" s="30">
        <f t="shared" si="14"/>
        <v>-1</v>
      </c>
      <c r="U37" s="27" t="s">
        <v>1264</v>
      </c>
      <c r="V37" s="27"/>
      <c r="W37" s="44">
        <v>7.51</v>
      </c>
      <c r="X37" s="44">
        <v>9.26</v>
      </c>
      <c r="Y37" s="44">
        <v>10.84</v>
      </c>
      <c r="Z37" s="44">
        <v>13.48</v>
      </c>
      <c r="AA37" s="44">
        <v>16.489999999999998</v>
      </c>
      <c r="AB37" s="44">
        <v>20.13</v>
      </c>
      <c r="AC37" s="44">
        <v>24.03</v>
      </c>
    </row>
    <row r="38" spans="11:29" ht="15.75">
      <c r="K38" s="27" t="s">
        <v>1265</v>
      </c>
      <c r="L38" s="27"/>
      <c r="M38" s="30">
        <f t="shared" si="19"/>
        <v>-0.43</v>
      </c>
      <c r="N38" s="30">
        <f t="shared" si="18"/>
        <v>-0.52</v>
      </c>
      <c r="O38" s="30">
        <f t="shared" si="17"/>
        <v>-0.65</v>
      </c>
      <c r="P38" s="30">
        <f t="shared" si="16"/>
        <v>-0.79000000000000303</v>
      </c>
      <c r="Q38" s="30">
        <f t="shared" si="15"/>
        <v>-0.96999999999999897</v>
      </c>
      <c r="R38" s="30">
        <f t="shared" si="14"/>
        <v>-1.19</v>
      </c>
      <c r="S38" s="30">
        <f t="shared" si="14"/>
        <v>-1.41</v>
      </c>
      <c r="U38" s="27" t="s">
        <v>1265</v>
      </c>
      <c r="V38" s="27"/>
      <c r="W38" s="44">
        <v>10.33</v>
      </c>
      <c r="X38" s="44">
        <v>12.66</v>
      </c>
      <c r="Y38" s="44">
        <v>15.51</v>
      </c>
      <c r="Z38" s="44">
        <v>19.03</v>
      </c>
      <c r="AA38" s="44">
        <v>23.33</v>
      </c>
      <c r="AB38" s="44">
        <v>28.61</v>
      </c>
      <c r="AC38" s="44">
        <v>33.93</v>
      </c>
    </row>
    <row r="39" spans="11:29" ht="15.75">
      <c r="K39" s="27" t="s">
        <v>1266</v>
      </c>
      <c r="L39" s="27"/>
      <c r="M39" s="30">
        <f t="shared" si="19"/>
        <v>-0.619999999999999</v>
      </c>
      <c r="N39" s="30">
        <f t="shared" si="18"/>
        <v>-0.77</v>
      </c>
      <c r="O39" s="30">
        <f t="shared" si="17"/>
        <v>-0.92000000000000204</v>
      </c>
      <c r="P39" s="30">
        <f t="shared" si="16"/>
        <v>-1.1499999999999999</v>
      </c>
      <c r="Q39" s="30">
        <f t="shared" si="15"/>
        <v>-1.46</v>
      </c>
      <c r="R39" s="30">
        <f t="shared" si="14"/>
        <v>-1.71</v>
      </c>
      <c r="S39" s="30">
        <f t="shared" si="14"/>
        <v>-2.04</v>
      </c>
      <c r="U39" s="27" t="s">
        <v>1266</v>
      </c>
      <c r="V39" s="27"/>
      <c r="W39" s="44">
        <v>14.85</v>
      </c>
      <c r="X39" s="44">
        <v>18.34</v>
      </c>
      <c r="Y39" s="44">
        <v>22.21</v>
      </c>
      <c r="Z39" s="44">
        <v>27.56</v>
      </c>
      <c r="AA39" s="44">
        <v>35.24</v>
      </c>
      <c r="AB39" s="44">
        <v>40.869999999999997</v>
      </c>
      <c r="AC39" s="44">
        <v>48.87</v>
      </c>
    </row>
    <row r="40" spans="11:29" ht="15.75">
      <c r="K40" s="27" t="s">
        <v>1267</v>
      </c>
      <c r="L40" s="27"/>
      <c r="M40" s="30">
        <f t="shared" si="19"/>
        <v>-0.73999999999999799</v>
      </c>
      <c r="N40" s="30">
        <f t="shared" si="18"/>
        <v>-0.92000000000000204</v>
      </c>
      <c r="O40" s="30">
        <f t="shared" si="17"/>
        <v>-1.1200000000000001</v>
      </c>
      <c r="P40" s="30">
        <f t="shared" si="16"/>
        <v>-1.4</v>
      </c>
      <c r="Q40" s="30">
        <f t="shared" si="15"/>
        <v>-1.70999999999999</v>
      </c>
      <c r="R40" s="30">
        <f t="shared" si="14"/>
        <v>-2.11</v>
      </c>
      <c r="S40" s="30">
        <f t="shared" si="14"/>
        <v>-2.54</v>
      </c>
      <c r="U40" s="27" t="s">
        <v>1267</v>
      </c>
      <c r="V40" s="27"/>
      <c r="W40" s="44">
        <v>17.75</v>
      </c>
      <c r="X40" s="44">
        <v>22.1</v>
      </c>
      <c r="Y40" s="44">
        <v>26.96</v>
      </c>
      <c r="Z40" s="44">
        <v>33.409999999999997</v>
      </c>
      <c r="AA40" s="44">
        <v>41.05</v>
      </c>
      <c r="AB40" s="44">
        <v>50.58</v>
      </c>
      <c r="AC40" s="44">
        <v>60.91</v>
      </c>
    </row>
    <row r="41" spans="11:29" ht="15.75">
      <c r="K41" s="27" t="s">
        <v>1268</v>
      </c>
      <c r="L41" s="27"/>
      <c r="M41" s="30">
        <f t="shared" si="19"/>
        <v>-0.96999999999999897</v>
      </c>
      <c r="N41" s="30">
        <f t="shared" si="18"/>
        <v>-1.19</v>
      </c>
      <c r="O41" s="30">
        <f t="shared" si="17"/>
        <v>-1.46</v>
      </c>
      <c r="P41" s="30">
        <f t="shared" si="16"/>
        <v>-1.79</v>
      </c>
      <c r="Q41" s="30">
        <f t="shared" si="15"/>
        <v>-2.2200000000000002</v>
      </c>
      <c r="R41" s="30">
        <f t="shared" si="14"/>
        <v>-2.7099999999999902</v>
      </c>
      <c r="S41" s="30">
        <f t="shared" si="14"/>
        <v>-3.3</v>
      </c>
      <c r="U41" s="27" t="s">
        <v>1268</v>
      </c>
      <c r="V41" s="27"/>
      <c r="W41" s="44">
        <v>23.25</v>
      </c>
      <c r="X41" s="44">
        <v>28.53</v>
      </c>
      <c r="Y41" s="44">
        <v>35.04</v>
      </c>
      <c r="Z41" s="44">
        <v>42.98</v>
      </c>
      <c r="AA41" s="44">
        <v>53.21</v>
      </c>
      <c r="AB41" s="44">
        <v>65.099999999999994</v>
      </c>
      <c r="AC41" s="44">
        <v>79.2</v>
      </c>
    </row>
    <row r="42" spans="11:29" ht="15.75">
      <c r="K42" s="27" t="s">
        <v>1269</v>
      </c>
      <c r="L42" s="27"/>
      <c r="M42" s="30">
        <f t="shared" si="19"/>
        <v>-1.21</v>
      </c>
      <c r="N42" s="30">
        <f t="shared" si="18"/>
        <v>-1.48</v>
      </c>
      <c r="O42" s="30">
        <f t="shared" si="17"/>
        <v>-1.84</v>
      </c>
      <c r="P42" s="30">
        <f t="shared" si="16"/>
        <v>-2.25</v>
      </c>
      <c r="Q42" s="30">
        <f t="shared" si="15"/>
        <v>-2.8</v>
      </c>
      <c r="R42" s="30">
        <f t="shared" si="14"/>
        <v>-3.41</v>
      </c>
      <c r="S42" s="30">
        <f t="shared" si="14"/>
        <v>-4.12</v>
      </c>
      <c r="U42" s="27" t="s">
        <v>1269</v>
      </c>
      <c r="V42" s="27"/>
      <c r="W42" s="44">
        <v>29.1</v>
      </c>
      <c r="X42" s="44">
        <v>35.4</v>
      </c>
      <c r="Y42" s="44">
        <v>44.14</v>
      </c>
      <c r="Z42" s="44">
        <v>54.09</v>
      </c>
      <c r="AA42" s="44">
        <v>67.2</v>
      </c>
      <c r="AB42" s="44">
        <v>81.75</v>
      </c>
      <c r="AC42" s="44">
        <v>98.86</v>
      </c>
    </row>
    <row r="43" spans="11:29" ht="15.75">
      <c r="K43" s="27" t="s">
        <v>1270</v>
      </c>
      <c r="L43" s="27"/>
      <c r="M43" s="30">
        <f t="shared" si="19"/>
        <v>-1.57</v>
      </c>
      <c r="N43" s="30">
        <f t="shared" si="18"/>
        <v>-1.93</v>
      </c>
      <c r="O43" s="30">
        <f t="shared" si="17"/>
        <v>-2.4</v>
      </c>
      <c r="P43" s="30">
        <f t="shared" si="16"/>
        <v>-2.95</v>
      </c>
      <c r="Q43" s="30">
        <f t="shared" si="15"/>
        <v>-3.6000000000000099</v>
      </c>
      <c r="R43" s="30">
        <f t="shared" si="14"/>
        <v>-4.4599999999999902</v>
      </c>
      <c r="S43" s="30">
        <f t="shared" si="14"/>
        <v>-5.3899999999999899</v>
      </c>
      <c r="U43" s="27" t="s">
        <v>1270</v>
      </c>
      <c r="V43" s="27"/>
      <c r="W43" s="44">
        <v>37.68</v>
      </c>
      <c r="X43" s="44">
        <v>46.15</v>
      </c>
      <c r="Y43" s="44">
        <v>57.8</v>
      </c>
      <c r="Z43" s="44">
        <v>70.83</v>
      </c>
      <c r="AA43" s="44">
        <v>86.34</v>
      </c>
      <c r="AB43" s="44">
        <v>106.97</v>
      </c>
      <c r="AC43" s="44">
        <v>129.54</v>
      </c>
    </row>
    <row r="44" spans="11:29" ht="15.75">
      <c r="K44" s="27" t="s">
        <v>1271</v>
      </c>
      <c r="L44" s="27"/>
      <c r="M44" s="30">
        <f t="shared" si="19"/>
        <v>-1.96</v>
      </c>
      <c r="N44" s="30">
        <f t="shared" si="18"/>
        <v>-2.4300000000000002</v>
      </c>
      <c r="O44" s="30">
        <f t="shared" si="17"/>
        <v>-3.02</v>
      </c>
      <c r="P44" s="30">
        <f t="shared" si="16"/>
        <v>-3.7100000000000102</v>
      </c>
      <c r="Q44" s="30">
        <f t="shared" si="15"/>
        <v>-4.66</v>
      </c>
      <c r="R44" s="30">
        <f t="shared" si="14"/>
        <v>-5.6500000000000101</v>
      </c>
      <c r="S44" s="30">
        <f t="shared" si="14"/>
        <v>-6.8299999999999796</v>
      </c>
      <c r="U44" s="27" t="s">
        <v>1271</v>
      </c>
      <c r="V44" s="27"/>
      <c r="W44" s="44">
        <v>46.89</v>
      </c>
      <c r="X44" s="44">
        <v>58.33</v>
      </c>
      <c r="Y44" s="44">
        <v>72.42</v>
      </c>
      <c r="Z44" s="44">
        <v>88.92</v>
      </c>
      <c r="AA44" s="44">
        <v>111.75</v>
      </c>
      <c r="AB44" s="44">
        <v>135.6</v>
      </c>
      <c r="AC44" s="44">
        <v>163.98</v>
      </c>
    </row>
    <row r="45" spans="11:29" ht="15.75">
      <c r="K45" s="27" t="s">
        <v>1272</v>
      </c>
      <c r="L45" s="27"/>
      <c r="M45" s="30">
        <f t="shared" si="19"/>
        <v>-2.4300000000000002</v>
      </c>
      <c r="N45" s="30">
        <f t="shared" si="18"/>
        <v>-3.05</v>
      </c>
      <c r="O45" s="30">
        <f t="shared" si="17"/>
        <v>-3.75</v>
      </c>
      <c r="P45" s="30">
        <f t="shared" si="16"/>
        <v>-4.7299999999999898</v>
      </c>
      <c r="Q45" s="30">
        <f t="shared" si="15"/>
        <v>-5.7299999999999898</v>
      </c>
      <c r="R45" s="30">
        <f t="shared" si="14"/>
        <v>-6.98000000000002</v>
      </c>
      <c r="S45" s="30">
        <f t="shared" si="14"/>
        <v>-8.4599999999999795</v>
      </c>
      <c r="U45" s="27" t="s">
        <v>1272</v>
      </c>
      <c r="V45" s="27"/>
      <c r="W45" s="44">
        <v>58.31</v>
      </c>
      <c r="X45" s="44">
        <v>73.19</v>
      </c>
      <c r="Y45" s="44">
        <v>89.91</v>
      </c>
      <c r="Z45" s="44">
        <v>113.71</v>
      </c>
      <c r="AA45" s="44">
        <v>137.47</v>
      </c>
      <c r="AB45" s="44">
        <v>167.58</v>
      </c>
      <c r="AC45" s="44">
        <v>203.01</v>
      </c>
    </row>
    <row r="46" spans="11:29" ht="15.75">
      <c r="K46" s="27" t="s">
        <v>1273</v>
      </c>
      <c r="L46" s="27"/>
      <c r="M46" s="30">
        <f t="shared" si="19"/>
        <v>-3.0699999999999901</v>
      </c>
      <c r="N46" s="30">
        <f t="shared" si="18"/>
        <v>-3.8199999999999901</v>
      </c>
      <c r="O46" s="30">
        <f t="shared" si="17"/>
        <v>-4.7</v>
      </c>
      <c r="P46" s="30">
        <f t="shared" si="16"/>
        <v>-5.8499999999999899</v>
      </c>
      <c r="Q46" s="30">
        <f t="shared" si="15"/>
        <v>-7.28</v>
      </c>
      <c r="R46" s="30">
        <f t="shared" si="14"/>
        <v>-8.8599999999999905</v>
      </c>
      <c r="S46" s="29"/>
      <c r="U46" s="27" t="s">
        <v>1273</v>
      </c>
      <c r="V46" s="27"/>
      <c r="W46" s="44">
        <v>73.709999999999994</v>
      </c>
      <c r="X46" s="44">
        <v>91.66</v>
      </c>
      <c r="Y46" s="44">
        <v>112.87</v>
      </c>
      <c r="Z46" s="44">
        <v>140.57</v>
      </c>
      <c r="AA46" s="44">
        <v>174.72</v>
      </c>
      <c r="AB46" s="44">
        <v>212.47</v>
      </c>
      <c r="AC46" s="29"/>
    </row>
    <row r="47" spans="11:29" ht="15.75">
      <c r="K47" s="27" t="s">
        <v>1274</v>
      </c>
      <c r="L47" s="27"/>
      <c r="M47" s="30">
        <f t="shared" si="19"/>
        <v>-3.86</v>
      </c>
      <c r="N47" s="30">
        <f t="shared" si="18"/>
        <v>-4.7399999999999904</v>
      </c>
      <c r="O47" s="30">
        <f t="shared" si="17"/>
        <v>-5.8600000000000101</v>
      </c>
      <c r="P47" s="30">
        <f t="shared" si="16"/>
        <v>-7.1699999999999902</v>
      </c>
      <c r="Q47" s="30">
        <f t="shared" si="15"/>
        <v>-8.8699999999999992</v>
      </c>
      <c r="R47" s="30">
        <f t="shared" si="14"/>
        <v>-10.94</v>
      </c>
      <c r="S47" s="29"/>
      <c r="U47" s="27" t="s">
        <v>1274</v>
      </c>
      <c r="V47" s="27"/>
      <c r="W47" s="44">
        <v>92.42</v>
      </c>
      <c r="X47" s="44">
        <v>113.74</v>
      </c>
      <c r="Y47" s="44">
        <v>140.62</v>
      </c>
      <c r="Z47" s="44">
        <v>172.14</v>
      </c>
      <c r="AA47" s="44">
        <v>212.96</v>
      </c>
      <c r="AB47" s="44">
        <v>262.54000000000002</v>
      </c>
      <c r="AC47" s="29"/>
    </row>
    <row r="48" spans="11:29" ht="15.75">
      <c r="K48" s="27" t="s">
        <v>1275</v>
      </c>
      <c r="L48" s="27"/>
      <c r="M48" s="30">
        <f t="shared" si="19"/>
        <v>-4.8200000000000101</v>
      </c>
      <c r="N48" s="30">
        <f t="shared" si="18"/>
        <v>-5.98000000000002</v>
      </c>
      <c r="O48" s="30">
        <f t="shared" si="17"/>
        <v>-7.3599999999999897</v>
      </c>
      <c r="P48" s="30">
        <f t="shared" si="16"/>
        <v>-9.0999999999999908</v>
      </c>
      <c r="Q48" s="30">
        <f t="shared" si="15"/>
        <v>-11.2</v>
      </c>
      <c r="R48" s="30">
        <f t="shared" si="15"/>
        <v>-13.77</v>
      </c>
      <c r="S48" s="29"/>
      <c r="U48" s="27" t="s">
        <v>1275</v>
      </c>
      <c r="V48" s="27"/>
      <c r="W48" s="44">
        <v>115.68</v>
      </c>
      <c r="X48" s="44">
        <v>143.43</v>
      </c>
      <c r="Y48" s="44">
        <v>176.64</v>
      </c>
      <c r="Z48" s="44">
        <v>218.47</v>
      </c>
      <c r="AA48" s="44">
        <v>268.92</v>
      </c>
      <c r="AB48" s="44">
        <v>330.57</v>
      </c>
      <c r="AC48" s="29"/>
    </row>
    <row r="49" spans="11:29" ht="15.75">
      <c r="K49" s="27" t="s">
        <v>1276</v>
      </c>
      <c r="L49" s="27"/>
      <c r="M49" s="30">
        <f t="shared" si="19"/>
        <v>-6.0499999999999803</v>
      </c>
      <c r="N49" s="30">
        <f t="shared" si="18"/>
        <v>-7.5699999999999896</v>
      </c>
      <c r="O49" s="30">
        <f t="shared" si="17"/>
        <v>-9.3699999999999992</v>
      </c>
      <c r="P49" s="30">
        <f t="shared" si="16"/>
        <v>-11.47</v>
      </c>
      <c r="Q49" s="30">
        <f t="shared" si="16"/>
        <v>-14.12</v>
      </c>
      <c r="R49" s="30">
        <f t="shared" si="16"/>
        <v>-17.48</v>
      </c>
      <c r="S49" s="29"/>
      <c r="U49" s="27" t="s">
        <v>1276</v>
      </c>
      <c r="V49" s="27"/>
      <c r="W49" s="44">
        <v>145.26</v>
      </c>
      <c r="X49" s="44">
        <v>181.6</v>
      </c>
      <c r="Y49" s="44">
        <v>224.85</v>
      </c>
      <c r="Z49" s="44">
        <v>275.3</v>
      </c>
      <c r="AA49" s="44">
        <v>339</v>
      </c>
      <c r="AB49" s="44">
        <v>419.54</v>
      </c>
      <c r="AC49" s="29"/>
    </row>
    <row r="50" spans="11:29" ht="15.75">
      <c r="K50" s="27" t="s">
        <v>1277</v>
      </c>
      <c r="L50" s="27"/>
      <c r="M50" s="30">
        <f t="shared" si="19"/>
        <v>-7.74000000000001</v>
      </c>
      <c r="N50" s="30">
        <f t="shared" si="18"/>
        <v>-9.6199999999999797</v>
      </c>
      <c r="O50" s="30">
        <f t="shared" si="17"/>
        <v>-11.88</v>
      </c>
      <c r="P50" s="30">
        <f t="shared" si="17"/>
        <v>-14.6</v>
      </c>
      <c r="Q50" s="30">
        <f t="shared" si="17"/>
        <v>-17.98</v>
      </c>
      <c r="R50" s="30">
        <f t="shared" si="17"/>
        <v>-22.240000000000101</v>
      </c>
      <c r="S50" s="29"/>
      <c r="U50" s="27" t="s">
        <v>1277</v>
      </c>
      <c r="V50" s="27"/>
      <c r="W50" s="44">
        <v>185.83</v>
      </c>
      <c r="X50" s="44">
        <v>230.7</v>
      </c>
      <c r="Y50" s="44">
        <v>285.2</v>
      </c>
      <c r="Z50" s="44">
        <v>350.41</v>
      </c>
      <c r="AA50" s="44">
        <v>431.64</v>
      </c>
      <c r="AB50" s="44">
        <v>533.82000000000005</v>
      </c>
      <c r="AC50" s="29"/>
    </row>
    <row r="51" spans="11:29" ht="15.75">
      <c r="K51" s="27" t="s">
        <v>1278</v>
      </c>
      <c r="L51" s="27"/>
      <c r="M51" s="30">
        <f t="shared" si="19"/>
        <v>-9.84</v>
      </c>
      <c r="N51" s="30">
        <f t="shared" si="18"/>
        <v>-12.27</v>
      </c>
      <c r="O51" s="30">
        <f t="shared" si="18"/>
        <v>-15.1</v>
      </c>
      <c r="P51" s="30">
        <f t="shared" si="18"/>
        <v>-18.670000000000002</v>
      </c>
      <c r="Q51" s="30">
        <f t="shared" si="18"/>
        <v>-22.89</v>
      </c>
      <c r="R51" s="30">
        <f t="shared" si="18"/>
        <v>-28.37</v>
      </c>
      <c r="S51" s="29"/>
      <c r="U51" s="27" t="s">
        <v>1278</v>
      </c>
      <c r="V51" s="27"/>
      <c r="W51" s="44">
        <v>236.15</v>
      </c>
      <c r="X51" s="44">
        <v>294.52999999999997</v>
      </c>
      <c r="Y51" s="44">
        <v>362.43</v>
      </c>
      <c r="Z51" s="44">
        <v>447.95</v>
      </c>
      <c r="AA51" s="44">
        <v>549.36</v>
      </c>
      <c r="AB51" s="44">
        <v>680.76</v>
      </c>
      <c r="AC51" s="29"/>
    </row>
    <row r="52" spans="11:29" ht="15.75">
      <c r="K52" s="27" t="s">
        <v>1279</v>
      </c>
      <c r="L52" s="27"/>
      <c r="M52" s="30">
        <f t="shared" si="19"/>
        <v>-12.44</v>
      </c>
      <c r="N52" s="30">
        <f t="shared" si="19"/>
        <v>-15.49</v>
      </c>
      <c r="O52" s="30">
        <f t="shared" si="19"/>
        <v>-19.12</v>
      </c>
      <c r="P52" s="30">
        <f t="shared" si="19"/>
        <v>-23.670000000000101</v>
      </c>
      <c r="Q52" s="30">
        <f t="shared" si="19"/>
        <v>-29.01</v>
      </c>
      <c r="R52" s="30">
        <f t="shared" si="19"/>
        <v>-36.099999999999902</v>
      </c>
      <c r="S52" s="29"/>
      <c r="U52" s="27" t="s">
        <v>1279</v>
      </c>
      <c r="V52" s="27"/>
      <c r="W52" s="44">
        <v>298.64999999999998</v>
      </c>
      <c r="X52" s="44">
        <v>371.7</v>
      </c>
      <c r="Y52" s="44">
        <v>458.91</v>
      </c>
      <c r="Z52" s="44">
        <v>568.08000000000004</v>
      </c>
      <c r="AA52" s="44">
        <v>696.24</v>
      </c>
      <c r="AB52" s="44">
        <v>866.55</v>
      </c>
      <c r="AC52" s="29"/>
    </row>
    <row r="53" spans="11:29" ht="15.75">
      <c r="K53" s="27" t="s">
        <v>1280</v>
      </c>
      <c r="L53" s="27"/>
      <c r="M53" s="30">
        <f t="shared" ref="M53:R53" si="20">M26-W53</f>
        <v>-15.45</v>
      </c>
      <c r="N53" s="30">
        <f t="shared" si="20"/>
        <v>-19.07</v>
      </c>
      <c r="O53" s="30">
        <f t="shared" si="20"/>
        <v>-23.9</v>
      </c>
      <c r="P53" s="30">
        <f t="shared" si="20"/>
        <v>-29.2</v>
      </c>
      <c r="Q53" s="30">
        <f t="shared" si="20"/>
        <v>-35.979999999999997</v>
      </c>
      <c r="R53" s="30">
        <f t="shared" si="20"/>
        <v>-44.98</v>
      </c>
      <c r="S53" s="29"/>
      <c r="U53" s="27" t="s">
        <v>1280</v>
      </c>
      <c r="V53" s="27"/>
      <c r="W53" s="44">
        <v>370.98</v>
      </c>
      <c r="X53" s="44">
        <v>457.55</v>
      </c>
      <c r="Y53" s="44">
        <v>573.6</v>
      </c>
      <c r="Z53" s="44">
        <v>700.76</v>
      </c>
      <c r="AA53" s="44">
        <v>863.52</v>
      </c>
      <c r="AB53" s="44">
        <v>1079.56</v>
      </c>
      <c r="AC53" s="29"/>
    </row>
  </sheetData>
  <mergeCells count="10">
    <mergeCell ref="V3:AC3"/>
    <mergeCell ref="M30:S30"/>
    <mergeCell ref="W30:AC30"/>
    <mergeCell ref="A3:A4"/>
    <mergeCell ref="K3:K4"/>
    <mergeCell ref="K30:K31"/>
    <mergeCell ref="U3:U4"/>
    <mergeCell ref="U30:U31"/>
    <mergeCell ref="C3:I3"/>
    <mergeCell ref="M3:S3"/>
  </mergeCells>
  <phoneticPr fontId="79" type="noConversion"/>
  <pageMargins left="0.69930555555555596" right="0.69930555555555596" top="0.75" bottom="0.75" header="0.3" footer="0.3"/>
</worksheet>
</file>

<file path=xl/worksheets/sheet2.xml><?xml version="1.0" encoding="utf-8"?>
<worksheet xmlns="http://schemas.openxmlformats.org/spreadsheetml/2006/main" xmlns:r="http://schemas.openxmlformats.org/officeDocument/2006/relationships">
  <dimension ref="A1:V272"/>
  <sheetViews>
    <sheetView topLeftCell="A242" workbookViewId="0">
      <selection sqref="A1:G271"/>
    </sheetView>
  </sheetViews>
  <sheetFormatPr defaultColWidth="9" defaultRowHeight="18" customHeight="1"/>
  <cols>
    <col min="1" max="1" width="4.625" customWidth="1"/>
    <col min="2" max="2" width="26.625" customWidth="1"/>
    <col min="3" max="3" width="5.125" customWidth="1"/>
    <col min="4" max="4" width="8.125" customWidth="1"/>
    <col min="5" max="5" width="7.75" customWidth="1"/>
    <col min="6" max="6" width="9.5" customWidth="1"/>
    <col min="7" max="7" width="6.5" customWidth="1"/>
    <col min="8" max="8" width="15.375" customWidth="1"/>
    <col min="9" max="9" width="10.5" customWidth="1"/>
    <col min="10" max="10" width="11.75" customWidth="1"/>
    <col min="11" max="11" width="9.5" customWidth="1"/>
    <col min="13" max="15" width="12.625"/>
    <col min="20" max="20" width="9.375"/>
    <col min="253" max="253" width="6.375" customWidth="1"/>
    <col min="254" max="254" width="37" customWidth="1"/>
    <col min="255" max="255" width="5.125" customWidth="1"/>
    <col min="256" max="256" width="9.375" customWidth="1"/>
    <col min="257" max="257" width="10.125" customWidth="1"/>
    <col min="258" max="258" width="13.875" customWidth="1"/>
    <col min="259" max="259" width="7.25" customWidth="1"/>
    <col min="263" max="263" width="12.25" customWidth="1"/>
    <col min="264" max="264" width="11.625" customWidth="1"/>
    <col min="509" max="509" width="6.375" customWidth="1"/>
    <col min="510" max="510" width="37" customWidth="1"/>
    <col min="511" max="511" width="5.125" customWidth="1"/>
    <col min="512" max="512" width="9.375" customWidth="1"/>
    <col min="513" max="513" width="10.125" customWidth="1"/>
    <col min="514" max="514" width="13.875" customWidth="1"/>
    <col min="515" max="515" width="7.25" customWidth="1"/>
    <col min="519" max="519" width="12.25" customWidth="1"/>
    <col min="520" max="520" width="11.625" customWidth="1"/>
    <col min="765" max="765" width="6.375" customWidth="1"/>
    <col min="766" max="766" width="37" customWidth="1"/>
    <col min="767" max="767" width="5.125" customWidth="1"/>
    <col min="768" max="768" width="9.375" customWidth="1"/>
    <col min="769" max="769" width="10.125" customWidth="1"/>
    <col min="770" max="770" width="13.875" customWidth="1"/>
    <col min="771" max="771" width="7.25" customWidth="1"/>
    <col min="775" max="775" width="12.25" customWidth="1"/>
    <col min="776" max="776" width="11.625" customWidth="1"/>
    <col min="1021" max="1021" width="6.375" customWidth="1"/>
    <col min="1022" max="1022" width="37" customWidth="1"/>
    <col min="1023" max="1023" width="5.125" customWidth="1"/>
    <col min="1024" max="1024" width="9.375" customWidth="1"/>
    <col min="1025" max="1025" width="10.125" customWidth="1"/>
    <col min="1026" max="1026" width="13.875" customWidth="1"/>
    <col min="1027" max="1027" width="7.25" customWidth="1"/>
    <col min="1031" max="1031" width="12.25" customWidth="1"/>
    <col min="1032" max="1032" width="11.625" customWidth="1"/>
    <col min="1277" max="1277" width="6.375" customWidth="1"/>
    <col min="1278" max="1278" width="37" customWidth="1"/>
    <col min="1279" max="1279" width="5.125" customWidth="1"/>
    <col min="1280" max="1280" width="9.375" customWidth="1"/>
    <col min="1281" max="1281" width="10.125" customWidth="1"/>
    <col min="1282" max="1282" width="13.875" customWidth="1"/>
    <col min="1283" max="1283" width="7.25" customWidth="1"/>
    <col min="1287" max="1287" width="12.25" customWidth="1"/>
    <col min="1288" max="1288" width="11.625" customWidth="1"/>
    <col min="1533" max="1533" width="6.375" customWidth="1"/>
    <col min="1534" max="1534" width="37" customWidth="1"/>
    <col min="1535" max="1535" width="5.125" customWidth="1"/>
    <col min="1536" max="1536" width="9.375" customWidth="1"/>
    <col min="1537" max="1537" width="10.125" customWidth="1"/>
    <col min="1538" max="1538" width="13.875" customWidth="1"/>
    <col min="1539" max="1539" width="7.25" customWidth="1"/>
    <col min="1543" max="1543" width="12.25" customWidth="1"/>
    <col min="1544" max="1544" width="11.625" customWidth="1"/>
    <col min="1789" max="1789" width="6.375" customWidth="1"/>
    <col min="1790" max="1790" width="37" customWidth="1"/>
    <col min="1791" max="1791" width="5.125" customWidth="1"/>
    <col min="1792" max="1792" width="9.375" customWidth="1"/>
    <col min="1793" max="1793" width="10.125" customWidth="1"/>
    <col min="1794" max="1794" width="13.875" customWidth="1"/>
    <col min="1795" max="1795" width="7.25" customWidth="1"/>
    <col min="1799" max="1799" width="12.25" customWidth="1"/>
    <col min="1800" max="1800" width="11.625" customWidth="1"/>
    <col min="2045" max="2045" width="6.375" customWidth="1"/>
    <col min="2046" max="2046" width="37" customWidth="1"/>
    <col min="2047" max="2047" width="5.125" customWidth="1"/>
    <col min="2048" max="2048" width="9.375" customWidth="1"/>
    <col min="2049" max="2049" width="10.125" customWidth="1"/>
    <col min="2050" max="2050" width="13.875" customWidth="1"/>
    <col min="2051" max="2051" width="7.25" customWidth="1"/>
    <col min="2055" max="2055" width="12.25" customWidth="1"/>
    <col min="2056" max="2056" width="11.625" customWidth="1"/>
    <col min="2301" max="2301" width="6.375" customWidth="1"/>
    <col min="2302" max="2302" width="37" customWidth="1"/>
    <col min="2303" max="2303" width="5.125" customWidth="1"/>
    <col min="2304" max="2304" width="9.375" customWidth="1"/>
    <col min="2305" max="2305" width="10.125" customWidth="1"/>
    <col min="2306" max="2306" width="13.875" customWidth="1"/>
    <col min="2307" max="2307" width="7.25" customWidth="1"/>
    <col min="2311" max="2311" width="12.25" customWidth="1"/>
    <col min="2312" max="2312" width="11.625" customWidth="1"/>
    <col min="2557" max="2557" width="6.375" customWidth="1"/>
    <col min="2558" max="2558" width="37" customWidth="1"/>
    <col min="2559" max="2559" width="5.125" customWidth="1"/>
    <col min="2560" max="2560" width="9.375" customWidth="1"/>
    <col min="2561" max="2561" width="10.125" customWidth="1"/>
    <col min="2562" max="2562" width="13.875" customWidth="1"/>
    <col min="2563" max="2563" width="7.25" customWidth="1"/>
    <col min="2567" max="2567" width="12.25" customWidth="1"/>
    <col min="2568" max="2568" width="11.625" customWidth="1"/>
    <col min="2813" max="2813" width="6.375" customWidth="1"/>
    <col min="2814" max="2814" width="37" customWidth="1"/>
    <col min="2815" max="2815" width="5.125" customWidth="1"/>
    <col min="2816" max="2816" width="9.375" customWidth="1"/>
    <col min="2817" max="2817" width="10.125" customWidth="1"/>
    <col min="2818" max="2818" width="13.875" customWidth="1"/>
    <col min="2819" max="2819" width="7.25" customWidth="1"/>
    <col min="2823" max="2823" width="12.25" customWidth="1"/>
    <col min="2824" max="2824" width="11.625" customWidth="1"/>
    <col min="3069" max="3069" width="6.375" customWidth="1"/>
    <col min="3070" max="3070" width="37" customWidth="1"/>
    <col min="3071" max="3071" width="5.125" customWidth="1"/>
    <col min="3072" max="3072" width="9.375" customWidth="1"/>
    <col min="3073" max="3073" width="10.125" customWidth="1"/>
    <col min="3074" max="3074" width="13.875" customWidth="1"/>
    <col min="3075" max="3075" width="7.25" customWidth="1"/>
    <col min="3079" max="3079" width="12.25" customWidth="1"/>
    <col min="3080" max="3080" width="11.625" customWidth="1"/>
    <col min="3325" max="3325" width="6.375" customWidth="1"/>
    <col min="3326" max="3326" width="37" customWidth="1"/>
    <col min="3327" max="3327" width="5.125" customWidth="1"/>
    <col min="3328" max="3328" width="9.375" customWidth="1"/>
    <col min="3329" max="3329" width="10.125" customWidth="1"/>
    <col min="3330" max="3330" width="13.875" customWidth="1"/>
    <col min="3331" max="3331" width="7.25" customWidth="1"/>
    <col min="3335" max="3335" width="12.25" customWidth="1"/>
    <col min="3336" max="3336" width="11.625" customWidth="1"/>
    <col min="3581" max="3581" width="6.375" customWidth="1"/>
    <col min="3582" max="3582" width="37" customWidth="1"/>
    <col min="3583" max="3583" width="5.125" customWidth="1"/>
    <col min="3584" max="3584" width="9.375" customWidth="1"/>
    <col min="3585" max="3585" width="10.125" customWidth="1"/>
    <col min="3586" max="3586" width="13.875" customWidth="1"/>
    <col min="3587" max="3587" width="7.25" customWidth="1"/>
    <col min="3591" max="3591" width="12.25" customWidth="1"/>
    <col min="3592" max="3592" width="11.625" customWidth="1"/>
    <col min="3837" max="3837" width="6.375" customWidth="1"/>
    <col min="3838" max="3838" width="37" customWidth="1"/>
    <col min="3839" max="3839" width="5.125" customWidth="1"/>
    <col min="3840" max="3840" width="9.375" customWidth="1"/>
    <col min="3841" max="3841" width="10.125" customWidth="1"/>
    <col min="3842" max="3842" width="13.875" customWidth="1"/>
    <col min="3843" max="3843" width="7.25" customWidth="1"/>
    <col min="3847" max="3847" width="12.25" customWidth="1"/>
    <col min="3848" max="3848" width="11.625" customWidth="1"/>
    <col min="4093" max="4093" width="6.375" customWidth="1"/>
    <col min="4094" max="4094" width="37" customWidth="1"/>
    <col min="4095" max="4095" width="5.125" customWidth="1"/>
    <col min="4096" max="4096" width="9.375" customWidth="1"/>
    <col min="4097" max="4097" width="10.125" customWidth="1"/>
    <col min="4098" max="4098" width="13.875" customWidth="1"/>
    <col min="4099" max="4099" width="7.25" customWidth="1"/>
    <col min="4103" max="4103" width="12.25" customWidth="1"/>
    <col min="4104" max="4104" width="11.625" customWidth="1"/>
    <col min="4349" max="4349" width="6.375" customWidth="1"/>
    <col min="4350" max="4350" width="37" customWidth="1"/>
    <col min="4351" max="4351" width="5.125" customWidth="1"/>
    <col min="4352" max="4352" width="9.375" customWidth="1"/>
    <col min="4353" max="4353" width="10.125" customWidth="1"/>
    <col min="4354" max="4354" width="13.875" customWidth="1"/>
    <col min="4355" max="4355" width="7.25" customWidth="1"/>
    <col min="4359" max="4359" width="12.25" customWidth="1"/>
    <col min="4360" max="4360" width="11.625" customWidth="1"/>
    <col min="4605" max="4605" width="6.375" customWidth="1"/>
    <col min="4606" max="4606" width="37" customWidth="1"/>
    <col min="4607" max="4607" width="5.125" customWidth="1"/>
    <col min="4608" max="4608" width="9.375" customWidth="1"/>
    <col min="4609" max="4609" width="10.125" customWidth="1"/>
    <col min="4610" max="4610" width="13.875" customWidth="1"/>
    <col min="4611" max="4611" width="7.25" customWidth="1"/>
    <col min="4615" max="4615" width="12.25" customWidth="1"/>
    <col min="4616" max="4616" width="11.625" customWidth="1"/>
    <col min="4861" max="4861" width="6.375" customWidth="1"/>
    <col min="4862" max="4862" width="37" customWidth="1"/>
    <col min="4863" max="4863" width="5.125" customWidth="1"/>
    <col min="4864" max="4864" width="9.375" customWidth="1"/>
    <col min="4865" max="4865" width="10.125" customWidth="1"/>
    <col min="4866" max="4866" width="13.875" customWidth="1"/>
    <col min="4867" max="4867" width="7.25" customWidth="1"/>
    <col min="4871" max="4871" width="12.25" customWidth="1"/>
    <col min="4872" max="4872" width="11.625" customWidth="1"/>
    <col min="5117" max="5117" width="6.375" customWidth="1"/>
    <col min="5118" max="5118" width="37" customWidth="1"/>
    <col min="5119" max="5119" width="5.125" customWidth="1"/>
    <col min="5120" max="5120" width="9.375" customWidth="1"/>
    <col min="5121" max="5121" width="10.125" customWidth="1"/>
    <col min="5122" max="5122" width="13.875" customWidth="1"/>
    <col min="5123" max="5123" width="7.25" customWidth="1"/>
    <col min="5127" max="5127" width="12.25" customWidth="1"/>
    <col min="5128" max="5128" width="11.625" customWidth="1"/>
    <col min="5373" max="5373" width="6.375" customWidth="1"/>
    <col min="5374" max="5374" width="37" customWidth="1"/>
    <col min="5375" max="5375" width="5.125" customWidth="1"/>
    <col min="5376" max="5376" width="9.375" customWidth="1"/>
    <col min="5377" max="5377" width="10.125" customWidth="1"/>
    <col min="5378" max="5378" width="13.875" customWidth="1"/>
    <col min="5379" max="5379" width="7.25" customWidth="1"/>
    <col min="5383" max="5383" width="12.25" customWidth="1"/>
    <col min="5384" max="5384" width="11.625" customWidth="1"/>
    <col min="5629" max="5629" width="6.375" customWidth="1"/>
    <col min="5630" max="5630" width="37" customWidth="1"/>
    <col min="5631" max="5631" width="5.125" customWidth="1"/>
    <col min="5632" max="5632" width="9.375" customWidth="1"/>
    <col min="5633" max="5633" width="10.125" customWidth="1"/>
    <col min="5634" max="5634" width="13.875" customWidth="1"/>
    <col min="5635" max="5635" width="7.25" customWidth="1"/>
    <col min="5639" max="5639" width="12.25" customWidth="1"/>
    <col min="5640" max="5640" width="11.625" customWidth="1"/>
    <col min="5885" max="5885" width="6.375" customWidth="1"/>
    <col min="5886" max="5886" width="37" customWidth="1"/>
    <col min="5887" max="5887" width="5.125" customWidth="1"/>
    <col min="5888" max="5888" width="9.375" customWidth="1"/>
    <col min="5889" max="5889" width="10.125" customWidth="1"/>
    <col min="5890" max="5890" width="13.875" customWidth="1"/>
    <col min="5891" max="5891" width="7.25" customWidth="1"/>
    <col min="5895" max="5895" width="12.25" customWidth="1"/>
    <col min="5896" max="5896" width="11.625" customWidth="1"/>
    <col min="6141" max="6141" width="6.375" customWidth="1"/>
    <col min="6142" max="6142" width="37" customWidth="1"/>
    <col min="6143" max="6143" width="5.125" customWidth="1"/>
    <col min="6144" max="6144" width="9.375" customWidth="1"/>
    <col min="6145" max="6145" width="10.125" customWidth="1"/>
    <col min="6146" max="6146" width="13.875" customWidth="1"/>
    <col min="6147" max="6147" width="7.25" customWidth="1"/>
    <col min="6151" max="6151" width="12.25" customWidth="1"/>
    <col min="6152" max="6152" width="11.625" customWidth="1"/>
    <col min="6397" max="6397" width="6.375" customWidth="1"/>
    <col min="6398" max="6398" width="37" customWidth="1"/>
    <col min="6399" max="6399" width="5.125" customWidth="1"/>
    <col min="6400" max="6400" width="9.375" customWidth="1"/>
    <col min="6401" max="6401" width="10.125" customWidth="1"/>
    <col min="6402" max="6402" width="13.875" customWidth="1"/>
    <col min="6403" max="6403" width="7.25" customWidth="1"/>
    <col min="6407" max="6407" width="12.25" customWidth="1"/>
    <col min="6408" max="6408" width="11.625" customWidth="1"/>
    <col min="6653" max="6653" width="6.375" customWidth="1"/>
    <col min="6654" max="6654" width="37" customWidth="1"/>
    <col min="6655" max="6655" width="5.125" customWidth="1"/>
    <col min="6656" max="6656" width="9.375" customWidth="1"/>
    <col min="6657" max="6657" width="10.125" customWidth="1"/>
    <col min="6658" max="6658" width="13.875" customWidth="1"/>
    <col min="6659" max="6659" width="7.25" customWidth="1"/>
    <col min="6663" max="6663" width="12.25" customWidth="1"/>
    <col min="6664" max="6664" width="11.625" customWidth="1"/>
    <col min="6909" max="6909" width="6.375" customWidth="1"/>
    <col min="6910" max="6910" width="37" customWidth="1"/>
    <col min="6911" max="6911" width="5.125" customWidth="1"/>
    <col min="6912" max="6912" width="9.375" customWidth="1"/>
    <col min="6913" max="6913" width="10.125" customWidth="1"/>
    <col min="6914" max="6914" width="13.875" customWidth="1"/>
    <col min="6915" max="6915" width="7.25" customWidth="1"/>
    <col min="6919" max="6919" width="12.25" customWidth="1"/>
    <col min="6920" max="6920" width="11.625" customWidth="1"/>
    <col min="7165" max="7165" width="6.375" customWidth="1"/>
    <col min="7166" max="7166" width="37" customWidth="1"/>
    <col min="7167" max="7167" width="5.125" customWidth="1"/>
    <col min="7168" max="7168" width="9.375" customWidth="1"/>
    <col min="7169" max="7169" width="10.125" customWidth="1"/>
    <col min="7170" max="7170" width="13.875" customWidth="1"/>
    <col min="7171" max="7171" width="7.25" customWidth="1"/>
    <col min="7175" max="7175" width="12.25" customWidth="1"/>
    <col min="7176" max="7176" width="11.625" customWidth="1"/>
    <col min="7421" max="7421" width="6.375" customWidth="1"/>
    <col min="7422" max="7422" width="37" customWidth="1"/>
    <col min="7423" max="7423" width="5.125" customWidth="1"/>
    <col min="7424" max="7424" width="9.375" customWidth="1"/>
    <col min="7425" max="7425" width="10.125" customWidth="1"/>
    <col min="7426" max="7426" width="13.875" customWidth="1"/>
    <col min="7427" max="7427" width="7.25" customWidth="1"/>
    <col min="7431" max="7431" width="12.25" customWidth="1"/>
    <col min="7432" max="7432" width="11.625" customWidth="1"/>
    <col min="7677" max="7677" width="6.375" customWidth="1"/>
    <col min="7678" max="7678" width="37" customWidth="1"/>
    <col min="7679" max="7679" width="5.125" customWidth="1"/>
    <col min="7680" max="7680" width="9.375" customWidth="1"/>
    <col min="7681" max="7681" width="10.125" customWidth="1"/>
    <col min="7682" max="7682" width="13.875" customWidth="1"/>
    <col min="7683" max="7683" width="7.25" customWidth="1"/>
    <col min="7687" max="7687" width="12.25" customWidth="1"/>
    <col min="7688" max="7688" width="11.625" customWidth="1"/>
    <col min="7933" max="7933" width="6.375" customWidth="1"/>
    <col min="7934" max="7934" width="37" customWidth="1"/>
    <col min="7935" max="7935" width="5.125" customWidth="1"/>
    <col min="7936" max="7936" width="9.375" customWidth="1"/>
    <col min="7937" max="7937" width="10.125" customWidth="1"/>
    <col min="7938" max="7938" width="13.875" customWidth="1"/>
    <col min="7939" max="7939" width="7.25" customWidth="1"/>
    <col min="7943" max="7943" width="12.25" customWidth="1"/>
    <col min="7944" max="7944" width="11.625" customWidth="1"/>
    <col min="8189" max="8189" width="6.375" customWidth="1"/>
    <col min="8190" max="8190" width="37" customWidth="1"/>
    <col min="8191" max="8191" width="5.125" customWidth="1"/>
    <col min="8192" max="8192" width="9.375" customWidth="1"/>
    <col min="8193" max="8193" width="10.125" customWidth="1"/>
    <col min="8194" max="8194" width="13.875" customWidth="1"/>
    <col min="8195" max="8195" width="7.25" customWidth="1"/>
    <col min="8199" max="8199" width="12.25" customWidth="1"/>
    <col min="8200" max="8200" width="11.625" customWidth="1"/>
    <col min="8445" max="8445" width="6.375" customWidth="1"/>
    <col min="8446" max="8446" width="37" customWidth="1"/>
    <col min="8447" max="8447" width="5.125" customWidth="1"/>
    <col min="8448" max="8448" width="9.375" customWidth="1"/>
    <col min="8449" max="8449" width="10.125" customWidth="1"/>
    <col min="8450" max="8450" width="13.875" customWidth="1"/>
    <col min="8451" max="8451" width="7.25" customWidth="1"/>
    <col min="8455" max="8455" width="12.25" customWidth="1"/>
    <col min="8456" max="8456" width="11.625" customWidth="1"/>
    <col min="8701" max="8701" width="6.375" customWidth="1"/>
    <col min="8702" max="8702" width="37" customWidth="1"/>
    <col min="8703" max="8703" width="5.125" customWidth="1"/>
    <col min="8704" max="8704" width="9.375" customWidth="1"/>
    <col min="8705" max="8705" width="10.125" customWidth="1"/>
    <col min="8706" max="8706" width="13.875" customWidth="1"/>
    <col min="8707" max="8707" width="7.25" customWidth="1"/>
    <col min="8711" max="8711" width="12.25" customWidth="1"/>
    <col min="8712" max="8712" width="11.625" customWidth="1"/>
    <col min="8957" max="8957" width="6.375" customWidth="1"/>
    <col min="8958" max="8958" width="37" customWidth="1"/>
    <col min="8959" max="8959" width="5.125" customWidth="1"/>
    <col min="8960" max="8960" width="9.375" customWidth="1"/>
    <col min="8961" max="8961" width="10.125" customWidth="1"/>
    <col min="8962" max="8962" width="13.875" customWidth="1"/>
    <col min="8963" max="8963" width="7.25" customWidth="1"/>
    <col min="8967" max="8967" width="12.25" customWidth="1"/>
    <col min="8968" max="8968" width="11.625" customWidth="1"/>
    <col min="9213" max="9213" width="6.375" customWidth="1"/>
    <col min="9214" max="9214" width="37" customWidth="1"/>
    <col min="9215" max="9215" width="5.125" customWidth="1"/>
    <col min="9216" max="9216" width="9.375" customWidth="1"/>
    <col min="9217" max="9217" width="10.125" customWidth="1"/>
    <col min="9218" max="9218" width="13.875" customWidth="1"/>
    <col min="9219" max="9219" width="7.25" customWidth="1"/>
    <col min="9223" max="9223" width="12.25" customWidth="1"/>
    <col min="9224" max="9224" width="11.625" customWidth="1"/>
    <col min="9469" max="9469" width="6.375" customWidth="1"/>
    <col min="9470" max="9470" width="37" customWidth="1"/>
    <col min="9471" max="9471" width="5.125" customWidth="1"/>
    <col min="9472" max="9472" width="9.375" customWidth="1"/>
    <col min="9473" max="9473" width="10.125" customWidth="1"/>
    <col min="9474" max="9474" width="13.875" customWidth="1"/>
    <col min="9475" max="9475" width="7.25" customWidth="1"/>
    <col min="9479" max="9479" width="12.25" customWidth="1"/>
    <col min="9480" max="9480" width="11.625" customWidth="1"/>
    <col min="9725" max="9725" width="6.375" customWidth="1"/>
    <col min="9726" max="9726" width="37" customWidth="1"/>
    <col min="9727" max="9727" width="5.125" customWidth="1"/>
    <col min="9728" max="9728" width="9.375" customWidth="1"/>
    <col min="9729" max="9729" width="10.125" customWidth="1"/>
    <col min="9730" max="9730" width="13.875" customWidth="1"/>
    <col min="9731" max="9731" width="7.25" customWidth="1"/>
    <col min="9735" max="9735" width="12.25" customWidth="1"/>
    <col min="9736" max="9736" width="11.625" customWidth="1"/>
    <col min="9981" max="9981" width="6.375" customWidth="1"/>
    <col min="9982" max="9982" width="37" customWidth="1"/>
    <col min="9983" max="9983" width="5.125" customWidth="1"/>
    <col min="9984" max="9984" width="9.375" customWidth="1"/>
    <col min="9985" max="9985" width="10.125" customWidth="1"/>
    <col min="9986" max="9986" width="13.875" customWidth="1"/>
    <col min="9987" max="9987" width="7.25" customWidth="1"/>
    <col min="9991" max="9991" width="12.25" customWidth="1"/>
    <col min="9992" max="9992" width="11.625" customWidth="1"/>
    <col min="10237" max="10237" width="6.375" customWidth="1"/>
    <col min="10238" max="10238" width="37" customWidth="1"/>
    <col min="10239" max="10239" width="5.125" customWidth="1"/>
    <col min="10240" max="10240" width="9.375" customWidth="1"/>
    <col min="10241" max="10241" width="10.125" customWidth="1"/>
    <col min="10242" max="10242" width="13.875" customWidth="1"/>
    <col min="10243" max="10243" width="7.25" customWidth="1"/>
    <col min="10247" max="10247" width="12.25" customWidth="1"/>
    <col min="10248" max="10248" width="11.625" customWidth="1"/>
    <col min="10493" max="10493" width="6.375" customWidth="1"/>
    <col min="10494" max="10494" width="37" customWidth="1"/>
    <col min="10495" max="10495" width="5.125" customWidth="1"/>
    <col min="10496" max="10496" width="9.375" customWidth="1"/>
    <col min="10497" max="10497" width="10.125" customWidth="1"/>
    <col min="10498" max="10498" width="13.875" customWidth="1"/>
    <col min="10499" max="10499" width="7.25" customWidth="1"/>
    <col min="10503" max="10503" width="12.25" customWidth="1"/>
    <col min="10504" max="10504" width="11.625" customWidth="1"/>
    <col min="10749" max="10749" width="6.375" customWidth="1"/>
    <col min="10750" max="10750" width="37" customWidth="1"/>
    <col min="10751" max="10751" width="5.125" customWidth="1"/>
    <col min="10752" max="10752" width="9.375" customWidth="1"/>
    <col min="10753" max="10753" width="10.125" customWidth="1"/>
    <col min="10754" max="10754" width="13.875" customWidth="1"/>
    <col min="10755" max="10755" width="7.25" customWidth="1"/>
    <col min="10759" max="10759" width="12.25" customWidth="1"/>
    <col min="10760" max="10760" width="11.625" customWidth="1"/>
    <col min="11005" max="11005" width="6.375" customWidth="1"/>
    <col min="11006" max="11006" width="37" customWidth="1"/>
    <col min="11007" max="11007" width="5.125" customWidth="1"/>
    <col min="11008" max="11008" width="9.375" customWidth="1"/>
    <col min="11009" max="11009" width="10.125" customWidth="1"/>
    <col min="11010" max="11010" width="13.875" customWidth="1"/>
    <col min="11011" max="11011" width="7.25" customWidth="1"/>
    <col min="11015" max="11015" width="12.25" customWidth="1"/>
    <col min="11016" max="11016" width="11.625" customWidth="1"/>
    <col min="11261" max="11261" width="6.375" customWidth="1"/>
    <col min="11262" max="11262" width="37" customWidth="1"/>
    <col min="11263" max="11263" width="5.125" customWidth="1"/>
    <col min="11264" max="11264" width="9.375" customWidth="1"/>
    <col min="11265" max="11265" width="10.125" customWidth="1"/>
    <col min="11266" max="11266" width="13.875" customWidth="1"/>
    <col min="11267" max="11267" width="7.25" customWidth="1"/>
    <col min="11271" max="11271" width="12.25" customWidth="1"/>
    <col min="11272" max="11272" width="11.625" customWidth="1"/>
    <col min="11517" max="11517" width="6.375" customWidth="1"/>
    <col min="11518" max="11518" width="37" customWidth="1"/>
    <col min="11519" max="11519" width="5.125" customWidth="1"/>
    <col min="11520" max="11520" width="9.375" customWidth="1"/>
    <col min="11521" max="11521" width="10.125" customWidth="1"/>
    <col min="11522" max="11522" width="13.875" customWidth="1"/>
    <col min="11523" max="11523" width="7.25" customWidth="1"/>
    <col min="11527" max="11527" width="12.25" customWidth="1"/>
    <col min="11528" max="11528" width="11.625" customWidth="1"/>
    <col min="11773" max="11773" width="6.375" customWidth="1"/>
    <col min="11774" max="11774" width="37" customWidth="1"/>
    <col min="11775" max="11775" width="5.125" customWidth="1"/>
    <col min="11776" max="11776" width="9.375" customWidth="1"/>
    <col min="11777" max="11777" width="10.125" customWidth="1"/>
    <col min="11778" max="11778" width="13.875" customWidth="1"/>
    <col min="11779" max="11779" width="7.25" customWidth="1"/>
    <col min="11783" max="11783" width="12.25" customWidth="1"/>
    <col min="11784" max="11784" width="11.625" customWidth="1"/>
    <col min="12029" max="12029" width="6.375" customWidth="1"/>
    <col min="12030" max="12030" width="37" customWidth="1"/>
    <col min="12031" max="12031" width="5.125" customWidth="1"/>
    <col min="12032" max="12032" width="9.375" customWidth="1"/>
    <col min="12033" max="12033" width="10.125" customWidth="1"/>
    <col min="12034" max="12034" width="13.875" customWidth="1"/>
    <col min="12035" max="12035" width="7.25" customWidth="1"/>
    <col min="12039" max="12039" width="12.25" customWidth="1"/>
    <col min="12040" max="12040" width="11.625" customWidth="1"/>
    <col min="12285" max="12285" width="6.375" customWidth="1"/>
    <col min="12286" max="12286" width="37" customWidth="1"/>
    <col min="12287" max="12287" width="5.125" customWidth="1"/>
    <col min="12288" max="12288" width="9.375" customWidth="1"/>
    <col min="12289" max="12289" width="10.125" customWidth="1"/>
    <col min="12290" max="12290" width="13.875" customWidth="1"/>
    <col min="12291" max="12291" width="7.25" customWidth="1"/>
    <col min="12295" max="12295" width="12.25" customWidth="1"/>
    <col min="12296" max="12296" width="11.625" customWidth="1"/>
    <col min="12541" max="12541" width="6.375" customWidth="1"/>
    <col min="12542" max="12542" width="37" customWidth="1"/>
    <col min="12543" max="12543" width="5.125" customWidth="1"/>
    <col min="12544" max="12544" width="9.375" customWidth="1"/>
    <col min="12545" max="12545" width="10.125" customWidth="1"/>
    <col min="12546" max="12546" width="13.875" customWidth="1"/>
    <col min="12547" max="12547" width="7.25" customWidth="1"/>
    <col min="12551" max="12551" width="12.25" customWidth="1"/>
    <col min="12552" max="12552" width="11.625" customWidth="1"/>
    <col min="12797" max="12797" width="6.375" customWidth="1"/>
    <col min="12798" max="12798" width="37" customWidth="1"/>
    <col min="12799" max="12799" width="5.125" customWidth="1"/>
    <col min="12800" max="12800" width="9.375" customWidth="1"/>
    <col min="12801" max="12801" width="10.125" customWidth="1"/>
    <col min="12802" max="12802" width="13.875" customWidth="1"/>
    <col min="12803" max="12803" width="7.25" customWidth="1"/>
    <col min="12807" max="12807" width="12.25" customWidth="1"/>
    <col min="12808" max="12808" width="11.625" customWidth="1"/>
    <col min="13053" max="13053" width="6.375" customWidth="1"/>
    <col min="13054" max="13054" width="37" customWidth="1"/>
    <col min="13055" max="13055" width="5.125" customWidth="1"/>
    <col min="13056" max="13056" width="9.375" customWidth="1"/>
    <col min="13057" max="13057" width="10.125" customWidth="1"/>
    <col min="13058" max="13058" width="13.875" customWidth="1"/>
    <col min="13059" max="13059" width="7.25" customWidth="1"/>
    <col min="13063" max="13063" width="12.25" customWidth="1"/>
    <col min="13064" max="13064" width="11.625" customWidth="1"/>
    <col min="13309" max="13309" width="6.375" customWidth="1"/>
    <col min="13310" max="13310" width="37" customWidth="1"/>
    <col min="13311" max="13311" width="5.125" customWidth="1"/>
    <col min="13312" max="13312" width="9.375" customWidth="1"/>
    <col min="13313" max="13313" width="10.125" customWidth="1"/>
    <col min="13314" max="13314" width="13.875" customWidth="1"/>
    <col min="13315" max="13315" width="7.25" customWidth="1"/>
    <col min="13319" max="13319" width="12.25" customWidth="1"/>
    <col min="13320" max="13320" width="11.625" customWidth="1"/>
    <col min="13565" max="13565" width="6.375" customWidth="1"/>
    <col min="13566" max="13566" width="37" customWidth="1"/>
    <col min="13567" max="13567" width="5.125" customWidth="1"/>
    <col min="13568" max="13568" width="9.375" customWidth="1"/>
    <col min="13569" max="13569" width="10.125" customWidth="1"/>
    <col min="13570" max="13570" width="13.875" customWidth="1"/>
    <col min="13571" max="13571" width="7.25" customWidth="1"/>
    <col min="13575" max="13575" width="12.25" customWidth="1"/>
    <col min="13576" max="13576" width="11.625" customWidth="1"/>
    <col min="13821" max="13821" width="6.375" customWidth="1"/>
    <col min="13822" max="13822" width="37" customWidth="1"/>
    <col min="13823" max="13823" width="5.125" customWidth="1"/>
    <col min="13824" max="13824" width="9.375" customWidth="1"/>
    <col min="13825" max="13825" width="10.125" customWidth="1"/>
    <col min="13826" max="13826" width="13.875" customWidth="1"/>
    <col min="13827" max="13827" width="7.25" customWidth="1"/>
    <col min="13831" max="13831" width="12.25" customWidth="1"/>
    <col min="13832" max="13832" width="11.625" customWidth="1"/>
    <col min="14077" max="14077" width="6.375" customWidth="1"/>
    <col min="14078" max="14078" width="37" customWidth="1"/>
    <col min="14079" max="14079" width="5.125" customWidth="1"/>
    <col min="14080" max="14080" width="9.375" customWidth="1"/>
    <col min="14081" max="14081" width="10.125" customWidth="1"/>
    <col min="14082" max="14082" width="13.875" customWidth="1"/>
    <col min="14083" max="14083" width="7.25" customWidth="1"/>
    <col min="14087" max="14087" width="12.25" customWidth="1"/>
    <col min="14088" max="14088" width="11.625" customWidth="1"/>
    <col min="14333" max="14333" width="6.375" customWidth="1"/>
    <col min="14334" max="14334" width="37" customWidth="1"/>
    <col min="14335" max="14335" width="5.125" customWidth="1"/>
    <col min="14336" max="14336" width="9.375" customWidth="1"/>
    <col min="14337" max="14337" width="10.125" customWidth="1"/>
    <col min="14338" max="14338" width="13.875" customWidth="1"/>
    <col min="14339" max="14339" width="7.25" customWidth="1"/>
    <col min="14343" max="14343" width="12.25" customWidth="1"/>
    <col min="14344" max="14344" width="11.625" customWidth="1"/>
    <col min="14589" max="14589" width="6.375" customWidth="1"/>
    <col min="14590" max="14590" width="37" customWidth="1"/>
    <col min="14591" max="14591" width="5.125" customWidth="1"/>
    <col min="14592" max="14592" width="9.375" customWidth="1"/>
    <col min="14593" max="14593" width="10.125" customWidth="1"/>
    <col min="14594" max="14594" width="13.875" customWidth="1"/>
    <col min="14595" max="14595" width="7.25" customWidth="1"/>
    <col min="14599" max="14599" width="12.25" customWidth="1"/>
    <col min="14600" max="14600" width="11.625" customWidth="1"/>
    <col min="14845" max="14845" width="6.375" customWidth="1"/>
    <col min="14846" max="14846" width="37" customWidth="1"/>
    <col min="14847" max="14847" width="5.125" customWidth="1"/>
    <col min="14848" max="14848" width="9.375" customWidth="1"/>
    <col min="14849" max="14849" width="10.125" customWidth="1"/>
    <col min="14850" max="14850" width="13.875" customWidth="1"/>
    <col min="14851" max="14851" width="7.25" customWidth="1"/>
    <col min="14855" max="14855" width="12.25" customWidth="1"/>
    <col min="14856" max="14856" width="11.625" customWidth="1"/>
    <col min="15101" max="15101" width="6.375" customWidth="1"/>
    <col min="15102" max="15102" width="37" customWidth="1"/>
    <col min="15103" max="15103" width="5.125" customWidth="1"/>
    <col min="15104" max="15104" width="9.375" customWidth="1"/>
    <col min="15105" max="15105" width="10.125" customWidth="1"/>
    <col min="15106" max="15106" width="13.875" customWidth="1"/>
    <col min="15107" max="15107" width="7.25" customWidth="1"/>
    <col min="15111" max="15111" width="12.25" customWidth="1"/>
    <col min="15112" max="15112" width="11.625" customWidth="1"/>
    <col min="15357" max="15357" width="6.375" customWidth="1"/>
    <col min="15358" max="15358" width="37" customWidth="1"/>
    <col min="15359" max="15359" width="5.125" customWidth="1"/>
    <col min="15360" max="15360" width="9.375" customWidth="1"/>
    <col min="15361" max="15361" width="10.125" customWidth="1"/>
    <col min="15362" max="15362" width="13.875" customWidth="1"/>
    <col min="15363" max="15363" width="7.25" customWidth="1"/>
    <col min="15367" max="15367" width="12.25" customWidth="1"/>
    <col min="15368" max="15368" width="11.625" customWidth="1"/>
    <col min="15613" max="15613" width="6.375" customWidth="1"/>
    <col min="15614" max="15614" width="37" customWidth="1"/>
    <col min="15615" max="15615" width="5.125" customWidth="1"/>
    <col min="15616" max="15616" width="9.375" customWidth="1"/>
    <col min="15617" max="15617" width="10.125" customWidth="1"/>
    <col min="15618" max="15618" width="13.875" customWidth="1"/>
    <col min="15619" max="15619" width="7.25" customWidth="1"/>
    <col min="15623" max="15623" width="12.25" customWidth="1"/>
    <col min="15624" max="15624" width="11.625" customWidth="1"/>
    <col min="15869" max="15869" width="6.375" customWidth="1"/>
    <col min="15870" max="15870" width="37" customWidth="1"/>
    <col min="15871" max="15871" width="5.125" customWidth="1"/>
    <col min="15872" max="15872" width="9.375" customWidth="1"/>
    <col min="15873" max="15873" width="10.125" customWidth="1"/>
    <col min="15874" max="15874" width="13.875" customWidth="1"/>
    <col min="15875" max="15875" width="7.25" customWidth="1"/>
    <col min="15879" max="15879" width="12.25" customWidth="1"/>
    <col min="15880" max="15880" width="11.625" customWidth="1"/>
    <col min="16125" max="16125" width="6.375" customWidth="1"/>
    <col min="16126" max="16126" width="37" customWidth="1"/>
    <col min="16127" max="16127" width="5.125" customWidth="1"/>
    <col min="16128" max="16128" width="9.375" customWidth="1"/>
    <col min="16129" max="16129" width="10.125" customWidth="1"/>
    <col min="16130" max="16130" width="13.875" customWidth="1"/>
    <col min="16131" max="16131" width="7.25" customWidth="1"/>
    <col min="16135" max="16135" width="12.25" customWidth="1"/>
    <col min="16136" max="16136" width="11.625" customWidth="1"/>
  </cols>
  <sheetData>
    <row r="1" spans="1:22" ht="18" customHeight="1">
      <c r="A1" s="357" t="s">
        <v>30</v>
      </c>
      <c r="B1" s="357"/>
      <c r="C1" s="357"/>
      <c r="D1" s="357"/>
      <c r="E1" s="357"/>
      <c r="F1" s="357"/>
      <c r="G1" s="357"/>
      <c r="K1" t="s">
        <v>31</v>
      </c>
      <c r="L1">
        <v>3036.02</v>
      </c>
      <c r="M1" t="s">
        <v>32</v>
      </c>
      <c r="N1">
        <v>2583.52</v>
      </c>
      <c r="O1" t="s">
        <v>33</v>
      </c>
      <c r="P1">
        <v>4.3239999999999998</v>
      </c>
      <c r="Q1" t="s">
        <v>34</v>
      </c>
      <c r="R1">
        <v>139.6</v>
      </c>
      <c r="S1" t="s">
        <v>35</v>
      </c>
      <c r="T1">
        <v>1542.625</v>
      </c>
      <c r="U1" t="s">
        <v>36</v>
      </c>
      <c r="V1">
        <v>33.71</v>
      </c>
    </row>
    <row r="2" spans="1:22" ht="18" customHeight="1">
      <c r="A2" s="277" t="s">
        <v>37</v>
      </c>
      <c r="B2" s="278" t="s">
        <v>38</v>
      </c>
      <c r="C2" s="278" t="s">
        <v>39</v>
      </c>
      <c r="D2" s="278" t="s">
        <v>40</v>
      </c>
      <c r="E2" s="279" t="s">
        <v>41</v>
      </c>
      <c r="F2" s="280" t="s">
        <v>42</v>
      </c>
      <c r="G2" s="281" t="s">
        <v>43</v>
      </c>
    </row>
    <row r="3" spans="1:22" ht="18" customHeight="1">
      <c r="A3" s="282"/>
      <c r="B3" s="283" t="s">
        <v>44</v>
      </c>
      <c r="C3" s="284"/>
      <c r="D3" s="285"/>
      <c r="E3" s="286"/>
      <c r="F3" s="287">
        <f>F4+F83+F219+F249</f>
        <v>1865348.2679353659</v>
      </c>
      <c r="G3" s="288"/>
      <c r="I3" s="276">
        <f>SUM(I8:I271)</f>
        <v>1843303.6986133994</v>
      </c>
      <c r="K3" s="276">
        <f>F3-J3</f>
        <v>1865348.2679353659</v>
      </c>
    </row>
    <row r="4" spans="1:22" ht="18" customHeight="1">
      <c r="A4" s="289" t="s">
        <v>18</v>
      </c>
      <c r="B4" s="290" t="s">
        <v>9</v>
      </c>
      <c r="C4" s="284"/>
      <c r="D4" s="285"/>
      <c r="E4" s="286"/>
      <c r="F4" s="285">
        <f>F5+F28</f>
        <v>379832.57747223898</v>
      </c>
      <c r="G4" s="291"/>
    </row>
    <row r="5" spans="1:22" ht="18" customHeight="1">
      <c r="A5" s="289">
        <v>1</v>
      </c>
      <c r="B5" s="290" t="s">
        <v>45</v>
      </c>
      <c r="C5" s="284"/>
      <c r="D5" s="285"/>
      <c r="E5" s="286"/>
      <c r="F5" s="285">
        <f>F6+F19</f>
        <v>99483.460680022807</v>
      </c>
      <c r="G5" s="291"/>
    </row>
    <row r="6" spans="1:22" ht="18" customHeight="1">
      <c r="A6" s="289">
        <v>1.1000000000000001</v>
      </c>
      <c r="B6" s="290" t="s">
        <v>46</v>
      </c>
      <c r="C6" s="284"/>
      <c r="D6" s="285"/>
      <c r="E6" s="286"/>
      <c r="F6" s="285">
        <f>F7+F13</f>
        <v>82184.279755789103</v>
      </c>
      <c r="G6" s="291"/>
      <c r="O6" s="314">
        <f>F4+F219+F249</f>
        <v>549059.43973498896</v>
      </c>
    </row>
    <row r="7" spans="1:22" ht="18" customHeight="1">
      <c r="A7" s="292" t="s">
        <v>47</v>
      </c>
      <c r="B7" s="290" t="s">
        <v>48</v>
      </c>
      <c r="C7" s="284" t="s">
        <v>49</v>
      </c>
      <c r="D7" s="285">
        <v>550</v>
      </c>
      <c r="E7" s="286"/>
      <c r="F7" s="285">
        <f>SUM(F8:F12)</f>
        <v>78614.619990044404</v>
      </c>
      <c r="G7" s="291"/>
      <c r="H7">
        <f>F7/D7</f>
        <v>142.935672709172</v>
      </c>
      <c r="L7" s="314"/>
    </row>
    <row r="8" spans="1:22" ht="18" customHeight="1">
      <c r="A8" s="293"/>
      <c r="B8" s="294" t="s">
        <v>31</v>
      </c>
      <c r="C8" s="295" t="s">
        <v>50</v>
      </c>
      <c r="D8" s="295">
        <f>D7*(0.9+0.2*5)</f>
        <v>1045</v>
      </c>
      <c r="E8" s="296">
        <v>5.9737169665788699</v>
      </c>
      <c r="F8" s="297">
        <f>D8*E8</f>
        <v>6242.5342300749198</v>
      </c>
      <c r="G8" s="291"/>
      <c r="H8" s="298" t="s">
        <v>51</v>
      </c>
      <c r="I8" s="276">
        <f t="shared" ref="I8:I17" si="0">D8*E8</f>
        <v>6242.5342300749198</v>
      </c>
      <c r="K8" s="276"/>
    </row>
    <row r="9" spans="1:22" ht="18" customHeight="1">
      <c r="A9" s="289"/>
      <c r="B9" s="299" t="s">
        <v>52</v>
      </c>
      <c r="C9" s="295" t="s">
        <v>50</v>
      </c>
      <c r="D9" s="295">
        <f>$D$7/7.63*1.009</f>
        <v>72.732634338138894</v>
      </c>
      <c r="E9" s="300">
        <v>805.59149377400695</v>
      </c>
      <c r="F9" s="297">
        <f t="shared" ref="F9:F11" si="1">D9*E9</f>
        <v>58592.791542580002</v>
      </c>
      <c r="G9" s="291"/>
      <c r="H9">
        <f>0.145/0.863</f>
        <v>0.168018539976825</v>
      </c>
      <c r="I9" s="276">
        <f t="shared" si="0"/>
        <v>58592.7915425799</v>
      </c>
      <c r="K9" s="276"/>
    </row>
    <row r="10" spans="1:22" ht="18" customHeight="1">
      <c r="A10" s="289"/>
      <c r="B10" s="299" t="s">
        <v>53</v>
      </c>
      <c r="C10" s="295" t="s">
        <v>50</v>
      </c>
      <c r="D10" s="295">
        <f>$D$7/7.63*0.0041</f>
        <v>0.29554390563564897</v>
      </c>
      <c r="E10" s="300">
        <v>6000</v>
      </c>
      <c r="F10" s="297">
        <f t="shared" si="1"/>
        <v>1773.2634338138901</v>
      </c>
      <c r="G10" s="291"/>
      <c r="I10" s="276">
        <f t="shared" si="0"/>
        <v>1773.2634338138901</v>
      </c>
      <c r="K10" s="276">
        <v>80</v>
      </c>
      <c r="L10">
        <f>(0.498+0.516)*2</f>
        <v>2.028</v>
      </c>
    </row>
    <row r="11" spans="1:22" ht="18" customHeight="1">
      <c r="A11" s="289"/>
      <c r="B11" s="294" t="s">
        <v>54</v>
      </c>
      <c r="C11" s="295" t="s">
        <v>50</v>
      </c>
      <c r="D11" s="295">
        <f>$D$7/7.63*1.009</f>
        <v>72.732634338138894</v>
      </c>
      <c r="E11" s="301">
        <v>68.386158207831798</v>
      </c>
      <c r="F11" s="297">
        <f t="shared" si="1"/>
        <v>4973.9054387203496</v>
      </c>
      <c r="G11" s="291"/>
      <c r="I11" s="276">
        <f t="shared" si="0"/>
        <v>4973.9054387203496</v>
      </c>
      <c r="K11" s="276"/>
      <c r="L11">
        <f>(0.468+0.397)*2+0.06</f>
        <v>1.79</v>
      </c>
    </row>
    <row r="12" spans="1:22" ht="18" customHeight="1">
      <c r="A12" s="289"/>
      <c r="B12" s="294" t="s">
        <v>55</v>
      </c>
      <c r="C12" s="295" t="s">
        <v>56</v>
      </c>
      <c r="D12" s="295">
        <f>2.59*D7</f>
        <v>1424.5</v>
      </c>
      <c r="E12" s="301">
        <v>4.9365569286453397</v>
      </c>
      <c r="F12" s="297">
        <f>E12*D12</f>
        <v>7032.1253448552898</v>
      </c>
      <c r="G12" s="291"/>
      <c r="I12" s="276">
        <f t="shared" si="0"/>
        <v>7032.1253448552898</v>
      </c>
      <c r="K12" s="276"/>
    </row>
    <row r="13" spans="1:22" ht="18" customHeight="1">
      <c r="A13" s="292" t="s">
        <v>57</v>
      </c>
      <c r="B13" s="302" t="s">
        <v>58</v>
      </c>
      <c r="C13" s="303" t="s">
        <v>59</v>
      </c>
      <c r="D13" s="304">
        <v>3</v>
      </c>
      <c r="E13" s="305"/>
      <c r="F13" s="306">
        <f>SUM(F14:F18)</f>
        <v>3569.65976574465</v>
      </c>
      <c r="G13" s="307"/>
      <c r="H13">
        <f>F13/D13</f>
        <v>1189.8865885815501</v>
      </c>
      <c r="I13" s="276">
        <f t="shared" si="0"/>
        <v>0</v>
      </c>
      <c r="K13" s="276"/>
      <c r="L13" s="314"/>
    </row>
    <row r="14" spans="1:22" ht="18" customHeight="1">
      <c r="A14" s="293"/>
      <c r="B14" s="294" t="s">
        <v>32</v>
      </c>
      <c r="C14" s="295" t="s">
        <v>50</v>
      </c>
      <c r="D14" s="295">
        <f>4.48*D13</f>
        <v>13.44</v>
      </c>
      <c r="E14" s="296">
        <v>5.8</v>
      </c>
      <c r="F14" s="297">
        <f t="shared" ref="F14:F18" si="2">D14*E14</f>
        <v>77.951999999999998</v>
      </c>
      <c r="G14" s="291"/>
      <c r="I14" s="276">
        <f t="shared" si="0"/>
        <v>77.951999999999998</v>
      </c>
      <c r="K14" s="276"/>
    </row>
    <row r="15" spans="1:22" ht="18" customHeight="1">
      <c r="A15" s="293"/>
      <c r="B15" s="294" t="s">
        <v>31</v>
      </c>
      <c r="C15" s="295" t="s">
        <v>50</v>
      </c>
      <c r="D15" s="295">
        <f>D13*1.33</f>
        <v>3.99</v>
      </c>
      <c r="E15" s="296">
        <v>22.159437873757799</v>
      </c>
      <c r="F15" s="297">
        <f t="shared" si="2"/>
        <v>88.416157116293604</v>
      </c>
      <c r="G15" s="291"/>
      <c r="I15" s="276">
        <f t="shared" si="0"/>
        <v>88.416157116293604</v>
      </c>
    </row>
    <row r="16" spans="1:22" ht="18" customHeight="1">
      <c r="A16" s="292"/>
      <c r="B16" s="294" t="s">
        <v>60</v>
      </c>
      <c r="C16" s="295" t="s">
        <v>50</v>
      </c>
      <c r="D16" s="295">
        <f>3.03*D13</f>
        <v>9.09</v>
      </c>
      <c r="E16" s="300">
        <v>281.18350662445602</v>
      </c>
      <c r="F16" s="297">
        <f t="shared" si="2"/>
        <v>2555.9580752163101</v>
      </c>
      <c r="G16" s="291"/>
      <c r="I16" s="276">
        <f t="shared" si="0"/>
        <v>2555.9580752163101</v>
      </c>
    </row>
    <row r="17" spans="1:12" ht="18" customHeight="1">
      <c r="A17" s="289"/>
      <c r="B17" s="299" t="s">
        <v>61</v>
      </c>
      <c r="C17" s="295" t="s">
        <v>50</v>
      </c>
      <c r="D17" s="295">
        <f>0.12*D13</f>
        <v>0.36</v>
      </c>
      <c r="E17" s="296">
        <v>558.56760652232902</v>
      </c>
      <c r="F17" s="297">
        <f t="shared" si="2"/>
        <v>201.08433834803799</v>
      </c>
      <c r="G17" s="291"/>
      <c r="I17" s="276">
        <f t="shared" si="0"/>
        <v>201.08433834803799</v>
      </c>
    </row>
    <row r="18" spans="1:12" ht="18" customHeight="1">
      <c r="A18" s="289"/>
      <c r="B18" s="294" t="s">
        <v>54</v>
      </c>
      <c r="C18" s="308" t="s">
        <v>50</v>
      </c>
      <c r="D18" s="295">
        <f>D16+D17</f>
        <v>9.4499999999999993</v>
      </c>
      <c r="E18" s="296">
        <v>68.386158207831798</v>
      </c>
      <c r="F18" s="297">
        <f t="shared" si="2"/>
        <v>646.24919506401</v>
      </c>
      <c r="G18" s="291"/>
      <c r="I18" s="276"/>
    </row>
    <row r="19" spans="1:12" ht="18" customHeight="1">
      <c r="A19" s="289" t="s">
        <v>62</v>
      </c>
      <c r="B19" s="309" t="s">
        <v>63</v>
      </c>
      <c r="C19" s="304"/>
      <c r="D19" s="310"/>
      <c r="E19" s="305"/>
      <c r="F19" s="306">
        <f>F20+F25</f>
        <v>17299.1809242337</v>
      </c>
      <c r="G19" s="311"/>
      <c r="I19" s="276">
        <f t="shared" ref="I19:I40" si="3">D19*E19</f>
        <v>0</v>
      </c>
    </row>
    <row r="20" spans="1:12" ht="18" customHeight="1">
      <c r="A20" s="312" t="s">
        <v>64</v>
      </c>
      <c r="B20" s="309" t="s">
        <v>65</v>
      </c>
      <c r="C20" s="284" t="s">
        <v>49</v>
      </c>
      <c r="D20" s="310">
        <v>150</v>
      </c>
      <c r="E20" s="305"/>
      <c r="F20" s="306">
        <f>SUM(F21:F24)</f>
        <v>16884.8445403314</v>
      </c>
      <c r="G20" s="291"/>
      <c r="H20">
        <f>F20/D20</f>
        <v>112.56563026887601</v>
      </c>
      <c r="I20" s="276">
        <f t="shared" si="3"/>
        <v>0</v>
      </c>
    </row>
    <row r="21" spans="1:12" ht="18" customHeight="1">
      <c r="A21" s="289"/>
      <c r="B21" s="299" t="s">
        <v>52</v>
      </c>
      <c r="C21" s="295" t="s">
        <v>50</v>
      </c>
      <c r="D21" s="295">
        <f>$D$20/7.63*0.86</f>
        <v>16.906946264744398</v>
      </c>
      <c r="E21" s="300">
        <v>805.59149377400695</v>
      </c>
      <c r="F21" s="297">
        <f>D21*E21</f>
        <v>13620.0920965723</v>
      </c>
      <c r="G21" s="291"/>
      <c r="I21" s="276">
        <f t="shared" si="3"/>
        <v>13620.0920965723</v>
      </c>
    </row>
    <row r="22" spans="1:12" ht="18" customHeight="1">
      <c r="A22" s="289"/>
      <c r="B22" s="299" t="s">
        <v>53</v>
      </c>
      <c r="C22" s="295" t="s">
        <v>50</v>
      </c>
      <c r="D22" s="295">
        <f>$D$20/7.63*0.0035</f>
        <v>6.8807339449541302E-2</v>
      </c>
      <c r="E22" s="300">
        <v>6000</v>
      </c>
      <c r="F22" s="297">
        <f t="shared" ref="F22:F23" si="4">D22*E22</f>
        <v>412.84403669724799</v>
      </c>
      <c r="G22" s="291"/>
      <c r="I22" s="276">
        <f t="shared" si="3"/>
        <v>412.84403669724799</v>
      </c>
    </row>
    <row r="23" spans="1:12" ht="18" customHeight="1">
      <c r="A23" s="289"/>
      <c r="B23" s="294" t="s">
        <v>54</v>
      </c>
      <c r="C23" s="295" t="s">
        <v>50</v>
      </c>
      <c r="D23" s="295">
        <f>$D$20/7.63*0.86</f>
        <v>16.906946264744398</v>
      </c>
      <c r="E23" s="300">
        <v>68.386158207831798</v>
      </c>
      <c r="F23" s="297">
        <f t="shared" si="4"/>
        <v>1156.20110207212</v>
      </c>
      <c r="G23" s="291"/>
      <c r="I23" s="276">
        <f t="shared" si="3"/>
        <v>1156.20110207212</v>
      </c>
    </row>
    <row r="24" spans="1:12" ht="18" customHeight="1">
      <c r="A24" s="289"/>
      <c r="B24" s="294" t="s">
        <v>55</v>
      </c>
      <c r="C24" s="295" t="s">
        <v>56</v>
      </c>
      <c r="D24" s="295">
        <f>2.29*D20</f>
        <v>343.5</v>
      </c>
      <c r="E24" s="300">
        <v>4.9365569286453397</v>
      </c>
      <c r="F24" s="297">
        <f>E24*D24</f>
        <v>1695.7073049896701</v>
      </c>
      <c r="G24" s="291"/>
      <c r="I24" s="276">
        <f t="shared" si="3"/>
        <v>1695.7073049896701</v>
      </c>
    </row>
    <row r="25" spans="1:12" ht="18" customHeight="1">
      <c r="A25" s="312" t="s">
        <v>66</v>
      </c>
      <c r="B25" s="309" t="s">
        <v>67</v>
      </c>
      <c r="C25" s="313" t="s">
        <v>59</v>
      </c>
      <c r="D25" s="310">
        <v>1</v>
      </c>
      <c r="E25" s="305"/>
      <c r="F25" s="306">
        <f>SUM(F26:F27)</f>
        <v>414.33638390230902</v>
      </c>
      <c r="G25" s="291"/>
      <c r="I25" s="276">
        <f t="shared" si="3"/>
        <v>0</v>
      </c>
      <c r="K25" s="276"/>
      <c r="L25" s="314"/>
    </row>
    <row r="26" spans="1:12" ht="18" customHeight="1">
      <c r="A26" s="312"/>
      <c r="B26" s="294" t="s">
        <v>54</v>
      </c>
      <c r="C26" s="295" t="s">
        <v>50</v>
      </c>
      <c r="D26" s="295">
        <f>(0.58*0.58*3.14-0.5*0.5*3.14)*8</f>
        <v>2.1703679999999999</v>
      </c>
      <c r="E26" s="296">
        <v>68.386158207831798</v>
      </c>
      <c r="F26" s="297">
        <f>D26*E26</f>
        <v>148.42312941721499</v>
      </c>
      <c r="G26" s="291"/>
      <c r="I26" s="276">
        <f t="shared" si="3"/>
        <v>148.42312941721499</v>
      </c>
      <c r="K26" s="276"/>
    </row>
    <row r="27" spans="1:12" ht="18" customHeight="1">
      <c r="A27" s="312"/>
      <c r="B27" s="294" t="s">
        <v>31</v>
      </c>
      <c r="C27" s="295" t="s">
        <v>50</v>
      </c>
      <c r="D27" s="295">
        <f>10*1.2</f>
        <v>12</v>
      </c>
      <c r="E27" s="296">
        <v>22.159437873757799</v>
      </c>
      <c r="F27" s="297">
        <f>D27*E27</f>
        <v>265.913254485094</v>
      </c>
      <c r="G27" s="291"/>
      <c r="I27" s="276">
        <f t="shared" si="3"/>
        <v>265.913254485094</v>
      </c>
      <c r="K27" s="276"/>
    </row>
    <row r="28" spans="1:12" ht="18" customHeight="1">
      <c r="A28" s="289">
        <v>2</v>
      </c>
      <c r="B28" s="290" t="s">
        <v>68</v>
      </c>
      <c r="C28" s="284"/>
      <c r="D28" s="285"/>
      <c r="E28" s="286"/>
      <c r="F28" s="285">
        <f>F29+F42+F76</f>
        <v>280349.11679221602</v>
      </c>
      <c r="G28" s="307"/>
      <c r="I28" s="276">
        <f t="shared" si="3"/>
        <v>0</v>
      </c>
      <c r="K28" s="276"/>
    </row>
    <row r="29" spans="1:12" ht="18" customHeight="1">
      <c r="A29" s="289">
        <v>2.1</v>
      </c>
      <c r="B29" s="290" t="s">
        <v>69</v>
      </c>
      <c r="C29" s="284"/>
      <c r="D29" s="285"/>
      <c r="E29" s="286"/>
      <c r="F29" s="285">
        <f>F30+F36</f>
        <v>7048.9185660316598</v>
      </c>
      <c r="G29" s="307"/>
      <c r="I29" s="276">
        <f t="shared" si="3"/>
        <v>0</v>
      </c>
      <c r="K29" s="276"/>
    </row>
    <row r="30" spans="1:12" ht="18" customHeight="1">
      <c r="A30" s="292" t="s">
        <v>70</v>
      </c>
      <c r="B30" s="302" t="s">
        <v>58</v>
      </c>
      <c r="C30" s="313" t="s">
        <v>59</v>
      </c>
      <c r="D30" s="285">
        <v>1</v>
      </c>
      <c r="E30" s="286"/>
      <c r="F30" s="285">
        <f>SUM(F31:F35)</f>
        <v>1189.8865885815501</v>
      </c>
      <c r="G30" s="307"/>
      <c r="I30" s="276">
        <f t="shared" si="3"/>
        <v>0</v>
      </c>
      <c r="K30" s="276"/>
      <c r="L30" s="314"/>
    </row>
    <row r="31" spans="1:12" ht="18" customHeight="1">
      <c r="A31" s="292"/>
      <c r="B31" s="294" t="s">
        <v>32</v>
      </c>
      <c r="C31" s="295" t="s">
        <v>50</v>
      </c>
      <c r="D31" s="295">
        <f>4.48*D30</f>
        <v>4.4800000000000004</v>
      </c>
      <c r="E31" s="296">
        <v>5.8</v>
      </c>
      <c r="F31" s="297">
        <f>D31*E31</f>
        <v>25.984000000000002</v>
      </c>
      <c r="G31" s="307"/>
      <c r="I31" s="276">
        <f t="shared" si="3"/>
        <v>25.984000000000002</v>
      </c>
    </row>
    <row r="32" spans="1:12" ht="18" customHeight="1">
      <c r="A32" s="292"/>
      <c r="B32" s="294" t="s">
        <v>31</v>
      </c>
      <c r="C32" s="295" t="s">
        <v>50</v>
      </c>
      <c r="D32" s="295">
        <f>D30*1.33</f>
        <v>1.33</v>
      </c>
      <c r="E32" s="296">
        <v>22.159437873757799</v>
      </c>
      <c r="F32" s="297">
        <f>D32*E32</f>
        <v>29.472052372097899</v>
      </c>
      <c r="G32" s="307"/>
      <c r="I32" s="276">
        <f t="shared" si="3"/>
        <v>29.472052372097899</v>
      </c>
    </row>
    <row r="33" spans="1:12" ht="18" customHeight="1">
      <c r="A33" s="292"/>
      <c r="B33" s="294" t="s">
        <v>60</v>
      </c>
      <c r="C33" s="295" t="s">
        <v>50</v>
      </c>
      <c r="D33" s="295">
        <f>3.03*D30</f>
        <v>3.03</v>
      </c>
      <c r="E33" s="296">
        <v>281.18350662445602</v>
      </c>
      <c r="F33" s="297">
        <f>D33*E33</f>
        <v>851.98602507210205</v>
      </c>
      <c r="G33" s="291"/>
      <c r="I33" s="276">
        <f t="shared" si="3"/>
        <v>851.98602507210205</v>
      </c>
    </row>
    <row r="34" spans="1:12" ht="18" customHeight="1">
      <c r="A34" s="289"/>
      <c r="B34" s="299" t="s">
        <v>61</v>
      </c>
      <c r="C34" s="295" t="s">
        <v>50</v>
      </c>
      <c r="D34" s="295">
        <f>0.12*D30</f>
        <v>0.12</v>
      </c>
      <c r="E34" s="296">
        <v>558.56760652232902</v>
      </c>
      <c r="F34" s="297">
        <f>D34*E34</f>
        <v>67.0281127826795</v>
      </c>
      <c r="G34" s="291"/>
      <c r="I34" s="276">
        <f t="shared" si="3"/>
        <v>67.0281127826795</v>
      </c>
    </row>
    <row r="35" spans="1:12" ht="18" customHeight="1">
      <c r="A35" s="293"/>
      <c r="B35" s="294" t="s">
        <v>54</v>
      </c>
      <c r="C35" s="308" t="s">
        <v>50</v>
      </c>
      <c r="D35" s="295">
        <f>D33+D34</f>
        <v>3.15</v>
      </c>
      <c r="E35" s="296">
        <v>68.386158207831798</v>
      </c>
      <c r="F35" s="297">
        <f>D35*E35</f>
        <v>215.41639835467001</v>
      </c>
      <c r="G35" s="291"/>
      <c r="I35" s="276">
        <f t="shared" si="3"/>
        <v>215.41639835467001</v>
      </c>
    </row>
    <row r="36" spans="1:12" ht="18" customHeight="1">
      <c r="A36" s="292" t="s">
        <v>71</v>
      </c>
      <c r="B36" s="302" t="s">
        <v>72</v>
      </c>
      <c r="C36" s="313" t="s">
        <v>59</v>
      </c>
      <c r="D36" s="285">
        <v>3</v>
      </c>
      <c r="E36" s="286"/>
      <c r="F36" s="285">
        <f>SUM(F37:F41)</f>
        <v>5859.0319774501104</v>
      </c>
      <c r="G36" s="291"/>
      <c r="H36">
        <f>F36/D36</f>
        <v>1953.0106591500401</v>
      </c>
      <c r="I36" s="276">
        <f t="shared" si="3"/>
        <v>0</v>
      </c>
      <c r="K36" s="276"/>
      <c r="L36" s="314"/>
    </row>
    <row r="37" spans="1:12" ht="18" customHeight="1">
      <c r="A37" s="293"/>
      <c r="B37" s="294" t="s">
        <v>32</v>
      </c>
      <c r="C37" s="295" t="s">
        <v>50</v>
      </c>
      <c r="D37" s="295">
        <f>6*D36</f>
        <v>18</v>
      </c>
      <c r="E37" s="296">
        <v>5.8</v>
      </c>
      <c r="F37" s="297">
        <f>D37*E37</f>
        <v>104.4</v>
      </c>
      <c r="G37" s="291"/>
      <c r="I37" s="276">
        <f t="shared" si="3"/>
        <v>104.4</v>
      </c>
      <c r="K37" s="276"/>
    </row>
    <row r="38" spans="1:12" ht="18" customHeight="1">
      <c r="A38" s="293"/>
      <c r="B38" s="294" t="s">
        <v>31</v>
      </c>
      <c r="C38" s="295" t="s">
        <v>50</v>
      </c>
      <c r="D38" s="295">
        <f>5.5*D36</f>
        <v>16.5</v>
      </c>
      <c r="E38" s="296">
        <v>22.159437873757799</v>
      </c>
      <c r="F38" s="297">
        <f>D38*E38</f>
        <v>365.63072491700399</v>
      </c>
      <c r="G38" s="291"/>
      <c r="I38" s="276">
        <f t="shared" si="3"/>
        <v>365.63072491700399</v>
      </c>
      <c r="K38" s="276"/>
    </row>
    <row r="39" spans="1:12" ht="18" customHeight="1">
      <c r="A39" s="292"/>
      <c r="B39" s="294" t="s">
        <v>60</v>
      </c>
      <c r="C39" s="295" t="s">
        <v>50</v>
      </c>
      <c r="D39" s="295">
        <f>4.78*D36</f>
        <v>14.34</v>
      </c>
      <c r="E39" s="296">
        <v>281.18350662445602</v>
      </c>
      <c r="F39" s="297">
        <f>D39*E39</f>
        <v>4032.1714849947002</v>
      </c>
      <c r="G39" s="291"/>
      <c r="I39" s="276">
        <f t="shared" si="3"/>
        <v>4032.1714849947002</v>
      </c>
      <c r="K39" s="276"/>
    </row>
    <row r="40" spans="1:12" ht="18" customHeight="1">
      <c r="A40" s="289"/>
      <c r="B40" s="299" t="s">
        <v>61</v>
      </c>
      <c r="C40" s="295" t="s">
        <v>50</v>
      </c>
      <c r="D40" s="295">
        <f>0.2*D36</f>
        <v>0.6</v>
      </c>
      <c r="E40" s="296">
        <v>558.56760652232902</v>
      </c>
      <c r="F40" s="297">
        <f>D40*E40</f>
        <v>335.14056391339699</v>
      </c>
      <c r="G40" s="291"/>
      <c r="I40" s="276">
        <f t="shared" si="3"/>
        <v>335.14056391339699</v>
      </c>
      <c r="K40" s="276"/>
    </row>
    <row r="41" spans="1:12" ht="18" customHeight="1">
      <c r="A41" s="289"/>
      <c r="B41" s="294" t="s">
        <v>73</v>
      </c>
      <c r="C41" s="295" t="s">
        <v>50</v>
      </c>
      <c r="D41" s="295">
        <f>D40+D39</f>
        <v>14.94</v>
      </c>
      <c r="E41" s="296">
        <v>68.386158207831798</v>
      </c>
      <c r="F41" s="297">
        <f>D41*E41</f>
        <v>1021.68920362501</v>
      </c>
      <c r="G41" s="291"/>
      <c r="I41" s="276">
        <f t="shared" ref="I41:I61" si="5">D41*E41</f>
        <v>1021.68920362501</v>
      </c>
      <c r="K41" s="276"/>
    </row>
    <row r="42" spans="1:12" ht="18" customHeight="1">
      <c r="A42" s="289">
        <v>2.2000000000000002</v>
      </c>
      <c r="B42" s="290" t="s">
        <v>74</v>
      </c>
      <c r="C42" s="284"/>
      <c r="D42" s="285"/>
      <c r="E42" s="286"/>
      <c r="F42" s="285">
        <f>F43+F48+F57+F63+F69+F52</f>
        <v>268692.16402765299</v>
      </c>
      <c r="G42" s="291"/>
      <c r="I42" s="276">
        <f t="shared" si="5"/>
        <v>0</v>
      </c>
      <c r="K42" s="276"/>
    </row>
    <row r="43" spans="1:12" ht="18" customHeight="1">
      <c r="A43" s="292" t="s">
        <v>75</v>
      </c>
      <c r="B43" s="290" t="s">
        <v>76</v>
      </c>
      <c r="C43" s="304" t="s">
        <v>49</v>
      </c>
      <c r="D43" s="285">
        <v>1470</v>
      </c>
      <c r="E43" s="286"/>
      <c r="F43" s="285">
        <f>SUM(F44:F47)</f>
        <v>165471.476495248</v>
      </c>
      <c r="G43" s="291"/>
      <c r="H43">
        <f>F43/D43</f>
        <v>112.56563026887601</v>
      </c>
      <c r="I43" s="276">
        <f t="shared" si="5"/>
        <v>0</v>
      </c>
      <c r="K43" s="276"/>
      <c r="L43" s="314"/>
    </row>
    <row r="44" spans="1:12" ht="18" customHeight="1">
      <c r="A44" s="289"/>
      <c r="B44" s="299" t="s">
        <v>52</v>
      </c>
      <c r="C44" s="295" t="s">
        <v>50</v>
      </c>
      <c r="D44" s="295">
        <f>$D$43/7.63*0.86</f>
        <v>165.68807339449501</v>
      </c>
      <c r="E44" s="296">
        <v>805.59149377400695</v>
      </c>
      <c r="F44" s="297">
        <f>D44*E44</f>
        <v>133476.90254640899</v>
      </c>
      <c r="G44" s="291"/>
      <c r="I44" s="276">
        <f t="shared" si="5"/>
        <v>133476.90254640899</v>
      </c>
      <c r="K44" s="276"/>
    </row>
    <row r="45" spans="1:12" ht="18" customHeight="1">
      <c r="A45" s="289"/>
      <c r="B45" s="299" t="s">
        <v>53</v>
      </c>
      <c r="C45" s="295" t="s">
        <v>50</v>
      </c>
      <c r="D45" s="295">
        <f>D43/7.63*0.0035</f>
        <v>0.67431192660550499</v>
      </c>
      <c r="E45" s="300">
        <v>6000</v>
      </c>
      <c r="F45" s="297">
        <f t="shared" ref="F45:F46" si="6">D45*E45</f>
        <v>4045.8715596330298</v>
      </c>
      <c r="G45" s="291"/>
      <c r="I45" s="276">
        <f t="shared" si="5"/>
        <v>4045.8715596330298</v>
      </c>
      <c r="K45" s="276"/>
    </row>
    <row r="46" spans="1:12" ht="18" customHeight="1">
      <c r="A46" s="289"/>
      <c r="B46" s="294" t="s">
        <v>54</v>
      </c>
      <c r="C46" s="295" t="s">
        <v>50</v>
      </c>
      <c r="D46" s="295">
        <f>D43/7.63*0.86</f>
        <v>165.68807339449501</v>
      </c>
      <c r="E46" s="296">
        <v>68.386158207831798</v>
      </c>
      <c r="F46" s="297">
        <f t="shared" si="6"/>
        <v>11330.7708003068</v>
      </c>
      <c r="G46" s="291"/>
      <c r="I46" s="276">
        <f t="shared" si="5"/>
        <v>11330.7708003068</v>
      </c>
      <c r="K46" s="276"/>
    </row>
    <row r="47" spans="1:12" ht="18" customHeight="1">
      <c r="A47" s="289"/>
      <c r="B47" s="294" t="s">
        <v>55</v>
      </c>
      <c r="C47" s="295" t="s">
        <v>56</v>
      </c>
      <c r="D47" s="295">
        <f>2.29*D43</f>
        <v>3366.3</v>
      </c>
      <c r="E47" s="296">
        <v>4.9365569286453397</v>
      </c>
      <c r="F47" s="297">
        <f>E47*D47</f>
        <v>16617.931588898799</v>
      </c>
      <c r="G47" s="291"/>
      <c r="I47" s="276">
        <f t="shared" si="5"/>
        <v>16617.931588898799</v>
      </c>
      <c r="K47" s="276"/>
    </row>
    <row r="48" spans="1:12" ht="18" customHeight="1">
      <c r="A48" s="292" t="s">
        <v>77</v>
      </c>
      <c r="B48" s="290" t="s">
        <v>78</v>
      </c>
      <c r="C48" s="304" t="s">
        <v>49</v>
      </c>
      <c r="D48" s="285">
        <v>200</v>
      </c>
      <c r="E48" s="286"/>
      <c r="F48" s="285">
        <f>SUM(F49:F51)</f>
        <v>12083.066876070699</v>
      </c>
      <c r="G48" s="291"/>
      <c r="H48">
        <f>F48/D48</f>
        <v>60.4153343803534</v>
      </c>
      <c r="I48" s="276">
        <f t="shared" si="5"/>
        <v>0</v>
      </c>
      <c r="K48" s="276"/>
    </row>
    <row r="49" spans="1:12" ht="18" customHeight="1">
      <c r="A49" s="289"/>
      <c r="B49" s="299" t="s">
        <v>52</v>
      </c>
      <c r="C49" s="295" t="s">
        <v>50</v>
      </c>
      <c r="D49" s="295">
        <f>D48/7.63*0.501</f>
        <v>13.132372214941</v>
      </c>
      <c r="E49" s="300">
        <v>826.56194822349801</v>
      </c>
      <c r="F49" s="297">
        <f>D49*E49</f>
        <v>10854.719162777799</v>
      </c>
      <c r="G49" s="291"/>
      <c r="I49" s="276">
        <f t="shared" si="5"/>
        <v>10854.719162777799</v>
      </c>
      <c r="K49" s="276"/>
    </row>
    <row r="50" spans="1:12" ht="18" customHeight="1">
      <c r="A50" s="289"/>
      <c r="B50" s="299" t="s">
        <v>53</v>
      </c>
      <c r="C50" s="295" t="s">
        <v>50</v>
      </c>
      <c r="D50" s="295">
        <f>D48/7.63*0.0021</f>
        <v>5.5045871559633003E-2</v>
      </c>
      <c r="E50" s="300">
        <v>6000</v>
      </c>
      <c r="F50" s="297">
        <f t="shared" ref="F50:F51" si="7">D50*E50</f>
        <v>330.27522935779803</v>
      </c>
      <c r="G50" s="291"/>
      <c r="I50" s="276">
        <f t="shared" si="5"/>
        <v>330.27522935779803</v>
      </c>
      <c r="K50" s="276"/>
    </row>
    <row r="51" spans="1:12" ht="18" customHeight="1">
      <c r="A51" s="289"/>
      <c r="B51" s="294" t="s">
        <v>54</v>
      </c>
      <c r="C51" s="295" t="s">
        <v>50</v>
      </c>
      <c r="D51" s="295">
        <f>D49</f>
        <v>13.132372214941</v>
      </c>
      <c r="E51" s="300">
        <v>68.386158207831798</v>
      </c>
      <c r="F51" s="297">
        <f t="shared" si="7"/>
        <v>898.07248393509099</v>
      </c>
      <c r="G51" s="291"/>
      <c r="I51" s="276">
        <f t="shared" si="5"/>
        <v>898.07248393508996</v>
      </c>
      <c r="K51" s="276"/>
    </row>
    <row r="52" spans="1:12" ht="18" customHeight="1">
      <c r="A52" s="292" t="s">
        <v>79</v>
      </c>
      <c r="B52" s="290" t="s">
        <v>80</v>
      </c>
      <c r="C52" s="304" t="s">
        <v>49</v>
      </c>
      <c r="D52" s="285">
        <v>992</v>
      </c>
      <c r="E52" s="286"/>
      <c r="F52" s="285">
        <f>SUM(F53:F56)</f>
        <v>63766.721084305398</v>
      </c>
      <c r="G52" s="291"/>
      <c r="H52">
        <f>F52/D52</f>
        <v>64.280968834985302</v>
      </c>
      <c r="I52" s="276">
        <f t="shared" si="5"/>
        <v>0</v>
      </c>
      <c r="K52" s="276"/>
      <c r="L52" s="314"/>
    </row>
    <row r="53" spans="1:12" ht="18" customHeight="1">
      <c r="A53" s="293"/>
      <c r="B53" s="294" t="s">
        <v>32</v>
      </c>
      <c r="C53" s="295" t="s">
        <v>50</v>
      </c>
      <c r="D53" s="295">
        <f>D52*0.9</f>
        <v>892.8</v>
      </c>
      <c r="E53" s="296">
        <v>3.9744703344936401</v>
      </c>
      <c r="F53" s="297">
        <f>D53*E53</f>
        <v>3548.4071146359202</v>
      </c>
      <c r="G53" s="291"/>
      <c r="I53" s="276">
        <f t="shared" si="5"/>
        <v>3548.4071146359202</v>
      </c>
      <c r="K53" s="276"/>
    </row>
    <row r="54" spans="1:12" ht="18" customHeight="1">
      <c r="A54" s="293"/>
      <c r="B54" s="294" t="s">
        <v>31</v>
      </c>
      <c r="C54" s="295" t="s">
        <v>50</v>
      </c>
      <c r="D54" s="295">
        <f>D52*0.8</f>
        <v>793.6</v>
      </c>
      <c r="E54" s="296">
        <v>5.9737169665788699</v>
      </c>
      <c r="F54" s="297">
        <f t="shared" ref="F54:F56" si="8">D54*E54</f>
        <v>4740.7417846769904</v>
      </c>
      <c r="G54" s="291"/>
      <c r="I54" s="276">
        <f t="shared" si="5"/>
        <v>4740.7417846769904</v>
      </c>
      <c r="K54" s="276"/>
    </row>
    <row r="55" spans="1:12" ht="18" customHeight="1">
      <c r="A55" s="289"/>
      <c r="B55" s="299" t="s">
        <v>52</v>
      </c>
      <c r="C55" s="295" t="s">
        <v>50</v>
      </c>
      <c r="D55" s="295">
        <f>D52/7.63*0.501</f>
        <v>65.136566186107501</v>
      </c>
      <c r="E55" s="296">
        <f>E49</f>
        <v>826.56194822349801</v>
      </c>
      <c r="F55" s="297">
        <f t="shared" si="8"/>
        <v>53839.407047377797</v>
      </c>
      <c r="G55" s="291"/>
      <c r="I55" s="276">
        <f t="shared" si="5"/>
        <v>53839.407047377797</v>
      </c>
      <c r="K55" s="276"/>
    </row>
    <row r="56" spans="1:12" ht="18" customHeight="1">
      <c r="A56" s="289"/>
      <c r="B56" s="299" t="s">
        <v>53</v>
      </c>
      <c r="C56" s="295" t="s">
        <v>50</v>
      </c>
      <c r="D56" s="295">
        <f>D52/7.63*0.0021</f>
        <v>0.27302752293577998</v>
      </c>
      <c r="E56" s="296">
        <v>6000</v>
      </c>
      <c r="F56" s="297">
        <f t="shared" si="8"/>
        <v>1638.1651376146799</v>
      </c>
      <c r="G56" s="291"/>
      <c r="I56" s="276">
        <f t="shared" si="5"/>
        <v>1638.1651376146799</v>
      </c>
      <c r="K56" s="276"/>
    </row>
    <row r="57" spans="1:12" ht="18" customHeight="1">
      <c r="A57" s="292" t="s">
        <v>81</v>
      </c>
      <c r="B57" s="302" t="s">
        <v>82</v>
      </c>
      <c r="C57" s="313" t="s">
        <v>59</v>
      </c>
      <c r="D57" s="285">
        <v>5</v>
      </c>
      <c r="E57" s="286"/>
      <c r="F57" s="285">
        <f>SUM(F58:F62)</f>
        <v>4938.4710315250104</v>
      </c>
      <c r="G57" s="291"/>
      <c r="H57">
        <f>F57/D57</f>
        <v>987.69420630500201</v>
      </c>
      <c r="I57" s="276">
        <f t="shared" si="5"/>
        <v>0</v>
      </c>
      <c r="K57" s="276"/>
      <c r="L57" s="314"/>
    </row>
    <row r="58" spans="1:12" ht="18" customHeight="1">
      <c r="A58" s="293"/>
      <c r="B58" s="294" t="s">
        <v>32</v>
      </c>
      <c r="C58" s="295" t="s">
        <v>50</v>
      </c>
      <c r="D58" s="295">
        <f>4.59*D57</f>
        <v>22.95</v>
      </c>
      <c r="E58" s="296">
        <v>5.8</v>
      </c>
      <c r="F58" s="297">
        <f>D58*E58</f>
        <v>133.11000000000001</v>
      </c>
      <c r="G58" s="291"/>
      <c r="I58" s="276">
        <f t="shared" si="5"/>
        <v>133.11000000000001</v>
      </c>
      <c r="K58" s="276"/>
    </row>
    <row r="59" spans="1:12" ht="18" customHeight="1">
      <c r="A59" s="293"/>
      <c r="B59" s="294" t="s">
        <v>31</v>
      </c>
      <c r="C59" s="295" t="s">
        <v>50</v>
      </c>
      <c r="D59" s="295">
        <f>D57*2.05</f>
        <v>10.25</v>
      </c>
      <c r="E59" s="296">
        <v>22.159437873757799</v>
      </c>
      <c r="F59" s="297">
        <f>D59*E59</f>
        <v>227.13423820601699</v>
      </c>
      <c r="G59" s="291"/>
      <c r="I59" s="276">
        <f t="shared" si="5"/>
        <v>227.13423820601699</v>
      </c>
      <c r="K59" s="276"/>
    </row>
    <row r="60" spans="1:12" ht="18" customHeight="1">
      <c r="A60" s="292"/>
      <c r="B60" s="294" t="s">
        <v>60</v>
      </c>
      <c r="C60" s="295" t="s">
        <v>50</v>
      </c>
      <c r="D60" s="295">
        <f>2.44*D57</f>
        <v>12.2</v>
      </c>
      <c r="E60" s="296">
        <v>281.18350662445602</v>
      </c>
      <c r="F60" s="297">
        <f>D60*E60</f>
        <v>3430.4387808183601</v>
      </c>
      <c r="G60" s="291"/>
      <c r="I60" s="276">
        <f t="shared" si="5"/>
        <v>3430.4387808183601</v>
      </c>
      <c r="K60" s="276"/>
    </row>
    <row r="61" spans="1:12" ht="18" customHeight="1">
      <c r="A61" s="289"/>
      <c r="B61" s="299" t="s">
        <v>61</v>
      </c>
      <c r="C61" s="295" t="s">
        <v>50</v>
      </c>
      <c r="D61" s="295">
        <f>0.1*D57</f>
        <v>0.5</v>
      </c>
      <c r="E61" s="296">
        <v>558.56760652232902</v>
      </c>
      <c r="F61" s="297">
        <f>D61*E61</f>
        <v>279.28380326116502</v>
      </c>
      <c r="G61" s="291"/>
      <c r="I61" s="276">
        <f t="shared" si="5"/>
        <v>279.28380326116502</v>
      </c>
      <c r="K61" s="276"/>
    </row>
    <row r="62" spans="1:12" ht="18" customHeight="1">
      <c r="A62" s="293"/>
      <c r="B62" s="294" t="s">
        <v>73</v>
      </c>
      <c r="C62" s="308" t="s">
        <v>50</v>
      </c>
      <c r="D62" s="295">
        <f>D60+D61</f>
        <v>12.7</v>
      </c>
      <c r="E62" s="296">
        <v>68.386158207831798</v>
      </c>
      <c r="F62" s="297">
        <f>D62*E62</f>
        <v>868.50420923946399</v>
      </c>
      <c r="G62" s="291"/>
      <c r="I62" s="276">
        <f t="shared" ref="I62:I67" si="9">D62*E62</f>
        <v>868.50420923946399</v>
      </c>
      <c r="K62" s="276"/>
    </row>
    <row r="63" spans="1:12" ht="18" customHeight="1">
      <c r="A63" s="292" t="s">
        <v>83</v>
      </c>
      <c r="B63" s="302" t="s">
        <v>72</v>
      </c>
      <c r="C63" s="313" t="s">
        <v>59</v>
      </c>
      <c r="D63" s="285">
        <v>4</v>
      </c>
      <c r="E63" s="286"/>
      <c r="F63" s="285">
        <f>SUM(F64:F68)</f>
        <v>7812.0426366001402</v>
      </c>
      <c r="G63" s="291"/>
      <c r="H63">
        <f>F63/D63</f>
        <v>1953.0106591500401</v>
      </c>
      <c r="I63" s="276">
        <f t="shared" si="9"/>
        <v>0</v>
      </c>
      <c r="K63" s="276"/>
      <c r="L63" s="314"/>
    </row>
    <row r="64" spans="1:12" ht="18" customHeight="1">
      <c r="A64" s="293"/>
      <c r="B64" s="294" t="s">
        <v>32</v>
      </c>
      <c r="C64" s="295" t="s">
        <v>50</v>
      </c>
      <c r="D64" s="295">
        <f>6*D63</f>
        <v>24</v>
      </c>
      <c r="E64" s="296">
        <v>5.8</v>
      </c>
      <c r="F64" s="297">
        <f>D64*E64</f>
        <v>139.19999999999999</v>
      </c>
      <c r="G64" s="291"/>
      <c r="I64" s="276">
        <f t="shared" si="9"/>
        <v>139.19999999999999</v>
      </c>
      <c r="K64" s="276"/>
    </row>
    <row r="65" spans="1:12" ht="18" customHeight="1">
      <c r="A65" s="293"/>
      <c r="B65" s="294" t="s">
        <v>31</v>
      </c>
      <c r="C65" s="295" t="s">
        <v>50</v>
      </c>
      <c r="D65" s="295">
        <f>5.5*D63</f>
        <v>22</v>
      </c>
      <c r="E65" s="296">
        <v>22.159437873757799</v>
      </c>
      <c r="F65" s="297">
        <f>D65*E65</f>
        <v>487.50763322267198</v>
      </c>
      <c r="G65" s="291"/>
      <c r="I65" s="276">
        <f t="shared" si="9"/>
        <v>487.50763322267198</v>
      </c>
      <c r="K65" s="276"/>
    </row>
    <row r="66" spans="1:12" ht="18" customHeight="1">
      <c r="A66" s="292"/>
      <c r="B66" s="294" t="s">
        <v>60</v>
      </c>
      <c r="C66" s="295" t="s">
        <v>50</v>
      </c>
      <c r="D66" s="295">
        <f>4.78*D63</f>
        <v>19.12</v>
      </c>
      <c r="E66" s="296">
        <v>281.18350662445602</v>
      </c>
      <c r="F66" s="297">
        <f>D66*E66</f>
        <v>5376.2286466595997</v>
      </c>
      <c r="G66" s="291"/>
      <c r="I66" s="276">
        <f t="shared" si="9"/>
        <v>5376.2286466595997</v>
      </c>
      <c r="K66" s="276"/>
    </row>
    <row r="67" spans="1:12" ht="18" customHeight="1">
      <c r="A67" s="289"/>
      <c r="B67" s="299" t="s">
        <v>61</v>
      </c>
      <c r="C67" s="295" t="s">
        <v>50</v>
      </c>
      <c r="D67" s="295">
        <f>0.2*D63</f>
        <v>0.8</v>
      </c>
      <c r="E67" s="296">
        <v>558.56760652232902</v>
      </c>
      <c r="F67" s="297">
        <f>D67*E67</f>
        <v>446.85408521786297</v>
      </c>
      <c r="G67" s="291"/>
      <c r="I67" s="276">
        <f t="shared" si="9"/>
        <v>446.85408521786297</v>
      </c>
      <c r="K67" s="276"/>
    </row>
    <row r="68" spans="1:12" ht="18" customHeight="1">
      <c r="A68" s="289"/>
      <c r="B68" s="294" t="s">
        <v>54</v>
      </c>
      <c r="C68" s="295" t="s">
        <v>50</v>
      </c>
      <c r="D68" s="295">
        <f>D67+D66</f>
        <v>19.920000000000002</v>
      </c>
      <c r="E68" s="296">
        <v>68.386158207831798</v>
      </c>
      <c r="F68" s="297">
        <f>D68*E68</f>
        <v>1362.25227150001</v>
      </c>
      <c r="G68" s="291"/>
      <c r="I68" s="276">
        <f t="shared" ref="I68:I82" si="10">D68*E68</f>
        <v>1362.25227150001</v>
      </c>
      <c r="K68" s="276"/>
    </row>
    <row r="69" spans="1:12" ht="18" customHeight="1">
      <c r="A69" s="292" t="s">
        <v>83</v>
      </c>
      <c r="B69" s="302" t="s">
        <v>84</v>
      </c>
      <c r="C69" s="313" t="s">
        <v>59</v>
      </c>
      <c r="D69" s="285">
        <v>4</v>
      </c>
      <c r="E69" s="286"/>
      <c r="F69" s="285">
        <f>SUM(F70:F75)</f>
        <v>14620.3859039038</v>
      </c>
      <c r="G69" s="291"/>
      <c r="I69" s="276">
        <f t="shared" si="10"/>
        <v>0</v>
      </c>
      <c r="K69" s="276"/>
    </row>
    <row r="70" spans="1:12" ht="18" customHeight="1">
      <c r="A70" s="293"/>
      <c r="B70" s="294" t="s">
        <v>32</v>
      </c>
      <c r="C70" s="295" t="s">
        <v>50</v>
      </c>
      <c r="D70" s="295">
        <f>20.2*D69</f>
        <v>80.8</v>
      </c>
      <c r="E70" s="296">
        <v>5.8</v>
      </c>
      <c r="F70" s="297">
        <f t="shared" ref="F70:F75" si="11">D70*E70</f>
        <v>468.64</v>
      </c>
      <c r="G70" s="291"/>
      <c r="I70" s="276">
        <f t="shared" si="10"/>
        <v>468.64</v>
      </c>
      <c r="K70" s="276"/>
    </row>
    <row r="71" spans="1:12" ht="18" customHeight="1">
      <c r="A71" s="293"/>
      <c r="B71" s="294" t="s">
        <v>31</v>
      </c>
      <c r="C71" s="295" t="s">
        <v>50</v>
      </c>
      <c r="D71" s="295">
        <f>9.2*D69</f>
        <v>36.799999999999997</v>
      </c>
      <c r="E71" s="296">
        <v>22.159437873757799</v>
      </c>
      <c r="F71" s="297">
        <f t="shared" si="11"/>
        <v>815.46731375428703</v>
      </c>
      <c r="G71" s="291"/>
      <c r="I71" s="276">
        <f t="shared" si="10"/>
        <v>815.46731375428703</v>
      </c>
      <c r="K71" s="276"/>
    </row>
    <row r="72" spans="1:12" ht="18" customHeight="1">
      <c r="A72" s="292"/>
      <c r="B72" s="294" t="s">
        <v>60</v>
      </c>
      <c r="C72" s="295" t="s">
        <v>50</v>
      </c>
      <c r="D72" s="295">
        <f>4.41*D69</f>
        <v>17.64</v>
      </c>
      <c r="E72" s="296">
        <v>281.18350662445602</v>
      </c>
      <c r="F72" s="297">
        <f t="shared" si="11"/>
        <v>4960.0770568553999</v>
      </c>
      <c r="G72" s="291"/>
      <c r="I72" s="276">
        <f t="shared" si="10"/>
        <v>4960.0770568553999</v>
      </c>
      <c r="K72" s="276"/>
    </row>
    <row r="73" spans="1:12" ht="18" customHeight="1">
      <c r="A73" s="289"/>
      <c r="B73" s="299" t="s">
        <v>85</v>
      </c>
      <c r="C73" s="295" t="s">
        <v>50</v>
      </c>
      <c r="D73" s="295">
        <f>0.9*D69</f>
        <v>3.6</v>
      </c>
      <c r="E73" s="296">
        <v>558.56760652232902</v>
      </c>
      <c r="F73" s="297">
        <f t="shared" si="11"/>
        <v>2010.84338348038</v>
      </c>
      <c r="G73" s="291"/>
      <c r="I73" s="276">
        <f t="shared" si="10"/>
        <v>2010.84338348038</v>
      </c>
      <c r="K73" s="276"/>
    </row>
    <row r="74" spans="1:12" ht="18" customHeight="1">
      <c r="A74" s="289"/>
      <c r="B74" s="299" t="s">
        <v>86</v>
      </c>
      <c r="C74" s="295" t="s">
        <v>50</v>
      </c>
      <c r="D74" s="295">
        <f>0.94*D69</f>
        <v>3.76</v>
      </c>
      <c r="E74" s="296">
        <v>889.97500857287696</v>
      </c>
      <c r="F74" s="297">
        <f t="shared" si="11"/>
        <v>3346.3060322340202</v>
      </c>
      <c r="G74" s="291"/>
      <c r="I74" s="276">
        <f t="shared" si="10"/>
        <v>3346.3060322340202</v>
      </c>
      <c r="K74" s="276"/>
    </row>
    <row r="75" spans="1:12" ht="18" customHeight="1">
      <c r="A75" s="289"/>
      <c r="B75" s="299" t="s">
        <v>87</v>
      </c>
      <c r="C75" s="295" t="s">
        <v>88</v>
      </c>
      <c r="D75" s="295">
        <f>0.11*D69</f>
        <v>0.44</v>
      </c>
      <c r="E75" s="296">
        <v>6861.48208540834</v>
      </c>
      <c r="F75" s="297">
        <f t="shared" si="11"/>
        <v>3019.0521175796698</v>
      </c>
      <c r="G75" s="291"/>
      <c r="I75" s="276">
        <f t="shared" si="10"/>
        <v>3019.0521175796698</v>
      </c>
      <c r="K75" s="276"/>
    </row>
    <row r="76" spans="1:12" ht="18" customHeight="1">
      <c r="A76" s="289">
        <v>2.2999999999999998</v>
      </c>
      <c r="B76" s="290" t="s">
        <v>89</v>
      </c>
      <c r="C76" s="284"/>
      <c r="D76" s="285"/>
      <c r="E76" s="286"/>
      <c r="F76" s="285">
        <f>F77</f>
        <v>4608.0341985312998</v>
      </c>
      <c r="G76" s="291"/>
      <c r="I76" s="276">
        <f t="shared" si="10"/>
        <v>0</v>
      </c>
      <c r="K76" s="276"/>
    </row>
    <row r="77" spans="1:12" ht="18" customHeight="1">
      <c r="A77" s="292" t="s">
        <v>90</v>
      </c>
      <c r="B77" s="290" t="s">
        <v>91</v>
      </c>
      <c r="C77" s="304" t="s">
        <v>49</v>
      </c>
      <c r="D77" s="285">
        <v>40</v>
      </c>
      <c r="E77" s="286"/>
      <c r="F77" s="285">
        <f>SUM(F78:F82)</f>
        <v>4608.0341985312998</v>
      </c>
      <c r="G77" s="291"/>
      <c r="H77">
        <f>F77/D77</f>
        <v>115.20085496328301</v>
      </c>
      <c r="I77" s="276">
        <f t="shared" si="10"/>
        <v>0</v>
      </c>
      <c r="K77" s="276"/>
      <c r="L77" s="314"/>
    </row>
    <row r="78" spans="1:12" ht="18" customHeight="1">
      <c r="A78" s="293"/>
      <c r="B78" s="294" t="s">
        <v>32</v>
      </c>
      <c r="C78" s="295" t="s">
        <v>50</v>
      </c>
      <c r="D78" s="295">
        <f>D77*1.4</f>
        <v>56</v>
      </c>
      <c r="E78" s="296">
        <v>3.9744703344936401</v>
      </c>
      <c r="F78" s="297">
        <f>D78*E78</f>
        <v>222.570338731644</v>
      </c>
      <c r="G78" s="291"/>
      <c r="I78" s="276">
        <f t="shared" si="10"/>
        <v>222.570338731644</v>
      </c>
      <c r="K78" s="276"/>
    </row>
    <row r="79" spans="1:12" ht="18" customHeight="1">
      <c r="A79" s="293"/>
      <c r="B79" s="294" t="s">
        <v>31</v>
      </c>
      <c r="C79" s="295" t="s">
        <v>50</v>
      </c>
      <c r="D79" s="295">
        <f>D77*0.8</f>
        <v>32</v>
      </c>
      <c r="E79" s="296">
        <v>5.9737169665788699</v>
      </c>
      <c r="F79" s="297">
        <f t="shared" ref="F79:F81" si="12">D79*E79</f>
        <v>191.15894293052401</v>
      </c>
      <c r="G79" s="291"/>
      <c r="I79" s="276">
        <f t="shared" si="10"/>
        <v>191.15894293052401</v>
      </c>
      <c r="K79" s="276"/>
    </row>
    <row r="80" spans="1:12" ht="18" customHeight="1">
      <c r="A80" s="289"/>
      <c r="B80" s="299" t="s">
        <v>52</v>
      </c>
      <c r="C80" s="295" t="s">
        <v>50</v>
      </c>
      <c r="D80" s="295">
        <f>D77/7.63*0.86</f>
        <v>4.5085190039318501</v>
      </c>
      <c r="E80" s="296">
        <v>805.59149377400695</v>
      </c>
      <c r="F80" s="297">
        <f t="shared" si="12"/>
        <v>3632.0245590859599</v>
      </c>
      <c r="G80" s="291"/>
      <c r="I80" s="276">
        <f t="shared" si="10"/>
        <v>3632.0245590859599</v>
      </c>
      <c r="K80" s="276"/>
    </row>
    <row r="81" spans="1:11" ht="18" customHeight="1">
      <c r="A81" s="289"/>
      <c r="B81" s="299" t="s">
        <v>53</v>
      </c>
      <c r="C81" s="295" t="s">
        <v>50</v>
      </c>
      <c r="D81" s="295">
        <f>D77/7.63*0.0035</f>
        <v>1.8348623853211E-2</v>
      </c>
      <c r="E81" s="300">
        <v>6000</v>
      </c>
      <c r="F81" s="297">
        <f t="shared" si="12"/>
        <v>110.091743119266</v>
      </c>
      <c r="G81" s="291"/>
      <c r="I81" s="276">
        <f t="shared" si="10"/>
        <v>110.091743119266</v>
      </c>
      <c r="K81" s="276"/>
    </row>
    <row r="82" spans="1:11" ht="18" customHeight="1">
      <c r="A82" s="289"/>
      <c r="B82" s="294" t="s">
        <v>55</v>
      </c>
      <c r="C82" s="295" t="s">
        <v>56</v>
      </c>
      <c r="D82" s="295">
        <f>2.29*D77</f>
        <v>91.6</v>
      </c>
      <c r="E82" s="300">
        <v>4.9365569286453397</v>
      </c>
      <c r="F82" s="297">
        <f>E82*D82</f>
        <v>452.18861466391297</v>
      </c>
      <c r="G82" s="291"/>
      <c r="I82" s="276">
        <f t="shared" si="10"/>
        <v>452.18861466391297</v>
      </c>
      <c r="K82" s="276"/>
    </row>
    <row r="83" spans="1:11" ht="18" customHeight="1">
      <c r="A83" s="289" t="s">
        <v>20</v>
      </c>
      <c r="B83" s="290" t="s">
        <v>92</v>
      </c>
      <c r="C83" s="284"/>
      <c r="D83" s="285"/>
      <c r="E83" s="286"/>
      <c r="F83" s="285">
        <f>F84+F102+F128+F144+F159+F188+F208</f>
        <v>1316288.8282003771</v>
      </c>
      <c r="G83" s="291"/>
      <c r="I83" s="276">
        <f t="shared" ref="I83:I96" si="13">D83*E83</f>
        <v>0</v>
      </c>
      <c r="K83" s="276"/>
    </row>
    <row r="84" spans="1:11" ht="18" customHeight="1">
      <c r="A84" s="289">
        <v>1</v>
      </c>
      <c r="B84" s="290" t="s">
        <v>93</v>
      </c>
      <c r="C84" s="284"/>
      <c r="D84" s="285"/>
      <c r="E84" s="286"/>
      <c r="F84" s="285">
        <f>F85+F91+F97</f>
        <v>215537.08714455727</v>
      </c>
      <c r="G84" s="291"/>
      <c r="I84" s="276">
        <f t="shared" si="13"/>
        <v>0</v>
      </c>
      <c r="K84" s="276"/>
    </row>
    <row r="85" spans="1:11" ht="18" customHeight="1">
      <c r="A85" s="292">
        <v>1.1000000000000001</v>
      </c>
      <c r="B85" s="290" t="s">
        <v>76</v>
      </c>
      <c r="C85" s="284" t="s">
        <v>49</v>
      </c>
      <c r="D85" s="285">
        <v>1290</v>
      </c>
      <c r="E85" s="286"/>
      <c r="F85" s="285">
        <f>SUM(F86:F90)</f>
        <v>152042.41279638774</v>
      </c>
      <c r="G85" s="307"/>
      <c r="H85">
        <f>F85/D85</f>
        <v>117.86233550107576</v>
      </c>
      <c r="I85" s="276">
        <f t="shared" si="13"/>
        <v>0</v>
      </c>
      <c r="K85" s="276"/>
    </row>
    <row r="86" spans="1:11" ht="18" customHeight="1">
      <c r="A86" s="293"/>
      <c r="B86" s="294" t="s">
        <v>31</v>
      </c>
      <c r="C86" s="295" t="s">
        <v>50</v>
      </c>
      <c r="D86" s="295">
        <f>D85*0.8</f>
        <v>1032</v>
      </c>
      <c r="E86" s="296">
        <f>E79</f>
        <v>5.9737169665788699</v>
      </c>
      <c r="F86" s="297">
        <f>D86*E86</f>
        <v>6164.8759095093901</v>
      </c>
      <c r="G86" s="291"/>
      <c r="I86" s="276">
        <f t="shared" si="13"/>
        <v>6164.8759095093901</v>
      </c>
      <c r="K86" s="276"/>
    </row>
    <row r="87" spans="1:11" ht="18" customHeight="1">
      <c r="A87" s="289"/>
      <c r="B87" s="299" t="s">
        <v>52</v>
      </c>
      <c r="C87" s="295" t="s">
        <v>50</v>
      </c>
      <c r="D87" s="295">
        <f>D85/7.63*0.86</f>
        <v>145.39973787680199</v>
      </c>
      <c r="E87" s="296">
        <f>砼单价!AA1994/100</f>
        <v>830.24415447995659</v>
      </c>
      <c r="F87" s="297">
        <f t="shared" ref="F87:F89" si="14">D87*E87</f>
        <v>120717.28243513279</v>
      </c>
      <c r="G87" s="291"/>
      <c r="I87" s="276">
        <f t="shared" si="13"/>
        <v>120717.28243513279</v>
      </c>
      <c r="K87" s="276"/>
    </row>
    <row r="88" spans="1:11" ht="18" customHeight="1">
      <c r="A88" s="289"/>
      <c r="B88" s="299" t="s">
        <v>53</v>
      </c>
      <c r="C88" s="295" t="s">
        <v>50</v>
      </c>
      <c r="D88" s="295">
        <f>D85/7.63*0.0035</f>
        <v>0.59174311926605505</v>
      </c>
      <c r="E88" s="296">
        <v>6000</v>
      </c>
      <c r="F88" s="297">
        <f t="shared" si="14"/>
        <v>3550.4587155963304</v>
      </c>
      <c r="G88" s="291"/>
      <c r="I88" s="276">
        <f t="shared" si="13"/>
        <v>3550.45871559633</v>
      </c>
      <c r="K88" s="276"/>
    </row>
    <row r="89" spans="1:11" ht="18" customHeight="1">
      <c r="A89" s="289"/>
      <c r="B89" s="294" t="s">
        <v>54</v>
      </c>
      <c r="C89" s="295" t="s">
        <v>50</v>
      </c>
      <c r="D89" s="295">
        <f>D85/7.63*0.86</f>
        <v>145.39973787680199</v>
      </c>
      <c r="E89" s="296">
        <f>E51</f>
        <v>68.386158207831798</v>
      </c>
      <c r="F89" s="297">
        <f t="shared" si="14"/>
        <v>9943.3294778202544</v>
      </c>
      <c r="G89" s="291"/>
      <c r="I89" s="276">
        <f t="shared" si="13"/>
        <v>9943.3294778202508</v>
      </c>
      <c r="K89" s="276"/>
    </row>
    <row r="90" spans="1:11" ht="18" customHeight="1">
      <c r="A90" s="289"/>
      <c r="B90" s="294" t="s">
        <v>55</v>
      </c>
      <c r="C90" s="295" t="s">
        <v>56</v>
      </c>
      <c r="D90" s="295">
        <f>2.29*D86</f>
        <v>2363.2800000000002</v>
      </c>
      <c r="E90" s="296">
        <f>E12</f>
        <v>4.9365569286453397</v>
      </c>
      <c r="F90" s="297">
        <f>E90*D90</f>
        <v>11666.466258328999</v>
      </c>
      <c r="G90" s="291"/>
      <c r="I90" s="276">
        <f t="shared" si="13"/>
        <v>11666.466258328999</v>
      </c>
      <c r="K90" s="276"/>
    </row>
    <row r="91" spans="1:11" ht="18" customHeight="1">
      <c r="A91" s="292">
        <v>1.2</v>
      </c>
      <c r="B91" s="290" t="s">
        <v>91</v>
      </c>
      <c r="C91" s="284" t="s">
        <v>49</v>
      </c>
      <c r="D91" s="285">
        <v>500</v>
      </c>
      <c r="E91" s="286"/>
      <c r="F91" s="285">
        <f>SUM(F92:F96)</f>
        <v>58989.764847769511</v>
      </c>
      <c r="G91" s="291"/>
      <c r="H91">
        <f>F91/D91</f>
        <v>117.97952969553903</v>
      </c>
      <c r="I91" s="276">
        <f t="shared" si="13"/>
        <v>0</v>
      </c>
      <c r="K91" s="276"/>
    </row>
    <row r="92" spans="1:11" ht="18" customHeight="1">
      <c r="A92" s="293"/>
      <c r="B92" s="294" t="s">
        <v>32</v>
      </c>
      <c r="C92" s="295" t="s">
        <v>50</v>
      </c>
      <c r="D92" s="295">
        <f>D91*1.4</f>
        <v>700</v>
      </c>
      <c r="E92" s="296">
        <f>E78</f>
        <v>3.9744703344936401</v>
      </c>
      <c r="F92" s="297">
        <f>D92*E92</f>
        <v>2782.1292341455501</v>
      </c>
      <c r="G92" s="291"/>
      <c r="I92" s="276">
        <f t="shared" si="13"/>
        <v>2782.1292341455501</v>
      </c>
      <c r="K92" s="276"/>
    </row>
    <row r="93" spans="1:11" ht="18" customHeight="1">
      <c r="A93" s="293"/>
      <c r="B93" s="294" t="s">
        <v>31</v>
      </c>
      <c r="C93" s="295" t="s">
        <v>50</v>
      </c>
      <c r="D93" s="295">
        <f>D91*0.8</f>
        <v>400</v>
      </c>
      <c r="E93" s="296">
        <f>E86</f>
        <v>5.9737169665788699</v>
      </c>
      <c r="F93" s="297">
        <f t="shared" ref="F93:F95" si="15">D93*E93</f>
        <v>2389.4867866315499</v>
      </c>
      <c r="G93" s="291"/>
      <c r="I93" s="276">
        <f t="shared" si="13"/>
        <v>2389.4867866315499</v>
      </c>
      <c r="K93" s="276"/>
    </row>
    <row r="94" spans="1:11" ht="18" customHeight="1">
      <c r="A94" s="289"/>
      <c r="B94" s="299" t="s">
        <v>52</v>
      </c>
      <c r="C94" s="295" t="s">
        <v>50</v>
      </c>
      <c r="D94" s="295">
        <f>D91/7.63*0.86</f>
        <v>56.356487549148099</v>
      </c>
      <c r="E94" s="296">
        <f>E87</f>
        <v>830.24415447995659</v>
      </c>
      <c r="F94" s="297">
        <f t="shared" si="15"/>
        <v>46789.644354702665</v>
      </c>
      <c r="G94" s="291"/>
      <c r="I94" s="276">
        <f t="shared" si="13"/>
        <v>46789.644354702665</v>
      </c>
      <c r="K94" s="276"/>
    </row>
    <row r="95" spans="1:11" ht="18" customHeight="1">
      <c r="A95" s="289"/>
      <c r="B95" s="299" t="s">
        <v>53</v>
      </c>
      <c r="C95" s="295" t="s">
        <v>50</v>
      </c>
      <c r="D95" s="295">
        <f>D91/7.63*0.0035</f>
        <v>0.22935779816513799</v>
      </c>
      <c r="E95" s="296">
        <f>E88</f>
        <v>6000</v>
      </c>
      <c r="F95" s="297">
        <f t="shared" si="15"/>
        <v>1376.1467889908299</v>
      </c>
      <c r="G95" s="291"/>
      <c r="I95" s="276">
        <f t="shared" si="13"/>
        <v>1376.1467889908299</v>
      </c>
      <c r="K95" s="276"/>
    </row>
    <row r="96" spans="1:11" ht="18" customHeight="1">
      <c r="A96" s="289"/>
      <c r="B96" s="294" t="s">
        <v>55</v>
      </c>
      <c r="C96" s="295" t="s">
        <v>56</v>
      </c>
      <c r="D96" s="295">
        <f>2.29*D91</f>
        <v>1145</v>
      </c>
      <c r="E96" s="296">
        <f>E12</f>
        <v>4.9365569286453397</v>
      </c>
      <c r="F96" s="297">
        <f>E96*D96</f>
        <v>5652.3576832989102</v>
      </c>
      <c r="G96" s="291"/>
      <c r="I96" s="276">
        <f t="shared" si="13"/>
        <v>5652.3576832989102</v>
      </c>
      <c r="K96" s="276"/>
    </row>
    <row r="97" spans="1:11" ht="18" customHeight="1">
      <c r="A97" s="292">
        <v>1.3</v>
      </c>
      <c r="B97" s="290" t="s">
        <v>94</v>
      </c>
      <c r="C97" s="303" t="s">
        <v>59</v>
      </c>
      <c r="D97" s="315">
        <v>4</v>
      </c>
      <c r="E97" s="316"/>
      <c r="F97" s="315">
        <f>SUM(F98:F101)</f>
        <v>4504.909500400001</v>
      </c>
      <c r="G97" s="291"/>
      <c r="H97">
        <f>F97/D97</f>
        <v>1126.2273751000002</v>
      </c>
      <c r="I97" s="276"/>
      <c r="K97" s="276"/>
    </row>
    <row r="98" spans="1:11" ht="18" customHeight="1">
      <c r="A98" s="289"/>
      <c r="B98" s="294" t="s">
        <v>32</v>
      </c>
      <c r="C98" s="295" t="s">
        <v>50</v>
      </c>
      <c r="D98" s="295">
        <f>7.48*D97</f>
        <v>29.92</v>
      </c>
      <c r="E98" s="296">
        <f>E119</f>
        <v>5.8</v>
      </c>
      <c r="F98" s="317">
        <f t="shared" ref="F98:F101" si="16">D98*E98</f>
        <v>173.536</v>
      </c>
      <c r="G98" s="291"/>
      <c r="I98" s="276"/>
      <c r="K98" s="276"/>
    </row>
    <row r="99" spans="1:11" ht="18" customHeight="1">
      <c r="A99" s="289"/>
      <c r="B99" s="294" t="s">
        <v>31</v>
      </c>
      <c r="C99" s="295" t="s">
        <v>50</v>
      </c>
      <c r="D99" s="295">
        <f>D97*4.33</f>
        <v>17.32</v>
      </c>
      <c r="E99" s="296">
        <f>E120</f>
        <v>22.159437873757767</v>
      </c>
      <c r="F99" s="317">
        <f t="shared" si="16"/>
        <v>383.80146397348454</v>
      </c>
      <c r="G99" s="291"/>
      <c r="I99" s="276"/>
      <c r="K99" s="276"/>
    </row>
    <row r="100" spans="1:11" ht="18" customHeight="1">
      <c r="A100" s="289"/>
      <c r="B100" s="299" t="s">
        <v>61</v>
      </c>
      <c r="C100" s="295" t="s">
        <v>50</v>
      </c>
      <c r="D100" s="295">
        <f>0.12*D97</f>
        <v>0.48</v>
      </c>
      <c r="E100" s="296">
        <f>E121</f>
        <v>575.23496355015357</v>
      </c>
      <c r="F100" s="317">
        <f t="shared" si="16"/>
        <v>276.11278250407372</v>
      </c>
      <c r="G100" s="291"/>
      <c r="I100" s="276"/>
      <c r="K100" s="276"/>
    </row>
    <row r="101" spans="1:11" ht="18" customHeight="1">
      <c r="A101" s="289"/>
      <c r="B101" s="299" t="s">
        <v>60</v>
      </c>
      <c r="C101" s="295" t="s">
        <v>50</v>
      </c>
      <c r="D101" s="295">
        <f>3.03*D97</f>
        <v>12.12</v>
      </c>
      <c r="E101" s="296">
        <f>E122</f>
        <v>302.92568101670327</v>
      </c>
      <c r="F101" s="317">
        <f t="shared" si="16"/>
        <v>3671.4592539224432</v>
      </c>
      <c r="G101" s="291"/>
      <c r="I101" s="276"/>
      <c r="K101" s="276"/>
    </row>
    <row r="102" spans="1:11" ht="18" customHeight="1">
      <c r="A102" s="289">
        <v>2</v>
      </c>
      <c r="B102" s="290" t="s">
        <v>95</v>
      </c>
      <c r="C102" s="284"/>
      <c r="D102" s="285"/>
      <c r="E102" s="286"/>
      <c r="F102" s="285">
        <f>F103+F118+F108+F113+F123</f>
        <v>118166.70539886445</v>
      </c>
      <c r="G102" s="291"/>
      <c r="I102" s="276">
        <f t="shared" ref="I102:I122" si="17">D102*E102</f>
        <v>0</v>
      </c>
      <c r="K102" s="276"/>
    </row>
    <row r="103" spans="1:11" ht="18" customHeight="1">
      <c r="A103" s="292">
        <v>2.1</v>
      </c>
      <c r="B103" s="290" t="s">
        <v>96</v>
      </c>
      <c r="C103" s="284" t="s">
        <v>49</v>
      </c>
      <c r="D103" s="285">
        <v>400</v>
      </c>
      <c r="E103" s="286"/>
      <c r="F103" s="285">
        <f>SUM(F104:F107)</f>
        <v>46137.722000452944</v>
      </c>
      <c r="G103" s="291"/>
      <c r="H103">
        <f>F103/D103</f>
        <v>115.34430500113235</v>
      </c>
      <c r="I103" s="276">
        <f t="shared" si="17"/>
        <v>0</v>
      </c>
      <c r="K103" s="276"/>
    </row>
    <row r="104" spans="1:11" ht="18" customHeight="1">
      <c r="A104" s="289"/>
      <c r="B104" s="299" t="s">
        <v>52</v>
      </c>
      <c r="C104" s="295" t="s">
        <v>50</v>
      </c>
      <c r="D104" s="295">
        <f>D103/7.63*0.86</f>
        <v>45.085190039318498</v>
      </c>
      <c r="E104" s="296">
        <f>E94</f>
        <v>830.24415447995659</v>
      </c>
      <c r="F104" s="297">
        <f>D104*E104</f>
        <v>37431.715483762149</v>
      </c>
      <c r="G104" s="291"/>
      <c r="I104" s="276">
        <f t="shared" si="17"/>
        <v>37431.715483762149</v>
      </c>
      <c r="K104" s="276"/>
    </row>
    <row r="105" spans="1:11" ht="18" customHeight="1">
      <c r="A105" s="289"/>
      <c r="B105" s="299" t="s">
        <v>53</v>
      </c>
      <c r="C105" s="295" t="s">
        <v>50</v>
      </c>
      <c r="D105" s="295">
        <f>D103/7.63*0.0035</f>
        <v>0.18348623853210999</v>
      </c>
      <c r="E105" s="296">
        <f>E88</f>
        <v>6000</v>
      </c>
      <c r="F105" s="297">
        <f t="shared" ref="F105:F106" si="18">D105*E105</f>
        <v>1100.9174311926599</v>
      </c>
      <c r="G105" s="291"/>
      <c r="I105" s="276">
        <f t="shared" si="17"/>
        <v>1100.9174311926599</v>
      </c>
      <c r="K105" s="276"/>
    </row>
    <row r="106" spans="1:11" ht="18" customHeight="1">
      <c r="A106" s="289"/>
      <c r="B106" s="294" t="s">
        <v>54</v>
      </c>
      <c r="C106" s="295" t="s">
        <v>50</v>
      </c>
      <c r="D106" s="295">
        <f>D104</f>
        <v>45.085190039318498</v>
      </c>
      <c r="E106" s="296">
        <f>E89</f>
        <v>68.386158207831798</v>
      </c>
      <c r="F106" s="297">
        <f t="shared" si="18"/>
        <v>3083.2029388589999</v>
      </c>
      <c r="G106" s="291"/>
      <c r="I106" s="276">
        <f t="shared" si="17"/>
        <v>3083.2029388589999</v>
      </c>
      <c r="K106" s="276"/>
    </row>
    <row r="107" spans="1:11" ht="18" customHeight="1">
      <c r="A107" s="289"/>
      <c r="B107" s="294" t="s">
        <v>55</v>
      </c>
      <c r="C107" s="295" t="s">
        <v>56</v>
      </c>
      <c r="D107" s="295">
        <f>2.29*D103</f>
        <v>916</v>
      </c>
      <c r="E107" s="296">
        <f>E12</f>
        <v>4.9365569286453397</v>
      </c>
      <c r="F107" s="297">
        <f>E107*D107</f>
        <v>4521.8861466391299</v>
      </c>
      <c r="G107" s="291"/>
      <c r="I107" s="276">
        <f t="shared" si="17"/>
        <v>4521.8861466391299</v>
      </c>
      <c r="K107" s="276"/>
    </row>
    <row r="108" spans="1:11" ht="18" customHeight="1">
      <c r="A108" s="292">
        <v>2.2000000000000002</v>
      </c>
      <c r="B108" s="290" t="s">
        <v>97</v>
      </c>
      <c r="C108" s="284" t="s">
        <v>49</v>
      </c>
      <c r="D108" s="285">
        <v>735</v>
      </c>
      <c r="E108" s="286"/>
      <c r="F108" s="285">
        <f>SUM(F109:F112)</f>
        <v>62245.86462813252</v>
      </c>
      <c r="G108" s="291"/>
      <c r="H108">
        <f>F108/D108</f>
        <v>84.688251194738129</v>
      </c>
      <c r="I108" s="276">
        <f t="shared" si="17"/>
        <v>0</v>
      </c>
      <c r="K108" s="276"/>
    </row>
    <row r="109" spans="1:11" ht="18" customHeight="1">
      <c r="A109" s="289"/>
      <c r="B109" s="299" t="s">
        <v>52</v>
      </c>
      <c r="C109" s="295" t="s">
        <v>50</v>
      </c>
      <c r="D109" s="295">
        <f>D108/7.63*0.6</f>
        <v>57.798165137614703</v>
      </c>
      <c r="E109" s="296">
        <f>砼单价!T1994/100</f>
        <v>851.21460892944754</v>
      </c>
      <c r="F109" s="297">
        <f>D109*E109</f>
        <v>49198.642534454324</v>
      </c>
      <c r="G109" s="291"/>
      <c r="I109" s="276">
        <f t="shared" si="17"/>
        <v>49198.642534454324</v>
      </c>
      <c r="K109" s="276"/>
    </row>
    <row r="110" spans="1:11" ht="18" customHeight="1">
      <c r="A110" s="289"/>
      <c r="B110" s="299" t="s">
        <v>53</v>
      </c>
      <c r="C110" s="295" t="s">
        <v>50</v>
      </c>
      <c r="D110" s="295">
        <f>D108/7.63*0.0035</f>
        <v>0.33715596330275199</v>
      </c>
      <c r="E110" s="296">
        <f>E105</f>
        <v>6000</v>
      </c>
      <c r="F110" s="297">
        <f t="shared" ref="F110:F111" si="19">D110*E110</f>
        <v>2022.9357798165099</v>
      </c>
      <c r="G110" s="291"/>
      <c r="I110" s="276">
        <f t="shared" si="17"/>
        <v>2022.9357798165099</v>
      </c>
      <c r="K110" s="276"/>
    </row>
    <row r="111" spans="1:11" ht="18" customHeight="1">
      <c r="A111" s="289"/>
      <c r="B111" s="294" t="s">
        <v>54</v>
      </c>
      <c r="C111" s="295" t="s">
        <v>50</v>
      </c>
      <c r="D111" s="295">
        <f>D109</f>
        <v>57.798165137614703</v>
      </c>
      <c r="E111" s="296">
        <f>E106</f>
        <v>68.386158207831798</v>
      </c>
      <c r="F111" s="297">
        <f t="shared" si="19"/>
        <v>3952.5944652233102</v>
      </c>
      <c r="G111" s="291"/>
      <c r="I111" s="276">
        <f t="shared" si="17"/>
        <v>3952.5944652233102</v>
      </c>
      <c r="K111" s="276"/>
    </row>
    <row r="112" spans="1:11" ht="18" customHeight="1">
      <c r="A112" s="289"/>
      <c r="B112" s="294" t="s">
        <v>55</v>
      </c>
      <c r="C112" s="295" t="s">
        <v>56</v>
      </c>
      <c r="D112" s="295">
        <f>(0.332*2+0.785+0.5)*D108</f>
        <v>1432.5150000000001</v>
      </c>
      <c r="E112" s="296">
        <f>E12</f>
        <v>4.9365569286453397</v>
      </c>
      <c r="F112" s="297">
        <f>E112*D112</f>
        <v>7071.6918486383802</v>
      </c>
      <c r="G112" s="291"/>
      <c r="I112" s="276">
        <f t="shared" si="17"/>
        <v>7071.6918486383802</v>
      </c>
      <c r="K112" s="276"/>
    </row>
    <row r="113" spans="1:13" ht="18" customHeight="1">
      <c r="A113" s="292">
        <v>2.2999999999999998</v>
      </c>
      <c r="B113" s="290" t="s">
        <v>80</v>
      </c>
      <c r="C113" s="284" t="s">
        <v>49</v>
      </c>
      <c r="D113" s="285">
        <v>105</v>
      </c>
      <c r="E113" s="286"/>
      <c r="F113" s="285">
        <f>SUM(F114:F117)</f>
        <v>6919.4693838250269</v>
      </c>
      <c r="G113" s="291"/>
      <c r="H113">
        <f>F113/D113</f>
        <v>65.899708417381206</v>
      </c>
      <c r="I113" s="276">
        <f t="shared" si="17"/>
        <v>0</v>
      </c>
      <c r="K113" s="276"/>
    </row>
    <row r="114" spans="1:13" ht="18" customHeight="1">
      <c r="A114" s="293"/>
      <c r="B114" s="294" t="s">
        <v>32</v>
      </c>
      <c r="C114" s="295" t="s">
        <v>50</v>
      </c>
      <c r="D114" s="295">
        <f>D113*0.9</f>
        <v>94.5</v>
      </c>
      <c r="E114" s="296">
        <f>E92</f>
        <v>3.9744703344936401</v>
      </c>
      <c r="F114" s="297">
        <f t="shared" ref="F114:F117" si="20">D114*E114</f>
        <v>375.58744660964902</v>
      </c>
      <c r="G114" s="291"/>
      <c r="I114" s="276">
        <f t="shared" si="17"/>
        <v>375.58744660964902</v>
      </c>
      <c r="K114" s="276"/>
    </row>
    <row r="115" spans="1:13" ht="18" customHeight="1">
      <c r="A115" s="293"/>
      <c r="B115" s="294" t="s">
        <v>31</v>
      </c>
      <c r="C115" s="295" t="s">
        <v>50</v>
      </c>
      <c r="D115" s="295">
        <f>D113*0.8</f>
        <v>84</v>
      </c>
      <c r="E115" s="296">
        <f>E93</f>
        <v>5.9737169665788699</v>
      </c>
      <c r="F115" s="297">
        <f t="shared" si="20"/>
        <v>501.79222519262498</v>
      </c>
      <c r="G115" s="291"/>
      <c r="I115" s="276">
        <f t="shared" si="17"/>
        <v>501.79222519262498</v>
      </c>
      <c r="K115" s="276"/>
    </row>
    <row r="116" spans="1:13" ht="18" customHeight="1">
      <c r="A116" s="289"/>
      <c r="B116" s="299" t="s">
        <v>52</v>
      </c>
      <c r="C116" s="295" t="s">
        <v>50</v>
      </c>
      <c r="D116" s="295">
        <f>D113/7.63*0.501</f>
        <v>6.8944954128440399</v>
      </c>
      <c r="E116" s="296">
        <f>E109</f>
        <v>851.21460892944754</v>
      </c>
      <c r="F116" s="297">
        <f t="shared" si="20"/>
        <v>5868.695216609909</v>
      </c>
      <c r="G116" s="291"/>
      <c r="I116" s="276">
        <f t="shared" si="17"/>
        <v>5868.695216609909</v>
      </c>
      <c r="K116" s="276"/>
    </row>
    <row r="117" spans="1:13" ht="18" customHeight="1">
      <c r="A117" s="289"/>
      <c r="B117" s="299" t="s">
        <v>53</v>
      </c>
      <c r="C117" s="295" t="s">
        <v>50</v>
      </c>
      <c r="D117" s="295">
        <f>D113/7.63*0.0021</f>
        <v>2.8899082568807299E-2</v>
      </c>
      <c r="E117" s="296">
        <f>E110</f>
        <v>6000</v>
      </c>
      <c r="F117" s="297">
        <f t="shared" si="20"/>
        <v>173.39449541284401</v>
      </c>
      <c r="G117" s="291"/>
      <c r="I117" s="276">
        <f t="shared" si="17"/>
        <v>173.39449541284401</v>
      </c>
      <c r="K117" s="276"/>
    </row>
    <row r="118" spans="1:13" ht="18" customHeight="1">
      <c r="A118" s="318">
        <v>2.4</v>
      </c>
      <c r="B118" s="290" t="s">
        <v>98</v>
      </c>
      <c r="C118" s="303" t="s">
        <v>59</v>
      </c>
      <c r="D118" s="315">
        <v>2</v>
      </c>
      <c r="E118" s="316"/>
      <c r="F118" s="315">
        <f>SUM(F119:F122)</f>
        <v>1737.4220113539495</v>
      </c>
      <c r="G118" s="319"/>
      <c r="H118">
        <f>F118/D118</f>
        <v>868.71100567697476</v>
      </c>
      <c r="I118" s="276">
        <f t="shared" si="17"/>
        <v>0</v>
      </c>
      <c r="K118" s="276"/>
    </row>
    <row r="119" spans="1:13" ht="18" customHeight="1">
      <c r="A119" s="320"/>
      <c r="B119" s="294" t="s">
        <v>32</v>
      </c>
      <c r="C119" s="295" t="s">
        <v>50</v>
      </c>
      <c r="D119" s="295">
        <f>4.59*D118</f>
        <v>9.18</v>
      </c>
      <c r="E119" s="296">
        <v>5.8</v>
      </c>
      <c r="F119" s="317">
        <f t="shared" ref="F119:F127" si="21">D119*E119</f>
        <v>53.244</v>
      </c>
      <c r="G119" s="319"/>
      <c r="I119" s="276">
        <f t="shared" si="17"/>
        <v>53.244</v>
      </c>
      <c r="K119" s="276"/>
    </row>
    <row r="120" spans="1:13" ht="18" customHeight="1">
      <c r="A120" s="320"/>
      <c r="B120" s="294" t="s">
        <v>31</v>
      </c>
      <c r="C120" s="295" t="s">
        <v>50</v>
      </c>
      <c r="D120" s="295">
        <f>D118*2.05</f>
        <v>4.0999999999999996</v>
      </c>
      <c r="E120" s="296">
        <f>建筑单价汇总!D125/100</f>
        <v>22.159437873757767</v>
      </c>
      <c r="F120" s="317">
        <f t="shared" si="21"/>
        <v>90.853695282406832</v>
      </c>
      <c r="G120" s="319"/>
      <c r="I120" s="276">
        <f t="shared" si="17"/>
        <v>90.853695282406832</v>
      </c>
      <c r="K120" s="276"/>
    </row>
    <row r="121" spans="1:13" ht="18" customHeight="1">
      <c r="A121" s="321"/>
      <c r="B121" s="299" t="s">
        <v>61</v>
      </c>
      <c r="C121" s="295" t="s">
        <v>50</v>
      </c>
      <c r="D121" s="295">
        <f>0.1*D118</f>
        <v>0.2</v>
      </c>
      <c r="E121" s="301">
        <f>建筑单价汇总!D27/100</f>
        <v>575.23496355015357</v>
      </c>
      <c r="F121" s="317">
        <f t="shared" si="21"/>
        <v>115.04699271003072</v>
      </c>
      <c r="G121" s="319"/>
      <c r="I121" s="276">
        <f t="shared" si="17"/>
        <v>115.04699271003072</v>
      </c>
      <c r="K121" s="276"/>
      <c r="L121">
        <f>4+20+11+29+11+5</f>
        <v>80</v>
      </c>
      <c r="M121">
        <f>1445+4090+3485+8345+4720+2500</f>
        <v>24585</v>
      </c>
    </row>
    <row r="122" spans="1:13" ht="18" customHeight="1">
      <c r="A122" s="321"/>
      <c r="B122" s="299" t="s">
        <v>60</v>
      </c>
      <c r="C122" s="295" t="s">
        <v>50</v>
      </c>
      <c r="D122" s="295">
        <f>2.44*D118</f>
        <v>4.88</v>
      </c>
      <c r="E122" s="301">
        <f>建筑单价汇总!D87/100</f>
        <v>302.92568101670327</v>
      </c>
      <c r="F122" s="317">
        <f t="shared" si="21"/>
        <v>1478.2773233615119</v>
      </c>
      <c r="G122" s="319"/>
      <c r="I122" s="276">
        <f t="shared" si="17"/>
        <v>1478.2773233615119</v>
      </c>
      <c r="K122" s="276"/>
      <c r="L122">
        <f>3+1+7+1</f>
        <v>12</v>
      </c>
      <c r="M122">
        <f>1855+1965+2890+500</f>
        <v>7210</v>
      </c>
    </row>
    <row r="123" spans="1:13" ht="18" customHeight="1">
      <c r="A123" s="318">
        <v>2.5</v>
      </c>
      <c r="B123" s="290" t="s">
        <v>94</v>
      </c>
      <c r="C123" s="303" t="s">
        <v>59</v>
      </c>
      <c r="D123" s="315">
        <v>1</v>
      </c>
      <c r="E123" s="316"/>
      <c r="F123" s="315">
        <f>SUM(F124:F127)</f>
        <v>1126.2273751000002</v>
      </c>
      <c r="G123" s="319"/>
      <c r="I123" s="276"/>
      <c r="K123" s="276"/>
    </row>
    <row r="124" spans="1:13" ht="18" customHeight="1">
      <c r="A124" s="321"/>
      <c r="B124" s="294" t="s">
        <v>32</v>
      </c>
      <c r="C124" s="295" t="s">
        <v>50</v>
      </c>
      <c r="D124" s="295">
        <f>7.48*D123</f>
        <v>7.48</v>
      </c>
      <c r="E124" s="296">
        <f>E98</f>
        <v>5.8</v>
      </c>
      <c r="F124" s="317">
        <f t="shared" si="21"/>
        <v>43.384</v>
      </c>
      <c r="G124" s="319"/>
      <c r="I124" s="276"/>
      <c r="K124" s="276"/>
    </row>
    <row r="125" spans="1:13" ht="18" customHeight="1">
      <c r="A125" s="321"/>
      <c r="B125" s="294" t="s">
        <v>31</v>
      </c>
      <c r="C125" s="295" t="s">
        <v>50</v>
      </c>
      <c r="D125" s="295">
        <f>4.33*D123</f>
        <v>4.33</v>
      </c>
      <c r="E125" s="296">
        <f>E99</f>
        <v>22.159437873757767</v>
      </c>
      <c r="F125" s="317">
        <f t="shared" si="21"/>
        <v>95.950365993371136</v>
      </c>
      <c r="G125" s="319"/>
      <c r="I125" s="276"/>
      <c r="K125" s="276"/>
    </row>
    <row r="126" spans="1:13" ht="18" customHeight="1">
      <c r="A126" s="321"/>
      <c r="B126" s="299" t="s">
        <v>61</v>
      </c>
      <c r="C126" s="295" t="s">
        <v>50</v>
      </c>
      <c r="D126" s="295">
        <f>0.12*D123</f>
        <v>0.12</v>
      </c>
      <c r="E126" s="296">
        <f>E100</f>
        <v>575.23496355015357</v>
      </c>
      <c r="F126" s="317">
        <f t="shared" si="21"/>
        <v>69.02819562601843</v>
      </c>
      <c r="G126" s="319"/>
      <c r="I126" s="276"/>
      <c r="K126" s="276"/>
    </row>
    <row r="127" spans="1:13" ht="18" customHeight="1">
      <c r="A127" s="321"/>
      <c r="B127" s="299" t="s">
        <v>60</v>
      </c>
      <c r="C127" s="295" t="s">
        <v>50</v>
      </c>
      <c r="D127" s="295">
        <f>3.03*D123</f>
        <v>3.03</v>
      </c>
      <c r="E127" s="296">
        <f>E101</f>
        <v>302.92568101670327</v>
      </c>
      <c r="F127" s="317">
        <f t="shared" si="21"/>
        <v>917.86481348061079</v>
      </c>
      <c r="G127" s="319"/>
      <c r="I127" s="276"/>
      <c r="K127" s="276"/>
    </row>
    <row r="128" spans="1:13" ht="18" customHeight="1">
      <c r="A128" s="289">
        <v>3</v>
      </c>
      <c r="B128" s="290" t="s">
        <v>99</v>
      </c>
      <c r="C128" s="284"/>
      <c r="D128" s="285"/>
      <c r="E128" s="286"/>
      <c r="F128" s="306">
        <f>F129+F134+F139</f>
        <v>99098.234469083574</v>
      </c>
      <c r="G128" s="291"/>
      <c r="I128" s="276">
        <f t="shared" ref="I128:I138" si="22">D128*E128</f>
        <v>0</v>
      </c>
      <c r="K128" s="276"/>
    </row>
    <row r="129" spans="1:11" ht="18" customHeight="1">
      <c r="A129" s="292">
        <v>3.1</v>
      </c>
      <c r="B129" s="290" t="s">
        <v>97</v>
      </c>
      <c r="C129" s="284" t="s">
        <v>49</v>
      </c>
      <c r="D129" s="285">
        <v>1120</v>
      </c>
      <c r="E129" s="286"/>
      <c r="F129" s="285">
        <f>SUM(F130:F133)</f>
        <v>94850.841338106606</v>
      </c>
      <c r="G129" s="291"/>
      <c r="H129">
        <f>F129/D129</f>
        <v>84.688251194738044</v>
      </c>
      <c r="I129" s="276">
        <f t="shared" si="22"/>
        <v>0</v>
      </c>
      <c r="K129" s="276"/>
    </row>
    <row r="130" spans="1:11" ht="18" customHeight="1">
      <c r="A130" s="289"/>
      <c r="B130" s="299" t="s">
        <v>52</v>
      </c>
      <c r="C130" s="295" t="s">
        <v>50</v>
      </c>
      <c r="D130" s="295">
        <f>D129/7.63*0.6</f>
        <v>88.073394495412799</v>
      </c>
      <c r="E130" s="296">
        <f>E109</f>
        <v>851.21460892944754</v>
      </c>
      <c r="F130" s="297">
        <f t="shared" ref="F130:F132" si="23">D130*E130</f>
        <v>74969.360052501768</v>
      </c>
      <c r="G130" s="291"/>
      <c r="I130" s="276">
        <f t="shared" si="22"/>
        <v>74969.360052501768</v>
      </c>
      <c r="K130" s="276"/>
    </row>
    <row r="131" spans="1:11" ht="18" customHeight="1">
      <c r="A131" s="289"/>
      <c r="B131" s="299" t="s">
        <v>53</v>
      </c>
      <c r="C131" s="295" t="s">
        <v>50</v>
      </c>
      <c r="D131" s="295">
        <f>D129/7.63*0.0035</f>
        <v>0.51376146788990795</v>
      </c>
      <c r="E131" s="296">
        <f>E105</f>
        <v>6000</v>
      </c>
      <c r="F131" s="297">
        <f t="shared" si="23"/>
        <v>3082.5688073394499</v>
      </c>
      <c r="G131" s="291"/>
      <c r="I131" s="276">
        <f t="shared" si="22"/>
        <v>3082.5688073394499</v>
      </c>
      <c r="K131" s="276"/>
    </row>
    <row r="132" spans="1:11" ht="18" customHeight="1">
      <c r="A132" s="289"/>
      <c r="B132" s="294" t="s">
        <v>54</v>
      </c>
      <c r="C132" s="295" t="s">
        <v>50</v>
      </c>
      <c r="D132" s="295">
        <f>D130</f>
        <v>88.073394495412799</v>
      </c>
      <c r="E132" s="296">
        <f>E111</f>
        <v>68.386158207831798</v>
      </c>
      <c r="F132" s="297">
        <f t="shared" si="23"/>
        <v>6023.0010898640803</v>
      </c>
      <c r="G132" s="291"/>
      <c r="I132" s="276">
        <f t="shared" si="22"/>
        <v>6023.0010898640803</v>
      </c>
      <c r="K132" s="276"/>
    </row>
    <row r="133" spans="1:11" ht="18" customHeight="1">
      <c r="A133" s="289"/>
      <c r="B133" s="294" t="s">
        <v>55</v>
      </c>
      <c r="C133" s="295" t="s">
        <v>56</v>
      </c>
      <c r="D133" s="295">
        <f>(0.332*2+0.785+0.5)*D129</f>
        <v>2182.88</v>
      </c>
      <c r="E133" s="296">
        <f>E12</f>
        <v>4.9365569286453397</v>
      </c>
      <c r="F133" s="297">
        <f>E133*D133</f>
        <v>10775.9113884013</v>
      </c>
      <c r="G133" s="291"/>
      <c r="I133" s="276">
        <f t="shared" si="22"/>
        <v>10775.9113884013</v>
      </c>
      <c r="K133" s="276"/>
    </row>
    <row r="134" spans="1:11" ht="18" customHeight="1">
      <c r="A134" s="318">
        <v>3.2</v>
      </c>
      <c r="B134" s="290" t="s">
        <v>98</v>
      </c>
      <c r="C134" s="303" t="s">
        <v>59</v>
      </c>
      <c r="D134" s="315">
        <v>1</v>
      </c>
      <c r="E134" s="316"/>
      <c r="F134" s="315">
        <f>SUM(F135:F138)</f>
        <v>868.71100567697476</v>
      </c>
      <c r="G134" s="319"/>
      <c r="H134">
        <f>F134/D134</f>
        <v>868.71100567697476</v>
      </c>
      <c r="I134" s="276">
        <f t="shared" si="22"/>
        <v>0</v>
      </c>
    </row>
    <row r="135" spans="1:11" ht="18" customHeight="1">
      <c r="A135" s="320"/>
      <c r="B135" s="294" t="s">
        <v>32</v>
      </c>
      <c r="C135" s="295" t="s">
        <v>50</v>
      </c>
      <c r="D135" s="295">
        <f>4.59*D134</f>
        <v>4.59</v>
      </c>
      <c r="E135" s="296">
        <v>5.8</v>
      </c>
      <c r="F135" s="317">
        <f>D135*E135</f>
        <v>26.622</v>
      </c>
      <c r="G135" s="319"/>
      <c r="I135" s="276">
        <f t="shared" si="22"/>
        <v>26.622</v>
      </c>
    </row>
    <row r="136" spans="1:11" ht="18" customHeight="1">
      <c r="A136" s="320"/>
      <c r="B136" s="294" t="s">
        <v>31</v>
      </c>
      <c r="C136" s="295" t="s">
        <v>50</v>
      </c>
      <c r="D136" s="295">
        <f>D134*2.05</f>
        <v>2.0499999999999998</v>
      </c>
      <c r="E136" s="296">
        <f>E120</f>
        <v>22.159437873757767</v>
      </c>
      <c r="F136" s="317">
        <f t="shared" ref="F136:F138" si="24">D136*E136</f>
        <v>45.426847641203416</v>
      </c>
      <c r="G136" s="319"/>
      <c r="I136" s="276">
        <f t="shared" si="22"/>
        <v>45.426847641203416</v>
      </c>
    </row>
    <row r="137" spans="1:11" ht="18" customHeight="1">
      <c r="A137" s="321"/>
      <c r="B137" s="299" t="s">
        <v>61</v>
      </c>
      <c r="C137" s="295" t="s">
        <v>50</v>
      </c>
      <c r="D137" s="295">
        <f>0.1*D134</f>
        <v>0.1</v>
      </c>
      <c r="E137" s="296">
        <f>E121</f>
        <v>575.23496355015357</v>
      </c>
      <c r="F137" s="317">
        <f t="shared" si="24"/>
        <v>57.523496355015361</v>
      </c>
      <c r="G137" s="319"/>
      <c r="I137" s="276">
        <f t="shared" si="22"/>
        <v>57.523496355015361</v>
      </c>
    </row>
    <row r="138" spans="1:11" ht="18" customHeight="1">
      <c r="A138" s="321"/>
      <c r="B138" s="299" t="s">
        <v>60</v>
      </c>
      <c r="C138" s="295" t="s">
        <v>50</v>
      </c>
      <c r="D138" s="295">
        <f>2.44*D134</f>
        <v>2.44</v>
      </c>
      <c r="E138" s="296">
        <f>E122</f>
        <v>302.92568101670327</v>
      </c>
      <c r="F138" s="317">
        <f t="shared" si="24"/>
        <v>739.13866168075594</v>
      </c>
      <c r="G138" s="319"/>
      <c r="I138" s="276">
        <f t="shared" si="22"/>
        <v>739.13866168075594</v>
      </c>
    </row>
    <row r="139" spans="1:11" ht="18" customHeight="1">
      <c r="A139" s="318">
        <v>3.3</v>
      </c>
      <c r="B139" s="290" t="s">
        <v>94</v>
      </c>
      <c r="C139" s="303" t="s">
        <v>59</v>
      </c>
      <c r="D139" s="315">
        <v>3</v>
      </c>
      <c r="E139" s="316"/>
      <c r="F139" s="315">
        <f>SUM(F140:F143)</f>
        <v>3378.6821253000016</v>
      </c>
      <c r="G139" s="319"/>
      <c r="H139">
        <f>F139/D139</f>
        <v>1126.2273751000005</v>
      </c>
      <c r="I139" s="276"/>
      <c r="K139" s="276"/>
    </row>
    <row r="140" spans="1:11" ht="18" customHeight="1">
      <c r="A140" s="321"/>
      <c r="B140" s="294" t="s">
        <v>32</v>
      </c>
      <c r="C140" s="295" t="s">
        <v>50</v>
      </c>
      <c r="D140" s="295">
        <f>D139*7.48</f>
        <v>22.44</v>
      </c>
      <c r="E140" s="296">
        <f>E124</f>
        <v>5.8</v>
      </c>
      <c r="F140" s="317">
        <f t="shared" ref="F140:F143" si="25">D140*E140</f>
        <v>130.15199999999999</v>
      </c>
      <c r="G140" s="319"/>
      <c r="I140" s="276"/>
      <c r="K140" s="276"/>
    </row>
    <row r="141" spans="1:11" ht="18" customHeight="1">
      <c r="A141" s="321"/>
      <c r="B141" s="294" t="s">
        <v>31</v>
      </c>
      <c r="C141" s="295" t="s">
        <v>50</v>
      </c>
      <c r="D141" s="295">
        <f>4.33*D139</f>
        <v>12.99</v>
      </c>
      <c r="E141" s="296">
        <f>E125</f>
        <v>22.159437873757767</v>
      </c>
      <c r="F141" s="317">
        <f t="shared" si="25"/>
        <v>287.85109798011342</v>
      </c>
      <c r="G141" s="319"/>
      <c r="I141" s="276"/>
      <c r="K141" s="276"/>
    </row>
    <row r="142" spans="1:11" ht="18" customHeight="1">
      <c r="A142" s="321"/>
      <c r="B142" s="299" t="s">
        <v>61</v>
      </c>
      <c r="C142" s="295" t="s">
        <v>50</v>
      </c>
      <c r="D142" s="295">
        <f>0.12*D139</f>
        <v>0.36</v>
      </c>
      <c r="E142" s="296">
        <f>E126</f>
        <v>575.23496355015357</v>
      </c>
      <c r="F142" s="317">
        <f t="shared" si="25"/>
        <v>207.08458687805526</v>
      </c>
      <c r="G142" s="319"/>
      <c r="I142" s="276"/>
      <c r="K142" s="276"/>
    </row>
    <row r="143" spans="1:11" ht="18" customHeight="1">
      <c r="A143" s="321"/>
      <c r="B143" s="299" t="s">
        <v>60</v>
      </c>
      <c r="C143" s="295" t="s">
        <v>50</v>
      </c>
      <c r="D143" s="295">
        <f>3.03*D139</f>
        <v>9.09</v>
      </c>
      <c r="E143" s="296">
        <f>E127</f>
        <v>302.92568101670327</v>
      </c>
      <c r="F143" s="317">
        <f t="shared" si="25"/>
        <v>2753.5944404418328</v>
      </c>
      <c r="G143" s="319"/>
      <c r="I143" s="276"/>
      <c r="K143" s="276"/>
    </row>
    <row r="144" spans="1:11" ht="18" customHeight="1">
      <c r="A144" s="289">
        <v>4</v>
      </c>
      <c r="B144" s="290" t="s">
        <v>100</v>
      </c>
      <c r="C144" s="284"/>
      <c r="D144" s="285"/>
      <c r="E144" s="286"/>
      <c r="F144" s="285">
        <f>F145+F149+F154</f>
        <v>93825.999754377874</v>
      </c>
      <c r="G144" s="291"/>
      <c r="I144" s="276">
        <f t="shared" ref="I144:I153" si="26">D144*E144</f>
        <v>0</v>
      </c>
      <c r="K144" s="276"/>
    </row>
    <row r="145" spans="1:11" ht="18" customHeight="1">
      <c r="A145" s="292">
        <v>4.0999999999999996</v>
      </c>
      <c r="B145" s="290" t="s">
        <v>101</v>
      </c>
      <c r="C145" s="284" t="s">
        <v>49</v>
      </c>
      <c r="D145" s="285">
        <v>1360</v>
      </c>
      <c r="E145" s="286"/>
      <c r="F145" s="285">
        <f>SUM(F146:F148)</f>
        <v>84366.340589339059</v>
      </c>
      <c r="G145" s="291"/>
      <c r="H145">
        <f>F145/D145</f>
        <v>62.034073962749311</v>
      </c>
      <c r="I145" s="276">
        <f t="shared" si="26"/>
        <v>0</v>
      </c>
      <c r="K145" s="276"/>
    </row>
    <row r="146" spans="1:11" ht="18" customHeight="1">
      <c r="A146" s="289"/>
      <c r="B146" s="299" t="s">
        <v>52</v>
      </c>
      <c r="C146" s="295" t="s">
        <v>50</v>
      </c>
      <c r="D146" s="295">
        <f>D145/7.63*0.501</f>
        <v>89.300131061599004</v>
      </c>
      <c r="E146" s="296">
        <f>E130</f>
        <v>851.21460892944754</v>
      </c>
      <c r="F146" s="297">
        <f t="shared" ref="F146:F148" si="27">D146*E146</f>
        <v>76013.576138947406</v>
      </c>
      <c r="G146" s="291"/>
      <c r="I146" s="276">
        <f t="shared" si="26"/>
        <v>76013.576138947406</v>
      </c>
      <c r="K146" s="276"/>
    </row>
    <row r="147" spans="1:11" ht="18" customHeight="1">
      <c r="A147" s="289"/>
      <c r="B147" s="299" t="s">
        <v>53</v>
      </c>
      <c r="C147" s="295" t="s">
        <v>50</v>
      </c>
      <c r="D147" s="295">
        <f>D145/7.63*0.0021</f>
        <v>0.374311926605505</v>
      </c>
      <c r="E147" s="296">
        <f>E131</f>
        <v>6000</v>
      </c>
      <c r="F147" s="297">
        <f t="shared" si="27"/>
        <v>2245.8715596330298</v>
      </c>
      <c r="G147" s="291"/>
      <c r="I147" s="276">
        <f t="shared" si="26"/>
        <v>2245.8715596330298</v>
      </c>
      <c r="K147" s="276"/>
    </row>
    <row r="148" spans="1:11" ht="18" customHeight="1">
      <c r="A148" s="289"/>
      <c r="B148" s="294" t="s">
        <v>54</v>
      </c>
      <c r="C148" s="295" t="s">
        <v>50</v>
      </c>
      <c r="D148" s="295">
        <f>D146</f>
        <v>89.300131061599004</v>
      </c>
      <c r="E148" s="296">
        <f>E132</f>
        <v>68.386158207831798</v>
      </c>
      <c r="F148" s="297">
        <f t="shared" si="27"/>
        <v>6106.8928907586196</v>
      </c>
      <c r="G148" s="291"/>
      <c r="I148" s="276">
        <f t="shared" si="26"/>
        <v>6106.8928907586196</v>
      </c>
      <c r="K148" s="276"/>
    </row>
    <row r="149" spans="1:11" ht="18" customHeight="1">
      <c r="A149" s="318">
        <v>4.2</v>
      </c>
      <c r="B149" s="290" t="s">
        <v>102</v>
      </c>
      <c r="C149" s="303" t="s">
        <v>59</v>
      </c>
      <c r="D149" s="315">
        <v>7</v>
      </c>
      <c r="E149" s="316"/>
      <c r="F149" s="315">
        <f>SUM(F150:F153)</f>
        <v>6080.977039738822</v>
      </c>
      <c r="G149" s="319"/>
      <c r="H149">
        <f>F149/D149</f>
        <v>868.71100567697454</v>
      </c>
      <c r="I149" s="276">
        <f t="shared" si="26"/>
        <v>0</v>
      </c>
    </row>
    <row r="150" spans="1:11" ht="18" customHeight="1">
      <c r="A150" s="320"/>
      <c r="B150" s="294" t="s">
        <v>32</v>
      </c>
      <c r="C150" s="295" t="s">
        <v>50</v>
      </c>
      <c r="D150" s="295">
        <f>4.59*D149</f>
        <v>32.130000000000003</v>
      </c>
      <c r="E150" s="296">
        <f>E135</f>
        <v>5.8</v>
      </c>
      <c r="F150" s="317">
        <f>D150*E150</f>
        <v>186.35400000000001</v>
      </c>
      <c r="G150" s="319"/>
      <c r="I150" s="276">
        <f t="shared" si="26"/>
        <v>186.35400000000001</v>
      </c>
    </row>
    <row r="151" spans="1:11" ht="18" customHeight="1">
      <c r="A151" s="320"/>
      <c r="B151" s="294" t="s">
        <v>31</v>
      </c>
      <c r="C151" s="295" t="s">
        <v>50</v>
      </c>
      <c r="D151" s="295">
        <f>D149*2.05</f>
        <v>14.35</v>
      </c>
      <c r="E151" s="296">
        <f>E136</f>
        <v>22.159437873757767</v>
      </c>
      <c r="F151" s="317">
        <f t="shared" ref="F151:F153" si="28">D151*E151</f>
        <v>317.98793348842395</v>
      </c>
      <c r="G151" s="319"/>
      <c r="I151" s="276">
        <f t="shared" si="26"/>
        <v>317.98793348842395</v>
      </c>
    </row>
    <row r="152" spans="1:11" ht="18" customHeight="1">
      <c r="A152" s="321"/>
      <c r="B152" s="299" t="s">
        <v>61</v>
      </c>
      <c r="C152" s="295" t="s">
        <v>50</v>
      </c>
      <c r="D152" s="295">
        <f>0.1*D149</f>
        <v>0.7</v>
      </c>
      <c r="E152" s="296">
        <f>E137</f>
        <v>575.23496355015357</v>
      </c>
      <c r="F152" s="317">
        <f t="shared" si="28"/>
        <v>402.66447448510746</v>
      </c>
      <c r="G152" s="319"/>
      <c r="I152" s="276">
        <f t="shared" si="26"/>
        <v>402.66447448510746</v>
      </c>
    </row>
    <row r="153" spans="1:11" ht="18" customHeight="1">
      <c r="A153" s="321"/>
      <c r="B153" s="299" t="s">
        <v>60</v>
      </c>
      <c r="C153" s="295" t="s">
        <v>50</v>
      </c>
      <c r="D153" s="295">
        <f>2.44*D149</f>
        <v>17.079999999999998</v>
      </c>
      <c r="E153" s="296">
        <f>E138</f>
        <v>302.92568101670327</v>
      </c>
      <c r="F153" s="317">
        <f t="shared" si="28"/>
        <v>5173.9706317652908</v>
      </c>
      <c r="G153" s="319"/>
      <c r="I153" s="276">
        <f t="shared" si="26"/>
        <v>5173.9706317652908</v>
      </c>
    </row>
    <row r="154" spans="1:11" ht="18" customHeight="1">
      <c r="A154" s="318">
        <v>4.3</v>
      </c>
      <c r="B154" s="290" t="s">
        <v>94</v>
      </c>
      <c r="C154" s="303" t="s">
        <v>59</v>
      </c>
      <c r="D154" s="315">
        <v>3</v>
      </c>
      <c r="E154" s="316"/>
      <c r="F154" s="315">
        <f>SUM(F155:F158)</f>
        <v>3378.6821253000016</v>
      </c>
      <c r="G154" s="319"/>
      <c r="H154">
        <f>F154/D154</f>
        <v>1126.2273751000005</v>
      </c>
      <c r="I154" s="276"/>
      <c r="K154" s="276"/>
    </row>
    <row r="155" spans="1:11" ht="18" customHeight="1">
      <c r="A155" s="321"/>
      <c r="B155" s="294" t="s">
        <v>32</v>
      </c>
      <c r="C155" s="295" t="s">
        <v>50</v>
      </c>
      <c r="D155" s="295">
        <f>D154*7.48</f>
        <v>22.44</v>
      </c>
      <c r="E155" s="296">
        <f>E140</f>
        <v>5.8</v>
      </c>
      <c r="F155" s="317">
        <f t="shared" ref="F155:F158" si="29">D155*E155</f>
        <v>130.15199999999999</v>
      </c>
      <c r="G155" s="319"/>
      <c r="I155" s="276"/>
      <c r="K155" s="276"/>
    </row>
    <row r="156" spans="1:11" ht="18" customHeight="1">
      <c r="A156" s="321"/>
      <c r="B156" s="294" t="s">
        <v>31</v>
      </c>
      <c r="C156" s="295" t="s">
        <v>50</v>
      </c>
      <c r="D156" s="295">
        <f>4.33*D154</f>
        <v>12.99</v>
      </c>
      <c r="E156" s="296">
        <f>E141</f>
        <v>22.159437873757767</v>
      </c>
      <c r="F156" s="317">
        <f t="shared" si="29"/>
        <v>287.85109798011342</v>
      </c>
      <c r="G156" s="319"/>
      <c r="I156" s="276"/>
      <c r="K156" s="276"/>
    </row>
    <row r="157" spans="1:11" ht="18" customHeight="1">
      <c r="A157" s="321"/>
      <c r="B157" s="299" t="s">
        <v>61</v>
      </c>
      <c r="C157" s="295" t="s">
        <v>50</v>
      </c>
      <c r="D157" s="295">
        <f>0.12*D154</f>
        <v>0.36</v>
      </c>
      <c r="E157" s="296">
        <f>E142</f>
        <v>575.23496355015357</v>
      </c>
      <c r="F157" s="317">
        <f t="shared" si="29"/>
        <v>207.08458687805526</v>
      </c>
      <c r="G157" s="319"/>
      <c r="I157" s="276"/>
      <c r="K157" s="276"/>
    </row>
    <row r="158" spans="1:11" ht="18" customHeight="1">
      <c r="A158" s="321"/>
      <c r="B158" s="299" t="s">
        <v>60</v>
      </c>
      <c r="C158" s="295" t="s">
        <v>50</v>
      </c>
      <c r="D158" s="295">
        <f>3.03*D154</f>
        <v>9.09</v>
      </c>
      <c r="E158" s="296">
        <f>E143</f>
        <v>302.92568101670327</v>
      </c>
      <c r="F158" s="317">
        <f t="shared" si="29"/>
        <v>2753.5944404418328</v>
      </c>
      <c r="G158" s="319"/>
      <c r="I158" s="276"/>
      <c r="K158" s="276"/>
    </row>
    <row r="159" spans="1:11" ht="18" customHeight="1">
      <c r="A159" s="289">
        <v>5</v>
      </c>
      <c r="B159" s="290" t="s">
        <v>103</v>
      </c>
      <c r="C159" s="284"/>
      <c r="D159" s="285"/>
      <c r="E159" s="286"/>
      <c r="F159" s="285">
        <f>F160+F169+F165+F174+F183</f>
        <v>477744.81044420152</v>
      </c>
      <c r="G159" s="291"/>
      <c r="I159" s="276">
        <f t="shared" ref="I159:I182" si="30">D159*E159</f>
        <v>0</v>
      </c>
      <c r="K159" s="276"/>
    </row>
    <row r="160" spans="1:11" ht="18" customHeight="1">
      <c r="A160" s="292">
        <v>5.0999999999999996</v>
      </c>
      <c r="B160" s="290" t="s">
        <v>97</v>
      </c>
      <c r="C160" s="284" t="s">
        <v>49</v>
      </c>
      <c r="D160" s="285">
        <v>195</v>
      </c>
      <c r="E160" s="286"/>
      <c r="F160" s="285">
        <f>SUM(F161:F164)</f>
        <v>16514.208982973883</v>
      </c>
      <c r="G160" s="291"/>
      <c r="H160">
        <f>F160/D160</f>
        <v>84.688251194737859</v>
      </c>
      <c r="I160" s="276">
        <f t="shared" si="30"/>
        <v>0</v>
      </c>
      <c r="K160" s="276"/>
    </row>
    <row r="161" spans="1:11" ht="18" customHeight="1">
      <c r="A161" s="289"/>
      <c r="B161" s="299" t="s">
        <v>52</v>
      </c>
      <c r="C161" s="295" t="s">
        <v>50</v>
      </c>
      <c r="D161" s="295">
        <f>D160/7.63*0.6</f>
        <v>15.334207077326299</v>
      </c>
      <c r="E161" s="296">
        <f t="shared" ref="E161:E163" si="31">E146</f>
        <v>851.21460892944754</v>
      </c>
      <c r="F161" s="297">
        <f t="shared" ref="F161:F163" si="32">D161*E161</f>
        <v>13052.701080569472</v>
      </c>
      <c r="G161" s="291"/>
      <c r="I161" s="276">
        <f t="shared" si="30"/>
        <v>13052.701080569472</v>
      </c>
      <c r="K161" s="276"/>
    </row>
    <row r="162" spans="1:11" ht="18" customHeight="1">
      <c r="A162" s="289"/>
      <c r="B162" s="299" t="s">
        <v>53</v>
      </c>
      <c r="C162" s="295" t="s">
        <v>50</v>
      </c>
      <c r="D162" s="295">
        <f>D160/7.63*0.0035</f>
        <v>8.9449541284403702E-2</v>
      </c>
      <c r="E162" s="296">
        <f t="shared" si="31"/>
        <v>6000</v>
      </c>
      <c r="F162" s="297">
        <f t="shared" si="32"/>
        <v>536.69724770642199</v>
      </c>
      <c r="G162" s="291"/>
      <c r="I162" s="276">
        <f t="shared" si="30"/>
        <v>536.69724770642199</v>
      </c>
      <c r="K162" s="276"/>
    </row>
    <row r="163" spans="1:11" ht="18" customHeight="1">
      <c r="A163" s="289"/>
      <c r="B163" s="294" t="s">
        <v>54</v>
      </c>
      <c r="C163" s="295" t="s">
        <v>50</v>
      </c>
      <c r="D163" s="295">
        <f>D161</f>
        <v>15.334207077326299</v>
      </c>
      <c r="E163" s="296">
        <f t="shared" si="31"/>
        <v>68.386158207831798</v>
      </c>
      <c r="F163" s="297">
        <f t="shared" si="32"/>
        <v>1048.6475111816901</v>
      </c>
      <c r="G163" s="291"/>
      <c r="I163" s="276">
        <f t="shared" si="30"/>
        <v>1048.6475111816901</v>
      </c>
      <c r="K163" s="276"/>
    </row>
    <row r="164" spans="1:11" ht="18" customHeight="1">
      <c r="A164" s="289"/>
      <c r="B164" s="294" t="s">
        <v>55</v>
      </c>
      <c r="C164" s="295" t="s">
        <v>56</v>
      </c>
      <c r="D164" s="295">
        <f>(0.332*2+0.785+0.5)*D160</f>
        <v>380.05500000000001</v>
      </c>
      <c r="E164" s="296">
        <f>E12</f>
        <v>4.9365569286453397</v>
      </c>
      <c r="F164" s="297">
        <f>E164*D164</f>
        <v>1876.1631435162999</v>
      </c>
      <c r="G164" s="291"/>
      <c r="I164" s="276">
        <f t="shared" si="30"/>
        <v>1876.1631435162999</v>
      </c>
      <c r="K164" s="276"/>
    </row>
    <row r="165" spans="1:11" ht="18" customHeight="1">
      <c r="A165" s="292">
        <v>5.2</v>
      </c>
      <c r="B165" s="290" t="s">
        <v>78</v>
      </c>
      <c r="C165" s="284" t="s">
        <v>49</v>
      </c>
      <c r="D165" s="285">
        <v>6800</v>
      </c>
      <c r="E165" s="286"/>
      <c r="F165" s="285">
        <f>SUM(F166:F168)</f>
        <v>421831.70294669527</v>
      </c>
      <c r="G165" s="291"/>
      <c r="H165">
        <f>F165/D165</f>
        <v>62.034073962749304</v>
      </c>
      <c r="I165" s="276">
        <f t="shared" si="30"/>
        <v>0</v>
      </c>
      <c r="K165" s="276"/>
    </row>
    <row r="166" spans="1:11" ht="18" customHeight="1">
      <c r="A166" s="289"/>
      <c r="B166" s="299" t="s">
        <v>52</v>
      </c>
      <c r="C166" s="295" t="s">
        <v>50</v>
      </c>
      <c r="D166" s="295">
        <f>D165/7.63*0.501</f>
        <v>446.50065530799498</v>
      </c>
      <c r="E166" s="296">
        <f>E161</f>
        <v>851.21460892944754</v>
      </c>
      <c r="F166" s="297">
        <f t="shared" ref="F166:F168" si="33">D166*E166</f>
        <v>380067.88069473702</v>
      </c>
      <c r="G166" s="291"/>
      <c r="I166" s="276">
        <f t="shared" si="30"/>
        <v>380067.88069473702</v>
      </c>
      <c r="K166" s="276"/>
    </row>
    <row r="167" spans="1:11" ht="18" customHeight="1">
      <c r="A167" s="289"/>
      <c r="B167" s="299" t="s">
        <v>53</v>
      </c>
      <c r="C167" s="295" t="s">
        <v>50</v>
      </c>
      <c r="D167" s="295">
        <f>D165/7.63*0.0021</f>
        <v>1.8715596330275199</v>
      </c>
      <c r="E167" s="296">
        <f>E162</f>
        <v>6000</v>
      </c>
      <c r="F167" s="297">
        <f t="shared" si="33"/>
        <v>11229.3577981651</v>
      </c>
      <c r="G167" s="291"/>
      <c r="I167" s="276">
        <f t="shared" si="30"/>
        <v>11229.3577981651</v>
      </c>
      <c r="K167" s="276"/>
    </row>
    <row r="168" spans="1:11" ht="18" customHeight="1">
      <c r="A168" s="289"/>
      <c r="B168" s="294" t="s">
        <v>54</v>
      </c>
      <c r="C168" s="295" t="s">
        <v>50</v>
      </c>
      <c r="D168" s="295">
        <f>D166</f>
        <v>446.50065530799498</v>
      </c>
      <c r="E168" s="296">
        <f>E163</f>
        <v>68.386158207831798</v>
      </c>
      <c r="F168" s="297">
        <f t="shared" si="33"/>
        <v>30534.464453793102</v>
      </c>
      <c r="G168" s="291"/>
      <c r="I168" s="276">
        <f t="shared" si="30"/>
        <v>30534.464453793102</v>
      </c>
      <c r="K168" s="276"/>
    </row>
    <row r="169" spans="1:11" ht="18" customHeight="1">
      <c r="A169" s="318">
        <v>5.3</v>
      </c>
      <c r="B169" s="290" t="s">
        <v>98</v>
      </c>
      <c r="C169" s="303" t="s">
        <v>59</v>
      </c>
      <c r="D169" s="315">
        <v>18</v>
      </c>
      <c r="E169" s="316"/>
      <c r="F169" s="315">
        <f>SUM(F170:F173)</f>
        <v>15636.798102185547</v>
      </c>
      <c r="G169" s="319"/>
      <c r="H169">
        <f>F169/D169</f>
        <v>868.71100567697476</v>
      </c>
      <c r="I169" s="276">
        <f t="shared" si="30"/>
        <v>0</v>
      </c>
      <c r="K169" s="276"/>
    </row>
    <row r="170" spans="1:11" ht="18" customHeight="1">
      <c r="A170" s="320"/>
      <c r="B170" s="294" t="s">
        <v>32</v>
      </c>
      <c r="C170" s="295" t="s">
        <v>50</v>
      </c>
      <c r="D170" s="295">
        <f>4.59*D169</f>
        <v>82.62</v>
      </c>
      <c r="E170" s="296">
        <f>E150</f>
        <v>5.8</v>
      </c>
      <c r="F170" s="317">
        <f>D170*E170</f>
        <v>479.19600000000003</v>
      </c>
      <c r="G170" s="319"/>
      <c r="I170" s="276">
        <f t="shared" si="30"/>
        <v>479.19600000000003</v>
      </c>
    </row>
    <row r="171" spans="1:11" ht="18" customHeight="1">
      <c r="A171" s="320"/>
      <c r="B171" s="294" t="s">
        <v>31</v>
      </c>
      <c r="C171" s="295" t="s">
        <v>50</v>
      </c>
      <c r="D171" s="295">
        <f>D169*2.05</f>
        <v>36.9</v>
      </c>
      <c r="E171" s="296">
        <f>E151</f>
        <v>22.159437873757767</v>
      </c>
      <c r="F171" s="317">
        <f t="shared" ref="F171:F173" si="34">D171*E171</f>
        <v>817.68325754166153</v>
      </c>
      <c r="G171" s="319"/>
      <c r="I171" s="276">
        <f t="shared" si="30"/>
        <v>817.68325754166153</v>
      </c>
    </row>
    <row r="172" spans="1:11" ht="18" customHeight="1">
      <c r="A172" s="321"/>
      <c r="B172" s="299" t="s">
        <v>61</v>
      </c>
      <c r="C172" s="295" t="s">
        <v>50</v>
      </c>
      <c r="D172" s="295">
        <f>0.1*D169</f>
        <v>1.8</v>
      </c>
      <c r="E172" s="296">
        <f>E152</f>
        <v>575.23496355015357</v>
      </c>
      <c r="F172" s="317">
        <f t="shared" si="34"/>
        <v>1035.4229343902764</v>
      </c>
      <c r="G172" s="319"/>
      <c r="I172" s="276">
        <f t="shared" si="30"/>
        <v>1035.4229343902764</v>
      </c>
    </row>
    <row r="173" spans="1:11" ht="18" customHeight="1">
      <c r="A173" s="321"/>
      <c r="B173" s="299" t="s">
        <v>60</v>
      </c>
      <c r="C173" s="295" t="s">
        <v>50</v>
      </c>
      <c r="D173" s="295">
        <f>2.44*D169</f>
        <v>43.92</v>
      </c>
      <c r="E173" s="296">
        <f>E153</f>
        <v>302.92568101670327</v>
      </c>
      <c r="F173" s="317">
        <f t="shared" si="34"/>
        <v>13304.495910253609</v>
      </c>
      <c r="G173" s="319"/>
      <c r="I173" s="276">
        <f t="shared" si="30"/>
        <v>13304.495910253609</v>
      </c>
    </row>
    <row r="174" spans="1:11" ht="18" customHeight="1">
      <c r="A174" s="292">
        <v>5.4</v>
      </c>
      <c r="B174" s="290" t="s">
        <v>104</v>
      </c>
      <c r="C174" s="303" t="s">
        <v>59</v>
      </c>
      <c r="D174" s="285">
        <v>4</v>
      </c>
      <c r="E174" s="286"/>
      <c r="F174" s="285">
        <f>SUM(F175:F182)</f>
        <v>15878.508786646798</v>
      </c>
      <c r="G174" s="319"/>
      <c r="I174" s="276">
        <f t="shared" si="30"/>
        <v>0</v>
      </c>
    </row>
    <row r="175" spans="1:11" ht="18" customHeight="1">
      <c r="A175" s="293"/>
      <c r="B175" s="294" t="s">
        <v>32</v>
      </c>
      <c r="C175" s="295" t="s">
        <v>50</v>
      </c>
      <c r="D175" s="295">
        <f>20.2*D174</f>
        <v>80.8</v>
      </c>
      <c r="E175" s="296">
        <f>E170</f>
        <v>5.8</v>
      </c>
      <c r="F175" s="297">
        <f t="shared" ref="F175:F182" si="35">D175*E175</f>
        <v>468.64</v>
      </c>
      <c r="G175" s="319"/>
      <c r="I175" s="276">
        <f t="shared" si="30"/>
        <v>468.64</v>
      </c>
      <c r="K175" s="276"/>
    </row>
    <row r="176" spans="1:11" ht="18" customHeight="1">
      <c r="A176" s="293"/>
      <c r="B176" s="294" t="s">
        <v>31</v>
      </c>
      <c r="C176" s="295" t="s">
        <v>50</v>
      </c>
      <c r="D176" s="295">
        <f>9.2*D174</f>
        <v>36.799999999999997</v>
      </c>
      <c r="E176" s="296">
        <f>E171</f>
        <v>22.159437873757767</v>
      </c>
      <c r="F176" s="297">
        <f t="shared" si="35"/>
        <v>815.46731375428578</v>
      </c>
      <c r="G176" s="319"/>
      <c r="I176" s="276">
        <f t="shared" si="30"/>
        <v>815.46731375428578</v>
      </c>
      <c r="K176" s="276"/>
    </row>
    <row r="177" spans="1:13" ht="18" customHeight="1">
      <c r="A177" s="289"/>
      <c r="B177" s="299" t="s">
        <v>105</v>
      </c>
      <c r="C177" s="295" t="s">
        <v>50</v>
      </c>
      <c r="D177" s="295">
        <f>0.9*D174</f>
        <v>3.6</v>
      </c>
      <c r="E177" s="296">
        <f>建筑单价汇总!D32/100</f>
        <v>581.0081902298557</v>
      </c>
      <c r="F177" s="297">
        <f t="shared" si="35"/>
        <v>2091.6294848274806</v>
      </c>
      <c r="G177" s="319"/>
      <c r="I177" s="276">
        <f t="shared" si="30"/>
        <v>2091.6294848274806</v>
      </c>
      <c r="K177" s="276"/>
    </row>
    <row r="178" spans="1:13" ht="18" customHeight="1">
      <c r="A178" s="289"/>
      <c r="B178" s="299" t="s">
        <v>106</v>
      </c>
      <c r="C178" s="295" t="s">
        <v>50</v>
      </c>
      <c r="D178" s="295">
        <f>0.94*D174</f>
        <v>3.76</v>
      </c>
      <c r="E178" s="296">
        <f>建筑单价汇总!D61/100+建筑单价汇总!D64/100+建筑单价汇总!D65/100</f>
        <v>915.36193319448353</v>
      </c>
      <c r="F178" s="297">
        <f t="shared" si="35"/>
        <v>3441.7608688112578</v>
      </c>
      <c r="G178" s="319"/>
      <c r="I178" s="276">
        <f t="shared" si="30"/>
        <v>3441.7608688112578</v>
      </c>
      <c r="K178" s="276"/>
    </row>
    <row r="179" spans="1:13" ht="18" customHeight="1">
      <c r="A179" s="289"/>
      <c r="B179" s="299" t="s">
        <v>60</v>
      </c>
      <c r="C179" s="295" t="s">
        <v>50</v>
      </c>
      <c r="D179" s="295">
        <f>4.41*D174</f>
        <v>17.64</v>
      </c>
      <c r="E179" s="296">
        <f>E173</f>
        <v>302.92568101670327</v>
      </c>
      <c r="F179" s="297">
        <f t="shared" si="35"/>
        <v>5343.6090131346455</v>
      </c>
      <c r="G179" s="319"/>
      <c r="I179" s="276">
        <f t="shared" si="30"/>
        <v>5343.6090131346455</v>
      </c>
      <c r="K179" s="276"/>
    </row>
    <row r="180" spans="1:13" ht="18" customHeight="1">
      <c r="A180" s="289"/>
      <c r="B180" s="299" t="s">
        <v>87</v>
      </c>
      <c r="C180" s="295" t="s">
        <v>88</v>
      </c>
      <c r="D180" s="295">
        <f>0.11*D174</f>
        <v>0.44</v>
      </c>
      <c r="E180" s="296">
        <f>建筑单价汇总!D73</f>
        <v>6870.6107950347377</v>
      </c>
      <c r="F180" s="297">
        <f t="shared" si="35"/>
        <v>3023.0687498152847</v>
      </c>
      <c r="G180" s="319"/>
      <c r="I180" s="276">
        <f t="shared" si="30"/>
        <v>3023.0687498152847</v>
      </c>
      <c r="K180" s="276"/>
    </row>
    <row r="181" spans="1:13" ht="18" customHeight="1">
      <c r="A181" s="289"/>
      <c r="B181" s="322" t="s">
        <v>107</v>
      </c>
      <c r="C181" s="323" t="s">
        <v>50</v>
      </c>
      <c r="D181" s="323">
        <f>3.5*0.18*2</f>
        <v>1.26</v>
      </c>
      <c r="E181" s="324">
        <f>E168</f>
        <v>68.386158207831798</v>
      </c>
      <c r="F181" s="297">
        <f t="shared" si="35"/>
        <v>86.166559341868066</v>
      </c>
      <c r="G181" s="291"/>
      <c r="I181" s="276">
        <f t="shared" si="30"/>
        <v>86.166559341868094</v>
      </c>
      <c r="K181" s="276"/>
    </row>
    <row r="182" spans="1:13" ht="18" customHeight="1">
      <c r="A182" s="289"/>
      <c r="B182" s="322" t="s">
        <v>108</v>
      </c>
      <c r="C182" s="325" t="s">
        <v>109</v>
      </c>
      <c r="D182" s="323">
        <f>3.5*2</f>
        <v>7</v>
      </c>
      <c r="E182" s="324">
        <f>砼单价!M2417/1000</f>
        <v>86.880970994567917</v>
      </c>
      <c r="F182" s="297">
        <f t="shared" si="35"/>
        <v>608.16679696197548</v>
      </c>
      <c r="G182" s="291"/>
      <c r="I182" s="276">
        <f t="shared" si="30"/>
        <v>608.16679696197548</v>
      </c>
      <c r="K182" s="276"/>
    </row>
    <row r="183" spans="1:13" ht="18" customHeight="1">
      <c r="A183" s="292">
        <v>5.5</v>
      </c>
      <c r="B183" s="290" t="s">
        <v>94</v>
      </c>
      <c r="C183" s="303" t="s">
        <v>59</v>
      </c>
      <c r="D183" s="315">
        <v>7</v>
      </c>
      <c r="E183" s="316"/>
      <c r="F183" s="315">
        <f>SUM(F184:F187)</f>
        <v>7883.5916257000035</v>
      </c>
      <c r="G183" s="291"/>
      <c r="H183">
        <f>F183/D183</f>
        <v>1126.2273751000005</v>
      </c>
      <c r="I183" s="276"/>
      <c r="K183" s="276"/>
    </row>
    <row r="184" spans="1:13" ht="18" customHeight="1">
      <c r="A184" s="321"/>
      <c r="B184" s="294" t="s">
        <v>32</v>
      </c>
      <c r="C184" s="295" t="s">
        <v>50</v>
      </c>
      <c r="D184" s="295">
        <f>D183*7.48</f>
        <v>52.36</v>
      </c>
      <c r="E184" s="296">
        <f>E155</f>
        <v>5.8</v>
      </c>
      <c r="F184" s="317">
        <f t="shared" ref="F184:F187" si="36">D184*E184</f>
        <v>303.68799999999999</v>
      </c>
      <c r="G184" s="291"/>
      <c r="I184" s="276"/>
      <c r="K184" s="276"/>
    </row>
    <row r="185" spans="1:13" ht="18" customHeight="1">
      <c r="A185" s="321"/>
      <c r="B185" s="294" t="s">
        <v>31</v>
      </c>
      <c r="C185" s="295" t="s">
        <v>50</v>
      </c>
      <c r="D185" s="295">
        <f>4.33*D183</f>
        <v>30.31</v>
      </c>
      <c r="E185" s="296">
        <f>E141</f>
        <v>22.159437873757767</v>
      </c>
      <c r="F185" s="317">
        <f t="shared" si="36"/>
        <v>671.65256195359791</v>
      </c>
      <c r="G185" s="291"/>
      <c r="I185" s="276"/>
      <c r="K185" s="276"/>
    </row>
    <row r="186" spans="1:13" ht="18" customHeight="1">
      <c r="A186" s="321"/>
      <c r="B186" s="299" t="s">
        <v>61</v>
      </c>
      <c r="C186" s="295" t="s">
        <v>50</v>
      </c>
      <c r="D186" s="295">
        <f>0.12*D183</f>
        <v>0.84</v>
      </c>
      <c r="E186" s="296">
        <f>E152</f>
        <v>575.23496355015357</v>
      </c>
      <c r="F186" s="317">
        <f t="shared" si="36"/>
        <v>483.19736938212895</v>
      </c>
      <c r="G186" s="291"/>
      <c r="I186" s="276"/>
      <c r="K186" s="276"/>
    </row>
    <row r="187" spans="1:13" ht="18" customHeight="1">
      <c r="A187" s="321"/>
      <c r="B187" s="299" t="s">
        <v>60</v>
      </c>
      <c r="C187" s="295" t="s">
        <v>50</v>
      </c>
      <c r="D187" s="295">
        <f>3.03*D183</f>
        <v>21.21</v>
      </c>
      <c r="E187" s="296">
        <f>E158</f>
        <v>302.92568101670327</v>
      </c>
      <c r="F187" s="317">
        <f t="shared" si="36"/>
        <v>6425.0536943642765</v>
      </c>
      <c r="G187" s="291"/>
      <c r="I187" s="276"/>
      <c r="K187" s="276"/>
    </row>
    <row r="188" spans="1:13" ht="18" customHeight="1">
      <c r="A188" s="289">
        <v>6</v>
      </c>
      <c r="B188" s="290" t="s">
        <v>110</v>
      </c>
      <c r="C188" s="284"/>
      <c r="D188" s="285"/>
      <c r="E188" s="286"/>
      <c r="F188" s="285">
        <f>F194+F189+F198+F203</f>
        <v>124205.11404510563</v>
      </c>
      <c r="G188" s="291"/>
      <c r="I188" s="276">
        <f t="shared" ref="I188:I202" si="37">D188*E188</f>
        <v>0</v>
      </c>
      <c r="K188" s="276"/>
    </row>
    <row r="189" spans="1:13" ht="18" customHeight="1">
      <c r="A189" s="292">
        <v>6.1</v>
      </c>
      <c r="B189" s="290" t="s">
        <v>97</v>
      </c>
      <c r="C189" s="284" t="s">
        <v>49</v>
      </c>
      <c r="D189" s="285">
        <v>200</v>
      </c>
      <c r="E189" s="286"/>
      <c r="F189" s="285">
        <f>SUM(F190:F193)</f>
        <v>16937.650238947645</v>
      </c>
      <c r="G189" s="291"/>
      <c r="H189">
        <f>F189/D189</f>
        <v>84.688251194738228</v>
      </c>
      <c r="I189" s="276">
        <f t="shared" si="37"/>
        <v>0</v>
      </c>
      <c r="K189" s="276"/>
    </row>
    <row r="190" spans="1:13" ht="18" customHeight="1">
      <c r="A190" s="289"/>
      <c r="B190" s="299" t="s">
        <v>52</v>
      </c>
      <c r="C190" s="295" t="s">
        <v>50</v>
      </c>
      <c r="D190" s="295">
        <f>D189/7.63*0.6</f>
        <v>15.727391874180899</v>
      </c>
      <c r="E190" s="296">
        <f>E161</f>
        <v>851.21460892944754</v>
      </c>
      <c r="F190" s="297">
        <f>D190*E190</f>
        <v>13387.385723661066</v>
      </c>
      <c r="G190" s="291"/>
      <c r="I190" s="276">
        <f t="shared" si="37"/>
        <v>13387.385723661066</v>
      </c>
      <c r="K190" s="276"/>
    </row>
    <row r="191" spans="1:13" ht="18" customHeight="1">
      <c r="A191" s="289"/>
      <c r="B191" s="299" t="s">
        <v>53</v>
      </c>
      <c r="C191" s="295" t="s">
        <v>50</v>
      </c>
      <c r="D191" s="295">
        <f>D189/7.63*0.0035</f>
        <v>9.1743119266055106E-2</v>
      </c>
      <c r="E191" s="296">
        <f>E167</f>
        <v>6000</v>
      </c>
      <c r="F191" s="297">
        <f t="shared" ref="F191:F192" si="38">D191*E191</f>
        <v>550.45871559632997</v>
      </c>
      <c r="G191" s="291"/>
      <c r="I191" s="276">
        <f t="shared" si="37"/>
        <v>550.45871559633099</v>
      </c>
      <c r="K191" s="326" t="s">
        <v>111</v>
      </c>
      <c r="L191" s="326" t="s">
        <v>112</v>
      </c>
      <c r="M191">
        <v>6861.48208540834</v>
      </c>
    </row>
    <row r="192" spans="1:13" ht="18" customHeight="1">
      <c r="A192" s="289"/>
      <c r="B192" s="294" t="s">
        <v>54</v>
      </c>
      <c r="C192" s="295" t="s">
        <v>50</v>
      </c>
      <c r="D192" s="295">
        <f>D190</f>
        <v>15.727391874180899</v>
      </c>
      <c r="E192" s="296">
        <f>E168</f>
        <v>68.386158207831798</v>
      </c>
      <c r="F192" s="297">
        <f t="shared" si="38"/>
        <v>1075.5359089043</v>
      </c>
      <c r="G192" s="291"/>
      <c r="I192" s="276">
        <f t="shared" si="37"/>
        <v>1075.5359089043</v>
      </c>
      <c r="K192" s="326">
        <f>0.85*2.2*2*2</f>
        <v>7.48</v>
      </c>
      <c r="L192" s="326">
        <f>2.7*2.3*1.05*2</f>
        <v>13.041</v>
      </c>
      <c r="M192" s="296">
        <v>490.78330693410402</v>
      </c>
    </row>
    <row r="193" spans="1:12" ht="18" customHeight="1">
      <c r="A193" s="289"/>
      <c r="B193" s="294" t="s">
        <v>55</v>
      </c>
      <c r="C193" s="295" t="s">
        <v>56</v>
      </c>
      <c r="D193" s="295">
        <f>(0.332*2+0.785+0.5)*D189</f>
        <v>389.8</v>
      </c>
      <c r="E193" s="296">
        <f>E12</f>
        <v>4.9365569286453397</v>
      </c>
      <c r="F193" s="297">
        <f>E193*D193</f>
        <v>1924.2698907859501</v>
      </c>
      <c r="G193" s="291"/>
      <c r="I193" s="276">
        <f t="shared" si="37"/>
        <v>1924.2698907859501</v>
      </c>
      <c r="K193" s="326">
        <f>K192-K194-K195</f>
        <v>4.3330799999999998</v>
      </c>
      <c r="L193" s="326">
        <f>L192-L194-L195</f>
        <v>8.0562000000000005</v>
      </c>
    </row>
    <row r="194" spans="1:12" ht="18" customHeight="1">
      <c r="A194" s="292">
        <v>6.2</v>
      </c>
      <c r="B194" s="290" t="s">
        <v>78</v>
      </c>
      <c r="C194" s="284" t="s">
        <v>49</v>
      </c>
      <c r="D194" s="285">
        <v>1655</v>
      </c>
      <c r="E194" s="286"/>
      <c r="F194" s="285">
        <f>SUM(F195:F197)</f>
        <v>102666.39240835008</v>
      </c>
      <c r="G194" s="291"/>
      <c r="H194">
        <f>F194/D194</f>
        <v>62.034073962749289</v>
      </c>
      <c r="I194" s="276">
        <f t="shared" si="37"/>
        <v>0</v>
      </c>
      <c r="K194" s="326">
        <f>(1.58*1.78*0.4+(0.48+0.3)*0.5/2*2)*2</f>
        <v>3.0299200000000002</v>
      </c>
      <c r="L194" s="326">
        <f>(1.83*2.2*0.4+(0.4+0.64)*0.75/2*2)*2</f>
        <v>4.7808000000000002</v>
      </c>
    </row>
    <row r="195" spans="1:12" ht="18" customHeight="1">
      <c r="A195" s="289"/>
      <c r="B195" s="299" t="s">
        <v>52</v>
      </c>
      <c r="C195" s="295" t="s">
        <v>50</v>
      </c>
      <c r="D195" s="295">
        <f>D194/7.63*0.501</f>
        <v>108.670380078637</v>
      </c>
      <c r="E195" s="296">
        <f>E161</f>
        <v>851.21460892944754</v>
      </c>
      <c r="F195" s="297">
        <f t="shared" ref="F195:F197" si="39">D195*E195</f>
        <v>92501.815080851418</v>
      </c>
      <c r="G195" s="291"/>
      <c r="I195" s="276">
        <f t="shared" si="37"/>
        <v>92501.815080851418</v>
      </c>
      <c r="K195" s="326">
        <f>0.3*0.3*0.65*2</f>
        <v>0.11700000000000001</v>
      </c>
      <c r="L195" s="326">
        <f>0.4*0.3*0.85*2</f>
        <v>0.20399999999999999</v>
      </c>
    </row>
    <row r="196" spans="1:12" ht="18" customHeight="1">
      <c r="A196" s="289"/>
      <c r="B196" s="299" t="s">
        <v>53</v>
      </c>
      <c r="C196" s="295" t="s">
        <v>50</v>
      </c>
      <c r="D196" s="295">
        <f>D194/7.63*0.0021</f>
        <v>0.45550458715596298</v>
      </c>
      <c r="E196" s="296">
        <f>E162</f>
        <v>6000</v>
      </c>
      <c r="F196" s="297">
        <f t="shared" si="39"/>
        <v>2733.0275229357799</v>
      </c>
      <c r="G196" s="291"/>
      <c r="I196" s="276">
        <f t="shared" si="37"/>
        <v>2733.0275229357799</v>
      </c>
      <c r="K196" s="276"/>
    </row>
    <row r="197" spans="1:12" ht="18" customHeight="1">
      <c r="A197" s="289"/>
      <c r="B197" s="294" t="s">
        <v>54</v>
      </c>
      <c r="C197" s="295" t="s">
        <v>50</v>
      </c>
      <c r="D197" s="295">
        <f>D195</f>
        <v>108.670380078637</v>
      </c>
      <c r="E197" s="296">
        <f>E192</f>
        <v>68.386158207831798</v>
      </c>
      <c r="F197" s="297">
        <f t="shared" si="39"/>
        <v>7431.5498045628801</v>
      </c>
      <c r="G197" s="291"/>
      <c r="I197" s="276">
        <f t="shared" si="37"/>
        <v>7431.5498045628801</v>
      </c>
      <c r="K197" s="276"/>
    </row>
    <row r="198" spans="1:12" ht="18" customHeight="1">
      <c r="A198" s="318">
        <v>6.3</v>
      </c>
      <c r="B198" s="290" t="s">
        <v>98</v>
      </c>
      <c r="C198" s="303" t="s">
        <v>59</v>
      </c>
      <c r="D198" s="315">
        <v>4</v>
      </c>
      <c r="E198" s="316"/>
      <c r="F198" s="315">
        <f>SUM(F199:F202)</f>
        <v>3474.8440227078991</v>
      </c>
      <c r="G198" s="319"/>
      <c r="H198">
        <f>F198/D198</f>
        <v>868.71100567697476</v>
      </c>
      <c r="I198" s="276">
        <f t="shared" si="37"/>
        <v>0</v>
      </c>
      <c r="K198" s="276"/>
    </row>
    <row r="199" spans="1:12" ht="18" customHeight="1">
      <c r="A199" s="320"/>
      <c r="B199" s="294" t="s">
        <v>32</v>
      </c>
      <c r="C199" s="295" t="s">
        <v>50</v>
      </c>
      <c r="D199" s="295">
        <f>4.59*D198</f>
        <v>18.36</v>
      </c>
      <c r="E199" s="296">
        <f t="shared" ref="E199:E202" si="40">E170</f>
        <v>5.8</v>
      </c>
      <c r="F199" s="317">
        <f>D199*E199</f>
        <v>106.488</v>
      </c>
      <c r="G199" s="319"/>
      <c r="I199" s="276">
        <f t="shared" si="37"/>
        <v>106.488</v>
      </c>
      <c r="K199" s="276"/>
    </row>
    <row r="200" spans="1:12" ht="18" customHeight="1">
      <c r="A200" s="320"/>
      <c r="B200" s="294" t="s">
        <v>31</v>
      </c>
      <c r="C200" s="295" t="s">
        <v>50</v>
      </c>
      <c r="D200" s="295">
        <f>D198*2.05</f>
        <v>8.1999999999999993</v>
      </c>
      <c r="E200" s="296">
        <f t="shared" si="40"/>
        <v>22.159437873757767</v>
      </c>
      <c r="F200" s="317">
        <f t="shared" ref="F200:F202" si="41">D200*E200</f>
        <v>181.70739056481366</v>
      </c>
      <c r="G200" s="319"/>
      <c r="I200" s="276">
        <f t="shared" si="37"/>
        <v>181.70739056481366</v>
      </c>
      <c r="K200" s="276"/>
    </row>
    <row r="201" spans="1:12" ht="18" customHeight="1">
      <c r="A201" s="321"/>
      <c r="B201" s="299" t="s">
        <v>61</v>
      </c>
      <c r="C201" s="295" t="s">
        <v>50</v>
      </c>
      <c r="D201" s="295">
        <f>0.1*D198</f>
        <v>0.4</v>
      </c>
      <c r="E201" s="296">
        <f t="shared" si="40"/>
        <v>575.23496355015357</v>
      </c>
      <c r="F201" s="317">
        <f t="shared" si="41"/>
        <v>230.09398542006144</v>
      </c>
      <c r="G201" s="319"/>
      <c r="I201" s="276">
        <f t="shared" si="37"/>
        <v>230.09398542006144</v>
      </c>
      <c r="K201" s="276"/>
    </row>
    <row r="202" spans="1:12" ht="18" customHeight="1">
      <c r="A202" s="321"/>
      <c r="B202" s="299" t="s">
        <v>60</v>
      </c>
      <c r="C202" s="295" t="s">
        <v>50</v>
      </c>
      <c r="D202" s="295">
        <f>2.44*D198</f>
        <v>9.76</v>
      </c>
      <c r="E202" s="296">
        <f t="shared" si="40"/>
        <v>302.92568101670327</v>
      </c>
      <c r="F202" s="317">
        <f t="shared" si="41"/>
        <v>2956.5546467230238</v>
      </c>
      <c r="G202" s="319"/>
      <c r="I202" s="276">
        <f t="shared" si="37"/>
        <v>2956.5546467230238</v>
      </c>
      <c r="K202" s="276"/>
    </row>
    <row r="203" spans="1:12" ht="18" customHeight="1">
      <c r="A203" s="318">
        <v>6.4</v>
      </c>
      <c r="B203" s="290" t="s">
        <v>94</v>
      </c>
      <c r="C203" s="303" t="s">
        <v>59</v>
      </c>
      <c r="D203" s="315">
        <v>1</v>
      </c>
      <c r="E203" s="316"/>
      <c r="F203" s="315">
        <f>SUM(F204:F207)</f>
        <v>1126.2273751000002</v>
      </c>
      <c r="G203" s="319"/>
      <c r="I203" s="276"/>
      <c r="K203" s="276"/>
    </row>
    <row r="204" spans="1:12" ht="18" customHeight="1">
      <c r="A204" s="321"/>
      <c r="B204" s="294" t="s">
        <v>32</v>
      </c>
      <c r="C204" s="295" t="s">
        <v>50</v>
      </c>
      <c r="D204" s="295">
        <f>D203*7.48</f>
        <v>7.48</v>
      </c>
      <c r="E204" s="296">
        <f>E184</f>
        <v>5.8</v>
      </c>
      <c r="F204" s="317">
        <f t="shared" ref="F204:F207" si="42">D204*E204</f>
        <v>43.384</v>
      </c>
      <c r="G204" s="319"/>
      <c r="I204" s="276"/>
      <c r="K204" s="276"/>
    </row>
    <row r="205" spans="1:12" ht="18" customHeight="1">
      <c r="A205" s="321"/>
      <c r="B205" s="294" t="s">
        <v>31</v>
      </c>
      <c r="C205" s="295" t="s">
        <v>50</v>
      </c>
      <c r="D205" s="295">
        <f>4.33*D203</f>
        <v>4.33</v>
      </c>
      <c r="E205" s="296">
        <f>E185</f>
        <v>22.159437873757767</v>
      </c>
      <c r="F205" s="317">
        <f t="shared" si="42"/>
        <v>95.950365993371136</v>
      </c>
      <c r="G205" s="319"/>
      <c r="I205" s="276"/>
      <c r="K205" s="276"/>
    </row>
    <row r="206" spans="1:12" ht="18" customHeight="1">
      <c r="A206" s="321"/>
      <c r="B206" s="299" t="s">
        <v>61</v>
      </c>
      <c r="C206" s="295" t="s">
        <v>50</v>
      </c>
      <c r="D206" s="295">
        <f>0.12*D203</f>
        <v>0.12</v>
      </c>
      <c r="E206" s="296">
        <f>E186</f>
        <v>575.23496355015357</v>
      </c>
      <c r="F206" s="317">
        <f t="shared" si="42"/>
        <v>69.02819562601843</v>
      </c>
      <c r="G206" s="319"/>
      <c r="I206" s="276"/>
      <c r="K206" s="276"/>
    </row>
    <row r="207" spans="1:12" ht="18" customHeight="1">
      <c r="A207" s="321"/>
      <c r="B207" s="299" t="s">
        <v>60</v>
      </c>
      <c r="C207" s="295" t="s">
        <v>50</v>
      </c>
      <c r="D207" s="295">
        <f>3.03*D203</f>
        <v>3.03</v>
      </c>
      <c r="E207" s="296">
        <f>E187</f>
        <v>302.92568101670327</v>
      </c>
      <c r="F207" s="317">
        <f t="shared" si="42"/>
        <v>917.86481348061079</v>
      </c>
      <c r="G207" s="319"/>
      <c r="I207" s="276"/>
      <c r="K207" s="276"/>
    </row>
    <row r="208" spans="1:12" ht="18" customHeight="1">
      <c r="A208" s="289">
        <v>7</v>
      </c>
      <c r="B208" s="290" t="s">
        <v>113</v>
      </c>
      <c r="C208" s="284"/>
      <c r="D208" s="285"/>
      <c r="E208" s="286"/>
      <c r="F208" s="285">
        <f>F209+F214</f>
        <v>187710.87694418663</v>
      </c>
      <c r="G208" s="291"/>
      <c r="I208" s="276">
        <f>D208*E208</f>
        <v>0</v>
      </c>
      <c r="K208" s="276"/>
    </row>
    <row r="209" spans="1:11" ht="18" customHeight="1">
      <c r="A209" s="292">
        <v>7.1</v>
      </c>
      <c r="B209" s="290" t="s">
        <v>97</v>
      </c>
      <c r="C209" s="284" t="s">
        <v>49</v>
      </c>
      <c r="D209" s="285">
        <v>2150</v>
      </c>
      <c r="E209" s="286"/>
      <c r="F209" s="285">
        <f>SUM(F210:F213)</f>
        <v>182079.74006868663</v>
      </c>
      <c r="G209" s="291"/>
      <c r="H209">
        <f>F209/D209</f>
        <v>84.688251194737973</v>
      </c>
      <c r="I209" s="276">
        <f>D209*E209</f>
        <v>0</v>
      </c>
      <c r="K209" s="276"/>
    </row>
    <row r="210" spans="1:11" ht="18" customHeight="1">
      <c r="A210" s="289"/>
      <c r="B210" s="299" t="s">
        <v>52</v>
      </c>
      <c r="C210" s="295" t="s">
        <v>50</v>
      </c>
      <c r="D210" s="295">
        <f>D209/7.63*0.6</f>
        <v>169.069462647444</v>
      </c>
      <c r="E210" s="296">
        <f>E195</f>
        <v>851.21460892944754</v>
      </c>
      <c r="F210" s="297">
        <f t="shared" ref="F210:F212" si="43">D210*E210</f>
        <v>143914.39652935587</v>
      </c>
      <c r="G210" s="291"/>
      <c r="I210" s="276">
        <f>D210*E210</f>
        <v>143914.39652935587</v>
      </c>
      <c r="K210" s="276"/>
    </row>
    <row r="211" spans="1:11" ht="18" customHeight="1">
      <c r="A211" s="289"/>
      <c r="B211" s="299" t="s">
        <v>53</v>
      </c>
      <c r="C211" s="295" t="s">
        <v>50</v>
      </c>
      <c r="D211" s="295">
        <f>D209/7.63*0.0035</f>
        <v>0.98623853211009205</v>
      </c>
      <c r="E211" s="296">
        <f>E196</f>
        <v>6000</v>
      </c>
      <c r="F211" s="297">
        <f t="shared" si="43"/>
        <v>5917.4311926605496</v>
      </c>
      <c r="G211" s="291"/>
      <c r="I211" s="276">
        <f>D211*E211</f>
        <v>5917.4311926605496</v>
      </c>
      <c r="K211" s="276"/>
    </row>
    <row r="212" spans="1:11" ht="18" customHeight="1">
      <c r="A212" s="289"/>
      <c r="B212" s="294" t="s">
        <v>54</v>
      </c>
      <c r="C212" s="295" t="s">
        <v>50</v>
      </c>
      <c r="D212" s="295">
        <f>D210</f>
        <v>169.069462647444</v>
      </c>
      <c r="E212" s="296">
        <f>E197</f>
        <v>68.386158207831798</v>
      </c>
      <c r="F212" s="297">
        <f t="shared" si="43"/>
        <v>11562.0110207212</v>
      </c>
      <c r="G212" s="291"/>
      <c r="I212" s="276">
        <f>D212*E212</f>
        <v>11562.0110207212</v>
      </c>
      <c r="K212" s="276"/>
    </row>
    <row r="213" spans="1:11" ht="18" customHeight="1">
      <c r="A213" s="289"/>
      <c r="B213" s="294" t="s">
        <v>55</v>
      </c>
      <c r="C213" s="295" t="s">
        <v>56</v>
      </c>
      <c r="D213" s="295">
        <f>(0.332*2+0.785+0.5)*D209</f>
        <v>4190.3500000000004</v>
      </c>
      <c r="E213" s="296">
        <f>E12</f>
        <v>4.9365569286453397</v>
      </c>
      <c r="F213" s="297">
        <f>E213*D213</f>
        <v>20685.901325948998</v>
      </c>
      <c r="G213" s="291"/>
      <c r="I213" s="276">
        <f t="shared" ref="I213:I271" si="44">D213*E213</f>
        <v>20685.901325948998</v>
      </c>
      <c r="K213" s="276"/>
    </row>
    <row r="214" spans="1:11" ht="18" customHeight="1">
      <c r="A214" s="318">
        <v>7.2</v>
      </c>
      <c r="B214" s="290" t="s">
        <v>94</v>
      </c>
      <c r="C214" s="303" t="s">
        <v>59</v>
      </c>
      <c r="D214" s="315">
        <v>5</v>
      </c>
      <c r="E214" s="316"/>
      <c r="F214" s="315">
        <f>SUM(F215:F218)</f>
        <v>5631.1368755000021</v>
      </c>
      <c r="G214" s="319"/>
      <c r="H214" s="195">
        <f>F214/D214</f>
        <v>1126.2273751000005</v>
      </c>
      <c r="I214" s="276">
        <f t="shared" si="44"/>
        <v>0</v>
      </c>
      <c r="K214" s="276"/>
    </row>
    <row r="215" spans="1:11" ht="18" customHeight="1">
      <c r="A215" s="320"/>
      <c r="B215" s="294" t="s">
        <v>32</v>
      </c>
      <c r="C215" s="295" t="s">
        <v>50</v>
      </c>
      <c r="D215" s="295">
        <f>D214*7.48</f>
        <v>37.4</v>
      </c>
      <c r="E215" s="296">
        <f t="shared" ref="E215:E218" si="45">E199</f>
        <v>5.8</v>
      </c>
      <c r="F215" s="317">
        <f t="shared" ref="F215:F218" si="46">D215*E215</f>
        <v>216.92</v>
      </c>
      <c r="G215" s="319"/>
      <c r="H215" s="195"/>
      <c r="I215" s="276">
        <f t="shared" si="44"/>
        <v>216.92</v>
      </c>
      <c r="K215" s="276"/>
    </row>
    <row r="216" spans="1:11" ht="18" customHeight="1">
      <c r="A216" s="320"/>
      <c r="B216" s="294" t="s">
        <v>31</v>
      </c>
      <c r="C216" s="295" t="s">
        <v>50</v>
      </c>
      <c r="D216" s="295">
        <f>4.33*D214</f>
        <v>21.65</v>
      </c>
      <c r="E216" s="296">
        <f t="shared" si="45"/>
        <v>22.159437873757767</v>
      </c>
      <c r="F216" s="317">
        <f t="shared" si="46"/>
        <v>479.75182996685561</v>
      </c>
      <c r="G216" s="319"/>
      <c r="H216" s="195"/>
      <c r="I216" s="276">
        <f t="shared" si="44"/>
        <v>479.75182996685561</v>
      </c>
      <c r="K216" s="276"/>
    </row>
    <row r="217" spans="1:11" ht="18" customHeight="1">
      <c r="A217" s="321"/>
      <c r="B217" s="299" t="s">
        <v>61</v>
      </c>
      <c r="C217" s="295" t="s">
        <v>50</v>
      </c>
      <c r="D217" s="295">
        <f>0.12*D214</f>
        <v>0.6</v>
      </c>
      <c r="E217" s="296">
        <f t="shared" si="45"/>
        <v>575.23496355015357</v>
      </c>
      <c r="F217" s="317">
        <f t="shared" si="46"/>
        <v>345.14097813009215</v>
      </c>
      <c r="G217" s="319"/>
      <c r="H217" s="195"/>
      <c r="I217" s="276">
        <f t="shared" si="44"/>
        <v>345.14097813009215</v>
      </c>
      <c r="K217" s="276"/>
    </row>
    <row r="218" spans="1:11" ht="18" customHeight="1">
      <c r="A218" s="321"/>
      <c r="B218" s="299" t="s">
        <v>60</v>
      </c>
      <c r="C218" s="295" t="s">
        <v>50</v>
      </c>
      <c r="D218" s="295">
        <f>3.03*D214</f>
        <v>15.15</v>
      </c>
      <c r="E218" s="296">
        <f t="shared" si="45"/>
        <v>302.92568101670327</v>
      </c>
      <c r="F218" s="317">
        <f t="shared" si="46"/>
        <v>4589.3240674030549</v>
      </c>
      <c r="G218" s="319"/>
      <c r="H218" s="195"/>
      <c r="I218" s="276">
        <f t="shared" si="44"/>
        <v>4589.3240674030549</v>
      </c>
      <c r="K218" s="276"/>
    </row>
    <row r="219" spans="1:11" ht="18" customHeight="1">
      <c r="A219" s="289" t="s">
        <v>22</v>
      </c>
      <c r="B219" s="290" t="s">
        <v>114</v>
      </c>
      <c r="C219" s="284"/>
      <c r="D219" s="285"/>
      <c r="E219" s="286"/>
      <c r="F219" s="285">
        <f>F220+F224+F229+F231+F240</f>
        <v>51451.768477271798</v>
      </c>
      <c r="G219" s="291"/>
      <c r="I219" s="276">
        <f t="shared" si="44"/>
        <v>0</v>
      </c>
      <c r="K219" s="276"/>
    </row>
    <row r="220" spans="1:11" ht="18" customHeight="1">
      <c r="A220" s="292">
        <v>1</v>
      </c>
      <c r="B220" s="290" t="s">
        <v>115</v>
      </c>
      <c r="C220" s="284" t="s">
        <v>49</v>
      </c>
      <c r="D220" s="285">
        <v>243</v>
      </c>
      <c r="E220" s="286"/>
      <c r="F220" s="285">
        <f>SUM(F221:F223)</f>
        <v>12904.069664434801</v>
      </c>
      <c r="G220" s="291"/>
      <c r="H220">
        <f>F220/D220</f>
        <v>53.1031673433531</v>
      </c>
      <c r="I220" s="276">
        <f t="shared" si="44"/>
        <v>0</v>
      </c>
      <c r="K220" s="276"/>
    </row>
    <row r="221" spans="1:11" ht="18" customHeight="1">
      <c r="A221" s="289"/>
      <c r="B221" s="299" t="s">
        <v>52</v>
      </c>
      <c r="C221" s="295" t="s">
        <v>50</v>
      </c>
      <c r="D221" s="295">
        <f>D220/7.63*0.44</f>
        <v>14.0131061598952</v>
      </c>
      <c r="E221" s="296">
        <v>826.56194822349801</v>
      </c>
      <c r="F221" s="297">
        <f>D221*E221</f>
        <v>11582.7003281856</v>
      </c>
      <c r="G221" s="291"/>
      <c r="I221" s="276">
        <f t="shared" si="44"/>
        <v>11582.7003281857</v>
      </c>
      <c r="K221" s="276"/>
    </row>
    <row r="222" spans="1:11" ht="18" customHeight="1">
      <c r="A222" s="289"/>
      <c r="B222" s="299" t="s">
        <v>53</v>
      </c>
      <c r="C222" s="295" t="s">
        <v>50</v>
      </c>
      <c r="D222" s="295">
        <f>D220/7.63*0.0019</f>
        <v>6.05111402359109E-2</v>
      </c>
      <c r="E222" s="296">
        <f>E211</f>
        <v>6000</v>
      </c>
      <c r="F222" s="297">
        <f t="shared" ref="F222:F223" si="47">D222*E222</f>
        <v>363.06684141546498</v>
      </c>
      <c r="G222" s="291"/>
      <c r="I222" s="276">
        <f t="shared" si="44"/>
        <v>363.06684141546498</v>
      </c>
      <c r="K222" s="276"/>
    </row>
    <row r="223" spans="1:11" ht="18" customHeight="1">
      <c r="A223" s="289"/>
      <c r="B223" s="294" t="s">
        <v>54</v>
      </c>
      <c r="C223" s="295"/>
      <c r="D223" s="295">
        <f>D221</f>
        <v>14.0131061598952</v>
      </c>
      <c r="E223" s="296">
        <f>E212</f>
        <v>68.386158207831798</v>
      </c>
      <c r="F223" s="297">
        <f t="shared" si="47"/>
        <v>958.302494833732</v>
      </c>
      <c r="G223" s="291"/>
      <c r="I223" s="276">
        <f t="shared" si="44"/>
        <v>958.30249483373495</v>
      </c>
      <c r="K223" s="276"/>
    </row>
    <row r="224" spans="1:11" ht="18" customHeight="1">
      <c r="A224" s="292">
        <v>2</v>
      </c>
      <c r="B224" s="290" t="s">
        <v>116</v>
      </c>
      <c r="C224" s="284" t="s">
        <v>49</v>
      </c>
      <c r="D224" s="285">
        <v>330</v>
      </c>
      <c r="E224" s="286"/>
      <c r="F224" s="285">
        <f>SUM(F225:F228)</f>
        <v>17535.807497273901</v>
      </c>
      <c r="G224" s="291"/>
      <c r="H224">
        <f>F224/D224</f>
        <v>53.138810597799697</v>
      </c>
      <c r="I224" s="276">
        <f t="shared" si="44"/>
        <v>0</v>
      </c>
      <c r="K224" s="276"/>
    </row>
    <row r="225" spans="1:11" ht="18" customHeight="1">
      <c r="A225" s="293"/>
      <c r="B225" s="294" t="s">
        <v>32</v>
      </c>
      <c r="C225" s="295" t="s">
        <v>50</v>
      </c>
      <c r="D225" s="295">
        <f>D224*0.4</f>
        <v>132</v>
      </c>
      <c r="E225" s="296">
        <f>E53</f>
        <v>3.9744703344936401</v>
      </c>
      <c r="F225" s="297">
        <f>D225*E225</f>
        <v>524.63008415316096</v>
      </c>
      <c r="G225" s="291"/>
      <c r="I225" s="276">
        <f t="shared" si="44"/>
        <v>524.63008415316096</v>
      </c>
      <c r="K225" s="276"/>
    </row>
    <row r="226" spans="1:11" ht="18" customHeight="1">
      <c r="A226" s="293"/>
      <c r="B226" s="294" t="s">
        <v>31</v>
      </c>
      <c r="C226" s="295" t="s">
        <v>50</v>
      </c>
      <c r="D226" s="295">
        <f>D225</f>
        <v>132</v>
      </c>
      <c r="E226" s="296">
        <f>E54</f>
        <v>5.9737169665788699</v>
      </c>
      <c r="F226" s="297">
        <f t="shared" ref="F226:F228" si="48">D226*E226</f>
        <v>788.53063958841096</v>
      </c>
      <c r="G226" s="291"/>
      <c r="I226" s="276">
        <f t="shared" si="44"/>
        <v>788.53063958841096</v>
      </c>
      <c r="K226" s="276"/>
    </row>
    <row r="227" spans="1:11" ht="18" customHeight="1">
      <c r="A227" s="289"/>
      <c r="B227" s="299" t="s">
        <v>52</v>
      </c>
      <c r="C227" s="295" t="s">
        <v>50</v>
      </c>
      <c r="D227" s="295">
        <f>D224/7.63*0.44</f>
        <v>19.030144167758799</v>
      </c>
      <c r="E227" s="296">
        <f>E221</f>
        <v>826.56194822349801</v>
      </c>
      <c r="F227" s="297">
        <f t="shared" si="48"/>
        <v>15729.5930382768</v>
      </c>
      <c r="G227" s="291"/>
      <c r="I227" s="276">
        <f t="shared" si="44"/>
        <v>15729.5930382768</v>
      </c>
      <c r="K227" s="276"/>
    </row>
    <row r="228" spans="1:11" ht="18" customHeight="1">
      <c r="A228" s="289"/>
      <c r="B228" s="299" t="s">
        <v>53</v>
      </c>
      <c r="C228" s="295" t="s">
        <v>50</v>
      </c>
      <c r="D228" s="295">
        <f>D224/7.63*0.0019</f>
        <v>8.2175622542595E-2</v>
      </c>
      <c r="E228" s="300">
        <v>6000</v>
      </c>
      <c r="F228" s="297">
        <f t="shared" si="48"/>
        <v>493.05373525557002</v>
      </c>
      <c r="G228" s="291"/>
      <c r="I228" s="276">
        <f t="shared" si="44"/>
        <v>493.05373525557002</v>
      </c>
      <c r="K228" s="276"/>
    </row>
    <row r="229" spans="1:11" ht="18" customHeight="1">
      <c r="A229" s="292">
        <v>3</v>
      </c>
      <c r="B229" s="290" t="s">
        <v>117</v>
      </c>
      <c r="C229" s="284" t="s">
        <v>49</v>
      </c>
      <c r="D229" s="285">
        <v>1066</v>
      </c>
      <c r="E229" s="286"/>
      <c r="F229" s="285">
        <f>F230</f>
        <v>3985.03233189599</v>
      </c>
      <c r="G229" s="291"/>
      <c r="H229">
        <f>F229/D229</f>
        <v>3.7383042513095601</v>
      </c>
      <c r="I229" s="276">
        <f t="shared" si="44"/>
        <v>0</v>
      </c>
      <c r="K229" s="276"/>
    </row>
    <row r="230" spans="1:11" ht="18" customHeight="1">
      <c r="A230" s="293"/>
      <c r="B230" s="294" t="s">
        <v>118</v>
      </c>
      <c r="C230" s="295" t="s">
        <v>50</v>
      </c>
      <c r="D230" s="295">
        <f>D229*0.2</f>
        <v>213.2</v>
      </c>
      <c r="E230" s="296">
        <v>18.691521256547801</v>
      </c>
      <c r="F230" s="297">
        <f>D230*E230</f>
        <v>3985.03233189599</v>
      </c>
      <c r="G230" s="291"/>
      <c r="I230" s="276">
        <f t="shared" si="44"/>
        <v>3985.03233189599</v>
      </c>
      <c r="K230" s="276"/>
    </row>
    <row r="231" spans="1:11" ht="18" customHeight="1">
      <c r="A231" s="292">
        <v>4</v>
      </c>
      <c r="B231" s="290" t="s">
        <v>119</v>
      </c>
      <c r="C231" s="303" t="s">
        <v>59</v>
      </c>
      <c r="D231" s="285">
        <v>1</v>
      </c>
      <c r="E231" s="286"/>
      <c r="F231" s="285">
        <f>SUM(F232:F239)</f>
        <v>5420.8796469729004</v>
      </c>
      <c r="G231" s="291"/>
      <c r="I231" s="276">
        <f t="shared" si="44"/>
        <v>0</v>
      </c>
      <c r="K231" s="276"/>
    </row>
    <row r="232" spans="1:11" ht="18" customHeight="1">
      <c r="A232" s="293"/>
      <c r="B232" s="294" t="s">
        <v>32</v>
      </c>
      <c r="C232" s="295" t="s">
        <v>50</v>
      </c>
      <c r="D232" s="295">
        <v>24.02</v>
      </c>
      <c r="E232" s="296">
        <v>5.8</v>
      </c>
      <c r="F232" s="297">
        <f>D232*E232</f>
        <v>139.316</v>
      </c>
      <c r="G232" s="291"/>
      <c r="I232" s="276">
        <f t="shared" si="44"/>
        <v>139.316</v>
      </c>
      <c r="K232" s="276"/>
    </row>
    <row r="233" spans="1:11" ht="18" customHeight="1">
      <c r="A233" s="293"/>
      <c r="B233" s="294" t="s">
        <v>31</v>
      </c>
      <c r="C233" s="295" t="s">
        <v>50</v>
      </c>
      <c r="D233" s="295">
        <v>10.5</v>
      </c>
      <c r="E233" s="296">
        <v>22.159437873757799</v>
      </c>
      <c r="F233" s="297">
        <f t="shared" ref="F233:F239" si="49">D233*E233</f>
        <v>232.67409767445699</v>
      </c>
      <c r="G233" s="291"/>
      <c r="I233" s="276">
        <f t="shared" si="44"/>
        <v>232.67409767445699</v>
      </c>
      <c r="K233" s="276"/>
    </row>
    <row r="234" spans="1:11" ht="18" customHeight="1">
      <c r="A234" s="289"/>
      <c r="B234" s="299" t="s">
        <v>105</v>
      </c>
      <c r="C234" s="295" t="s">
        <v>50</v>
      </c>
      <c r="D234" s="295">
        <v>1.1200000000000001</v>
      </c>
      <c r="E234" s="296">
        <v>557.02</v>
      </c>
      <c r="F234" s="297">
        <f t="shared" si="49"/>
        <v>623.86239999999998</v>
      </c>
      <c r="G234" s="291"/>
      <c r="I234" s="276">
        <f t="shared" si="44"/>
        <v>623.86239999999998</v>
      </c>
      <c r="K234" s="276"/>
    </row>
    <row r="235" spans="1:11" ht="18" customHeight="1">
      <c r="A235" s="289"/>
      <c r="B235" s="299" t="s">
        <v>106</v>
      </c>
      <c r="C235" s="295" t="s">
        <v>50</v>
      </c>
      <c r="D235" s="295">
        <v>1.1299999999999999</v>
      </c>
      <c r="E235" s="296">
        <v>884.35</v>
      </c>
      <c r="F235" s="297">
        <f t="shared" si="49"/>
        <v>999.31550000000004</v>
      </c>
      <c r="G235" s="291"/>
      <c r="I235" s="276">
        <f t="shared" si="44"/>
        <v>999.31550000000004</v>
      </c>
      <c r="K235" s="276"/>
    </row>
    <row r="236" spans="1:11" ht="18" customHeight="1">
      <c r="A236" s="289"/>
      <c r="B236" s="299" t="s">
        <v>60</v>
      </c>
      <c r="C236" s="295" t="s">
        <v>50</v>
      </c>
      <c r="D236" s="295">
        <v>5.41</v>
      </c>
      <c r="E236" s="296">
        <f>E66</f>
        <v>281.18350662445602</v>
      </c>
      <c r="F236" s="297">
        <f t="shared" si="49"/>
        <v>1521.20277083831</v>
      </c>
      <c r="G236" s="291"/>
      <c r="I236" s="276">
        <f t="shared" si="44"/>
        <v>1521.20277083831</v>
      </c>
      <c r="K236" s="276"/>
    </row>
    <row r="237" spans="1:11" ht="18" customHeight="1">
      <c r="A237" s="289"/>
      <c r="B237" s="299" t="s">
        <v>87</v>
      </c>
      <c r="C237" s="295" t="s">
        <v>88</v>
      </c>
      <c r="D237" s="295">
        <v>0.14000000000000001</v>
      </c>
      <c r="E237" s="296">
        <f>E75</f>
        <v>6861.48208540834</v>
      </c>
      <c r="F237" s="297">
        <f t="shared" si="49"/>
        <v>960.60749195716801</v>
      </c>
      <c r="G237" s="291"/>
      <c r="I237" s="276">
        <f t="shared" si="44"/>
        <v>960.60749195716801</v>
      </c>
      <c r="K237" s="276"/>
    </row>
    <row r="238" spans="1:11" ht="18" customHeight="1">
      <c r="A238" s="289"/>
      <c r="B238" s="299" t="s">
        <v>120</v>
      </c>
      <c r="C238" s="295" t="s">
        <v>50</v>
      </c>
      <c r="D238" s="295">
        <f>5*0.18*2</f>
        <v>1.8</v>
      </c>
      <c r="E238" s="296">
        <f>E212</f>
        <v>68.386158207831798</v>
      </c>
      <c r="F238" s="317">
        <f t="shared" si="49"/>
        <v>123.095084774097</v>
      </c>
      <c r="G238" s="319"/>
      <c r="I238" s="276">
        <f t="shared" si="44"/>
        <v>123.095084774097</v>
      </c>
      <c r="K238" s="276"/>
    </row>
    <row r="239" spans="1:11" ht="18" customHeight="1">
      <c r="A239" s="289"/>
      <c r="B239" s="299" t="s">
        <v>108</v>
      </c>
      <c r="C239" s="308" t="s">
        <v>109</v>
      </c>
      <c r="D239" s="295">
        <f>5*2</f>
        <v>10</v>
      </c>
      <c r="E239" s="296">
        <v>82.080630172887496</v>
      </c>
      <c r="F239" s="317">
        <f t="shared" si="49"/>
        <v>820.80630172887504</v>
      </c>
      <c r="G239" s="319"/>
      <c r="I239" s="276">
        <f t="shared" si="44"/>
        <v>820.80630172887504</v>
      </c>
      <c r="K239" s="276"/>
    </row>
    <row r="240" spans="1:11" ht="18" customHeight="1">
      <c r="A240" s="292">
        <v>5</v>
      </c>
      <c r="B240" s="290" t="s">
        <v>121</v>
      </c>
      <c r="C240" s="303" t="s">
        <v>59</v>
      </c>
      <c r="D240" s="315">
        <v>3</v>
      </c>
      <c r="E240" s="316"/>
      <c r="F240" s="315">
        <f>SUM(F241:F248)</f>
        <v>11605.979336694099</v>
      </c>
      <c r="G240" s="319"/>
      <c r="I240" s="276">
        <f t="shared" si="44"/>
        <v>0</v>
      </c>
      <c r="K240" s="276"/>
    </row>
    <row r="241" spans="1:11" ht="18" customHeight="1">
      <c r="A241" s="293"/>
      <c r="B241" s="294" t="s">
        <v>32</v>
      </c>
      <c r="C241" s="295" t="s">
        <v>50</v>
      </c>
      <c r="D241" s="295">
        <f>20.2*D240</f>
        <v>60.6</v>
      </c>
      <c r="E241" s="296">
        <f>E232</f>
        <v>5.8</v>
      </c>
      <c r="F241" s="317">
        <f t="shared" ref="F241:F248" si="50">D241*E241</f>
        <v>351.48</v>
      </c>
      <c r="G241" s="319"/>
      <c r="I241" s="276">
        <f t="shared" si="44"/>
        <v>351.48</v>
      </c>
      <c r="K241" s="276"/>
    </row>
    <row r="242" spans="1:11" ht="18" customHeight="1">
      <c r="A242" s="293"/>
      <c r="B242" s="294" t="s">
        <v>31</v>
      </c>
      <c r="C242" s="295" t="s">
        <v>50</v>
      </c>
      <c r="D242" s="295">
        <f>9.2*D240</f>
        <v>27.6</v>
      </c>
      <c r="E242" s="296">
        <f t="shared" ref="E242:E248" si="51">E233</f>
        <v>22.159437873757799</v>
      </c>
      <c r="F242" s="317">
        <f t="shared" si="50"/>
        <v>611.60048531571499</v>
      </c>
      <c r="G242" s="319"/>
      <c r="I242" s="276">
        <f t="shared" si="44"/>
        <v>611.60048531571499</v>
      </c>
      <c r="K242" s="276"/>
    </row>
    <row r="243" spans="1:11" ht="18" customHeight="1">
      <c r="A243" s="289"/>
      <c r="B243" s="299" t="s">
        <v>105</v>
      </c>
      <c r="C243" s="295" t="s">
        <v>50</v>
      </c>
      <c r="D243" s="295">
        <f>0.9*D240</f>
        <v>2.7</v>
      </c>
      <c r="E243" s="296">
        <f t="shared" si="51"/>
        <v>557.02</v>
      </c>
      <c r="F243" s="317">
        <f t="shared" si="50"/>
        <v>1503.954</v>
      </c>
      <c r="G243" s="319"/>
      <c r="I243" s="276">
        <f t="shared" si="44"/>
        <v>1503.954</v>
      </c>
      <c r="K243" s="276"/>
    </row>
    <row r="244" spans="1:11" ht="18" customHeight="1">
      <c r="A244" s="289"/>
      <c r="B244" s="299" t="s">
        <v>106</v>
      </c>
      <c r="C244" s="295" t="s">
        <v>50</v>
      </c>
      <c r="D244" s="295">
        <f>0.94*D240</f>
        <v>2.82</v>
      </c>
      <c r="E244" s="296">
        <f t="shared" si="51"/>
        <v>884.35</v>
      </c>
      <c r="F244" s="317">
        <f t="shared" si="50"/>
        <v>2493.8670000000002</v>
      </c>
      <c r="G244" s="319"/>
      <c r="I244" s="276">
        <f t="shared" si="44"/>
        <v>2493.8670000000002</v>
      </c>
      <c r="K244" s="276"/>
    </row>
    <row r="245" spans="1:11" ht="18" customHeight="1">
      <c r="A245" s="289"/>
      <c r="B245" s="299" t="s">
        <v>60</v>
      </c>
      <c r="C245" s="295" t="s">
        <v>50</v>
      </c>
      <c r="D245" s="295">
        <f>4.41*D240</f>
        <v>13.23</v>
      </c>
      <c r="E245" s="296">
        <f t="shared" si="51"/>
        <v>281.18350662445602</v>
      </c>
      <c r="F245" s="317">
        <f t="shared" si="50"/>
        <v>3720.0577926415499</v>
      </c>
      <c r="G245" s="319"/>
      <c r="I245" s="276">
        <f t="shared" si="44"/>
        <v>3720.0577926415499</v>
      </c>
      <c r="K245" s="276"/>
    </row>
    <row r="246" spans="1:11" ht="18" customHeight="1">
      <c r="A246" s="289"/>
      <c r="B246" s="299" t="s">
        <v>87</v>
      </c>
      <c r="C246" s="295" t="s">
        <v>88</v>
      </c>
      <c r="D246" s="295">
        <f>0.11*D240</f>
        <v>0.33</v>
      </c>
      <c r="E246" s="296">
        <f t="shared" si="51"/>
        <v>6861.48208540834</v>
      </c>
      <c r="F246" s="317">
        <f t="shared" si="50"/>
        <v>2264.2890881847502</v>
      </c>
      <c r="G246" s="319"/>
      <c r="I246" s="276">
        <f t="shared" si="44"/>
        <v>2264.2890881847502</v>
      </c>
      <c r="K246" s="276"/>
    </row>
    <row r="247" spans="1:11" ht="18" customHeight="1">
      <c r="A247" s="289"/>
      <c r="B247" s="299" t="s">
        <v>120</v>
      </c>
      <c r="C247" s="295" t="s">
        <v>50</v>
      </c>
      <c r="D247" s="295">
        <f>3.5*0.18*2</f>
        <v>1.26</v>
      </c>
      <c r="E247" s="296">
        <f t="shared" si="51"/>
        <v>68.386158207831798</v>
      </c>
      <c r="F247" s="317">
        <f t="shared" si="50"/>
        <v>86.166559341868094</v>
      </c>
      <c r="G247" s="319"/>
      <c r="I247" s="276">
        <f t="shared" si="44"/>
        <v>86.166559341868094</v>
      </c>
      <c r="K247" s="276"/>
    </row>
    <row r="248" spans="1:11" ht="18" customHeight="1">
      <c r="A248" s="289"/>
      <c r="B248" s="299" t="s">
        <v>108</v>
      </c>
      <c r="C248" s="308" t="s">
        <v>109</v>
      </c>
      <c r="D248" s="295">
        <f>3.5*2</f>
        <v>7</v>
      </c>
      <c r="E248" s="296">
        <f t="shared" si="51"/>
        <v>82.080630172887496</v>
      </c>
      <c r="F248" s="317">
        <f t="shared" si="50"/>
        <v>574.56441121021305</v>
      </c>
      <c r="G248" s="319"/>
      <c r="I248" s="276">
        <f t="shared" si="44"/>
        <v>574.56441121021203</v>
      </c>
      <c r="K248" s="276"/>
    </row>
    <row r="249" spans="1:11" ht="18" customHeight="1">
      <c r="A249" s="289" t="s">
        <v>24</v>
      </c>
      <c r="B249" s="290" t="s">
        <v>12</v>
      </c>
      <c r="C249" s="327"/>
      <c r="D249" s="327"/>
      <c r="E249" s="327"/>
      <c r="F249" s="285">
        <f>F250+F258+F266</f>
        <v>117775.09378547801</v>
      </c>
      <c r="G249" s="328"/>
      <c r="I249" s="276">
        <f t="shared" si="44"/>
        <v>0</v>
      </c>
      <c r="K249" s="276"/>
    </row>
    <row r="250" spans="1:11" ht="18" customHeight="1">
      <c r="A250" s="292">
        <v>1</v>
      </c>
      <c r="B250" s="302" t="s">
        <v>122</v>
      </c>
      <c r="C250" s="313" t="s">
        <v>59</v>
      </c>
      <c r="D250" s="285">
        <v>8</v>
      </c>
      <c r="E250" s="286"/>
      <c r="F250" s="285">
        <f>SUM(F251:F257)</f>
        <v>29538.800665917799</v>
      </c>
      <c r="G250" s="291"/>
      <c r="H250">
        <f>F250/D250</f>
        <v>3692.3500832397199</v>
      </c>
      <c r="I250" s="276">
        <f t="shared" si="44"/>
        <v>0</v>
      </c>
      <c r="K250" s="276"/>
    </row>
    <row r="251" spans="1:11" ht="18" customHeight="1">
      <c r="A251" s="293"/>
      <c r="B251" s="294" t="s">
        <v>32</v>
      </c>
      <c r="C251" s="295" t="s">
        <v>50</v>
      </c>
      <c r="D251" s="295">
        <f>8.6*D250</f>
        <v>68.8</v>
      </c>
      <c r="E251" s="296">
        <v>5.8</v>
      </c>
      <c r="F251" s="297">
        <f>D251*E251</f>
        <v>399.04</v>
      </c>
      <c r="G251" s="291"/>
      <c r="H251">
        <f>D251/D250</f>
        <v>8.6</v>
      </c>
      <c r="I251" s="276">
        <f t="shared" si="44"/>
        <v>399.04</v>
      </c>
      <c r="K251" s="276"/>
    </row>
    <row r="252" spans="1:11" ht="18" customHeight="1">
      <c r="A252" s="293"/>
      <c r="B252" s="294" t="s">
        <v>31</v>
      </c>
      <c r="C252" s="295" t="s">
        <v>50</v>
      </c>
      <c r="D252" s="295">
        <f>8.04*D250</f>
        <v>64.319999999999993</v>
      </c>
      <c r="E252" s="296">
        <v>22.159437873757799</v>
      </c>
      <c r="F252" s="297">
        <f t="shared" ref="F252:F257" si="52">D252*E252</f>
        <v>1425.2950440401</v>
      </c>
      <c r="G252" s="291"/>
      <c r="I252" s="276">
        <f t="shared" si="44"/>
        <v>1425.2950440401</v>
      </c>
      <c r="K252" s="276"/>
    </row>
    <row r="253" spans="1:11" ht="18" customHeight="1">
      <c r="A253" s="292"/>
      <c r="B253" s="294" t="s">
        <v>60</v>
      </c>
      <c r="C253" s="295" t="s">
        <v>50</v>
      </c>
      <c r="D253" s="295">
        <f>2.31*D250</f>
        <v>18.48</v>
      </c>
      <c r="E253" s="296">
        <v>281.18350662445602</v>
      </c>
      <c r="F253" s="297">
        <f t="shared" si="52"/>
        <v>5196.27120241995</v>
      </c>
      <c r="G253" s="291"/>
      <c r="I253" s="276">
        <f t="shared" si="44"/>
        <v>5196.27120241995</v>
      </c>
      <c r="K253" s="276"/>
    </row>
    <row r="254" spans="1:11" ht="18" customHeight="1">
      <c r="A254" s="289"/>
      <c r="B254" s="299" t="s">
        <v>61</v>
      </c>
      <c r="C254" s="295" t="s">
        <v>50</v>
      </c>
      <c r="D254" s="295">
        <f>0.86*D250</f>
        <v>6.88</v>
      </c>
      <c r="E254" s="296">
        <v>558.56760652232902</v>
      </c>
      <c r="F254" s="297">
        <f t="shared" si="52"/>
        <v>3842.94513287362</v>
      </c>
      <c r="G254" s="291"/>
      <c r="I254" s="276">
        <f t="shared" si="44"/>
        <v>3842.94513287362</v>
      </c>
      <c r="K254" s="276"/>
    </row>
    <row r="255" spans="1:11" ht="18" customHeight="1">
      <c r="A255" s="289"/>
      <c r="B255" s="299" t="s">
        <v>123</v>
      </c>
      <c r="C255" s="295" t="s">
        <v>50</v>
      </c>
      <c r="D255" s="295">
        <f>2.56*D250</f>
        <v>20.48</v>
      </c>
      <c r="E255" s="296">
        <v>490.78330693410402</v>
      </c>
      <c r="F255" s="297">
        <f t="shared" si="52"/>
        <v>10051.2421260105</v>
      </c>
      <c r="G255" s="291"/>
      <c r="I255" s="276">
        <f t="shared" si="44"/>
        <v>10051.2421260105</v>
      </c>
      <c r="K255" s="276"/>
    </row>
    <row r="256" spans="1:11" ht="18" customHeight="1">
      <c r="A256" s="289"/>
      <c r="B256" s="299" t="s">
        <v>87</v>
      </c>
      <c r="C256" s="295" t="s">
        <v>88</v>
      </c>
      <c r="D256" s="295">
        <f>0.1*D250</f>
        <v>0.8</v>
      </c>
      <c r="E256" s="296">
        <v>6861.48208540834</v>
      </c>
      <c r="F256" s="297">
        <f t="shared" si="52"/>
        <v>5489.1856683266697</v>
      </c>
      <c r="G256" s="291"/>
      <c r="H256" s="329"/>
      <c r="I256" s="276">
        <f t="shared" si="44"/>
        <v>5489.1856683266697</v>
      </c>
      <c r="K256" s="276"/>
    </row>
    <row r="257" spans="1:11" ht="18" customHeight="1">
      <c r="A257" s="289"/>
      <c r="B257" s="294" t="s">
        <v>73</v>
      </c>
      <c r="C257" s="295" t="s">
        <v>50</v>
      </c>
      <c r="D257" s="295">
        <f>D255+D254+D253</f>
        <v>45.84</v>
      </c>
      <c r="E257" s="296">
        <v>68.386158207831798</v>
      </c>
      <c r="F257" s="297">
        <f t="shared" si="52"/>
        <v>3134.8214922470102</v>
      </c>
      <c r="G257" s="291"/>
      <c r="H257" s="329"/>
      <c r="I257" s="276">
        <f t="shared" si="44"/>
        <v>3134.8214922470102</v>
      </c>
      <c r="K257" s="276"/>
    </row>
    <row r="258" spans="1:11" ht="18" customHeight="1">
      <c r="A258" s="292">
        <v>2</v>
      </c>
      <c r="B258" s="302" t="s">
        <v>124</v>
      </c>
      <c r="C258" s="313" t="s">
        <v>59</v>
      </c>
      <c r="D258" s="285">
        <v>11</v>
      </c>
      <c r="E258" s="286"/>
      <c r="F258" s="285">
        <f>SUM(F259:F265)</f>
        <v>44712.702250068098</v>
      </c>
      <c r="G258" s="291"/>
      <c r="H258" s="330">
        <f>F258/D258</f>
        <v>4064.79111364255</v>
      </c>
      <c r="I258" s="276">
        <f t="shared" si="44"/>
        <v>0</v>
      </c>
      <c r="K258" s="276"/>
    </row>
    <row r="259" spans="1:11" ht="18" customHeight="1">
      <c r="A259" s="293"/>
      <c r="B259" s="294" t="s">
        <v>32</v>
      </c>
      <c r="C259" s="295" t="s">
        <v>50</v>
      </c>
      <c r="D259" s="295">
        <f>9.8*D258</f>
        <v>107.8</v>
      </c>
      <c r="E259" s="296">
        <v>5.8</v>
      </c>
      <c r="F259" s="297">
        <f>D259*E259</f>
        <v>625.24</v>
      </c>
      <c r="G259" s="291"/>
      <c r="H259" s="330"/>
      <c r="I259" s="276">
        <f t="shared" si="44"/>
        <v>625.24</v>
      </c>
      <c r="K259" s="276"/>
    </row>
    <row r="260" spans="1:11" ht="18" customHeight="1">
      <c r="A260" s="293"/>
      <c r="B260" s="294" t="s">
        <v>31</v>
      </c>
      <c r="C260" s="295" t="s">
        <v>50</v>
      </c>
      <c r="D260" s="295">
        <f>9.02*D258</f>
        <v>99.22</v>
      </c>
      <c r="E260" s="296">
        <v>22.159437873757799</v>
      </c>
      <c r="F260" s="297">
        <f t="shared" ref="F260:F265" si="53">D260*E260</f>
        <v>2198.6594258342502</v>
      </c>
      <c r="G260" s="291"/>
      <c r="H260" s="330"/>
      <c r="I260" s="276">
        <f t="shared" si="44"/>
        <v>2198.6594258342502</v>
      </c>
      <c r="K260" s="276"/>
    </row>
    <row r="261" spans="1:11" ht="18" customHeight="1">
      <c r="A261" s="292"/>
      <c r="B261" s="294" t="s">
        <v>60</v>
      </c>
      <c r="C261" s="295" t="s">
        <v>50</v>
      </c>
      <c r="D261" s="295">
        <f>2.45*D258</f>
        <v>26.95</v>
      </c>
      <c r="E261" s="296">
        <v>281.18350662445602</v>
      </c>
      <c r="F261" s="297">
        <f t="shared" si="53"/>
        <v>7577.8955035290901</v>
      </c>
      <c r="G261" s="291"/>
      <c r="H261" s="329"/>
      <c r="I261" s="276">
        <f t="shared" si="44"/>
        <v>7577.8955035290901</v>
      </c>
      <c r="K261" s="276"/>
    </row>
    <row r="262" spans="1:11" ht="18" customHeight="1">
      <c r="A262" s="289"/>
      <c r="B262" s="299" t="s">
        <v>61</v>
      </c>
      <c r="C262" s="295" t="s">
        <v>50</v>
      </c>
      <c r="D262" s="295">
        <f>0.98*D258</f>
        <v>10.78</v>
      </c>
      <c r="E262" s="296">
        <v>558.56760652232902</v>
      </c>
      <c r="F262" s="297">
        <f t="shared" si="53"/>
        <v>6021.35879831071</v>
      </c>
      <c r="G262" s="291"/>
      <c r="I262" s="276">
        <f t="shared" si="44"/>
        <v>6021.35879831071</v>
      </c>
      <c r="K262" s="276"/>
    </row>
    <row r="263" spans="1:11" ht="18" customHeight="1">
      <c r="A263" s="289"/>
      <c r="B263" s="299" t="s">
        <v>123</v>
      </c>
      <c r="C263" s="295" t="s">
        <v>50</v>
      </c>
      <c r="D263" s="295">
        <f>2.83*D258</f>
        <v>31.13</v>
      </c>
      <c r="E263" s="296">
        <v>490.78330693410402</v>
      </c>
      <c r="F263" s="297">
        <f t="shared" si="53"/>
        <v>15278.0843448587</v>
      </c>
      <c r="G263" s="291"/>
      <c r="I263" s="276">
        <f t="shared" si="44"/>
        <v>15278.0843448587</v>
      </c>
      <c r="K263" s="276"/>
    </row>
    <row r="264" spans="1:11" ht="18" customHeight="1">
      <c r="A264" s="289"/>
      <c r="B264" s="299" t="s">
        <v>87</v>
      </c>
      <c r="C264" s="295" t="s">
        <v>88</v>
      </c>
      <c r="D264" s="295">
        <f>0.11*D258</f>
        <v>1.21</v>
      </c>
      <c r="E264" s="296">
        <v>6861.48208540834</v>
      </c>
      <c r="F264" s="297">
        <f t="shared" si="53"/>
        <v>8302.3933233440894</v>
      </c>
      <c r="G264" s="291"/>
      <c r="I264" s="276">
        <f t="shared" si="44"/>
        <v>8302.3933233440894</v>
      </c>
      <c r="K264" s="276"/>
    </row>
    <row r="265" spans="1:11" ht="18" customHeight="1">
      <c r="A265" s="289"/>
      <c r="B265" s="294" t="s">
        <v>73</v>
      </c>
      <c r="C265" s="295" t="s">
        <v>50</v>
      </c>
      <c r="D265" s="295">
        <f>D263+D262+D261</f>
        <v>68.86</v>
      </c>
      <c r="E265" s="296">
        <v>68.386158207831798</v>
      </c>
      <c r="F265" s="297">
        <f t="shared" si="53"/>
        <v>4709.0708541913</v>
      </c>
      <c r="G265" s="291"/>
      <c r="I265" s="276">
        <f t="shared" si="44"/>
        <v>4709.0708541913</v>
      </c>
      <c r="K265" s="276"/>
    </row>
    <row r="266" spans="1:11" ht="18" customHeight="1">
      <c r="A266" s="292">
        <v>3</v>
      </c>
      <c r="B266" s="290" t="s">
        <v>125</v>
      </c>
      <c r="C266" s="303" t="s">
        <v>59</v>
      </c>
      <c r="D266" s="285">
        <v>13</v>
      </c>
      <c r="E266" s="286"/>
      <c r="F266" s="285">
        <f>SUM(F267:F271)</f>
        <v>43523.590869491803</v>
      </c>
      <c r="G266" s="291"/>
      <c r="H266">
        <f>F266/D266</f>
        <v>3347.9685284224502</v>
      </c>
      <c r="I266" s="276">
        <f t="shared" si="44"/>
        <v>0</v>
      </c>
      <c r="K266" s="276"/>
    </row>
    <row r="267" spans="1:11" ht="18" customHeight="1">
      <c r="A267" s="289"/>
      <c r="B267" s="299" t="s">
        <v>126</v>
      </c>
      <c r="C267" s="295" t="s">
        <v>50</v>
      </c>
      <c r="D267" s="295">
        <f>(6*1*1-0.4*0.4*3.14*6)*D266</f>
        <v>38.812800000000003</v>
      </c>
      <c r="E267" s="296">
        <v>404.00773853363802</v>
      </c>
      <c r="F267" s="317">
        <f>D267*E267</f>
        <v>15680.6715541584</v>
      </c>
      <c r="G267" s="319"/>
      <c r="I267" s="276">
        <f t="shared" si="44"/>
        <v>15680.6715541584</v>
      </c>
      <c r="K267" s="276"/>
    </row>
    <row r="268" spans="1:11" ht="18" customHeight="1">
      <c r="A268" s="289"/>
      <c r="B268" s="299" t="s">
        <v>106</v>
      </c>
      <c r="C268" s="295" t="s">
        <v>50</v>
      </c>
      <c r="D268" s="295">
        <f>1.32*D266</f>
        <v>17.16</v>
      </c>
      <c r="E268" s="296">
        <v>884.34888457831801</v>
      </c>
      <c r="F268" s="317">
        <f t="shared" ref="F268:F271" si="54">D268*E268</f>
        <v>15175.426859363901</v>
      </c>
      <c r="G268" s="319"/>
      <c r="I268" s="276">
        <f t="shared" si="44"/>
        <v>15175.426859363901</v>
      </c>
      <c r="K268" s="276"/>
    </row>
    <row r="269" spans="1:11" ht="18" customHeight="1">
      <c r="A269" s="289"/>
      <c r="B269" s="299" t="s">
        <v>127</v>
      </c>
      <c r="C269" s="295" t="s">
        <v>49</v>
      </c>
      <c r="D269" s="295">
        <f>3*D266</f>
        <v>39</v>
      </c>
      <c r="E269" s="296">
        <v>262.29174580741301</v>
      </c>
      <c r="F269" s="317">
        <f t="shared" si="54"/>
        <v>10229.3780864891</v>
      </c>
      <c r="G269" s="319"/>
      <c r="I269" s="276">
        <f t="shared" si="44"/>
        <v>10229.3780864891</v>
      </c>
      <c r="K269" s="276"/>
    </row>
    <row r="270" spans="1:11" ht="18" customHeight="1">
      <c r="A270" s="289"/>
      <c r="B270" s="294" t="s">
        <v>54</v>
      </c>
      <c r="C270" s="295" t="s">
        <v>50</v>
      </c>
      <c r="D270" s="295">
        <v>20</v>
      </c>
      <c r="E270" s="301">
        <v>68.386158207831798</v>
      </c>
      <c r="F270" s="317">
        <f t="shared" si="54"/>
        <v>1367.72316415664</v>
      </c>
      <c r="G270" s="319"/>
      <c r="I270" s="276">
        <f t="shared" si="44"/>
        <v>1367.72316415664</v>
      </c>
      <c r="K270" s="276"/>
    </row>
    <row r="271" spans="1:11" ht="18" customHeight="1">
      <c r="A271" s="331"/>
      <c r="B271" s="332" t="s">
        <v>87</v>
      </c>
      <c r="C271" s="333" t="s">
        <v>88</v>
      </c>
      <c r="D271" s="333">
        <f>0.012*D266</f>
        <v>0.156</v>
      </c>
      <c r="E271" s="334">
        <v>6861.48208540834</v>
      </c>
      <c r="F271" s="335">
        <f t="shared" si="54"/>
        <v>1070.3912053237</v>
      </c>
      <c r="G271" s="336"/>
      <c r="I271" s="276">
        <f t="shared" si="44"/>
        <v>1070.3912053237</v>
      </c>
      <c r="K271" s="276"/>
    </row>
    <row r="272" spans="1:11" ht="18" customHeight="1">
      <c r="D272">
        <f>SUBTOTAL(9,D19:D271)</f>
        <v>47457.269246636999</v>
      </c>
    </row>
  </sheetData>
  <autoFilter ref="A1:I271">
    <extLst/>
  </autoFilter>
  <mergeCells count="1">
    <mergeCell ref="A1:G1"/>
  </mergeCells>
  <phoneticPr fontId="79" type="noConversion"/>
  <pageMargins left="0.69930555555555596" right="0.69930555555555596" top="0.75" bottom="0.75" header="0.3" footer="0.3"/>
  <pageSetup paperSize="9" scale="86" orientation="portrait"/>
  <ignoredErrors>
    <ignoredError sqref="A19" numberStoredAsText="1"/>
    <ignoredError sqref="F250 F258 F229" formula="1"/>
  </ignoredErrors>
</worksheet>
</file>

<file path=xl/worksheets/sheet20.xml><?xml version="1.0" encoding="utf-8"?>
<worksheet xmlns="http://schemas.openxmlformats.org/spreadsheetml/2006/main" xmlns:r="http://schemas.openxmlformats.org/officeDocument/2006/relationships">
  <dimension ref="A1:H16"/>
  <sheetViews>
    <sheetView workbookViewId="0">
      <selection activeCell="H6" sqref="H6"/>
    </sheetView>
  </sheetViews>
  <sheetFormatPr defaultColWidth="9" defaultRowHeight="14.25"/>
  <cols>
    <col min="2" max="2" width="18" customWidth="1"/>
  </cols>
  <sheetData>
    <row r="1" spans="1:8">
      <c r="A1" s="4"/>
      <c r="B1" s="5"/>
      <c r="C1" s="6"/>
      <c r="D1" s="6"/>
      <c r="E1" s="6"/>
      <c r="F1" s="6"/>
      <c r="G1" s="6"/>
      <c r="H1" s="6"/>
    </row>
    <row r="2" spans="1:8" ht="21" customHeight="1">
      <c r="A2" s="501" t="s">
        <v>1283</v>
      </c>
      <c r="B2" s="501"/>
      <c r="C2" s="501"/>
      <c r="D2" s="501"/>
      <c r="E2" s="501"/>
      <c r="F2" s="501"/>
      <c r="G2" s="501"/>
      <c r="H2" s="501"/>
    </row>
    <row r="3" spans="1:8" ht="46.5" customHeight="1">
      <c r="A3" s="502" t="s">
        <v>1284</v>
      </c>
      <c r="B3" s="502"/>
      <c r="C3" s="502"/>
      <c r="D3" s="502"/>
      <c r="E3" s="502"/>
      <c r="F3" s="502"/>
      <c r="G3" s="502"/>
      <c r="H3" s="502"/>
    </row>
    <row r="4" spans="1:8" ht="18.75">
      <c r="A4" s="503" t="s">
        <v>1285</v>
      </c>
      <c r="B4" s="503"/>
      <c r="C4" s="503"/>
      <c r="D4" s="503"/>
      <c r="E4" s="503"/>
      <c r="F4" s="503"/>
      <c r="G4" s="503"/>
      <c r="H4" s="503"/>
    </row>
    <row r="5" spans="1:8" ht="15">
      <c r="A5" s="7" t="s">
        <v>523</v>
      </c>
      <c r="B5" s="7" t="s">
        <v>1286</v>
      </c>
      <c r="C5" s="7" t="s">
        <v>841</v>
      </c>
      <c r="D5" s="7" t="s">
        <v>842</v>
      </c>
      <c r="E5" s="7" t="s">
        <v>182</v>
      </c>
      <c r="F5" s="7" t="s">
        <v>1287</v>
      </c>
      <c r="G5" s="7" t="s">
        <v>1288</v>
      </c>
      <c r="H5" s="7" t="s">
        <v>1289</v>
      </c>
    </row>
    <row r="6" spans="1:8">
      <c r="A6" s="8">
        <v>1</v>
      </c>
      <c r="B6" s="9" t="s">
        <v>1290</v>
      </c>
      <c r="C6" s="10">
        <v>4.8000000000000001E-2</v>
      </c>
      <c r="D6" s="10"/>
      <c r="E6" s="10">
        <v>0.04</v>
      </c>
      <c r="F6" s="10">
        <v>7.0000000000000007E-2</v>
      </c>
      <c r="G6" s="10">
        <v>0.09</v>
      </c>
      <c r="H6" s="10">
        <v>0.03</v>
      </c>
    </row>
    <row r="7" spans="1:8">
      <c r="A7" s="8">
        <v>2</v>
      </c>
      <c r="B7" s="9" t="s">
        <v>1291</v>
      </c>
      <c r="C7" s="10">
        <v>4.8000000000000001E-2</v>
      </c>
      <c r="D7" s="10"/>
      <c r="E7" s="10">
        <v>8.5000000000000006E-2</v>
      </c>
      <c r="F7" s="10">
        <v>7.0000000000000007E-2</v>
      </c>
      <c r="G7" s="10">
        <v>0.09</v>
      </c>
      <c r="H7" s="11"/>
    </row>
    <row r="8" spans="1:8">
      <c r="A8" s="8">
        <v>3</v>
      </c>
      <c r="B8" s="9" t="s">
        <v>1292</v>
      </c>
      <c r="C8" s="10">
        <v>4.8000000000000001E-2</v>
      </c>
      <c r="D8" s="10"/>
      <c r="E8" s="10">
        <v>8.5000000000000006E-2</v>
      </c>
      <c r="F8" s="10">
        <v>7.0000000000000007E-2</v>
      </c>
      <c r="G8" s="10">
        <v>0.09</v>
      </c>
      <c r="H8" s="11"/>
    </row>
    <row r="9" spans="1:8">
      <c r="A9" s="8">
        <v>4</v>
      </c>
      <c r="B9" s="9" t="s">
        <v>1293</v>
      </c>
      <c r="C9" s="10">
        <v>4.8000000000000001E-2</v>
      </c>
      <c r="D9" s="10"/>
      <c r="E9" s="10">
        <v>7.0000000000000007E-2</v>
      </c>
      <c r="F9" s="10">
        <v>7.0000000000000007E-2</v>
      </c>
      <c r="G9" s="10">
        <v>0.09</v>
      </c>
      <c r="H9" s="11"/>
    </row>
    <row r="10" spans="1:8">
      <c r="A10" s="8">
        <v>5</v>
      </c>
      <c r="B10" s="9" t="s">
        <v>1294</v>
      </c>
      <c r="C10" s="10">
        <v>4.8000000000000001E-2</v>
      </c>
      <c r="D10" s="10"/>
      <c r="E10" s="10">
        <v>0.05</v>
      </c>
      <c r="F10" s="10">
        <v>7.0000000000000007E-2</v>
      </c>
      <c r="G10" s="10">
        <v>0.09</v>
      </c>
      <c r="H10" s="11"/>
    </row>
    <row r="11" spans="1:8">
      <c r="A11" s="8">
        <v>6</v>
      </c>
      <c r="B11" s="9" t="s">
        <v>1295</v>
      </c>
      <c r="C11" s="10">
        <v>4.8000000000000001E-2</v>
      </c>
      <c r="D11" s="10"/>
      <c r="E11" s="10">
        <v>9.2499999999999999E-2</v>
      </c>
      <c r="F11" s="10">
        <v>7.0000000000000007E-2</v>
      </c>
      <c r="G11" s="10">
        <v>0.09</v>
      </c>
      <c r="H11" s="11"/>
    </row>
    <row r="12" spans="1:8">
      <c r="A12" s="8">
        <v>7</v>
      </c>
      <c r="B12" s="9" t="s">
        <v>1296</v>
      </c>
      <c r="C12" s="10">
        <v>4.8000000000000001E-2</v>
      </c>
      <c r="D12" s="10"/>
      <c r="E12" s="10">
        <v>6.25E-2</v>
      </c>
      <c r="F12" s="10">
        <v>7.0000000000000007E-2</v>
      </c>
      <c r="G12" s="10">
        <v>0.09</v>
      </c>
      <c r="H12" s="11"/>
    </row>
    <row r="13" spans="1:8">
      <c r="A13" s="8">
        <v>8</v>
      </c>
      <c r="B13" s="9" t="s">
        <v>1297</v>
      </c>
      <c r="C13" s="10">
        <v>5.5E-2</v>
      </c>
      <c r="D13" s="10"/>
      <c r="E13" s="10">
        <v>0.7</v>
      </c>
      <c r="F13" s="10">
        <v>7.0000000000000007E-2</v>
      </c>
      <c r="G13" s="10">
        <v>0.09</v>
      </c>
      <c r="H13" s="11"/>
    </row>
    <row r="14" spans="1:8">
      <c r="A14" s="8">
        <v>9</v>
      </c>
      <c r="B14" s="9" t="s">
        <v>1298</v>
      </c>
      <c r="C14" s="10">
        <v>4.8000000000000001E-2</v>
      </c>
      <c r="D14" s="10"/>
      <c r="E14" s="10">
        <v>7.2499999999999995E-2</v>
      </c>
      <c r="F14" s="10">
        <v>7.0000000000000007E-2</v>
      </c>
      <c r="G14" s="10">
        <v>0.09</v>
      </c>
      <c r="H14" s="11"/>
    </row>
    <row r="15" spans="1:8" ht="15.75">
      <c r="A15" s="12"/>
      <c r="B15" s="12"/>
      <c r="C15" s="13"/>
      <c r="D15" s="13"/>
      <c r="E15" s="13"/>
      <c r="F15" s="13"/>
      <c r="G15" s="13"/>
      <c r="H15" s="13"/>
    </row>
    <row r="16" spans="1:8" ht="15.75">
      <c r="A16" s="14"/>
      <c r="B16" s="14"/>
      <c r="C16" s="14"/>
      <c r="D16" s="14"/>
      <c r="E16" s="14"/>
      <c r="F16" s="14"/>
      <c r="G16" s="14"/>
      <c r="H16" s="14"/>
    </row>
  </sheetData>
  <mergeCells count="3">
    <mergeCell ref="A2:H2"/>
    <mergeCell ref="A3:H3"/>
    <mergeCell ref="A4:H4"/>
  </mergeCells>
  <phoneticPr fontId="79" type="noConversion"/>
  <pageMargins left="0.75" right="0.75" top="1" bottom="1" header="0.5" footer="0.5"/>
  <pageSetup paperSize="9" orientation="portrait" horizontalDpi="1200" verticalDpi="1200"/>
  <headerFooter alignWithMargins="0"/>
</worksheet>
</file>

<file path=xl/worksheets/sheet21.xml><?xml version="1.0" encoding="utf-8"?>
<worksheet xmlns="http://schemas.openxmlformats.org/spreadsheetml/2006/main" xmlns:r="http://schemas.openxmlformats.org/officeDocument/2006/relationships">
  <dimension ref="E9:L18"/>
  <sheetViews>
    <sheetView workbookViewId="0">
      <selection activeCell="E9" sqref="E9:K18"/>
    </sheetView>
  </sheetViews>
  <sheetFormatPr defaultColWidth="9" defaultRowHeight="14.25"/>
  <cols>
    <col min="5" max="5" width="22.25" customWidth="1"/>
    <col min="6" max="6" width="14.75" customWidth="1"/>
    <col min="7" max="7" width="8.75" customWidth="1"/>
    <col min="8" max="8" width="6.75" customWidth="1"/>
    <col min="9" max="9" width="10.5" customWidth="1"/>
    <col min="10" max="10" width="6.75" customWidth="1"/>
    <col min="11" max="11" width="10.5" customWidth="1"/>
  </cols>
  <sheetData>
    <row r="9" spans="5:12" ht="15.75">
      <c r="E9" s="507" t="s">
        <v>527</v>
      </c>
      <c r="F9" s="507" t="s">
        <v>1299</v>
      </c>
      <c r="G9" s="507" t="s">
        <v>1300</v>
      </c>
      <c r="H9" s="507" t="s">
        <v>1301</v>
      </c>
      <c r="I9" s="507" t="s">
        <v>1302</v>
      </c>
      <c r="J9" s="507" t="s">
        <v>1303</v>
      </c>
      <c r="K9" s="507" t="s">
        <v>1304</v>
      </c>
      <c r="L9" s="3"/>
    </row>
    <row r="10" spans="5:12" ht="15.75">
      <c r="E10" s="507"/>
      <c r="F10" s="507"/>
      <c r="G10" s="507"/>
      <c r="H10" s="507"/>
      <c r="I10" s="507"/>
      <c r="J10" s="507"/>
      <c r="K10" s="507"/>
      <c r="L10" s="3"/>
    </row>
    <row r="11" spans="5:12" ht="15.75">
      <c r="E11" s="1" t="s">
        <v>1305</v>
      </c>
      <c r="F11" s="1" t="s">
        <v>1306</v>
      </c>
      <c r="G11" s="1">
        <v>22</v>
      </c>
      <c r="H11" s="1">
        <v>70</v>
      </c>
      <c r="I11" s="1">
        <v>11</v>
      </c>
      <c r="J11" s="1">
        <v>47</v>
      </c>
      <c r="K11" s="1">
        <v>1</v>
      </c>
      <c r="L11" s="3"/>
    </row>
    <row r="12" spans="5:12" ht="22.5">
      <c r="E12" s="1" t="s">
        <v>1307</v>
      </c>
      <c r="F12" s="2" t="s">
        <v>1308</v>
      </c>
      <c r="G12" s="1">
        <v>100</v>
      </c>
      <c r="H12" s="1">
        <v>80</v>
      </c>
      <c r="I12" s="2">
        <v>37</v>
      </c>
      <c r="J12" s="1">
        <v>69</v>
      </c>
      <c r="K12" s="1">
        <v>1</v>
      </c>
      <c r="L12" s="3"/>
    </row>
    <row r="13" spans="5:12" ht="22.5" customHeight="1">
      <c r="E13" s="504" t="s">
        <v>1309</v>
      </c>
      <c r="F13" s="2" t="s">
        <v>1310</v>
      </c>
      <c r="G13" s="1">
        <v>50</v>
      </c>
      <c r="H13" s="1">
        <v>80</v>
      </c>
      <c r="I13" s="2">
        <v>22</v>
      </c>
      <c r="J13" s="1">
        <v>63</v>
      </c>
      <c r="K13" s="1">
        <v>1</v>
      </c>
      <c r="L13" s="3"/>
    </row>
    <row r="14" spans="5:12" ht="15.75">
      <c r="E14" s="505"/>
      <c r="F14" s="2" t="s">
        <v>1311</v>
      </c>
      <c r="G14" s="1">
        <v>88</v>
      </c>
      <c r="H14" s="1">
        <v>16</v>
      </c>
      <c r="I14" s="2">
        <v>7.5</v>
      </c>
      <c r="J14" s="1">
        <v>74</v>
      </c>
      <c r="K14" s="1">
        <v>1</v>
      </c>
      <c r="L14" s="3"/>
    </row>
    <row r="15" spans="5:12" ht="15.75">
      <c r="E15" s="506"/>
      <c r="F15" s="2" t="s">
        <v>1312</v>
      </c>
      <c r="G15" s="1">
        <v>5.5</v>
      </c>
      <c r="H15" s="1">
        <v>16</v>
      </c>
      <c r="I15" s="2">
        <v>0.75</v>
      </c>
      <c r="J15" s="1">
        <v>44</v>
      </c>
      <c r="K15" s="1">
        <v>1</v>
      </c>
      <c r="L15" s="3"/>
    </row>
    <row r="16" spans="5:12" ht="15.75">
      <c r="E16" s="504" t="s">
        <v>1313</v>
      </c>
      <c r="F16" s="2" t="s">
        <v>1310</v>
      </c>
      <c r="G16" s="1">
        <v>50</v>
      </c>
      <c r="H16" s="1">
        <v>80</v>
      </c>
      <c r="I16" s="2">
        <v>22</v>
      </c>
      <c r="J16" s="1">
        <v>63</v>
      </c>
      <c r="K16" s="1">
        <v>1</v>
      </c>
      <c r="L16" s="3"/>
    </row>
    <row r="17" spans="5:12" ht="17.25" customHeight="1">
      <c r="E17" s="505"/>
      <c r="F17" s="2" t="s">
        <v>1311</v>
      </c>
      <c r="G17" s="1">
        <v>88</v>
      </c>
      <c r="H17" s="1">
        <v>16</v>
      </c>
      <c r="I17" s="2">
        <v>7.5</v>
      </c>
      <c r="J17" s="1">
        <v>74</v>
      </c>
      <c r="K17" s="1">
        <v>1</v>
      </c>
      <c r="L17" s="3"/>
    </row>
    <row r="18" spans="5:12" ht="15.75">
      <c r="E18" s="506"/>
      <c r="F18" s="2" t="s">
        <v>1312</v>
      </c>
      <c r="G18" s="1">
        <v>5.5</v>
      </c>
      <c r="H18" s="1">
        <v>16</v>
      </c>
      <c r="I18" s="2">
        <v>0.75</v>
      </c>
      <c r="J18" s="1">
        <v>44</v>
      </c>
      <c r="K18" s="1">
        <v>1</v>
      </c>
      <c r="L18" s="3"/>
    </row>
  </sheetData>
  <mergeCells count="9">
    <mergeCell ref="J9:J10"/>
    <mergeCell ref="K9:K10"/>
    <mergeCell ref="E9:E10"/>
    <mergeCell ref="E13:E15"/>
    <mergeCell ref="E16:E18"/>
    <mergeCell ref="F9:F10"/>
    <mergeCell ref="G9:G10"/>
    <mergeCell ref="H9:H10"/>
    <mergeCell ref="I9:I10"/>
  </mergeCells>
  <phoneticPr fontId="79" type="noConversion"/>
  <pageMargins left="0.69930555555555596" right="0.69930555555555596"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dimension ref="A1:H15"/>
  <sheetViews>
    <sheetView workbookViewId="0">
      <selection sqref="A1:H10"/>
    </sheetView>
  </sheetViews>
  <sheetFormatPr defaultColWidth="9" defaultRowHeight="14.25"/>
  <cols>
    <col min="2" max="2" width="24.75" customWidth="1"/>
  </cols>
  <sheetData>
    <row r="1" spans="1:8">
      <c r="A1" s="368" t="s">
        <v>128</v>
      </c>
      <c r="B1" s="368"/>
      <c r="C1" s="368"/>
      <c r="D1" s="368"/>
      <c r="E1" s="368"/>
      <c r="F1" s="368"/>
      <c r="G1" s="249"/>
      <c r="H1" s="249"/>
    </row>
    <row r="2" spans="1:8" ht="15">
      <c r="A2" s="368"/>
      <c r="B2" s="368"/>
      <c r="C2" s="368"/>
      <c r="D2" s="368"/>
      <c r="E2" s="368"/>
      <c r="F2" s="368"/>
      <c r="G2" s="358" t="s">
        <v>129</v>
      </c>
      <c r="H2" s="358"/>
    </row>
    <row r="3" spans="1:8">
      <c r="A3" s="361" t="s">
        <v>130</v>
      </c>
      <c r="B3" s="359" t="s">
        <v>131</v>
      </c>
      <c r="C3" s="364" t="s">
        <v>132</v>
      </c>
      <c r="D3" s="366" t="s">
        <v>133</v>
      </c>
      <c r="E3" s="359" t="s">
        <v>134</v>
      </c>
      <c r="F3" s="359"/>
      <c r="G3" s="359" t="s">
        <v>135</v>
      </c>
      <c r="H3" s="360"/>
    </row>
    <row r="4" spans="1:8">
      <c r="A4" s="362"/>
      <c r="B4" s="363"/>
      <c r="C4" s="365"/>
      <c r="D4" s="367"/>
      <c r="E4" s="250" t="s">
        <v>136</v>
      </c>
      <c r="F4" s="251" t="s">
        <v>137</v>
      </c>
      <c r="G4" s="250" t="s">
        <v>136</v>
      </c>
      <c r="H4" s="252" t="s">
        <v>138</v>
      </c>
    </row>
    <row r="5" spans="1:8">
      <c r="A5" s="253"/>
      <c r="B5" s="254" t="s">
        <v>139</v>
      </c>
      <c r="C5" s="255"/>
      <c r="D5" s="256"/>
      <c r="E5" s="257"/>
      <c r="F5" s="258"/>
      <c r="G5" s="259">
        <f>SUM(G6:G10)</f>
        <v>21939.5</v>
      </c>
      <c r="H5" s="260">
        <f>SUM(H6:H10)</f>
        <v>219395</v>
      </c>
    </row>
    <row r="6" spans="1:8">
      <c r="A6" s="261">
        <v>1</v>
      </c>
      <c r="B6" s="262" t="s">
        <v>140</v>
      </c>
      <c r="C6" s="263" t="s">
        <v>141</v>
      </c>
      <c r="D6" s="264">
        <v>37</v>
      </c>
      <c r="E6" s="265">
        <f>F6*0.1</f>
        <v>115.5</v>
      </c>
      <c r="F6" s="258">
        <v>1155</v>
      </c>
      <c r="G6" s="266">
        <f>D6*E6</f>
        <v>4273.5</v>
      </c>
      <c r="H6" s="267">
        <f>D6*F6</f>
        <v>42735</v>
      </c>
    </row>
    <row r="7" spans="1:8">
      <c r="A7" s="261">
        <v>2</v>
      </c>
      <c r="B7" s="262" t="s">
        <v>142</v>
      </c>
      <c r="C7" s="268" t="s">
        <v>141</v>
      </c>
      <c r="D7" s="264">
        <v>28</v>
      </c>
      <c r="E7" s="265">
        <f t="shared" ref="E7:E10" si="0">F7*0.1</f>
        <v>209</v>
      </c>
      <c r="F7" s="258">
        <v>2090</v>
      </c>
      <c r="G7" s="266">
        <f t="shared" ref="G7:G10" si="1">D7*E7</f>
        <v>5852</v>
      </c>
      <c r="H7" s="267">
        <f t="shared" ref="H7:H10" si="2">D7*F7</f>
        <v>58520</v>
      </c>
    </row>
    <row r="8" spans="1:8">
      <c r="A8" s="261">
        <v>3</v>
      </c>
      <c r="B8" s="262" t="s">
        <v>143</v>
      </c>
      <c r="C8" s="268" t="s">
        <v>141</v>
      </c>
      <c r="D8" s="264">
        <v>7</v>
      </c>
      <c r="E8" s="265">
        <f t="shared" si="0"/>
        <v>341</v>
      </c>
      <c r="F8" s="258">
        <v>3410</v>
      </c>
      <c r="G8" s="266">
        <f t="shared" si="1"/>
        <v>2387</v>
      </c>
      <c r="H8" s="267">
        <f t="shared" si="2"/>
        <v>23870</v>
      </c>
    </row>
    <row r="9" spans="1:8">
      <c r="A9" s="261">
        <v>4</v>
      </c>
      <c r="B9" s="262" t="s">
        <v>144</v>
      </c>
      <c r="C9" s="268" t="s">
        <v>141</v>
      </c>
      <c r="D9" s="264">
        <v>8</v>
      </c>
      <c r="E9" s="265">
        <f t="shared" si="0"/>
        <v>407</v>
      </c>
      <c r="F9" s="258">
        <f>3410+660</f>
        <v>4070</v>
      </c>
      <c r="G9" s="266">
        <f t="shared" si="1"/>
        <v>3256</v>
      </c>
      <c r="H9" s="267">
        <f t="shared" si="2"/>
        <v>32560</v>
      </c>
    </row>
    <row r="10" spans="1:8">
      <c r="A10" s="269">
        <v>5</v>
      </c>
      <c r="B10" s="270" t="s">
        <v>145</v>
      </c>
      <c r="C10" s="271" t="s">
        <v>141</v>
      </c>
      <c r="D10" s="272">
        <v>11</v>
      </c>
      <c r="E10" s="273">
        <f t="shared" si="0"/>
        <v>561</v>
      </c>
      <c r="F10" s="274">
        <f>4620+990</f>
        <v>5610</v>
      </c>
      <c r="G10" s="266">
        <f t="shared" si="1"/>
        <v>6171</v>
      </c>
      <c r="H10" s="267">
        <f t="shared" si="2"/>
        <v>61710</v>
      </c>
    </row>
    <row r="11" spans="1:8">
      <c r="D11">
        <f>SUM(D6:D10)</f>
        <v>91</v>
      </c>
    </row>
    <row r="14" spans="1:8">
      <c r="D14" s="275">
        <f>D6+D7+D8+D9+D10</f>
        <v>91</v>
      </c>
    </row>
    <row r="15" spans="1:8">
      <c r="G15" s="276">
        <f>G5+H5</f>
        <v>241334.5</v>
      </c>
    </row>
  </sheetData>
  <mergeCells count="8">
    <mergeCell ref="G2:H2"/>
    <mergeCell ref="E3:F3"/>
    <mergeCell ref="G3:H3"/>
    <mergeCell ref="A3:A4"/>
    <mergeCell ref="B3:B4"/>
    <mergeCell ref="C3:C4"/>
    <mergeCell ref="D3:D4"/>
    <mergeCell ref="A1:F2"/>
  </mergeCells>
  <phoneticPr fontId="79" type="noConversion"/>
  <pageMargins left="0.75" right="0.75" top="1" bottom="1" header="0.5" footer="0.5"/>
</worksheet>
</file>

<file path=xl/worksheets/sheet4.xml><?xml version="1.0" encoding="utf-8"?>
<worksheet xmlns="http://schemas.openxmlformats.org/spreadsheetml/2006/main" xmlns:r="http://schemas.openxmlformats.org/officeDocument/2006/relationships">
  <dimension ref="A1:L19"/>
  <sheetViews>
    <sheetView workbookViewId="0">
      <selection activeCell="D9" sqref="D9"/>
    </sheetView>
  </sheetViews>
  <sheetFormatPr defaultColWidth="9" defaultRowHeight="14.25"/>
  <cols>
    <col min="1" max="1" width="7.5" customWidth="1"/>
    <col min="2" max="2" width="25.125" customWidth="1"/>
    <col min="3" max="6" width="14.375" customWidth="1"/>
    <col min="9" max="9" width="21.375" customWidth="1"/>
  </cols>
  <sheetData>
    <row r="1" spans="1:12" ht="20.25">
      <c r="A1" s="371" t="s">
        <v>146</v>
      </c>
      <c r="B1" s="371"/>
      <c r="C1" s="371"/>
      <c r="D1" s="371"/>
      <c r="E1" s="371"/>
      <c r="F1" s="371"/>
    </row>
    <row r="2" spans="1:12">
      <c r="A2" s="231"/>
      <c r="B2" s="231"/>
      <c r="C2" s="231"/>
      <c r="D2" s="231"/>
      <c r="E2" s="372"/>
      <c r="F2" s="372"/>
    </row>
    <row r="3" spans="1:12" ht="21.75" customHeight="1">
      <c r="A3" s="232" t="s">
        <v>37</v>
      </c>
      <c r="B3" s="233" t="s">
        <v>147</v>
      </c>
      <c r="C3" s="233" t="s">
        <v>39</v>
      </c>
      <c r="D3" s="233" t="s">
        <v>40</v>
      </c>
      <c r="E3" s="233" t="s">
        <v>41</v>
      </c>
      <c r="F3" s="234" t="s">
        <v>148</v>
      </c>
    </row>
    <row r="4" spans="1:12" ht="21.75" customHeight="1">
      <c r="A4" s="373" t="s">
        <v>149</v>
      </c>
      <c r="B4" s="374"/>
      <c r="C4" s="236"/>
      <c r="D4" s="236"/>
      <c r="E4" s="236"/>
      <c r="F4" s="237">
        <f>F5</f>
        <v>9.9</v>
      </c>
    </row>
    <row r="5" spans="1:12" ht="21.75" customHeight="1">
      <c r="A5" s="235">
        <v>1</v>
      </c>
      <c r="B5" s="236" t="s">
        <v>150</v>
      </c>
      <c r="C5" s="236"/>
      <c r="D5" s="236"/>
      <c r="E5" s="236"/>
      <c r="F5" s="237">
        <f>F6+F8</f>
        <v>9.9</v>
      </c>
      <c r="J5" s="248" t="s">
        <v>151</v>
      </c>
    </row>
    <row r="6" spans="1:12" ht="21.75" customHeight="1">
      <c r="A6" s="235">
        <v>1.1000000000000001</v>
      </c>
      <c r="B6" s="236" t="s">
        <v>152</v>
      </c>
      <c r="C6" s="236"/>
      <c r="D6" s="236"/>
      <c r="E6" s="236"/>
      <c r="F6" s="237">
        <f>SUM(F7:F7)</f>
        <v>0</v>
      </c>
      <c r="I6" s="248" t="s">
        <v>153</v>
      </c>
      <c r="J6" s="248">
        <f>19170/667+36.96*25.06/667</f>
        <v>30.129261769115399</v>
      </c>
      <c r="L6" s="248">
        <f>19170/667+36.96*25.06/667</f>
        <v>30.129261769115399</v>
      </c>
    </row>
    <row r="7" spans="1:12">
      <c r="A7" s="238" t="s">
        <v>47</v>
      </c>
      <c r="B7" s="239" t="s">
        <v>154</v>
      </c>
      <c r="C7" s="236" t="s">
        <v>155</v>
      </c>
      <c r="D7" s="240">
        <v>0</v>
      </c>
      <c r="E7" s="241">
        <v>20000</v>
      </c>
      <c r="F7" s="242">
        <f>D7*E7/10000</f>
        <v>0</v>
      </c>
      <c r="I7" s="248" t="s">
        <v>156</v>
      </c>
      <c r="J7" s="248">
        <f>+(6620/667+29.46*25.36/667)</f>
        <v>11.045135832084</v>
      </c>
      <c r="L7" s="248">
        <f>+(6620/667+29.46*25.36/667)</f>
        <v>11.045135832084</v>
      </c>
    </row>
    <row r="8" spans="1:12" ht="21.75" customHeight="1">
      <c r="A8" s="235">
        <v>1.2</v>
      </c>
      <c r="B8" s="236" t="s">
        <v>157</v>
      </c>
      <c r="C8" s="236"/>
      <c r="D8" s="243"/>
      <c r="E8" s="236"/>
      <c r="F8" s="237">
        <f>SUM(F9:F9)</f>
        <v>9.9</v>
      </c>
      <c r="I8" s="248" t="s">
        <v>158</v>
      </c>
      <c r="J8" s="248">
        <f>(20.96*16.76/667)</f>
        <v>0.52667106446776601</v>
      </c>
      <c r="L8" s="248">
        <f>(20.96*16.76/667)</f>
        <v>0.52667106446776601</v>
      </c>
    </row>
    <row r="9" spans="1:12" ht="21.75" customHeight="1">
      <c r="A9" s="238" t="s">
        <v>64</v>
      </c>
      <c r="B9" s="239" t="s">
        <v>154</v>
      </c>
      <c r="C9" s="241" t="s">
        <v>159</v>
      </c>
      <c r="D9" s="240">
        <v>33</v>
      </c>
      <c r="E9" s="241">
        <v>3000</v>
      </c>
      <c r="F9" s="242">
        <f>D9*E9/10000</f>
        <v>9.9</v>
      </c>
    </row>
    <row r="10" spans="1:12" ht="21.75" customHeight="1">
      <c r="A10" s="373" t="s">
        <v>160</v>
      </c>
      <c r="B10" s="374"/>
      <c r="C10" s="236"/>
      <c r="D10" s="243"/>
      <c r="E10" s="236"/>
      <c r="F10" s="237">
        <f>SUM(F11:F15)</f>
        <v>0.79991999999999996</v>
      </c>
    </row>
    <row r="11" spans="1:12" ht="21.75" customHeight="1">
      <c r="A11" s="238">
        <v>2.1</v>
      </c>
      <c r="B11" s="241" t="s">
        <v>161</v>
      </c>
      <c r="C11" s="241"/>
      <c r="D11" s="240">
        <f>F4</f>
        <v>9.9</v>
      </c>
      <c r="E11" s="244">
        <v>0.02</v>
      </c>
      <c r="F11" s="242">
        <f>D11*E11</f>
        <v>0.19800000000000001</v>
      </c>
    </row>
    <row r="12" spans="1:12" ht="21.75" customHeight="1">
      <c r="A12" s="238">
        <v>2.2000000000000002</v>
      </c>
      <c r="B12" s="241" t="s">
        <v>162</v>
      </c>
      <c r="C12" s="241"/>
      <c r="D12" s="240">
        <f>F4</f>
        <v>9.9</v>
      </c>
      <c r="E12" s="244">
        <v>0.02</v>
      </c>
      <c r="F12" s="242">
        <f t="shared" ref="F12:F16" si="0">D12*E12</f>
        <v>0.19800000000000001</v>
      </c>
    </row>
    <row r="13" spans="1:12" ht="21.75" customHeight="1">
      <c r="A13" s="238">
        <v>2.2999999999999998</v>
      </c>
      <c r="B13" s="241" t="s">
        <v>163</v>
      </c>
      <c r="C13" s="241"/>
      <c r="D13" s="240">
        <f>F4</f>
        <v>9.9</v>
      </c>
      <c r="E13" s="244">
        <v>3.5499999999999997E-2</v>
      </c>
      <c r="F13" s="242">
        <f t="shared" si="0"/>
        <v>0.35144999999999998</v>
      </c>
    </row>
    <row r="14" spans="1:12" ht="21.75" customHeight="1">
      <c r="A14" s="238">
        <v>2.4</v>
      </c>
      <c r="B14" s="241" t="s">
        <v>164</v>
      </c>
      <c r="C14" s="241"/>
      <c r="D14" s="240">
        <f>F4</f>
        <v>9.9</v>
      </c>
      <c r="E14" s="244">
        <v>4.7999999999999996E-3</v>
      </c>
      <c r="F14" s="242">
        <f t="shared" si="0"/>
        <v>4.752E-2</v>
      </c>
    </row>
    <row r="15" spans="1:12" ht="21.75" customHeight="1">
      <c r="A15" s="238">
        <v>2.5</v>
      </c>
      <c r="B15" s="241" t="s">
        <v>165</v>
      </c>
      <c r="C15" s="241"/>
      <c r="D15" s="240">
        <f>F4</f>
        <v>9.9</v>
      </c>
      <c r="E15" s="244">
        <v>5.0000000000000001E-4</v>
      </c>
      <c r="F15" s="242">
        <f t="shared" si="0"/>
        <v>4.9500000000000004E-3</v>
      </c>
    </row>
    <row r="16" spans="1:12" ht="21.75" customHeight="1">
      <c r="A16" s="373" t="s">
        <v>166</v>
      </c>
      <c r="B16" s="374"/>
      <c r="C16" s="236"/>
      <c r="D16" s="243">
        <f>F4+F10</f>
        <v>10.699920000000001</v>
      </c>
      <c r="E16" s="245">
        <v>0.1</v>
      </c>
      <c r="F16" s="237">
        <f t="shared" si="0"/>
        <v>1.0699920000000001</v>
      </c>
    </row>
    <row r="17" spans="1:12" ht="21.75" customHeight="1">
      <c r="A17" s="369" t="s">
        <v>167</v>
      </c>
      <c r="B17" s="370"/>
      <c r="C17" s="246"/>
      <c r="D17" s="246"/>
      <c r="E17" s="246"/>
      <c r="F17" s="247">
        <f>F4+F10+F16</f>
        <v>11.769912</v>
      </c>
      <c r="L17">
        <f>20000*1/667.77</f>
        <v>29.9504320349821</v>
      </c>
    </row>
    <row r="18" spans="1:12" ht="21.75" customHeight="1"/>
    <row r="19" spans="1:12" ht="21.75" customHeight="1"/>
  </sheetData>
  <mergeCells count="6">
    <mergeCell ref="A17:B17"/>
    <mergeCell ref="A1:F1"/>
    <mergeCell ref="E2:F2"/>
    <mergeCell ref="A4:B4"/>
    <mergeCell ref="A10:B10"/>
    <mergeCell ref="A16:B16"/>
  </mergeCells>
  <phoneticPr fontId="79"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dimension ref="A1:O245"/>
  <sheetViews>
    <sheetView workbookViewId="0">
      <pane ySplit="7" topLeftCell="A23" activePane="bottomLeft" state="frozen"/>
      <selection pane="bottomLeft" activeCell="A142" sqref="A142:XFD142"/>
    </sheetView>
  </sheetViews>
  <sheetFormatPr defaultColWidth="9" defaultRowHeight="14.25"/>
  <cols>
    <col min="1" max="1" width="5.25" customWidth="1"/>
    <col min="2" max="2" width="30.75" customWidth="1"/>
    <col min="3" max="3" width="6.625" customWidth="1"/>
    <col min="4" max="4" width="6.875" customWidth="1"/>
    <col min="5" max="5" width="6.375" customWidth="1"/>
    <col min="6" max="6" width="7.125" customWidth="1"/>
    <col min="7" max="7" width="6.75" customWidth="1"/>
    <col min="8" max="8" width="7.125" customWidth="1"/>
    <col min="9" max="9" width="6.625" customWidth="1"/>
    <col min="10" max="10" width="5" customWidth="1"/>
    <col min="11" max="11" width="6.125" customWidth="1"/>
    <col min="12" max="12" width="6.375" customWidth="1"/>
    <col min="13" max="13" width="5.875" customWidth="1"/>
    <col min="14" max="14" width="5.625" customWidth="1"/>
    <col min="15" max="15" width="5.375" customWidth="1"/>
  </cols>
  <sheetData>
    <row r="1" spans="1:15" ht="23.25" customHeight="1">
      <c r="A1" s="378" t="s">
        <v>168</v>
      </c>
      <c r="B1" s="378"/>
      <c r="C1" s="378"/>
      <c r="D1" s="378"/>
      <c r="E1" s="378"/>
      <c r="F1" s="378"/>
      <c r="G1" s="379"/>
      <c r="H1" s="379"/>
      <c r="I1" s="379"/>
      <c r="J1" s="379"/>
      <c r="K1" s="379"/>
      <c r="L1" s="379"/>
      <c r="M1" s="379"/>
      <c r="N1" s="379"/>
    </row>
    <row r="2" spans="1:15" ht="0.75" customHeight="1"/>
    <row r="3" spans="1:15" ht="13.5" customHeight="1">
      <c r="K3" s="217"/>
      <c r="L3" s="217" t="s">
        <v>169</v>
      </c>
      <c r="M3" s="217"/>
      <c r="N3" s="218" t="s">
        <v>170</v>
      </c>
      <c r="O3" s="219"/>
    </row>
    <row r="4" spans="1:15" ht="3.75" customHeight="1">
      <c r="O4" s="219"/>
    </row>
    <row r="5" spans="1:15" ht="20.25" customHeight="1">
      <c r="A5" s="375" t="s">
        <v>171</v>
      </c>
      <c r="B5" s="375" t="s">
        <v>172</v>
      </c>
      <c r="C5" s="375" t="s">
        <v>173</v>
      </c>
      <c r="D5" s="375" t="s">
        <v>174</v>
      </c>
      <c r="E5" s="380" t="s">
        <v>175</v>
      </c>
      <c r="F5" s="381"/>
      <c r="G5" s="381"/>
      <c r="H5" s="381"/>
      <c r="I5" s="381"/>
      <c r="J5" s="381"/>
      <c r="K5" s="381"/>
      <c r="L5" s="381"/>
      <c r="M5" s="381"/>
      <c r="N5" s="381"/>
      <c r="O5" s="382"/>
    </row>
    <row r="6" spans="1:15" ht="20.25" customHeight="1">
      <c r="A6" s="375"/>
      <c r="B6" s="375"/>
      <c r="C6" s="375"/>
      <c r="D6" s="375"/>
      <c r="E6" s="375" t="s">
        <v>176</v>
      </c>
      <c r="F6" s="375" t="s">
        <v>177</v>
      </c>
      <c r="G6" s="375" t="s">
        <v>178</v>
      </c>
      <c r="H6" s="376" t="s">
        <v>179</v>
      </c>
      <c r="I6" s="376" t="s">
        <v>180</v>
      </c>
      <c r="J6" s="376" t="s">
        <v>181</v>
      </c>
      <c r="K6" s="376" t="s">
        <v>182</v>
      </c>
      <c r="L6" s="375" t="s">
        <v>183</v>
      </c>
      <c r="M6" s="376" t="s">
        <v>184</v>
      </c>
      <c r="N6" s="375" t="s">
        <v>185</v>
      </c>
      <c r="O6" s="376" t="s">
        <v>186</v>
      </c>
    </row>
    <row r="7" spans="1:15" ht="15" customHeight="1">
      <c r="A7" s="375"/>
      <c r="B7" s="375"/>
      <c r="C7" s="375"/>
      <c r="D7" s="375"/>
      <c r="E7" s="375"/>
      <c r="F7" s="375"/>
      <c r="G7" s="375"/>
      <c r="H7" s="377"/>
      <c r="I7" s="377"/>
      <c r="J7" s="377"/>
      <c r="K7" s="377"/>
      <c r="L7" s="375"/>
      <c r="M7" s="377"/>
      <c r="N7" s="375"/>
      <c r="O7" s="377"/>
    </row>
    <row r="8" spans="1:15" ht="18" customHeight="1">
      <c r="A8" s="209">
        <v>1</v>
      </c>
      <c r="B8" s="204" t="s">
        <v>187</v>
      </c>
      <c r="C8" s="199" t="s">
        <v>188</v>
      </c>
      <c r="D8" s="201">
        <f>E8+F8+G8+H8+I8+J8+K8+L8+N8</f>
        <v>183.29938899999999</v>
      </c>
      <c r="E8" s="204"/>
      <c r="F8" s="212">
        <f>砼配合!$J$8</f>
        <v>183.29938899999999</v>
      </c>
      <c r="G8" s="209"/>
      <c r="H8" s="209"/>
      <c r="I8" s="209"/>
      <c r="J8" s="209"/>
      <c r="K8" s="209"/>
      <c r="L8" s="209"/>
      <c r="M8" s="209"/>
      <c r="N8" s="209"/>
      <c r="O8" s="199"/>
    </row>
    <row r="9" spans="1:15" ht="18" customHeight="1">
      <c r="A9" s="209">
        <v>2</v>
      </c>
      <c r="B9" s="204" t="s">
        <v>189</v>
      </c>
      <c r="C9" s="199" t="s">
        <v>188</v>
      </c>
      <c r="D9" s="201">
        <f>E9+F9+G9+H9+I9+J9+K9+L9+N9</f>
        <v>171.692409</v>
      </c>
      <c r="E9" s="204"/>
      <c r="F9" s="212">
        <f>砼配合!$J$14</f>
        <v>171.692409</v>
      </c>
      <c r="G9" s="209"/>
      <c r="H9" s="209"/>
      <c r="I9" s="209"/>
      <c r="J9" s="209"/>
      <c r="K9" s="209"/>
      <c r="L9" s="209"/>
      <c r="M9" s="209"/>
      <c r="N9" s="209"/>
      <c r="O9" s="199"/>
    </row>
    <row r="10" spans="1:15" ht="18" customHeight="1">
      <c r="A10" s="209">
        <v>3</v>
      </c>
      <c r="B10" s="204" t="s">
        <v>190</v>
      </c>
      <c r="C10" s="199" t="s">
        <v>188</v>
      </c>
      <c r="D10" s="201">
        <f>E10+F10+G10+H10+I10+J10+K10+L10+N10</f>
        <v>161.2882702</v>
      </c>
      <c r="E10" s="209"/>
      <c r="F10" s="212">
        <f>砼配合!$J$20</f>
        <v>161.2882702</v>
      </c>
      <c r="G10" s="209"/>
      <c r="H10" s="209"/>
      <c r="I10" s="209"/>
      <c r="J10" s="209"/>
      <c r="K10" s="209"/>
      <c r="L10" s="209"/>
      <c r="M10" s="209"/>
      <c r="N10" s="209"/>
      <c r="O10" s="199"/>
    </row>
    <row r="11" spans="1:15" ht="18" customHeight="1">
      <c r="A11" s="209">
        <v>4</v>
      </c>
      <c r="B11" s="204" t="s">
        <v>191</v>
      </c>
      <c r="C11" s="199" t="s">
        <v>188</v>
      </c>
      <c r="D11" s="201">
        <f>E11+F11+G11+H11+I11+J11+K11+L11+N11</f>
        <v>144.59654</v>
      </c>
      <c r="E11" s="209"/>
      <c r="F11" s="212">
        <f>砼配合!$J$32</f>
        <v>144.59654</v>
      </c>
      <c r="G11" s="209"/>
      <c r="H11" s="209"/>
      <c r="I11" s="209"/>
      <c r="J11" s="209"/>
      <c r="K11" s="209"/>
      <c r="L11" s="209"/>
      <c r="M11" s="209"/>
      <c r="N11" s="209"/>
      <c r="O11" s="199"/>
    </row>
    <row r="12" spans="1:15" ht="18" customHeight="1">
      <c r="A12" s="209">
        <v>5</v>
      </c>
      <c r="B12" s="204" t="s">
        <v>192</v>
      </c>
      <c r="C12" s="199" t="s">
        <v>188</v>
      </c>
      <c r="D12" s="201">
        <f>E12+F12+G12+H12+I12+J12+K12+L12+N12</f>
        <v>135.54646</v>
      </c>
      <c r="E12" s="199"/>
      <c r="F12" s="212">
        <f>砼配合!$J$37</f>
        <v>135.54646</v>
      </c>
      <c r="G12" s="199"/>
      <c r="H12" s="199"/>
      <c r="I12" s="199"/>
      <c r="J12" s="199"/>
      <c r="K12" s="199"/>
      <c r="L12" s="199"/>
      <c r="M12" s="199"/>
      <c r="N12" s="199"/>
      <c r="O12" s="199"/>
    </row>
    <row r="13" spans="1:15" ht="18" customHeight="1">
      <c r="A13" s="199">
        <f>砼配合!$B$44</f>
        <v>4228</v>
      </c>
      <c r="B13" s="204" t="s">
        <v>193</v>
      </c>
      <c r="C13" s="199" t="s">
        <v>194</v>
      </c>
      <c r="D13" s="214">
        <f>E13+F13+G13+H13+I13+J13+K13+L13+M13+N13</f>
        <v>502.69138732471606</v>
      </c>
      <c r="E13" s="214">
        <f>砼配合!$J$49</f>
        <v>429.28800000000001</v>
      </c>
      <c r="F13" s="214"/>
      <c r="G13" s="214">
        <f>砼配合!$J$50</f>
        <v>44.949157853505696</v>
      </c>
      <c r="H13" s="214">
        <f>砼配合!$J$51</f>
        <v>28.454229471210343</v>
      </c>
      <c r="I13" s="214"/>
      <c r="J13" s="214"/>
      <c r="K13" s="214"/>
      <c r="L13" s="214"/>
      <c r="M13" s="214"/>
      <c r="N13" s="214"/>
      <c r="O13" s="199"/>
    </row>
    <row r="14" spans="1:15" ht="18" customHeight="1">
      <c r="A14" s="199">
        <f>砼配合!$B$54</f>
        <v>4256</v>
      </c>
      <c r="B14" s="204" t="s">
        <v>195</v>
      </c>
      <c r="C14" s="199" t="s">
        <v>194</v>
      </c>
      <c r="D14" s="214">
        <f>E14+F14+G14+H14+I14+J14+K14+L14+M14+N14</f>
        <v>589.74622495064614</v>
      </c>
      <c r="E14" s="214">
        <f>砼配合!$J$59</f>
        <v>325.37700000000001</v>
      </c>
      <c r="F14" s="214"/>
      <c r="G14" s="214">
        <f>砼配合!$J$62</f>
        <v>230.98736316098692</v>
      </c>
      <c r="H14" s="214">
        <f>砼配合!$J$64</f>
        <v>33.381861789659212</v>
      </c>
      <c r="I14" s="214"/>
      <c r="J14" s="214"/>
      <c r="K14" s="214"/>
      <c r="L14" s="214"/>
      <c r="M14" s="214"/>
      <c r="N14" s="214"/>
      <c r="O14" s="199"/>
    </row>
    <row r="15" spans="1:15" ht="18" customHeight="1">
      <c r="A15" s="199">
        <f>砼单价!$B$5</f>
        <v>4007</v>
      </c>
      <c r="B15" s="202" t="s">
        <v>196</v>
      </c>
      <c r="C15" s="199" t="s">
        <v>194</v>
      </c>
      <c r="D15" s="214">
        <f>SUM(E15:O15)</f>
        <v>48075.201127916131</v>
      </c>
      <c r="E15" s="214">
        <f>砼单价!$F$10+(E13+E14)*1.03</f>
        <v>6208.4329499999994</v>
      </c>
      <c r="F15" s="214">
        <f>砼单价!$F$13</f>
        <v>23518.14667437</v>
      </c>
      <c r="G15" s="214">
        <f>砼单价!$F$25+(G13+G14)*1.03</f>
        <v>1682.3495740718761</v>
      </c>
      <c r="H15" s="214">
        <f>(H13+H14)*1.03</f>
        <v>63.691173998695639</v>
      </c>
      <c r="I15" s="214">
        <f>砼单价!$F$37</f>
        <v>1510.6857778771475</v>
      </c>
      <c r="J15" s="214">
        <f>砼单价!$F$38</f>
        <v>0</v>
      </c>
      <c r="K15" s="214">
        <f>砼单价!$F$39</f>
        <v>2308.8314305222402</v>
      </c>
      <c r="L15" s="214">
        <f>砼单价!$F$40</f>
        <v>2470.4496306587971</v>
      </c>
      <c r="M15" s="214">
        <f>砼单价!$F$41</f>
        <v>5058.470175083713</v>
      </c>
      <c r="N15" s="214">
        <f>砼单价!$F$48</f>
        <v>3853.8951647924214</v>
      </c>
      <c r="O15" s="214">
        <f>砼单价!F50</f>
        <v>1400.2485765412464</v>
      </c>
    </row>
    <row r="16" spans="1:15" ht="18" customHeight="1">
      <c r="A16" s="199">
        <f>A15</f>
        <v>4007</v>
      </c>
      <c r="B16" s="202" t="s">
        <v>197</v>
      </c>
      <c r="C16" s="199" t="s">
        <v>194</v>
      </c>
      <c r="D16" s="214">
        <f>SUM(E16:O16)</f>
        <v>53631.101694093108</v>
      </c>
      <c r="E16" s="214">
        <f t="shared" ref="E16:L16" si="0">E15</f>
        <v>6208.4329499999994</v>
      </c>
      <c r="F16" s="214">
        <f t="shared" si="0"/>
        <v>23518.14667437</v>
      </c>
      <c r="G16" s="214">
        <f t="shared" si="0"/>
        <v>1682.3495740718761</v>
      </c>
      <c r="H16" s="214">
        <f t="shared" si="0"/>
        <v>63.691173998695639</v>
      </c>
      <c r="I16" s="214">
        <f t="shared" si="0"/>
        <v>1510.6857778771475</v>
      </c>
      <c r="J16" s="214">
        <f t="shared" si="0"/>
        <v>0</v>
      </c>
      <c r="K16" s="214">
        <f t="shared" si="0"/>
        <v>2308.8314305222402</v>
      </c>
      <c r="L16" s="214">
        <f t="shared" si="0"/>
        <v>2470.4496306587971</v>
      </c>
      <c r="M16" s="214">
        <f>M15+砼单价!E42*(材料预算价格表!K5-材料预算价格表!K6)</f>
        <v>10290.014964327565</v>
      </c>
      <c r="N16" s="214">
        <f>N15+砼单价!E42*(材料预算价格表!K5-材料预算价格表!K6)*0.032</f>
        <v>4021.3045980482248</v>
      </c>
      <c r="O16" s="214">
        <f>O15+砼单价!E42*(材料预算价格表!K5-材料预算价格表!K6)*取费!H6</f>
        <v>1557.1949202185619</v>
      </c>
    </row>
    <row r="17" spans="1:15" ht="18" customHeight="1">
      <c r="A17" s="199">
        <f>砼单价!B198</f>
        <v>4059</v>
      </c>
      <c r="B17" s="204" t="s">
        <v>198</v>
      </c>
      <c r="C17" s="199" t="s">
        <v>194</v>
      </c>
      <c r="D17" s="214">
        <f t="shared" ref="D17:D141" si="1">SUM(E17:O17)</f>
        <v>63865.673187533102</v>
      </c>
      <c r="E17" s="214">
        <f>砼单价!F203+(E13+E14)*1.03</f>
        <v>16386.410950000001</v>
      </c>
      <c r="F17" s="214">
        <f>砼单价!F206</f>
        <v>25554.894318179999</v>
      </c>
      <c r="G17" s="214">
        <f>砼单价!F217+(G13+G14)*1.03</f>
        <v>1187.0838806359184</v>
      </c>
      <c r="H17" s="214">
        <f>H16</f>
        <v>63.691173998695639</v>
      </c>
      <c r="I17" s="214">
        <f>砼单价!F229</f>
        <v>2073.2198554951019</v>
      </c>
      <c r="J17" s="214">
        <f>砼单价!F230</f>
        <v>0</v>
      </c>
      <c r="K17" s="214">
        <f>砼单价!F231</f>
        <v>3168.5710124816806</v>
      </c>
      <c r="L17" s="214">
        <f>砼单价!F232</f>
        <v>3390.3709833553985</v>
      </c>
      <c r="M17" s="214">
        <f>砼单价!F233</f>
        <v>5061.5449350837125</v>
      </c>
      <c r="N17" s="214">
        <f>砼单价!F240</f>
        <v>5119.7208398307457</v>
      </c>
      <c r="O17" s="214">
        <f>砼单价!F242</f>
        <v>1860.1652384718377</v>
      </c>
    </row>
    <row r="18" spans="1:15" ht="18" customHeight="1">
      <c r="A18" s="199">
        <f>A17</f>
        <v>4059</v>
      </c>
      <c r="B18" s="204" t="s">
        <v>199</v>
      </c>
      <c r="C18" s="199" t="s">
        <v>194</v>
      </c>
      <c r="D18" s="214">
        <f t="shared" si="1"/>
        <v>69422.62006266792</v>
      </c>
      <c r="E18" s="214">
        <f t="shared" ref="E18:L18" si="2">E17</f>
        <v>16386.410950000001</v>
      </c>
      <c r="F18" s="214">
        <f t="shared" si="2"/>
        <v>25554.894318179999</v>
      </c>
      <c r="G18" s="214">
        <f t="shared" si="2"/>
        <v>1187.0838806359184</v>
      </c>
      <c r="H18" s="214">
        <f t="shared" si="2"/>
        <v>63.691173998695639</v>
      </c>
      <c r="I18" s="214">
        <f t="shared" si="2"/>
        <v>2073.2198554951019</v>
      </c>
      <c r="J18" s="214">
        <f t="shared" si="2"/>
        <v>0</v>
      </c>
      <c r="K18" s="214">
        <f t="shared" si="2"/>
        <v>3168.5710124816806</v>
      </c>
      <c r="L18" s="214">
        <f t="shared" si="2"/>
        <v>3390.3709833553985</v>
      </c>
      <c r="M18" s="214">
        <f>M17+砼单价!E234*(材料预算价格表!K5-材料预算价格表!K6)</f>
        <v>10293.089724327565</v>
      </c>
      <c r="N18" s="214">
        <f>N17+砼单价!E234*(材料预算价格表!K5-材料预算价格表!K6)*0.0322</f>
        <v>5288.1765820443979</v>
      </c>
      <c r="O18" s="214">
        <f>O17+砼单价!E234*(材料预算价格表!K5-材料预算价格表!K6)*取费!H6</f>
        <v>2017.1115821491533</v>
      </c>
    </row>
    <row r="19" spans="1:15" ht="18" customHeight="1">
      <c r="A19" s="199">
        <f>砼单价!B246</f>
        <v>4056</v>
      </c>
      <c r="B19" s="204" t="s">
        <v>200</v>
      </c>
      <c r="C19" s="199" t="s">
        <v>194</v>
      </c>
      <c r="D19" s="214">
        <f t="shared" si="1"/>
        <v>47736.683609593354</v>
      </c>
      <c r="E19" s="214">
        <f>砼单价!F251+(E13+E14)*1.03</f>
        <v>9260.0709499999994</v>
      </c>
      <c r="F19" s="214">
        <f>砼单价!F254</f>
        <v>20725.486152420002</v>
      </c>
      <c r="G19" s="214">
        <f>砼单价!F265+(G13+G14)*1.03</f>
        <v>1174.3522280683508</v>
      </c>
      <c r="H19" s="214">
        <f>(H13+H14)*1.03</f>
        <v>63.691173998695639</v>
      </c>
      <c r="I19" s="214">
        <f>砼单价!F277</f>
        <v>1498.7328242153783</v>
      </c>
      <c r="J19" s="214">
        <f>砼单价!F278</f>
        <v>0</v>
      </c>
      <c r="K19" s="214">
        <f>砼单价!F279</f>
        <v>2290.56333300917</v>
      </c>
      <c r="L19" s="214">
        <f>砼单价!F280</f>
        <v>2450.9027663198117</v>
      </c>
      <c r="M19" s="214">
        <f>砼单价!F281</f>
        <v>5055.7370550837131</v>
      </c>
      <c r="N19" s="214">
        <f>砼单价!F288</f>
        <v>3826.7582834803611</v>
      </c>
      <c r="O19" s="214">
        <f>砼单价!F290</f>
        <v>1390.3888429978645</v>
      </c>
    </row>
    <row r="20" spans="1:15" ht="18" customHeight="1">
      <c r="A20" s="199">
        <f>砼单价!B294</f>
        <v>4057</v>
      </c>
      <c r="B20" s="204" t="s">
        <v>201</v>
      </c>
      <c r="C20" s="199" t="s">
        <v>194</v>
      </c>
      <c r="D20" s="214">
        <f t="shared" si="1"/>
        <v>59376.629040847489</v>
      </c>
      <c r="E20" s="214">
        <f>砼单价!F299+(E13+E14)*1.03</f>
        <v>12025.57395</v>
      </c>
      <c r="F20" s="214">
        <f>砼单价!F302</f>
        <v>25963.612354050005</v>
      </c>
      <c r="G20" s="214">
        <f>砼单价!F313+(G13+G14)*1.03</f>
        <v>1679.2255207710541</v>
      </c>
      <c r="H20" s="214">
        <f>(H13+H14)*1.03</f>
        <v>63.691173998695639</v>
      </c>
      <c r="I20" s="214">
        <f>砼单价!F325</f>
        <v>1907.1409439433482</v>
      </c>
      <c r="J20" s="214">
        <f>砼单价!F326</f>
        <v>0</v>
      </c>
      <c r="K20" s="214">
        <f>砼单价!F327</f>
        <v>2914.7470759934176</v>
      </c>
      <c r="L20" s="214">
        <f>砼单价!F328</f>
        <v>3118.7793713129568</v>
      </c>
      <c r="M20" s="214">
        <f>砼单价!F329</f>
        <v>5214.5806750837128</v>
      </c>
      <c r="N20" s="214">
        <f>砼单价!F336</f>
        <v>4759.8615958637865</v>
      </c>
      <c r="O20" s="214">
        <f>砼单价!F338</f>
        <v>1729.4163798305094</v>
      </c>
    </row>
    <row r="21" spans="1:15" ht="18" customHeight="1">
      <c r="A21" s="199">
        <f>A20</f>
        <v>4057</v>
      </c>
      <c r="B21" s="204" t="s">
        <v>202</v>
      </c>
      <c r="C21" s="199" t="s">
        <v>194</v>
      </c>
      <c r="D21" s="214">
        <f t="shared" si="1"/>
        <v>64933.575915982299</v>
      </c>
      <c r="E21" s="214">
        <f t="shared" ref="E21:L21" si="3">E20</f>
        <v>12025.57395</v>
      </c>
      <c r="F21" s="214">
        <f t="shared" si="3"/>
        <v>25963.612354050005</v>
      </c>
      <c r="G21" s="214">
        <f t="shared" si="3"/>
        <v>1679.2255207710541</v>
      </c>
      <c r="H21" s="214">
        <f t="shared" si="3"/>
        <v>63.691173998695639</v>
      </c>
      <c r="I21" s="214">
        <f t="shared" si="3"/>
        <v>1907.1409439433482</v>
      </c>
      <c r="J21" s="214">
        <f t="shared" si="3"/>
        <v>0</v>
      </c>
      <c r="K21" s="214">
        <f t="shared" si="3"/>
        <v>2914.7470759934176</v>
      </c>
      <c r="L21" s="214">
        <f t="shared" si="3"/>
        <v>3118.7793713129568</v>
      </c>
      <c r="M21" s="214">
        <f>M20+砼单价!E330*(材料预算价格表!K5-材料预算价格表!K6)</f>
        <v>10446.125464327564</v>
      </c>
      <c r="N21" s="214">
        <f>N20+砼单价!E330*(材料预算价格表!K5-材料预算价格表!K6)*0.0322</f>
        <v>4928.3173380774388</v>
      </c>
      <c r="O21" s="214">
        <f>O20+砼单价!E330*(材料预算价格表!K5-材料预算价格表!K6)*取费!H6</f>
        <v>1886.362723507825</v>
      </c>
    </row>
    <row r="22" spans="1:15" ht="18" customHeight="1">
      <c r="A22" s="199">
        <f>砼单价!$B$150</f>
        <v>4045</v>
      </c>
      <c r="B22" s="204" t="s">
        <v>203</v>
      </c>
      <c r="C22" s="199" t="s">
        <v>194</v>
      </c>
      <c r="D22" s="214">
        <f t="shared" si="1"/>
        <v>48507.481515735133</v>
      </c>
      <c r="E22" s="214">
        <f>砼单价!$F$155+(E13+E14)*1.03</f>
        <v>9360.4109499999995</v>
      </c>
      <c r="F22" s="214">
        <f>砼单价!$F$158</f>
        <v>21168.91966055</v>
      </c>
      <c r="G22" s="214">
        <f>砼单价!$F$169+(G13+G14)*1.03</f>
        <v>1218.1545229622013</v>
      </c>
      <c r="H22" s="214">
        <f>(H13+H14)*1.03</f>
        <v>63.691173998695639</v>
      </c>
      <c r="I22" s="214">
        <f>砼单价!$F$181</f>
        <v>1526.936462760523</v>
      </c>
      <c r="J22" s="214">
        <f>砼单价!$F$182</f>
        <v>0</v>
      </c>
      <c r="K22" s="214">
        <f>砼单价!$F$183</f>
        <v>2333.6678939189997</v>
      </c>
      <c r="L22" s="214">
        <f>砼单价!$F$184</f>
        <v>2497.0246464933298</v>
      </c>
      <c r="M22" s="214">
        <f>砼单价!$F$185</f>
        <v>5037.2884950837124</v>
      </c>
      <c r="N22" s="214">
        <f>砼单价!$F$192</f>
        <v>3888.5484425190716</v>
      </c>
      <c r="O22" s="214">
        <f>砼单价!F194</f>
        <v>1412.839267448596</v>
      </c>
    </row>
    <row r="23" spans="1:15" ht="18" customHeight="1">
      <c r="A23" s="199">
        <f>砼单价!$B$342</f>
        <v>4046</v>
      </c>
      <c r="B23" s="203" t="s">
        <v>204</v>
      </c>
      <c r="C23" s="199" t="s">
        <v>194</v>
      </c>
      <c r="D23" s="214">
        <f t="shared" si="1"/>
        <v>47094.005369264523</v>
      </c>
      <c r="E23" s="214">
        <f>砼单价!$F$347+(E13+E14)*1.03</f>
        <v>7941.2809499999994</v>
      </c>
      <c r="F23" s="214">
        <f>砼单价!$F$350</f>
        <v>21496.72151127</v>
      </c>
      <c r="G23" s="214">
        <f>砼单价!$F$361+(G13+G14)*1.03</f>
        <v>1256.7749195732472</v>
      </c>
      <c r="H23" s="214">
        <f>(H13+H14)*1.03</f>
        <v>63.691173998695639</v>
      </c>
      <c r="I23" s="214">
        <f>砼单价!$F$373</f>
        <v>1476.4064906324131</v>
      </c>
      <c r="J23" s="214">
        <f>砼单价!$F$374</f>
        <v>0</v>
      </c>
      <c r="K23" s="214">
        <f>砼单价!$F$375</f>
        <v>2256.4412531832049</v>
      </c>
      <c r="L23" s="214">
        <f>砼单价!$F$376</f>
        <v>2414.392140906029</v>
      </c>
      <c r="M23" s="214">
        <f>砼单价!$F$377</f>
        <v>5041.3881750837127</v>
      </c>
      <c r="N23" s="214">
        <f>砼单价!$F$384</f>
        <v>3775.2386953182563</v>
      </c>
      <c r="O23" s="214">
        <f>砼单价!F386</f>
        <v>1371.6700592989664</v>
      </c>
    </row>
    <row r="24" spans="1:15" ht="18" customHeight="1">
      <c r="A24" s="199">
        <f>A23</f>
        <v>4046</v>
      </c>
      <c r="B24" s="204" t="s">
        <v>205</v>
      </c>
      <c r="C24" s="199" t="s">
        <v>194</v>
      </c>
      <c r="D24" s="214">
        <f t="shared" si="1"/>
        <v>52650.952244399341</v>
      </c>
      <c r="E24" s="214">
        <f t="shared" ref="E24:L24" si="4">E23</f>
        <v>7941.2809499999994</v>
      </c>
      <c r="F24" s="214">
        <f t="shared" si="4"/>
        <v>21496.72151127</v>
      </c>
      <c r="G24" s="214">
        <f t="shared" si="4"/>
        <v>1256.7749195732472</v>
      </c>
      <c r="H24" s="214">
        <f t="shared" si="4"/>
        <v>63.691173998695639</v>
      </c>
      <c r="I24" s="214">
        <f t="shared" si="4"/>
        <v>1476.4064906324131</v>
      </c>
      <c r="J24" s="214">
        <f t="shared" si="4"/>
        <v>0</v>
      </c>
      <c r="K24" s="214">
        <f t="shared" si="4"/>
        <v>2256.4412531832049</v>
      </c>
      <c r="L24" s="214">
        <f t="shared" si="4"/>
        <v>2414.392140906029</v>
      </c>
      <c r="M24" s="214">
        <f>M23+砼单价!E378*(材料预算价格表!K5-材料预算价格表!K6)</f>
        <v>10272.932964327565</v>
      </c>
      <c r="N24" s="214">
        <f>N23+砼单价!E378*(材料预算价格表!K5-材料预算价格表!K6)*0.0322</f>
        <v>3943.6944375319085</v>
      </c>
      <c r="O24" s="214">
        <f>O23+砼单价!E378*(材料预算价格表!K5-材料预算价格表!K6)*取费!H6</f>
        <v>1528.616402976282</v>
      </c>
    </row>
    <row r="25" spans="1:15" ht="18" customHeight="1">
      <c r="A25" s="199">
        <f>砼单价!$B$390</f>
        <v>4047</v>
      </c>
      <c r="B25" s="204" t="s">
        <v>206</v>
      </c>
      <c r="C25" s="199" t="s">
        <v>194</v>
      </c>
      <c r="D25" s="214">
        <f t="shared" si="1"/>
        <v>54101.843354840959</v>
      </c>
      <c r="E25" s="214">
        <f>砼单价!$F$395+(E13+E14)*1.03</f>
        <v>8863.4009499999993</v>
      </c>
      <c r="F25" s="214">
        <f>砼单价!$F$398</f>
        <v>25221.632792459997</v>
      </c>
      <c r="G25" s="214">
        <f>砼单价!$F$409+(G13+G14)*1.03</f>
        <v>1769.7138596437524</v>
      </c>
      <c r="H25" s="214">
        <f>(H13+H14)*1.03</f>
        <v>63.691173998695639</v>
      </c>
      <c r="I25" s="214">
        <f>砼单价!$F$421</f>
        <v>1724.0850612529175</v>
      </c>
      <c r="J25" s="214">
        <f>砼单价!$F$422</f>
        <v>0</v>
      </c>
      <c r="K25" s="214">
        <f>砼单价!$F$423</f>
        <v>2634.976668614876</v>
      </c>
      <c r="L25" s="214">
        <f>砼单价!$F$424</f>
        <v>2819.4250354179171</v>
      </c>
      <c r="M25" s="214">
        <f>砼单价!$F$425</f>
        <v>5092.1217150837128</v>
      </c>
      <c r="N25" s="214">
        <f>砼单价!$F$432</f>
        <v>4337.0142530824678</v>
      </c>
      <c r="O25" s="214">
        <f>砼单价!F434</f>
        <v>1575.78184528663</v>
      </c>
    </row>
    <row r="26" spans="1:15" ht="18" customHeight="1">
      <c r="A26" s="199">
        <f>A25</f>
        <v>4047</v>
      </c>
      <c r="B26" s="204" t="s">
        <v>207</v>
      </c>
      <c r="C26" s="199" t="s">
        <v>194</v>
      </c>
      <c r="D26" s="214">
        <f t="shared" si="1"/>
        <v>59658.790229975792</v>
      </c>
      <c r="E26" s="214">
        <f t="shared" ref="E26:L26" si="5">E25</f>
        <v>8863.4009499999993</v>
      </c>
      <c r="F26" s="214">
        <f t="shared" si="5"/>
        <v>25221.632792459997</v>
      </c>
      <c r="G26" s="214">
        <f t="shared" si="5"/>
        <v>1769.7138596437524</v>
      </c>
      <c r="H26" s="214">
        <f t="shared" si="5"/>
        <v>63.691173998695639</v>
      </c>
      <c r="I26" s="214">
        <f t="shared" si="5"/>
        <v>1724.0850612529175</v>
      </c>
      <c r="J26" s="214">
        <f t="shared" si="5"/>
        <v>0</v>
      </c>
      <c r="K26" s="214">
        <f t="shared" si="5"/>
        <v>2634.976668614876</v>
      </c>
      <c r="L26" s="214">
        <f t="shared" si="5"/>
        <v>2819.4250354179171</v>
      </c>
      <c r="M26" s="214">
        <f>M25+砼单价!E426*(材料预算价格表!K5-材料预算价格表!K6)</f>
        <v>10323.666504327564</v>
      </c>
      <c r="N26" s="214">
        <f>N25+砼单价!E426*(材料预算价格表!K5-材料预算价格表!K6)*0.0322</f>
        <v>4505.46999529612</v>
      </c>
      <c r="O26" s="214">
        <f>O25+砼单价!E426*(材料预算价格表!K5-材料预算价格表!K6)*取费!H6</f>
        <v>1732.7281889639455</v>
      </c>
    </row>
    <row r="27" spans="1:15" ht="18" customHeight="1">
      <c r="A27" s="199">
        <f>砼单价!B438</f>
        <v>4062</v>
      </c>
      <c r="B27" s="204" t="s">
        <v>208</v>
      </c>
      <c r="C27" s="199" t="s">
        <v>194</v>
      </c>
      <c r="D27" s="214">
        <f t="shared" si="1"/>
        <v>57523.496355015355</v>
      </c>
      <c r="E27" s="214">
        <f>砼单价!F443+(E13+E14)*1.03</f>
        <v>9739.9159500000005</v>
      </c>
      <c r="F27" s="214">
        <f>砼单价!F446</f>
        <v>27107.985333180004</v>
      </c>
      <c r="G27" s="214">
        <f>砼单价!F457+(G13+G14)*1.03</f>
        <v>1532.4289785683504</v>
      </c>
      <c r="H27" s="214">
        <f>(H13+H14)*1.03</f>
        <v>63.691173998695639</v>
      </c>
      <c r="I27" s="214">
        <f>砼单价!F469</f>
        <v>1845.3130289158587</v>
      </c>
      <c r="J27" s="214">
        <f>砼单价!F470</f>
        <v>0</v>
      </c>
      <c r="K27" s="214">
        <f>砼单价!F471</f>
        <v>2820.2534125264042</v>
      </c>
      <c r="L27" s="214">
        <f>砼单价!F472</f>
        <v>3017.6711514032527</v>
      </c>
      <c r="M27" s="214">
        <f>砼单价!F473</f>
        <v>5109.4884150837124</v>
      </c>
      <c r="N27" s="214">
        <f>砼单价!F480</f>
        <v>4611.307269930865</v>
      </c>
      <c r="O27" s="214">
        <f>砼单价!F482</f>
        <v>1675.4416414082141</v>
      </c>
    </row>
    <row r="28" spans="1:15" ht="18" customHeight="1">
      <c r="A28" s="199">
        <f>A27</f>
        <v>4062</v>
      </c>
      <c r="B28" s="204" t="s">
        <v>209</v>
      </c>
      <c r="C28" s="199" t="s">
        <v>194</v>
      </c>
      <c r="D28" s="214">
        <f t="shared" si="1"/>
        <v>63080.44323015018</v>
      </c>
      <c r="E28" s="214">
        <f t="shared" ref="E28:L28" si="6">E27</f>
        <v>9739.9159500000005</v>
      </c>
      <c r="F28" s="214">
        <f t="shared" si="6"/>
        <v>27107.985333180004</v>
      </c>
      <c r="G28" s="214">
        <f t="shared" si="6"/>
        <v>1532.4289785683504</v>
      </c>
      <c r="H28" s="214">
        <f t="shared" si="6"/>
        <v>63.691173998695639</v>
      </c>
      <c r="I28" s="214">
        <f t="shared" si="6"/>
        <v>1845.3130289158587</v>
      </c>
      <c r="J28" s="214">
        <f t="shared" si="6"/>
        <v>0</v>
      </c>
      <c r="K28" s="214">
        <f t="shared" si="6"/>
        <v>2820.2534125264042</v>
      </c>
      <c r="L28" s="214">
        <f t="shared" si="6"/>
        <v>3017.6711514032527</v>
      </c>
      <c r="M28" s="214">
        <f>M27+砼单价!E474*(材料预算价格表!K5-材料预算价格表!K6)</f>
        <v>10341.033204327565</v>
      </c>
      <c r="N28" s="214">
        <f>N27+砼单价!E474*(材料预算价格表!K5-材料预算价格表!K6)*0.0322</f>
        <v>4779.7630121445172</v>
      </c>
      <c r="O28" s="214">
        <f>O27+砼单价!E474*(材料预算价格表!K5-材料预算价格表!K6)*取费!H6</f>
        <v>1832.3879850855296</v>
      </c>
    </row>
    <row r="29" spans="1:15" ht="18" customHeight="1">
      <c r="A29" s="199">
        <f>砼单价!$B$486</f>
        <v>4053</v>
      </c>
      <c r="B29" s="204" t="s">
        <v>210</v>
      </c>
      <c r="C29" s="199" t="s">
        <v>194</v>
      </c>
      <c r="D29" s="214">
        <f t="shared" si="1"/>
        <v>48873.919946843729</v>
      </c>
      <c r="E29" s="214">
        <f>砼单价!$F$491+(E13+E14)*1.03</f>
        <v>9627.3809499999988</v>
      </c>
      <c r="F29" s="214">
        <f>砼单价!$F$494</f>
        <v>21168.571549380002</v>
      </c>
      <c r="G29" s="214">
        <f>砼单价!$F$505+(G13+G14)*1.03</f>
        <v>1201.7752273926753</v>
      </c>
      <c r="H29" s="214">
        <f>(H13+H14)*1.03</f>
        <v>63.691173998695639</v>
      </c>
      <c r="I29" s="214">
        <f>砼单价!$F$516</f>
        <v>1538.9481072370259</v>
      </c>
      <c r="J29" s="214">
        <f>砼单价!$F$517</f>
        <v>0</v>
      </c>
      <c r="K29" s="214">
        <f>砼单价!$F$518</f>
        <v>2352.0256905605879</v>
      </c>
      <c r="L29" s="214">
        <f>砼单价!$F$519</f>
        <v>2516.6674888998291</v>
      </c>
      <c r="M29" s="214">
        <f>砼单价!$F$520</f>
        <v>5063.4239550837128</v>
      </c>
      <c r="N29" s="214">
        <f>砼单价!$F$527</f>
        <v>3917.9235728297276</v>
      </c>
      <c r="O29" s="214">
        <f>砼单价!F529</f>
        <v>1423.5122314614678</v>
      </c>
    </row>
    <row r="30" spans="1:15" ht="18" customHeight="1">
      <c r="A30" s="199">
        <f>A29</f>
        <v>4053</v>
      </c>
      <c r="B30" s="204" t="s">
        <v>211</v>
      </c>
      <c r="C30" s="199" t="s">
        <v>194</v>
      </c>
      <c r="D30" s="214">
        <f t="shared" si="1"/>
        <v>54430.86682197854</v>
      </c>
      <c r="E30" s="214">
        <f t="shared" ref="E30:L30" si="7">E29</f>
        <v>9627.3809499999988</v>
      </c>
      <c r="F30" s="214">
        <f t="shared" si="7"/>
        <v>21168.571549380002</v>
      </c>
      <c r="G30" s="214">
        <f t="shared" si="7"/>
        <v>1201.7752273926753</v>
      </c>
      <c r="H30" s="214">
        <f t="shared" si="7"/>
        <v>63.691173998695639</v>
      </c>
      <c r="I30" s="214">
        <f t="shared" si="7"/>
        <v>1538.9481072370259</v>
      </c>
      <c r="J30" s="214">
        <f t="shared" si="7"/>
        <v>0</v>
      </c>
      <c r="K30" s="214">
        <f t="shared" si="7"/>
        <v>2352.0256905605879</v>
      </c>
      <c r="L30" s="214">
        <f t="shared" si="7"/>
        <v>2516.6674888998291</v>
      </c>
      <c r="M30" s="214">
        <f>M29+砼单价!E521*(材料预算价格表!K5-材料预算价格表!K6)</f>
        <v>10294.968744327565</v>
      </c>
      <c r="N30" s="214">
        <f>N29+砼单价!E521*(材料预算价格表!K5-材料预算价格表!K6)*0.0322</f>
        <v>4086.3793150433798</v>
      </c>
      <c r="O30" s="214">
        <f>O29+砼单价!E521*(材料预算价格表!K5-材料预算价格表!K6)*取费!H6</f>
        <v>1580.4585751387833</v>
      </c>
    </row>
    <row r="31" spans="1:15" ht="18" customHeight="1">
      <c r="A31" s="199">
        <v>4051</v>
      </c>
      <c r="B31" s="204" t="s">
        <v>212</v>
      </c>
      <c r="C31" s="199" t="s">
        <v>194</v>
      </c>
      <c r="D31" s="214">
        <f t="shared" ref="D31" si="8">SUM(E31:O31)</f>
        <v>41918.527810634216</v>
      </c>
      <c r="E31" s="214">
        <f>砼单价!F538+(E13+E14)*1.03</f>
        <v>11092.95095</v>
      </c>
      <c r="F31" s="214">
        <f>砼单价!F541</f>
        <v>16168.8652026</v>
      </c>
      <c r="G31" s="214">
        <f>砼单价!F552+(G13+G14)*1.03</f>
        <v>1246.9847725133175</v>
      </c>
      <c r="H31" s="214">
        <f>(H13+H14)*1.03</f>
        <v>63.691173998695639</v>
      </c>
      <c r="I31" s="214">
        <f>砼单价!F563</f>
        <v>1371.4796207573766</v>
      </c>
      <c r="J31" s="214">
        <f>砼单价!F564</f>
        <v>0</v>
      </c>
      <c r="K31" s="214">
        <f>砼单价!F565</f>
        <v>2096.0780203908575</v>
      </c>
      <c r="L31" s="214">
        <f>砼单价!F566</f>
        <v>2242.8034818182177</v>
      </c>
      <c r="M31" s="214">
        <f>砼单价!F567</f>
        <v>3054.3943156735786</v>
      </c>
      <c r="N31" s="214">
        <f>砼单价!F574</f>
        <v>3360.3522783976841</v>
      </c>
      <c r="O31" s="214">
        <f>砼单价!F576</f>
        <v>1220.9279944844918</v>
      </c>
    </row>
    <row r="32" spans="1:15" ht="18" customHeight="1">
      <c r="A32" s="199">
        <f>砼单价!$B$580</f>
        <v>4052</v>
      </c>
      <c r="B32" s="204" t="s">
        <v>213</v>
      </c>
      <c r="C32" s="199" t="s">
        <v>194</v>
      </c>
      <c r="D32" s="214">
        <f t="shared" si="1"/>
        <v>58100.819022985568</v>
      </c>
      <c r="E32" s="214">
        <f>砼单价!$F$585+(E13+E14)*1.03</f>
        <v>13836.70095</v>
      </c>
      <c r="F32" s="214">
        <f>砼单价!$F$588</f>
        <v>24092.032158419999</v>
      </c>
      <c r="G32" s="214">
        <f>砼单价!$F$599+(G13+G14)*1.03</f>
        <v>1289.3723776602035</v>
      </c>
      <c r="H32" s="214">
        <f>(H13+H14)*1.03</f>
        <v>63.691173998695639</v>
      </c>
      <c r="I32" s="214">
        <f>砼单价!$F$610</f>
        <v>1885.5262396837873</v>
      </c>
      <c r="J32" s="214">
        <f>砼单价!$F$611</f>
        <v>0</v>
      </c>
      <c r="K32" s="214">
        <f>砼单价!$F$612</f>
        <v>2881.7126029833885</v>
      </c>
      <c r="L32" s="214">
        <f>砼单价!$F$613</f>
        <v>3083.4324851922256</v>
      </c>
      <c r="M32" s="214">
        <f>砼单价!$F$614</f>
        <v>4618.5064691611606</v>
      </c>
      <c r="N32" s="214">
        <f>砼单价!$F$621</f>
        <v>4657.5877011389521</v>
      </c>
      <c r="O32" s="214">
        <f>砼单价!F623</f>
        <v>1692.2568647471526</v>
      </c>
    </row>
    <row r="33" spans="1:15" ht="18" customHeight="1">
      <c r="A33" s="199">
        <f>A32</f>
        <v>4052</v>
      </c>
      <c r="B33" s="204" t="s">
        <v>214</v>
      </c>
      <c r="C33" s="199" t="s">
        <v>194</v>
      </c>
      <c r="D33" s="214">
        <f t="shared" si="1"/>
        <v>63119.376581498327</v>
      </c>
      <c r="E33" s="214">
        <f t="shared" ref="E33:L33" si="9">E32</f>
        <v>13836.70095</v>
      </c>
      <c r="F33" s="214">
        <f t="shared" si="9"/>
        <v>24092.032158419999</v>
      </c>
      <c r="G33" s="214">
        <f t="shared" si="9"/>
        <v>1289.3723776602035</v>
      </c>
      <c r="H33" s="214">
        <f t="shared" si="9"/>
        <v>63.691173998695639</v>
      </c>
      <c r="I33" s="214">
        <f t="shared" si="9"/>
        <v>1885.5262396837873</v>
      </c>
      <c r="J33" s="214">
        <f t="shared" si="9"/>
        <v>0</v>
      </c>
      <c r="K33" s="214">
        <f t="shared" si="9"/>
        <v>2881.7126029833885</v>
      </c>
      <c r="L33" s="214">
        <f t="shared" si="9"/>
        <v>3083.4324851922256</v>
      </c>
      <c r="M33" s="214">
        <f>M32+砼单价!E615*(材料预算价格表!K5-材料预算价格表!K6)</f>
        <v>9343.1887874748136</v>
      </c>
      <c r="N33" s="214">
        <f>N32+砼单价!E615*(材料预算价格表!K5-材料预算价格表!K6)*0.0322</f>
        <v>4809.722471788652</v>
      </c>
      <c r="O33" s="214">
        <f>O32+砼单价!E615*(材料预算价格表!K5-材料预算价格表!K6)*取费!H6</f>
        <v>1833.9973342965623</v>
      </c>
    </row>
    <row r="34" spans="1:15" ht="18" customHeight="1">
      <c r="A34" s="199">
        <f>砼单价!$B$627</f>
        <v>4067</v>
      </c>
      <c r="B34" s="204" t="s">
        <v>215</v>
      </c>
      <c r="C34" s="199" t="s">
        <v>194</v>
      </c>
      <c r="D34" s="214">
        <f t="shared" si="1"/>
        <v>44219.239228668535</v>
      </c>
      <c r="E34" s="214">
        <f>砼单价!$F$632+(E13+E14)*1.03</f>
        <v>7998.9619499999999</v>
      </c>
      <c r="F34" s="214">
        <f>砼单价!$F$635</f>
        <v>19566.334348004999</v>
      </c>
      <c r="G34" s="214">
        <f>砼单价!$F$646+(G13+G14)*1.03</f>
        <v>1008.2651982030943</v>
      </c>
      <c r="H34" s="214">
        <f>(H13+H14)*1.03</f>
        <v>63.691173998695639</v>
      </c>
      <c r="I34" s="214">
        <f>砼单价!$F$657</f>
        <v>1374.5881281699258</v>
      </c>
      <c r="J34" s="214">
        <f>砼单价!$F$658</f>
        <v>0</v>
      </c>
      <c r="K34" s="214">
        <f>砼单价!$F$659</f>
        <v>2100.8288558863701</v>
      </c>
      <c r="L34" s="214">
        <f>砼单价!$F$660</f>
        <v>2247.886875798416</v>
      </c>
      <c r="M34" s="214">
        <f>砼单价!$F$661</f>
        <v>5025.9574350837129</v>
      </c>
      <c r="N34" s="214">
        <f>砼单价!$F$668</f>
        <v>3544.786256863069</v>
      </c>
      <c r="O34" s="214">
        <f>砼单价!F670</f>
        <v>1287.9390066602482</v>
      </c>
    </row>
    <row r="35" spans="1:15" ht="18" customHeight="1">
      <c r="A35" s="199">
        <f>A34</f>
        <v>4067</v>
      </c>
      <c r="B35" s="204" t="s">
        <v>216</v>
      </c>
      <c r="C35" s="199" t="s">
        <v>194</v>
      </c>
      <c r="D35" s="214">
        <f t="shared" si="1"/>
        <v>49776.18610380336</v>
      </c>
      <c r="E35" s="214">
        <f t="shared" ref="E35:L35" si="10">E34</f>
        <v>7998.9619499999999</v>
      </c>
      <c r="F35" s="214">
        <f t="shared" si="10"/>
        <v>19566.334348004999</v>
      </c>
      <c r="G35" s="214">
        <f t="shared" si="10"/>
        <v>1008.2651982030943</v>
      </c>
      <c r="H35" s="214">
        <f t="shared" si="10"/>
        <v>63.691173998695639</v>
      </c>
      <c r="I35" s="214">
        <f t="shared" si="10"/>
        <v>1374.5881281699258</v>
      </c>
      <c r="J35" s="214">
        <f t="shared" si="10"/>
        <v>0</v>
      </c>
      <c r="K35" s="214">
        <f t="shared" si="10"/>
        <v>2100.8288558863701</v>
      </c>
      <c r="L35" s="214">
        <f t="shared" si="10"/>
        <v>2247.886875798416</v>
      </c>
      <c r="M35" s="214">
        <f>M34+砼单价!E662*(材料预算价格表!K5-材料预算价格表!K6)</f>
        <v>10257.502224327565</v>
      </c>
      <c r="N35" s="214">
        <f>N34+砼单价!E662*(材料预算价格表!K5-材料预算价格表!K6)*0.0322</f>
        <v>3713.2419990767212</v>
      </c>
      <c r="O35" s="214">
        <f>O34+砼单价!E662*(材料预算价格表!K5-材料预算价格表!K6)*取费!H6</f>
        <v>1444.8853503375638</v>
      </c>
    </row>
    <row r="36" spans="1:15" ht="18" customHeight="1">
      <c r="A36" s="199">
        <f>砼单价!$B$674</f>
        <v>4069</v>
      </c>
      <c r="B36" s="204" t="s">
        <v>217</v>
      </c>
      <c r="C36" s="199" t="s">
        <v>194</v>
      </c>
      <c r="D36" s="214">
        <f t="shared" si="1"/>
        <v>49069.367386076701</v>
      </c>
      <c r="E36" s="214">
        <f>砼单价!$F$679+(E13+E14)*1.03</f>
        <v>12478.01195</v>
      </c>
      <c r="F36" s="214">
        <f>砼单价!$F$682</f>
        <v>19436.592415353</v>
      </c>
      <c r="G36" s="214">
        <f>砼单价!$F$692+(G13+G14)*1.03</f>
        <v>1151.4460952036818</v>
      </c>
      <c r="H36" s="214">
        <f>(H13+H14)*1.03</f>
        <v>63.691173998695639</v>
      </c>
      <c r="I36" s="214">
        <f>砼单价!$F$703</f>
        <v>1590.2275984586583</v>
      </c>
      <c r="J36" s="214">
        <f>砼单价!$F$704</f>
        <v>0</v>
      </c>
      <c r="K36" s="214">
        <f>砼单价!$F$705</f>
        <v>2430.3978463109829</v>
      </c>
      <c r="L36" s="214">
        <f>砼单价!$F$706</f>
        <v>2600.5256955527516</v>
      </c>
      <c r="M36" s="214">
        <f>砼单价!$F$707</f>
        <v>3955.6783359057886</v>
      </c>
      <c r="N36" s="214">
        <f>砼单价!$F$714</f>
        <v>3933.5913999705203</v>
      </c>
      <c r="O36" s="214">
        <f>砼单价!F716</f>
        <v>1429.2048753226225</v>
      </c>
    </row>
    <row r="37" spans="1:15" ht="18" customHeight="1">
      <c r="A37" s="199">
        <f>A36</f>
        <v>4069</v>
      </c>
      <c r="B37" s="204" t="s">
        <v>218</v>
      </c>
      <c r="C37" s="199" t="s">
        <v>194</v>
      </c>
      <c r="D37" s="214">
        <f t="shared" si="1"/>
        <v>53070.384776501451</v>
      </c>
      <c r="E37" s="214">
        <f t="shared" ref="E37:L37" si="11">E36</f>
        <v>12478.01195</v>
      </c>
      <c r="F37" s="214">
        <f t="shared" si="11"/>
        <v>19436.592415353</v>
      </c>
      <c r="G37" s="214">
        <f t="shared" si="11"/>
        <v>1151.4460952036818</v>
      </c>
      <c r="H37" s="214">
        <f t="shared" si="11"/>
        <v>63.691173998695639</v>
      </c>
      <c r="I37" s="214">
        <f t="shared" si="11"/>
        <v>1590.2275984586583</v>
      </c>
      <c r="J37" s="214">
        <f t="shared" si="11"/>
        <v>0</v>
      </c>
      <c r="K37" s="214">
        <f t="shared" si="11"/>
        <v>2430.3978463109829</v>
      </c>
      <c r="L37" s="214">
        <f t="shared" si="11"/>
        <v>2600.5256955527516</v>
      </c>
      <c r="M37" s="214">
        <f>M36+砼单价!E708*(材料预算价格表!K5-材料预算价格表!K6)</f>
        <v>7723.1146734055483</v>
      </c>
      <c r="N37" s="214">
        <f>N36+砼单价!E708*(材料预算价格表!K5-材料预算价格表!K6)*0.032</f>
        <v>4054.1493627705127</v>
      </c>
      <c r="O37" s="214">
        <f>O36+砼单价!E708*(材料预算价格表!K5-材料预算价格表!K6)*取费!H6</f>
        <v>1542.2279654476151</v>
      </c>
    </row>
    <row r="38" spans="1:15" ht="18" customHeight="1">
      <c r="A38" s="199">
        <f>砼单价!$B$720</f>
        <v>4073</v>
      </c>
      <c r="B38" s="204" t="s">
        <v>219</v>
      </c>
      <c r="C38" s="199" t="s">
        <v>194</v>
      </c>
      <c r="D38" s="214">
        <f t="shared" si="1"/>
        <v>43402.178564230802</v>
      </c>
      <c r="E38" s="214">
        <f>砼单价!$F$725+(E13+E14)*1.03</f>
        <v>7046.8409499999998</v>
      </c>
      <c r="F38" s="214">
        <f>砼单价!$F$728</f>
        <v>19853.237067000002</v>
      </c>
      <c r="G38" s="214">
        <f>砼单价!$F$739+(G13+G14)*1.03</f>
        <v>1071.9705805908734</v>
      </c>
      <c r="H38" s="214">
        <f>(H13+H14)*1.03</f>
        <v>63.691173998695639</v>
      </c>
      <c r="I38" s="214">
        <f>砼单价!$F$750</f>
        <v>1345.7155090362994</v>
      </c>
      <c r="J38" s="214">
        <f>砼单价!$F$751</f>
        <v>0</v>
      </c>
      <c r="K38" s="214">
        <f>砼单价!$F$752</f>
        <v>2056.7018696438113</v>
      </c>
      <c r="L38" s="214">
        <f>砼单价!$F$753</f>
        <v>2200.6710005188779</v>
      </c>
      <c r="M38" s="214">
        <f>砼单价!$F$754</f>
        <v>5019.9217950837128</v>
      </c>
      <c r="N38" s="214">
        <f>砼单价!$F$761</f>
        <v>3479.2874951285044</v>
      </c>
      <c r="O38" s="214">
        <f>砼单价!F763</f>
        <v>1264.1411232300234</v>
      </c>
    </row>
    <row r="39" spans="1:15" ht="18" customHeight="1">
      <c r="A39" s="199">
        <f>A38</f>
        <v>4073</v>
      </c>
      <c r="B39" s="204" t="s">
        <v>220</v>
      </c>
      <c r="C39" s="199" t="s">
        <v>194</v>
      </c>
      <c r="D39" s="214">
        <f t="shared" si="1"/>
        <v>48959.12543936562</v>
      </c>
      <c r="E39" s="214">
        <f t="shared" ref="E39:L39" si="12">E38</f>
        <v>7046.8409499999998</v>
      </c>
      <c r="F39" s="214">
        <f t="shared" si="12"/>
        <v>19853.237067000002</v>
      </c>
      <c r="G39" s="214">
        <f t="shared" si="12"/>
        <v>1071.9705805908734</v>
      </c>
      <c r="H39" s="214">
        <f t="shared" si="12"/>
        <v>63.691173998695639</v>
      </c>
      <c r="I39" s="214">
        <f t="shared" si="12"/>
        <v>1345.7155090362994</v>
      </c>
      <c r="J39" s="214">
        <f t="shared" si="12"/>
        <v>0</v>
      </c>
      <c r="K39" s="214">
        <f t="shared" si="12"/>
        <v>2056.7018696438113</v>
      </c>
      <c r="L39" s="214">
        <f t="shared" si="12"/>
        <v>2200.6710005188779</v>
      </c>
      <c r="M39" s="214">
        <f>M38+砼单价!E755*(材料预算价格表!K5-材料预算价格表!K6)</f>
        <v>10251.466584327565</v>
      </c>
      <c r="N39" s="214">
        <f>N38+砼单价!E755*(材料预算价格表!K5-材料预算价格表!K6)*0.0322</f>
        <v>3647.7432373421566</v>
      </c>
      <c r="O39" s="214">
        <f>O38+砼单价!E755*(材料预算价格表!K5-材料预算价格表!K6)*取费!H6</f>
        <v>1421.0874669073389</v>
      </c>
    </row>
    <row r="40" spans="1:15" ht="18" customHeight="1">
      <c r="A40" s="199">
        <f>砼单价!$B$767</f>
        <v>4076</v>
      </c>
      <c r="B40" s="204" t="s">
        <v>221</v>
      </c>
      <c r="C40" s="199" t="s">
        <v>194</v>
      </c>
      <c r="D40" s="214">
        <f t="shared" si="1"/>
        <v>51740.170421398165</v>
      </c>
      <c r="E40" s="214">
        <f>砼单价!$F$772+(E13+E14)*1.03</f>
        <v>10873.240949999999</v>
      </c>
      <c r="F40" s="214">
        <f>砼单价!$F$775</f>
        <v>21860.171084470003</v>
      </c>
      <c r="G40" s="214">
        <f>砼单价!$F$786+(G13+G14)*1.03</f>
        <v>1342.2419799827653</v>
      </c>
      <c r="H40" s="214">
        <f>(H13+H14)*1.03</f>
        <v>63.691173998695639</v>
      </c>
      <c r="I40" s="214">
        <f>砼单价!$F$797</f>
        <v>1638.6885690456704</v>
      </c>
      <c r="J40" s="214">
        <f>砼单价!$F$798</f>
        <v>0</v>
      </c>
      <c r="K40" s="214">
        <f>砼单价!$F$799</f>
        <v>2504.4623630247997</v>
      </c>
      <c r="L40" s="214">
        <f>砼单价!$F$800</f>
        <v>2679.774728436536</v>
      </c>
      <c r="M40" s="214">
        <f>砼单价!$F$801</f>
        <v>5123.2109550837131</v>
      </c>
      <c r="N40" s="214">
        <f>砼单价!$F$808</f>
        <v>4147.693362363797</v>
      </c>
      <c r="O40" s="214">
        <f>砼单价!F810</f>
        <v>1506.9952549921795</v>
      </c>
    </row>
    <row r="41" spans="1:15" ht="18" customHeight="1">
      <c r="A41" s="199">
        <f>A40</f>
        <v>4076</v>
      </c>
      <c r="B41" s="204" t="s">
        <v>222</v>
      </c>
      <c r="C41" s="199" t="s">
        <v>194</v>
      </c>
      <c r="D41" s="214">
        <f t="shared" si="1"/>
        <v>57297.11729653299</v>
      </c>
      <c r="E41" s="214">
        <f t="shared" ref="E41:L41" si="13">E40</f>
        <v>10873.240949999999</v>
      </c>
      <c r="F41" s="214">
        <f t="shared" si="13"/>
        <v>21860.171084470003</v>
      </c>
      <c r="G41" s="214">
        <f t="shared" si="13"/>
        <v>1342.2419799827653</v>
      </c>
      <c r="H41" s="214">
        <f t="shared" si="13"/>
        <v>63.691173998695639</v>
      </c>
      <c r="I41" s="214">
        <f t="shared" si="13"/>
        <v>1638.6885690456704</v>
      </c>
      <c r="J41" s="214">
        <f t="shared" si="13"/>
        <v>0</v>
      </c>
      <c r="K41" s="214">
        <f t="shared" si="13"/>
        <v>2504.4623630247997</v>
      </c>
      <c r="L41" s="214">
        <f t="shared" si="13"/>
        <v>2679.774728436536</v>
      </c>
      <c r="M41" s="214">
        <f>M40+砼单价!E802*(材料预算价格表!K5-材料预算价格表!K6)</f>
        <v>10354.755744327565</v>
      </c>
      <c r="N41" s="214">
        <f>N40+砼单价!E802*(材料预算价格表!K5-材料预算价格表!K6)*0.0322</f>
        <v>4316.1491045774492</v>
      </c>
      <c r="O41" s="214">
        <f>O40+砼单价!E802*(材料预算价格表!K5-材料预算价格表!K6)*取费!H6</f>
        <v>1663.9415986694951</v>
      </c>
    </row>
    <row r="42" spans="1:15" ht="18" customHeight="1">
      <c r="A42" s="199">
        <f>砼单价!$B$814</f>
        <v>4086</v>
      </c>
      <c r="B42" s="215" t="s">
        <v>223</v>
      </c>
      <c r="C42" s="199" t="s">
        <v>194</v>
      </c>
      <c r="D42" s="214">
        <f t="shared" si="1"/>
        <v>50304.444393575017</v>
      </c>
      <c r="E42" s="214">
        <f>砼单价!$F$819+(E13+E14)*1.03</f>
        <v>10348.327949999999</v>
      </c>
      <c r="F42" s="214">
        <f>砼单价!$F$822</f>
        <v>21479.485527075001</v>
      </c>
      <c r="G42" s="214">
        <f>砼单价!$F$833+(G13+G14)*1.03</f>
        <v>1216.4150948569131</v>
      </c>
      <c r="H42" s="214">
        <f>(H13+H14)*1.03</f>
        <v>63.691173998695639</v>
      </c>
      <c r="I42" s="214">
        <f>砼单价!$F$845</f>
        <v>1589.1801478046693</v>
      </c>
      <c r="J42" s="214">
        <f>砼单价!$F$846</f>
        <v>0</v>
      </c>
      <c r="K42" s="214">
        <f>砼单价!$F$847</f>
        <v>2428.7969925614698</v>
      </c>
      <c r="L42" s="214">
        <f>砼单价!$F$848</f>
        <v>2598.8127820407726</v>
      </c>
      <c r="M42" s="214">
        <f>砼单价!$F$849</f>
        <v>5081.9567550837128</v>
      </c>
      <c r="N42" s="214">
        <f>砼单价!$F$856</f>
        <v>4032.5999781079113</v>
      </c>
      <c r="O42" s="214">
        <f>砼单价!F858</f>
        <v>1465.1779920458744</v>
      </c>
    </row>
    <row r="43" spans="1:15" ht="18" customHeight="1">
      <c r="A43" s="199">
        <f>A42</f>
        <v>4086</v>
      </c>
      <c r="B43" s="215" t="s">
        <v>224</v>
      </c>
      <c r="C43" s="199" t="s">
        <v>194</v>
      </c>
      <c r="D43" s="214">
        <f t="shared" si="1"/>
        <v>55861.391268709842</v>
      </c>
      <c r="E43" s="214">
        <f t="shared" ref="E43:L43" si="14">E42</f>
        <v>10348.327949999999</v>
      </c>
      <c r="F43" s="214">
        <f t="shared" si="14"/>
        <v>21479.485527075001</v>
      </c>
      <c r="G43" s="214">
        <f t="shared" si="14"/>
        <v>1216.4150948569131</v>
      </c>
      <c r="H43" s="214">
        <f t="shared" si="14"/>
        <v>63.691173998695639</v>
      </c>
      <c r="I43" s="214">
        <f t="shared" si="14"/>
        <v>1589.1801478046693</v>
      </c>
      <c r="J43" s="214">
        <f t="shared" si="14"/>
        <v>0</v>
      </c>
      <c r="K43" s="214">
        <f t="shared" si="14"/>
        <v>2428.7969925614698</v>
      </c>
      <c r="L43" s="214">
        <f t="shared" si="14"/>
        <v>2598.8127820407726</v>
      </c>
      <c r="M43" s="214">
        <f>M42+砼单价!E850*(材料预算价格表!K5-材料预算价格表!K6)</f>
        <v>10313.501544327566</v>
      </c>
      <c r="N43" s="214">
        <f>N42+砼单价!E850*(材料预算价格表!K5-材料预算价格表!K6)*0.0322</f>
        <v>4201.0557203215631</v>
      </c>
      <c r="O43" s="214">
        <f>O42+砼单价!E850*(材料预算价格表!K5-材料预算价格表!K6)*取费!H6</f>
        <v>1622.1243357231899</v>
      </c>
    </row>
    <row r="44" spans="1:15" ht="18" customHeight="1">
      <c r="A44" s="199">
        <f>砼单价!$B$862</f>
        <v>4095</v>
      </c>
      <c r="B44" s="204" t="s">
        <v>225</v>
      </c>
      <c r="C44" s="199" t="s">
        <v>194</v>
      </c>
      <c r="D44" s="214">
        <f t="shared" si="1"/>
        <v>84804.293039692755</v>
      </c>
      <c r="E44" s="214">
        <f>砼单价!$F$867+(E13+E14)*1.03</f>
        <v>15861.92995</v>
      </c>
      <c r="F44" s="214">
        <f>砼单价!$F$870</f>
        <v>40711.393667939992</v>
      </c>
      <c r="G44" s="214">
        <f>砼单价!$F$880+(G13+G14)*1.03</f>
        <v>1918.5200930927142</v>
      </c>
      <c r="H44" s="214">
        <f>(H13+H14)*1.03</f>
        <v>63.691173998695639</v>
      </c>
      <c r="I44" s="214">
        <f>砼单价!$F$890</f>
        <v>2810.6656744815073</v>
      </c>
      <c r="J44" s="214">
        <f>砼单价!$F$891</f>
        <v>0</v>
      </c>
      <c r="K44" s="214">
        <f>砼单价!$F$892</f>
        <v>4295.6340391659041</v>
      </c>
      <c r="L44" s="214">
        <f>砼单价!$F$893</f>
        <v>4596.3284219075176</v>
      </c>
      <c r="M44" s="214">
        <f>砼单价!$F$894</f>
        <v>5277.8599950837124</v>
      </c>
      <c r="N44" s="214">
        <f>砼单价!$F$901</f>
        <v>6798.2420714103037</v>
      </c>
      <c r="O44" s="214">
        <f>砼单价!F903</f>
        <v>2470.0279526124104</v>
      </c>
    </row>
    <row r="45" spans="1:15" ht="18" customHeight="1">
      <c r="A45" s="199">
        <f>砼单价!$B$907</f>
        <v>4102</v>
      </c>
      <c r="B45" s="204" t="s">
        <v>226</v>
      </c>
      <c r="C45" s="199" t="s">
        <v>194</v>
      </c>
      <c r="D45" s="214">
        <f t="shared" si="1"/>
        <v>86878.491193135254</v>
      </c>
      <c r="E45" s="214">
        <f>砼单价!$F$912+(E13+E14)*1.03</f>
        <v>31012.109950000002</v>
      </c>
      <c r="F45" s="214">
        <f>砼单价!$F$915</f>
        <v>27356.34997549</v>
      </c>
      <c r="G45" s="214">
        <f>砼单价!$F$925+(G13+G14)*1.03</f>
        <v>1831.7230093875828</v>
      </c>
      <c r="H45" s="214">
        <f>(H13+H14)*1.03</f>
        <v>63.691173998695639</v>
      </c>
      <c r="I45" s="214">
        <f>砼单价!$F$935</f>
        <v>2892.6659572260619</v>
      </c>
      <c r="J45" s="214">
        <f>砼单价!$F$936</f>
        <v>0</v>
      </c>
      <c r="K45" s="214">
        <f>砼单价!$F$937</f>
        <v>4420.9578046271645</v>
      </c>
      <c r="L45" s="214">
        <f>砼单价!$F$938</f>
        <v>4730.4248509510662</v>
      </c>
      <c r="M45" s="214">
        <f>砼单价!$F$939</f>
        <v>5075.6091150837128</v>
      </c>
      <c r="N45" s="214">
        <f>砼单价!$F$946</f>
        <v>6964.517865308786</v>
      </c>
      <c r="O45" s="214">
        <f>砼单价!F948</f>
        <v>2530.4414910621922</v>
      </c>
    </row>
    <row r="46" spans="1:15" ht="18" customHeight="1">
      <c r="A46" s="199">
        <f>A45</f>
        <v>4102</v>
      </c>
      <c r="B46" s="204" t="s">
        <v>227</v>
      </c>
      <c r="C46" s="199" t="s">
        <v>194</v>
      </c>
      <c r="D46" s="214">
        <f t="shared" si="1"/>
        <v>92435.438068270087</v>
      </c>
      <c r="E46" s="214">
        <f t="shared" ref="E46:L46" si="15">E45</f>
        <v>31012.109950000002</v>
      </c>
      <c r="F46" s="214">
        <f t="shared" si="15"/>
        <v>27356.34997549</v>
      </c>
      <c r="G46" s="214">
        <f t="shared" si="15"/>
        <v>1831.7230093875828</v>
      </c>
      <c r="H46" s="214">
        <f t="shared" si="15"/>
        <v>63.691173998695639</v>
      </c>
      <c r="I46" s="214">
        <f t="shared" si="15"/>
        <v>2892.6659572260619</v>
      </c>
      <c r="J46" s="214">
        <f t="shared" si="15"/>
        <v>0</v>
      </c>
      <c r="K46" s="214">
        <f t="shared" si="15"/>
        <v>4420.9578046271645</v>
      </c>
      <c r="L46" s="214">
        <f t="shared" si="15"/>
        <v>4730.4248509510662</v>
      </c>
      <c r="M46" s="214">
        <f>M45+砼单价!E940*(材料预算价格表!K5-材料预算价格表!K6)</f>
        <v>10307.153904327566</v>
      </c>
      <c r="N46" s="214">
        <f>N45+砼单价!E940*(材料预算价格表!K5-材料预算价格表!K6)*0.0322</f>
        <v>7132.9736075224382</v>
      </c>
      <c r="O46" s="214">
        <f>O45+砼单价!E940*(材料预算价格表!K5-材料预算价格表!K6)*取费!H6</f>
        <v>2687.3878347395075</v>
      </c>
    </row>
    <row r="47" spans="1:15" ht="18" customHeight="1">
      <c r="A47" s="199">
        <f>砼单价!B952</f>
        <v>4109</v>
      </c>
      <c r="B47" s="204" t="s">
        <v>228</v>
      </c>
      <c r="C47" s="199" t="s">
        <v>194</v>
      </c>
      <c r="D47" s="214">
        <f t="shared" si="1"/>
        <v>52348.72669441803</v>
      </c>
      <c r="E47" s="214">
        <f>砼单价!F957+(E13+E14)*1.03</f>
        <v>8987.5159499999991</v>
      </c>
      <c r="F47" s="214">
        <f>砼单价!F960</f>
        <v>24436.52564466</v>
      </c>
      <c r="G47" s="214">
        <f>砼单价!F970+(G13+G14)*1.03</f>
        <v>1178.6376262693691</v>
      </c>
      <c r="H47" s="214">
        <f>(H13+H14)*1.03</f>
        <v>63.691173998695639</v>
      </c>
      <c r="I47" s="214">
        <f>砼单价!F980</f>
        <v>1663.9857789565474</v>
      </c>
      <c r="J47" s="214">
        <f>砼单价!F981</f>
        <v>0</v>
      </c>
      <c r="K47" s="214">
        <f>砼单价!F982</f>
        <v>2543.1249321719233</v>
      </c>
      <c r="L47" s="214">
        <f>砼单价!F983</f>
        <v>2721.1436774239583</v>
      </c>
      <c r="M47" s="214">
        <f>砼单价!F984</f>
        <v>5032.9041150837129</v>
      </c>
      <c r="N47" s="214">
        <f>砼单价!F991</f>
        <v>4196.4776008707786</v>
      </c>
      <c r="O47" s="214">
        <f>砼单价!F993</f>
        <v>1524.7201949830496</v>
      </c>
    </row>
    <row r="48" spans="1:15" ht="18" customHeight="1">
      <c r="A48" s="199">
        <f>砼单价!B997</f>
        <v>4049</v>
      </c>
      <c r="B48" s="204" t="s">
        <v>229</v>
      </c>
      <c r="C48" s="199" t="s">
        <v>194</v>
      </c>
      <c r="D48" s="214">
        <f t="shared" si="1"/>
        <v>44226.167463238249</v>
      </c>
      <c r="E48" s="214">
        <f>砼单价!F1002+(E13+E14)*1.03</f>
        <v>6117.1709499999997</v>
      </c>
      <c r="F48" s="214">
        <f>砼单价!F1005</f>
        <v>21260.872363259998</v>
      </c>
      <c r="G48" s="214">
        <f>砼单价!F1015+(G13+G14)*1.03</f>
        <v>1201.9901031361139</v>
      </c>
      <c r="H48" s="214">
        <f>(H13+H14)*1.03</f>
        <v>63.691173998695639</v>
      </c>
      <c r="I48" s="214">
        <f>砼单价!F1025</f>
        <v>1374.8987803389507</v>
      </c>
      <c r="J48" s="214">
        <f>砼单价!F1026</f>
        <v>0</v>
      </c>
      <c r="K48" s="214">
        <f>砼单价!F1027</f>
        <v>2101.303635951363</v>
      </c>
      <c r="L48" s="214">
        <f>砼单价!F1028</f>
        <v>2248.3948904679587</v>
      </c>
      <c r="M48" s="214">
        <f>砼单价!F1029</f>
        <v>5024.3631150837127</v>
      </c>
      <c r="N48" s="214">
        <f>砼单价!F1036</f>
        <v>3545.3416511013111</v>
      </c>
      <c r="O48" s="214">
        <f>砼单价!F1038</f>
        <v>1288.1407999001431</v>
      </c>
    </row>
    <row r="49" spans="1:15" ht="18" customHeight="1">
      <c r="A49" s="199">
        <f>砼单价!$B$1042</f>
        <v>4108</v>
      </c>
      <c r="B49" s="204" t="s">
        <v>230</v>
      </c>
      <c r="C49" s="199" t="s">
        <v>194</v>
      </c>
      <c r="D49" s="214">
        <f t="shared" si="1"/>
        <v>72765.838186495122</v>
      </c>
      <c r="E49" s="214">
        <f>砼单价!$F$1047+(E13+E14)*1.03</f>
        <v>22769.220950000003</v>
      </c>
      <c r="F49" s="214">
        <f>砼单价!$F$1050</f>
        <v>25263.370743330004</v>
      </c>
      <c r="G49" s="214">
        <f>砼单价!$F$1060+(G13+G14)*1.03</f>
        <v>1698.2123624780647</v>
      </c>
      <c r="H49" s="214">
        <f>(H13+H14)*1.03</f>
        <v>63.691173998695639</v>
      </c>
      <c r="I49" s="214">
        <f>砼单价!$F$1070</f>
        <v>2390.1357710307248</v>
      </c>
      <c r="J49" s="214">
        <f>砼单价!$F$1071</f>
        <v>0</v>
      </c>
      <c r="K49" s="214">
        <f>砼单价!$F$1072</f>
        <v>3652.9241700586249</v>
      </c>
      <c r="L49" s="214">
        <f>砼单价!$F$1073</f>
        <v>3908.6288619627289</v>
      </c>
      <c r="M49" s="214">
        <f>砼单价!$F$1074</f>
        <v>5067.0681150837127</v>
      </c>
      <c r="N49" s="214">
        <f>砼单价!$F$1081</f>
        <v>5833.1926933148306</v>
      </c>
      <c r="O49" s="214">
        <f>砼单价!F1083</f>
        <v>2119.3933452377219</v>
      </c>
    </row>
    <row r="50" spans="1:15" ht="18" customHeight="1">
      <c r="A50" s="199">
        <f>A49</f>
        <v>4108</v>
      </c>
      <c r="B50" s="204" t="s">
        <v>231</v>
      </c>
      <c r="C50" s="199" t="s">
        <v>194</v>
      </c>
      <c r="D50" s="214">
        <f t="shared" si="1"/>
        <v>78322.785061629926</v>
      </c>
      <c r="E50" s="214">
        <f t="shared" ref="E50:L50" si="16">E49</f>
        <v>22769.220950000003</v>
      </c>
      <c r="F50" s="214">
        <f t="shared" si="16"/>
        <v>25263.370743330004</v>
      </c>
      <c r="G50" s="214">
        <f t="shared" si="16"/>
        <v>1698.2123624780647</v>
      </c>
      <c r="H50" s="214">
        <f t="shared" si="16"/>
        <v>63.691173998695639</v>
      </c>
      <c r="I50" s="214">
        <f t="shared" si="16"/>
        <v>2390.1357710307248</v>
      </c>
      <c r="J50" s="214">
        <f t="shared" si="16"/>
        <v>0</v>
      </c>
      <c r="K50" s="214">
        <f t="shared" si="16"/>
        <v>3652.9241700586249</v>
      </c>
      <c r="L50" s="214">
        <f t="shared" si="16"/>
        <v>3908.6288619627289</v>
      </c>
      <c r="M50" s="214">
        <f>M49+砼单价!E1075*(材料预算价格表!K5-材料预算价格表!K6)</f>
        <v>10298.612904327565</v>
      </c>
      <c r="N50" s="214">
        <f>N49+砼单价!E1075*(材料预算价格表!K5-材料预算价格表!K6)*0.0322</f>
        <v>6001.6484355284829</v>
      </c>
      <c r="O50" s="214">
        <f>O49+砼单价!E1075*(材料预算价格表!K5-材料预算价格表!K6)*取费!H6</f>
        <v>2276.3396889150372</v>
      </c>
    </row>
    <row r="51" spans="1:15" ht="18" customHeight="1">
      <c r="A51" s="199">
        <f>砼单价!$B$1630</f>
        <v>4142</v>
      </c>
      <c r="B51" s="204" t="s">
        <v>232</v>
      </c>
      <c r="C51" s="199" t="s">
        <v>194</v>
      </c>
      <c r="D51" s="214">
        <f t="shared" si="1"/>
        <v>62111.43614766439</v>
      </c>
      <c r="E51" s="214">
        <f>砼单价!$F$1635</f>
        <v>20800.111000000001</v>
      </c>
      <c r="F51" s="214">
        <f>砼单价!$F$1638</f>
        <v>20744.900775180002</v>
      </c>
      <c r="G51" s="214">
        <f>砼单价!$F$1644</f>
        <v>832.83975194390916</v>
      </c>
      <c r="H51" s="214"/>
      <c r="I51" s="214">
        <f>砼单价!$F$1651</f>
        <v>2034.1368733019476</v>
      </c>
      <c r="J51" s="214">
        <f>砼单价!$F$1652</f>
        <v>0</v>
      </c>
      <c r="K51" s="214">
        <f>砼单价!$F$1653</f>
        <v>3108.8391880298104</v>
      </c>
      <c r="L51" s="214">
        <f>砼单价!$F$1654</f>
        <v>3326.4579311918969</v>
      </c>
      <c r="M51" s="214">
        <f>砼单价!$F$1655</f>
        <v>4475.9852986159058</v>
      </c>
      <c r="N51" s="214">
        <f>砼单价!$F$1662</f>
        <v>4979.0943736437121</v>
      </c>
      <c r="O51" s="214">
        <f>砼单价!F1664</f>
        <v>1809.0709557572152</v>
      </c>
    </row>
    <row r="52" spans="1:15" ht="18" customHeight="1">
      <c r="A52" s="199">
        <f>砼单价!B1956</f>
        <v>3053</v>
      </c>
      <c r="B52" s="204" t="s">
        <v>233</v>
      </c>
      <c r="C52" s="199" t="s">
        <v>194</v>
      </c>
      <c r="D52" s="214">
        <f t="shared" si="1"/>
        <v>84423.179729562864</v>
      </c>
      <c r="E52" s="214">
        <f>砼单价!F1961+E65*0.9</f>
        <v>9963.3027999999995</v>
      </c>
      <c r="F52" s="214">
        <f>砼单价!F1964</f>
        <v>42420.22235005007</v>
      </c>
      <c r="G52" s="216">
        <f>砼单价!F1972+G65*0.9</f>
        <v>4548.7343528695665</v>
      </c>
      <c r="H52" s="214">
        <f>H65*0.9</f>
        <v>158.58753278467691</v>
      </c>
      <c r="I52" s="214">
        <f>砼单价!F1980</f>
        <v>2740.3606577138071</v>
      </c>
      <c r="J52" s="214">
        <f>砼单价!F1981</f>
        <v>0</v>
      </c>
      <c r="K52" s="214">
        <f>砼单价!F1982</f>
        <v>4188.1845385392689</v>
      </c>
      <c r="L52" s="214">
        <f>砼单价!F1983</f>
        <v>4481.3574562370177</v>
      </c>
      <c r="M52" s="214">
        <f>砼单价!F1984</f>
        <v>6695.8119307268353</v>
      </c>
      <c r="N52" s="214">
        <f>砼单价!F1991</f>
        <v>6767.6905457029106</v>
      </c>
      <c r="O52" s="214">
        <f>砼单价!F1993</f>
        <v>2458.9275649387241</v>
      </c>
    </row>
    <row r="53" spans="1:15" ht="18" customHeight="1">
      <c r="A53" s="199">
        <f>A52</f>
        <v>3053</v>
      </c>
      <c r="B53" s="204" t="s">
        <v>234</v>
      </c>
      <c r="C53" s="199" t="s">
        <v>194</v>
      </c>
      <c r="D53" s="214">
        <f t="shared" si="1"/>
        <v>90050.785535467949</v>
      </c>
      <c r="E53" s="214">
        <f t="shared" ref="E53:L53" si="17">E52</f>
        <v>9963.3027999999995</v>
      </c>
      <c r="F53" s="214">
        <f t="shared" si="17"/>
        <v>42420.22235005007</v>
      </c>
      <c r="G53" s="216">
        <f t="shared" si="17"/>
        <v>4548.7343528695665</v>
      </c>
      <c r="H53" s="214">
        <f t="shared" si="17"/>
        <v>158.58753278467691</v>
      </c>
      <c r="I53" s="214">
        <f t="shared" si="17"/>
        <v>2740.3606577138071</v>
      </c>
      <c r="J53" s="214">
        <f t="shared" si="17"/>
        <v>0</v>
      </c>
      <c r="K53" s="214">
        <f t="shared" si="17"/>
        <v>4188.1845385392689</v>
      </c>
      <c r="L53" s="214">
        <f t="shared" si="17"/>
        <v>4481.3574562370177</v>
      </c>
      <c r="M53" s="214">
        <f>M52+砼单价!E1985*(材料预算价格表!K5-材料预算价格表!K6)</f>
        <v>11993.878025534863</v>
      </c>
      <c r="N53" s="214">
        <f>N52+砼单价!E1985*(材料预算价格表!K5-材料预算价格表!K6)*0.0322</f>
        <v>6938.288273955729</v>
      </c>
      <c r="O53" s="214">
        <f>O52+砼单价!E1985*(材料预算价格表!K5-材料预算价格表!K6)*取费!H6</f>
        <v>2617.8695477829651</v>
      </c>
    </row>
    <row r="54" spans="1:15" ht="18" customHeight="1">
      <c r="A54" s="199">
        <f>砼单价!$B$1668</f>
        <v>4138</v>
      </c>
      <c r="B54" s="204" t="s">
        <v>235</v>
      </c>
      <c r="C54" s="199" t="s">
        <v>194</v>
      </c>
      <c r="D54" s="214">
        <f t="shared" si="1"/>
        <v>51938.954178642613</v>
      </c>
      <c r="E54" s="214">
        <f>砼单价!$F$1673</f>
        <v>13755.267</v>
      </c>
      <c r="F54" s="214">
        <f>砼单价!$F$1676</f>
        <v>20237.84037518</v>
      </c>
      <c r="G54" s="214">
        <f>砼单价!$F$1682</f>
        <v>840.05793103830786</v>
      </c>
      <c r="H54" s="214"/>
      <c r="I54" s="214">
        <f>砼单价!$F$1689</f>
        <v>1671.9919346984789</v>
      </c>
      <c r="J54" s="214">
        <f>砼单价!$F$1690</f>
        <v>0</v>
      </c>
      <c r="K54" s="214">
        <f>砼单价!$F$1691</f>
        <v>2555.3610068641751</v>
      </c>
      <c r="L54" s="214">
        <f>砼单价!$F$1692</f>
        <v>2734.2362773446671</v>
      </c>
      <c r="M54" s="214">
        <f>砼单价!$F$1693</f>
        <v>4467.7859386159062</v>
      </c>
      <c r="N54" s="214">
        <f>砼单价!$F$1700</f>
        <v>4163.6286417367373</v>
      </c>
      <c r="O54" s="214">
        <f>砼单价!F1702</f>
        <v>1512.785073164348</v>
      </c>
    </row>
    <row r="55" spans="1:15" ht="18" customHeight="1">
      <c r="A55" s="199">
        <f>砼单价!B1997</f>
        <v>3053</v>
      </c>
      <c r="B55" s="204" t="s">
        <v>236</v>
      </c>
      <c r="C55" s="199" t="s">
        <v>194</v>
      </c>
      <c r="D55" s="214">
        <f t="shared" si="1"/>
        <v>75222.211212979309</v>
      </c>
      <c r="E55" s="214">
        <f>砼单价!F2002+E65*0.9</f>
        <v>9963.3027999999995</v>
      </c>
      <c r="F55" s="214">
        <f>砼单价!F2005</f>
        <v>35596.053663240964</v>
      </c>
      <c r="G55" s="216">
        <f>砼单价!F2013+G65*0.9</f>
        <v>4548.7343528695665</v>
      </c>
      <c r="H55" s="214">
        <f>H65*0.9</f>
        <v>158.58753278467691</v>
      </c>
      <c r="I55" s="214">
        <f>砼单价!F2021</f>
        <v>2412.8005607469699</v>
      </c>
      <c r="J55" s="214">
        <f>砼单价!F2022</f>
        <v>0</v>
      </c>
      <c r="K55" s="214">
        <f>砼单价!F2023</f>
        <v>3687.5635236749526</v>
      </c>
      <c r="L55" s="214">
        <f>砼单价!F2024</f>
        <v>3945.6929703321989</v>
      </c>
      <c r="M55" s="214">
        <f>砼单价!F2025</f>
        <v>6688.4325067268355</v>
      </c>
      <c r="N55" s="214">
        <f>砼单价!F2032</f>
        <v>6030.1051119338535</v>
      </c>
      <c r="O55" s="214">
        <f>砼单价!F2034</f>
        <v>2190.9381906693002</v>
      </c>
    </row>
    <row r="56" spans="1:15" ht="18" customHeight="1">
      <c r="A56" s="199">
        <f>A55</f>
        <v>3053</v>
      </c>
      <c r="B56" s="204" t="s">
        <v>237</v>
      </c>
      <c r="C56" s="199" t="s">
        <v>194</v>
      </c>
      <c r="D56" s="214">
        <f t="shared" si="1"/>
        <v>80849.81701888438</v>
      </c>
      <c r="E56" s="214">
        <f t="shared" ref="E56:L56" si="18">E55</f>
        <v>9963.3027999999995</v>
      </c>
      <c r="F56" s="214">
        <f t="shared" si="18"/>
        <v>35596.053663240964</v>
      </c>
      <c r="G56" s="216">
        <f t="shared" si="18"/>
        <v>4548.7343528695665</v>
      </c>
      <c r="H56" s="214">
        <f t="shared" si="18"/>
        <v>158.58753278467691</v>
      </c>
      <c r="I56" s="214">
        <f t="shared" si="18"/>
        <v>2412.8005607469699</v>
      </c>
      <c r="J56" s="214">
        <f t="shared" si="18"/>
        <v>0</v>
      </c>
      <c r="K56" s="214">
        <f t="shared" si="18"/>
        <v>3687.5635236749526</v>
      </c>
      <c r="L56" s="214">
        <f t="shared" si="18"/>
        <v>3945.6929703321989</v>
      </c>
      <c r="M56" s="214">
        <f>M55+砼单价!E2026*(材料预算价格表!K5-材料预算价格表!K6)</f>
        <v>11986.498601534862</v>
      </c>
      <c r="N56" s="214">
        <f>N55+砼单价!E2026*(材料预算价格表!K5-材料预算价格表!K6)*0.0322</f>
        <v>6200.7028401866719</v>
      </c>
      <c r="O56" s="214">
        <f>O55+砼单价!E2026*(材料预算价格表!K5-材料预算价格表!K6)*取费!H6</f>
        <v>2349.8801735135412</v>
      </c>
    </row>
    <row r="57" spans="1:15" ht="18" customHeight="1">
      <c r="A57" s="199">
        <f>砼单价!$B$1706</f>
        <v>4182</v>
      </c>
      <c r="B57" s="204" t="s">
        <v>238</v>
      </c>
      <c r="C57" s="199" t="s">
        <v>194</v>
      </c>
      <c r="D57" s="214">
        <f t="shared" si="1"/>
        <v>58705.283918777597</v>
      </c>
      <c r="E57" s="214">
        <f>砼单价!$F$1711</f>
        <v>18598.395</v>
      </c>
      <c r="F57" s="214">
        <f>砼单价!$F$1714</f>
        <v>23379.809739390003</v>
      </c>
      <c r="G57" s="214">
        <f>砼单价!$F$1724</f>
        <v>686.74126200799071</v>
      </c>
      <c r="H57" s="214"/>
      <c r="I57" s="214">
        <f>砼单价!$F$1732</f>
        <v>2047.9174080671037</v>
      </c>
      <c r="J57" s="214">
        <f>砼单价!$F$1733</f>
        <v>0</v>
      </c>
      <c r="K57" s="214">
        <f>砼单价!$F$1734</f>
        <v>3129.9004386625566</v>
      </c>
      <c r="L57" s="214">
        <f>砼单价!$F$1735</f>
        <v>33.489934693689364</v>
      </c>
      <c r="M57" s="214">
        <f>砼单价!$F$1736</f>
        <v>4413.123538615906</v>
      </c>
      <c r="N57" s="214">
        <f>砼单价!$F$1743</f>
        <v>4706.0439589293519</v>
      </c>
      <c r="O57" s="214">
        <f>砼单价!F1745</f>
        <v>1709.862638410998</v>
      </c>
    </row>
    <row r="58" spans="1:15" ht="18" customHeight="1">
      <c r="A58" s="199">
        <f>砼单价!B2038</f>
        <v>4213</v>
      </c>
      <c r="B58" s="204" t="s">
        <v>239</v>
      </c>
      <c r="C58" s="199" t="s">
        <v>194</v>
      </c>
      <c r="D58" s="214">
        <f t="shared" si="1"/>
        <v>94829.046181237456</v>
      </c>
      <c r="E58" s="214">
        <f>砼单价!F2043+E65</f>
        <v>10149.302</v>
      </c>
      <c r="F58" s="214">
        <f>砼单价!F2046</f>
        <v>48238.482723282985</v>
      </c>
      <c r="G58" s="214">
        <f>砼单价!F2056+G65</f>
        <v>6334.3821034500597</v>
      </c>
      <c r="H58" s="214">
        <f>H65</f>
        <v>176.20836976075211</v>
      </c>
      <c r="I58" s="214">
        <f>砼单价!F2064</f>
        <v>3115.1220094317023</v>
      </c>
      <c r="J58" s="214">
        <f>砼单价!F2065</f>
        <v>0</v>
      </c>
      <c r="K58" s="214">
        <f>砼单价!F2066</f>
        <v>4760.9448044147848</v>
      </c>
      <c r="L58" s="214">
        <f>砼单价!F2067</f>
        <v>5094.2109407238204</v>
      </c>
      <c r="M58" s="214">
        <f>砼单价!F2068</f>
        <v>6596.5168906010313</v>
      </c>
      <c r="N58" s="214">
        <f>砼单价!F2075</f>
        <v>7601.8652857498619</v>
      </c>
      <c r="O58" s="214">
        <f>砼单价!F2077</f>
        <v>2762.0110538224499</v>
      </c>
    </row>
    <row r="59" spans="1:15" ht="18" customHeight="1">
      <c r="A59" s="199">
        <f>砼单价!$B$1749</f>
        <v>4147</v>
      </c>
      <c r="B59" s="204" t="s">
        <v>240</v>
      </c>
      <c r="C59" s="199" t="s">
        <v>194</v>
      </c>
      <c r="D59" s="214">
        <f t="shared" si="1"/>
        <v>111680.9120172172</v>
      </c>
      <c r="E59" s="214">
        <f>砼单价!$F$1754+(E13+E14)*1.02</f>
        <v>20110.317300000002</v>
      </c>
      <c r="F59" s="214">
        <f>砼单价!$F$1757</f>
        <v>54831.648523200005</v>
      </c>
      <c r="G59" s="214">
        <f>砼单价!$F$1765+(G13+G14)*1.02</f>
        <v>3330.5031640654133</v>
      </c>
      <c r="H59" s="214">
        <f>(H13+H14)*1.02</f>
        <v>63.072813086086946</v>
      </c>
      <c r="I59" s="214">
        <f>砼单价!$F$1774</f>
        <v>3760.1060064168723</v>
      </c>
      <c r="J59" s="214">
        <f>砼单价!$F$1775</f>
        <v>0</v>
      </c>
      <c r="K59" s="214">
        <f>砼单价!$F$1776</f>
        <v>5746.6953464737871</v>
      </c>
      <c r="L59" s="214">
        <f>砼单价!$F$1777</f>
        <v>6148.9640207269522</v>
      </c>
      <c r="M59" s="214">
        <f>砼单价!$F$1778</f>
        <v>5483.9863302770736</v>
      </c>
      <c r="N59" s="214">
        <f>砼单价!$F$1785</f>
        <v>8952.7764153821572</v>
      </c>
      <c r="O59" s="214">
        <f>砼单价!F1787</f>
        <v>3252.8420975888503</v>
      </c>
    </row>
    <row r="60" spans="1:15" ht="18" customHeight="1">
      <c r="A60" s="199">
        <f>砼单价!B1791</f>
        <v>4144</v>
      </c>
      <c r="B60" s="204" t="s">
        <v>241</v>
      </c>
      <c r="C60" s="199" t="s">
        <v>194</v>
      </c>
      <c r="D60" s="214">
        <f t="shared" si="1"/>
        <v>75078.089099729026</v>
      </c>
      <c r="E60" s="214">
        <f>砼单价!F1796+(E13+E14)*1.02</f>
        <v>18158.350300000002</v>
      </c>
      <c r="F60" s="214">
        <f>砼单价!F1799</f>
        <v>29611.589610120001</v>
      </c>
      <c r="G60" s="214">
        <f>砼单价!F1807+(G13+G14)*1.02</f>
        <v>3330.5031640654133</v>
      </c>
      <c r="H60" s="214">
        <f>(H13+H14)*1.02</f>
        <v>63.072813086086946</v>
      </c>
      <c r="I60" s="214">
        <f>砼单价!F1816</f>
        <v>2455.848762589032</v>
      </c>
      <c r="J60" s="214">
        <f>砼单价!F1817</f>
        <v>0</v>
      </c>
      <c r="K60" s="214">
        <f>砼单价!F1818</f>
        <v>3753.3555254902381</v>
      </c>
      <c r="L60" s="214">
        <f>砼单价!F1819</f>
        <v>4016.0904122745546</v>
      </c>
      <c r="M60" s="214">
        <f>砼单价!F1820</f>
        <v>5483.9863302770736</v>
      </c>
      <c r="N60" s="214">
        <f>砼单价!F1827</f>
        <v>6018.5517226112161</v>
      </c>
      <c r="O60" s="214">
        <f>砼单价!F1829</f>
        <v>2186.7404592154085</v>
      </c>
    </row>
    <row r="61" spans="1:15" ht="18" customHeight="1">
      <c r="A61" s="199">
        <f>砼单价!B1833</f>
        <v>4163</v>
      </c>
      <c r="B61" s="204" t="s">
        <v>242</v>
      </c>
      <c r="C61" s="199" t="s">
        <v>194</v>
      </c>
      <c r="D61" s="214">
        <f t="shared" si="1"/>
        <v>64323.802489533176</v>
      </c>
      <c r="E61" s="214">
        <f>砼单价!F1838+(E13+E14)*1.02</f>
        <v>17342.176300000003</v>
      </c>
      <c r="F61" s="214">
        <f>砼单价!F1841</f>
        <v>23937.85005492</v>
      </c>
      <c r="G61" s="214">
        <f>砼单价!F1849+(G13+G14)*1.02</f>
        <v>2565.947252308657</v>
      </c>
      <c r="H61" s="214">
        <f>(H13+H14)*1.02</f>
        <v>63.072813086086946</v>
      </c>
      <c r="I61" s="214">
        <f>砼单价!F1858</f>
        <v>2107.6342281751081</v>
      </c>
      <c r="J61" s="214">
        <f>砼单价!F1859</f>
        <v>0</v>
      </c>
      <c r="K61" s="214">
        <f>砼单价!F1860</f>
        <v>3221.16764539429</v>
      </c>
      <c r="L61" s="214">
        <f>砼单价!F1861</f>
        <v>3446.6493805718906</v>
      </c>
      <c r="M61" s="214">
        <f>砼单价!F1862</f>
        <v>4609.3497376159057</v>
      </c>
      <c r="N61" s="214">
        <f>砼单价!F1869</f>
        <v>5156.446267086475</v>
      </c>
      <c r="O61" s="214">
        <f>砼单价!F1871</f>
        <v>1873.5088103747526</v>
      </c>
    </row>
    <row r="62" spans="1:15" ht="18" customHeight="1">
      <c r="A62" s="199">
        <f>A61</f>
        <v>4163</v>
      </c>
      <c r="B62" s="204" t="s">
        <v>243</v>
      </c>
      <c r="C62" s="199" t="s">
        <v>194</v>
      </c>
      <c r="D62" s="214">
        <f t="shared" si="1"/>
        <v>69293.636188254546</v>
      </c>
      <c r="E62" s="214">
        <f t="shared" ref="E62:L62" si="19">E61</f>
        <v>17342.176300000003</v>
      </c>
      <c r="F62" s="214">
        <f t="shared" si="19"/>
        <v>23937.85005492</v>
      </c>
      <c r="G62" s="214">
        <f t="shared" si="19"/>
        <v>2565.947252308657</v>
      </c>
      <c r="H62" s="214">
        <f t="shared" si="19"/>
        <v>63.072813086086946</v>
      </c>
      <c r="I62" s="214">
        <f t="shared" si="19"/>
        <v>2107.6342281751081</v>
      </c>
      <c r="J62" s="214">
        <f t="shared" si="19"/>
        <v>0</v>
      </c>
      <c r="K62" s="214">
        <f t="shared" si="19"/>
        <v>3221.16764539429</v>
      </c>
      <c r="L62" s="214">
        <f t="shared" si="19"/>
        <v>3446.6493805718906</v>
      </c>
      <c r="M62" s="214">
        <f>M61+砼单价!E1863*(材料预算价格表!K5-材料预算价格表!K6)</f>
        <v>9288.1613538100082</v>
      </c>
      <c r="N62" s="214">
        <f>N61+砼单价!E1863*(材料预算价格表!K5-材料预算价格表!K6)*0.0322</f>
        <v>5307.1040011279247</v>
      </c>
      <c r="O62" s="214">
        <f>O61+砼单价!E1863*(材料预算价格表!K5-材料预算价格表!K6)*取费!H6</f>
        <v>2013.8731588605756</v>
      </c>
    </row>
    <row r="63" spans="1:15" ht="18" customHeight="1">
      <c r="A63" s="199">
        <f>砼单价!$B$1875</f>
        <v>4183</v>
      </c>
      <c r="B63" s="204" t="s">
        <v>244</v>
      </c>
      <c r="C63" s="199" t="s">
        <v>194</v>
      </c>
      <c r="D63" s="214">
        <f t="shared" si="1"/>
        <v>23126.100319010009</v>
      </c>
      <c r="E63" s="214">
        <f>砼单价!$F$1880+E13*0.102</f>
        <v>5752.6673760000003</v>
      </c>
      <c r="F63" s="214">
        <f>砼单价!$F$1883</f>
        <v>6521.7704067389986</v>
      </c>
      <c r="G63" s="214">
        <f>砼单价!$F$1890+G13*0.102</f>
        <v>4127.929843409871</v>
      </c>
      <c r="H63" s="214">
        <f>H13*0.102</f>
        <v>2.9023314060634546</v>
      </c>
      <c r="I63" s="214">
        <f>砼单价!$F$1898</f>
        <v>787.4529579626369</v>
      </c>
      <c r="J63" s="214">
        <f>砼单价!$F$1899</f>
        <v>0</v>
      </c>
      <c r="K63" s="214">
        <f>砼单价!$F$1900</f>
        <v>1203.49060408623</v>
      </c>
      <c r="L63" s="214">
        <f>砼单价!$F$1901</f>
        <v>1287.734946372266</v>
      </c>
      <c r="M63" s="214">
        <f>砼单价!$F$1902</f>
        <v>914.69793912770729</v>
      </c>
      <c r="N63" s="214">
        <f>砼单价!$F$1909</f>
        <v>1853.8781764593398</v>
      </c>
      <c r="O63" s="214">
        <f>砼单价!F1911</f>
        <v>673.57573744689353</v>
      </c>
    </row>
    <row r="64" spans="1:15" ht="18" customHeight="1">
      <c r="A64" s="199">
        <f>砼单价!$B$1915</f>
        <v>4190</v>
      </c>
      <c r="B64" s="204" t="s">
        <v>245</v>
      </c>
      <c r="C64" s="199" t="s">
        <v>194</v>
      </c>
      <c r="D64" s="214">
        <f t="shared" si="1"/>
        <v>17014.481518397795</v>
      </c>
      <c r="E64" s="214">
        <f>砼单价!$F$1920+E13*0.135</f>
        <v>4712.2138800000002</v>
      </c>
      <c r="F64" s="214">
        <f>砼单价!$F$1923</f>
        <v>4116.6049330574997</v>
      </c>
      <c r="G64" s="216">
        <f>砼单价!$F$1931+G13*0.135</f>
        <v>2409.037523862125</v>
      </c>
      <c r="H64" s="214">
        <f>H13*0.135</f>
        <v>3.8413209786133966</v>
      </c>
      <c r="I64" s="214">
        <f>砼单价!$F$1939</f>
        <v>539.60148757911543</v>
      </c>
      <c r="J64" s="214">
        <f>砼单价!$F$1940</f>
        <v>0</v>
      </c>
      <c r="K64" s="214">
        <f>砼单价!$F$1941</f>
        <v>824.6909401834148</v>
      </c>
      <c r="L64" s="214">
        <f>砼单价!$F$1942</f>
        <v>882.4193059962538</v>
      </c>
      <c r="M64" s="214">
        <f>砼单价!$F$1943</f>
        <v>1666.5576684639288</v>
      </c>
      <c r="N64" s="214">
        <f>砼单价!$F$1950</f>
        <v>1363.9470354108855</v>
      </c>
      <c r="O64" s="214">
        <f>砼单价!F1952</f>
        <v>495.56742286595505</v>
      </c>
    </row>
    <row r="65" spans="1:15" ht="18" customHeight="1">
      <c r="A65" s="199">
        <f>砼单价!$B$2081</f>
        <v>4219</v>
      </c>
      <c r="B65" s="204" t="s">
        <v>246</v>
      </c>
      <c r="C65" s="199" t="s">
        <v>194</v>
      </c>
      <c r="D65" s="214">
        <f t="shared" si="1"/>
        <v>10197.909311517378</v>
      </c>
      <c r="E65" s="214">
        <f>砼单价!$F$2086</f>
        <v>1018.982</v>
      </c>
      <c r="F65" s="214"/>
      <c r="G65" s="214">
        <f>砼单价!$F$2090</f>
        <v>4854.6303253584028</v>
      </c>
      <c r="H65" s="214">
        <f>砼单价!$F$2089</f>
        <v>176.20836976075211</v>
      </c>
      <c r="I65" s="214">
        <f>砼单价!$F$2093</f>
        <v>290.39139336571947</v>
      </c>
      <c r="J65" s="214">
        <f>砼单价!$F$2094</f>
        <v>0</v>
      </c>
      <c r="K65" s="214">
        <f>砼单价!$F$2095</f>
        <v>443.81484619394126</v>
      </c>
      <c r="L65" s="214">
        <f>砼单价!$F$2096</f>
        <v>474.88188542751715</v>
      </c>
      <c r="M65" s="214">
        <f>砼单价!$F$2097</f>
        <v>1824.4699199999995</v>
      </c>
      <c r="N65" s="214">
        <f>砼单价!$F$2104</f>
        <v>817.50408660956975</v>
      </c>
      <c r="O65" s="214">
        <f>砼单价!F2106</f>
        <v>297.02648480147701</v>
      </c>
    </row>
    <row r="66" spans="1:15" ht="18" customHeight="1">
      <c r="A66" s="199">
        <f>砼单价!$B$2139</f>
        <v>4221</v>
      </c>
      <c r="B66" s="204" t="s">
        <v>247</v>
      </c>
      <c r="C66" s="199" t="s">
        <v>194</v>
      </c>
      <c r="D66" s="214">
        <f t="shared" si="1"/>
        <v>5827.6175566881029</v>
      </c>
      <c r="E66" s="214">
        <f>砼单价!$F$2144</f>
        <v>599.76099999999997</v>
      </c>
      <c r="F66" s="214">
        <f>砼单价!$F$2147</f>
        <v>291.91001340000003</v>
      </c>
      <c r="G66" s="214">
        <f>砼单价!$F$2151</f>
        <v>2537.4482891656885</v>
      </c>
      <c r="H66" s="214"/>
      <c r="I66" s="214">
        <f>砼单价!$F$2156</f>
        <v>164.59772652315306</v>
      </c>
      <c r="J66" s="214">
        <f>砼单价!$F$2157</f>
        <v>0</v>
      </c>
      <c r="K66" s="214">
        <f>砼单价!$F$2158</f>
        <v>251.56019203621895</v>
      </c>
      <c r="L66" s="214">
        <f>砼单价!$F$2159</f>
        <v>269.16940547875424</v>
      </c>
      <c r="M66" s="214">
        <f>砼单价!$F$2160</f>
        <v>1076.27</v>
      </c>
      <c r="N66" s="214">
        <f>砼单价!$F$2167</f>
        <v>467.1644963943433</v>
      </c>
      <c r="O66" s="214">
        <f>砼单价!F2169</f>
        <v>169.73643368994473</v>
      </c>
    </row>
    <row r="67" spans="1:15" ht="18" customHeight="1">
      <c r="A67" s="199">
        <f>砼单价!B2653</f>
        <v>4289</v>
      </c>
      <c r="B67" s="204" t="s">
        <v>248</v>
      </c>
      <c r="C67" s="199" t="s">
        <v>249</v>
      </c>
      <c r="D67" s="214">
        <f t="shared" ref="D67:D72" si="20">SUM(E67:O67)</f>
        <v>2439.6407500362884</v>
      </c>
      <c r="E67" s="214">
        <f>砼单价!F2658</f>
        <v>525.83699999999999</v>
      </c>
      <c r="F67" s="214">
        <f>砼单价!F2661</f>
        <v>1285.2249999999999</v>
      </c>
      <c r="G67" s="214"/>
      <c r="H67" s="214"/>
      <c r="I67" s="214">
        <f>砼单价!F2666</f>
        <v>86.930976000000001</v>
      </c>
      <c r="J67" s="214">
        <f>砼单价!F2667</f>
        <v>0</v>
      </c>
      <c r="K67" s="214">
        <f>砼单价!F2668</f>
        <v>132.85950832</v>
      </c>
      <c r="L67" s="214">
        <f>砼单价!F2669</f>
        <v>142.15967390240002</v>
      </c>
      <c r="M67" s="214"/>
      <c r="N67" s="214">
        <f>砼单价!F2670</f>
        <v>195.57109424001601</v>
      </c>
      <c r="O67" s="214">
        <f>砼单价!F2672</f>
        <v>71.057497573872482</v>
      </c>
    </row>
    <row r="68" spans="1:15" ht="18" customHeight="1">
      <c r="A68" s="199">
        <f>砼单价!B2702</f>
        <v>4287</v>
      </c>
      <c r="B68" s="204" t="s">
        <v>250</v>
      </c>
      <c r="C68" s="199" t="s">
        <v>249</v>
      </c>
      <c r="D68" s="214">
        <f t="shared" si="20"/>
        <v>1249.9657767167837</v>
      </c>
      <c r="E68" s="214">
        <f>砼单价!F2707</f>
        <v>484.20499999999998</v>
      </c>
      <c r="F68" s="214">
        <f>砼单价!F2710</f>
        <v>365.10626350000001</v>
      </c>
      <c r="G68" s="214">
        <f>砼单价!F2714</f>
        <v>4.2942499020759897</v>
      </c>
      <c r="H68" s="214"/>
      <c r="I68" s="214">
        <f>砼单价!F2717</f>
        <v>40.973064643299651</v>
      </c>
      <c r="J68" s="214">
        <f>砼单价!F2718</f>
        <v>0</v>
      </c>
      <c r="K68" s="214">
        <f>砼单价!F2719</f>
        <v>62.620500463176299</v>
      </c>
      <c r="L68" s="214">
        <f>砼单价!F2720</f>
        <v>67.00393549559864</v>
      </c>
      <c r="M68" s="214">
        <f>砼单价!F2721</f>
        <v>89.153872712499961</v>
      </c>
      <c r="N68" s="214">
        <f>砼单价!F2724</f>
        <v>100.20211980449857</v>
      </c>
      <c r="O68" s="214">
        <f>砼单价!F2726</f>
        <v>36.406770195634479</v>
      </c>
    </row>
    <row r="69" spans="1:15" ht="18" customHeight="1">
      <c r="A69" s="199">
        <f>砼单价!B2609</f>
        <v>4273</v>
      </c>
      <c r="B69" s="204" t="s">
        <v>251</v>
      </c>
      <c r="C69" s="199" t="s">
        <v>252</v>
      </c>
      <c r="D69" s="214">
        <f t="shared" si="20"/>
        <v>16438.372444612789</v>
      </c>
      <c r="E69" s="214">
        <f>砼单价!F2614</f>
        <v>1279.8399999999999</v>
      </c>
      <c r="F69" s="214">
        <f>砼单价!F2617</f>
        <v>10923.15</v>
      </c>
      <c r="G69" s="214"/>
      <c r="H69" s="214"/>
      <c r="I69" s="214">
        <f>砼单价!F2621</f>
        <v>585.74351999999999</v>
      </c>
      <c r="J69" s="214">
        <f>砼单价!F2622</f>
        <v>0</v>
      </c>
      <c r="K69" s="214">
        <f>砼单价!F2623</f>
        <v>895.21134640000002</v>
      </c>
      <c r="L69" s="214">
        <f>砼单价!F2624</f>
        <v>957.87614064800005</v>
      </c>
      <c r="M69" s="214"/>
      <c r="N69" s="214">
        <f>砼单价!F2625</f>
        <v>1317.76389063432</v>
      </c>
      <c r="O69" s="216">
        <f>砼单价!F2627</f>
        <v>478.7875469304696</v>
      </c>
    </row>
    <row r="70" spans="1:15" ht="18" customHeight="1">
      <c r="A70" s="199" t="str">
        <f>砼单价!B2631</f>
        <v>补充</v>
      </c>
      <c r="B70" s="204" t="s">
        <v>253</v>
      </c>
      <c r="C70" s="199" t="s">
        <v>188</v>
      </c>
      <c r="D70" s="214">
        <f t="shared" si="20"/>
        <v>6991.3318774775998</v>
      </c>
      <c r="E70" s="220">
        <f>砼单价!F2636</f>
        <v>508.2</v>
      </c>
      <c r="F70" s="220">
        <f>砼单价!F2639</f>
        <v>4681.8</v>
      </c>
      <c r="G70" s="220"/>
      <c r="H70" s="220"/>
      <c r="I70" s="220">
        <f>砼单价!F2643</f>
        <v>249.12</v>
      </c>
      <c r="J70" s="220">
        <f>砼单价!F2644</f>
        <v>0</v>
      </c>
      <c r="K70" s="220">
        <f>砼单价!F2645</f>
        <v>380.73840000000001</v>
      </c>
      <c r="L70" s="220">
        <f>砼单价!F2646</f>
        <v>407.39008800000005</v>
      </c>
      <c r="M70" s="220"/>
      <c r="N70" s="220">
        <f>砼单价!F2647</f>
        <v>560.45236392000004</v>
      </c>
      <c r="O70" s="220">
        <f>砼单价!F2649</f>
        <v>203.6310255576</v>
      </c>
    </row>
    <row r="71" spans="1:15" ht="18" customHeight="1">
      <c r="A71" s="199">
        <f>砼单价!B2676</f>
        <v>4302</v>
      </c>
      <c r="B71" s="204" t="s">
        <v>254</v>
      </c>
      <c r="C71" s="199" t="s">
        <v>249</v>
      </c>
      <c r="D71" s="214">
        <f t="shared" si="20"/>
        <v>15113.975650366838</v>
      </c>
      <c r="E71" s="220">
        <f>砼单价!F2681</f>
        <v>1400.3420000000001</v>
      </c>
      <c r="F71" s="220">
        <f>砼单价!F2684</f>
        <v>9816.7960000000003</v>
      </c>
      <c r="G71" s="220">
        <f>砼单价!F2689</f>
        <v>2.6889228358793584</v>
      </c>
      <c r="H71" s="220"/>
      <c r="I71" s="220">
        <f>砼单价!F2692</f>
        <v>538.55169229612227</v>
      </c>
      <c r="J71" s="220">
        <f>砼单价!F2693</f>
        <v>0</v>
      </c>
      <c r="K71" s="220">
        <f>砼单价!F2694</f>
        <v>823.08650305924016</v>
      </c>
      <c r="L71" s="220">
        <f>砼单价!F2695</f>
        <v>880.70255827338701</v>
      </c>
      <c r="M71" s="220"/>
      <c r="N71" s="220">
        <f>砼单价!F2696</f>
        <v>1211.5950908818165</v>
      </c>
      <c r="O71" s="220">
        <f>砼单价!F2698</f>
        <v>440.21288302039335</v>
      </c>
    </row>
    <row r="72" spans="1:15" ht="18" customHeight="1">
      <c r="A72" s="199"/>
      <c r="B72" s="204" t="s">
        <v>255</v>
      </c>
      <c r="C72" s="199" t="s">
        <v>194</v>
      </c>
      <c r="D72" s="214">
        <f t="shared" si="20"/>
        <v>1885.908406256</v>
      </c>
      <c r="E72" s="220">
        <f>砼单价!F2734</f>
        <v>1400</v>
      </c>
      <c r="F72" s="220"/>
      <c r="G72" s="220"/>
      <c r="H72" s="220"/>
      <c r="I72" s="220">
        <f>砼单价!F2735</f>
        <v>67.2</v>
      </c>
      <c r="J72" s="220">
        <f>砼单价!F2736</f>
        <v>0</v>
      </c>
      <c r="K72" s="220">
        <f>砼单价!F2737</f>
        <v>102.70400000000001</v>
      </c>
      <c r="L72" s="220">
        <f>砼单价!F2738</f>
        <v>109.89328</v>
      </c>
      <c r="M72" s="220"/>
      <c r="N72" s="220">
        <f>砼单价!F2739</f>
        <v>151.1817552</v>
      </c>
      <c r="O72" s="220">
        <f>砼单价!F2741</f>
        <v>54.929371056000001</v>
      </c>
    </row>
    <row r="73" spans="1:15" ht="18" customHeight="1">
      <c r="A73" s="199">
        <f>钢筋!$B$5</f>
        <v>40123</v>
      </c>
      <c r="B73" s="204" t="s">
        <v>256</v>
      </c>
      <c r="C73" s="199" t="s">
        <v>88</v>
      </c>
      <c r="D73" s="214">
        <f t="shared" si="1"/>
        <v>6870.6107950347377</v>
      </c>
      <c r="E73" s="214">
        <f>钢筋!$F$10</f>
        <v>814.07600000000002</v>
      </c>
      <c r="F73" s="214">
        <f>钢筋!$F$13</f>
        <v>2724.3235</v>
      </c>
      <c r="G73" s="214">
        <f>钢筋!$F$18</f>
        <v>351.21370440658052</v>
      </c>
      <c r="H73" s="214"/>
      <c r="I73" s="214">
        <f>钢筋!$F$29</f>
        <v>186.70143381151587</v>
      </c>
      <c r="J73" s="214">
        <f>钢筋!$F$30</f>
        <v>0</v>
      </c>
      <c r="K73" s="214">
        <f>钢筋!$F$31</f>
        <v>203.81573191090484</v>
      </c>
      <c r="L73" s="214">
        <f>钢筋!$F$32</f>
        <v>299.60912590903013</v>
      </c>
      <c r="M73" s="214">
        <f>钢筋!$F$33</f>
        <v>1539.9815292000001</v>
      </c>
      <c r="N73" s="214">
        <f>钢筋!$F$36</f>
        <v>550.7748922714228</v>
      </c>
      <c r="O73" s="214">
        <f>钢筋!F38</f>
        <v>200.11487752528362</v>
      </c>
    </row>
    <row r="74" spans="1:15" ht="18" customHeight="1">
      <c r="A74" s="199">
        <f>钢筋!B42</f>
        <v>6096</v>
      </c>
      <c r="B74" s="204" t="s">
        <v>257</v>
      </c>
      <c r="C74" s="199" t="s">
        <v>88</v>
      </c>
      <c r="D74" s="214">
        <f t="shared" si="1"/>
        <v>7502.6085996198708</v>
      </c>
      <c r="E74" s="214">
        <f>钢筋!F47</f>
        <v>1090.3399999999999</v>
      </c>
      <c r="F74" s="214">
        <f>钢筋!F50</f>
        <v>2724.3235</v>
      </c>
      <c r="G74" s="214">
        <f>钢筋!F55</f>
        <v>538.08222602115166</v>
      </c>
      <c r="H74" s="214"/>
      <c r="I74" s="214">
        <f>钢筋!F66</f>
        <v>208.93179484901526</v>
      </c>
      <c r="J74" s="214">
        <f>钢筋!F67</f>
        <v>0</v>
      </c>
      <c r="K74" s="214">
        <f>钢筋!F68</f>
        <v>228.08387604350833</v>
      </c>
      <c r="L74" s="214">
        <f>钢筋!F69</f>
        <v>335.28329778395727</v>
      </c>
      <c r="M74" s="214">
        <f>钢筋!F70</f>
        <v>1557.6030291999998</v>
      </c>
      <c r="N74" s="214">
        <f>钢筋!F74</f>
        <v>601.43829515078676</v>
      </c>
      <c r="O74" s="214">
        <f>钢筋!F76</f>
        <v>218.52258057145255</v>
      </c>
    </row>
    <row r="75" spans="1:15" ht="18" customHeight="1">
      <c r="A75" s="199">
        <f>钢筋!B80</f>
        <v>8098</v>
      </c>
      <c r="B75" s="204" t="s">
        <v>258</v>
      </c>
      <c r="C75" s="199" t="s">
        <v>88</v>
      </c>
      <c r="D75" s="214">
        <f t="shared" si="1"/>
        <v>12039.38837022209</v>
      </c>
      <c r="E75" s="214">
        <f>钢筋!F85</f>
        <v>2310.6260000000002</v>
      </c>
      <c r="F75" s="214">
        <f>钢筋!F88</f>
        <v>6397.4604000000008</v>
      </c>
      <c r="G75" s="214">
        <f>钢筋!F96</f>
        <v>299.07528000000002</v>
      </c>
      <c r="H75" s="214"/>
      <c r="I75" s="214">
        <f>钢筋!F101</f>
        <v>432.34376064000008</v>
      </c>
      <c r="J75" s="214">
        <f>钢筋!F102</f>
        <v>0</v>
      </c>
      <c r="K75" s="214">
        <f>钢筋!F103</f>
        <v>471.97527203200008</v>
      </c>
      <c r="L75" s="214">
        <f>钢筋!F104</f>
        <v>693.80364988704014</v>
      </c>
      <c r="M75" s="214">
        <f>钢筋!F105</f>
        <v>118.31799802</v>
      </c>
      <c r="N75" s="214">
        <f>钢筋!F108</f>
        <v>965.12421245211374</v>
      </c>
      <c r="O75" s="214">
        <f>钢筋!F110</f>
        <v>350.66179719093464</v>
      </c>
    </row>
    <row r="76" spans="1:15" ht="18" customHeight="1">
      <c r="A76" s="199">
        <f>钢筋!B114</f>
        <v>8007</v>
      </c>
      <c r="B76" s="204" t="s">
        <v>259</v>
      </c>
      <c r="C76" s="199" t="s">
        <v>88</v>
      </c>
      <c r="D76" s="214">
        <f t="shared" si="1"/>
        <v>4007.8626108488302</v>
      </c>
      <c r="E76" s="214">
        <f>钢筋!F119</f>
        <v>485.16480000000001</v>
      </c>
      <c r="F76" s="214">
        <f>钢筋!F122</f>
        <v>2292.64705</v>
      </c>
      <c r="G76" s="214">
        <f>钢筋!F131</f>
        <v>145.42489011280841</v>
      </c>
      <c r="H76" s="214"/>
      <c r="I76" s="214">
        <f>钢筋!F137</f>
        <v>140.31536352541482</v>
      </c>
      <c r="J76" s="214">
        <f>钢筋!F138</f>
        <v>0</v>
      </c>
      <c r="K76" s="214">
        <f>钢筋!F139</f>
        <v>153.17760518191116</v>
      </c>
      <c r="L76" s="214">
        <f>钢筋!F140</f>
        <v>225.17107961740942</v>
      </c>
      <c r="M76" s="214">
        <f>钢筋!F141</f>
        <v>127.94210000000001</v>
      </c>
      <c r="N76" s="214">
        <f>钢筋!F144</f>
        <v>321.28585995937897</v>
      </c>
      <c r="O76" s="214">
        <f>钢筋!F146</f>
        <v>116.73386245190767</v>
      </c>
    </row>
    <row r="77" spans="1:15" ht="18" customHeight="1">
      <c r="A77" s="199">
        <f>钢筋!B149</f>
        <v>10082</v>
      </c>
      <c r="B77" s="204" t="s">
        <v>260</v>
      </c>
      <c r="C77" s="199" t="s">
        <v>249</v>
      </c>
      <c r="D77" s="214">
        <f t="shared" si="1"/>
        <v>12846.951709710367</v>
      </c>
      <c r="E77" s="214">
        <f>钢筋!F154</f>
        <v>261.63200000000001</v>
      </c>
      <c r="F77" s="214">
        <f>钢筋!F157</f>
        <v>9456.93</v>
      </c>
      <c r="G77" s="214"/>
      <c r="H77" s="214"/>
      <c r="I77" s="214">
        <f>钢筋!F163</f>
        <v>466.49097599999999</v>
      </c>
      <c r="J77" s="214">
        <f>钢筋!F164</f>
        <v>0</v>
      </c>
      <c r="K77" s="214">
        <f>钢筋!F165</f>
        <v>509.25264879999997</v>
      </c>
      <c r="L77" s="214">
        <f>钢筋!F166</f>
        <v>748.60139373599998</v>
      </c>
      <c r="M77" s="214"/>
      <c r="N77" s="214">
        <f>钢筋!F167</f>
        <v>1029.8616316682399</v>
      </c>
      <c r="O77" s="214">
        <f>钢筋!F169</f>
        <v>374.18305950612717</v>
      </c>
    </row>
    <row r="78" spans="1:15" ht="18" customHeight="1">
      <c r="A78" s="199">
        <f>砌石!$B$5</f>
        <v>3021</v>
      </c>
      <c r="B78" s="204" t="s">
        <v>261</v>
      </c>
      <c r="C78" s="199" t="s">
        <v>194</v>
      </c>
      <c r="D78" s="214">
        <f t="shared" si="1"/>
        <v>31850.021663291805</v>
      </c>
      <c r="E78" s="214">
        <f>砌石!$F$10</f>
        <v>5482.31</v>
      </c>
      <c r="F78" s="214">
        <f>砌石!$F$13</f>
        <v>12948.541580880001</v>
      </c>
      <c r="G78" s="214">
        <f>砌石!$F$17</f>
        <v>300.5101214492754</v>
      </c>
      <c r="H78" s="214"/>
      <c r="I78" s="214">
        <f>砌石!$F$21</f>
        <v>899.10536171180524</v>
      </c>
      <c r="J78" s="214">
        <f>砌石!$F$22</f>
        <v>0</v>
      </c>
      <c r="K78" s="214">
        <f>砌石!$F$23</f>
        <v>1668.5897004434919</v>
      </c>
      <c r="L78" s="214">
        <f>砌石!$F$24</f>
        <v>1490.9339735139201</v>
      </c>
      <c r="M78" s="214">
        <f>砌石!$F$25</f>
        <v>5579.1387385239996</v>
      </c>
      <c r="N78" s="214">
        <f>砌石!$F$29</f>
        <v>2553.2216528870244</v>
      </c>
      <c r="O78" s="214">
        <f>砌石!F31</f>
        <v>927.67053388228555</v>
      </c>
    </row>
    <row r="79" spans="1:15" ht="18" customHeight="1">
      <c r="A79" s="199">
        <f>A78</f>
        <v>3021</v>
      </c>
      <c r="B79" s="204" t="s">
        <v>262</v>
      </c>
      <c r="C79" s="199" t="s">
        <v>194</v>
      </c>
      <c r="D79" s="214">
        <f t="shared" si="1"/>
        <v>33281.159447061989</v>
      </c>
      <c r="E79" s="214">
        <f>E78</f>
        <v>5482.31</v>
      </c>
      <c r="F79" s="214">
        <f>F78</f>
        <v>12948.541580880001</v>
      </c>
      <c r="G79" s="214">
        <f>G78</f>
        <v>300.5101214492754</v>
      </c>
      <c r="H79" s="214"/>
      <c r="I79" s="214">
        <f>I78</f>
        <v>899.10536171180524</v>
      </c>
      <c r="J79" s="214">
        <f>J78</f>
        <v>0</v>
      </c>
      <c r="K79" s="214">
        <f>K78</f>
        <v>1668.5897004434919</v>
      </c>
      <c r="L79" s="214">
        <f>L78</f>
        <v>1490.9339735139201</v>
      </c>
      <c r="M79" s="214">
        <f>M78+砌石!E26*(材料预算价格表!K5-材料预算价格表!K6)</f>
        <v>6926.4723703919999</v>
      </c>
      <c r="N79" s="214">
        <f>N78+砌石!E26*(材料预算价格表!K5-材料预算价格表!K6)*0.0322</f>
        <v>2596.6057958331739</v>
      </c>
      <c r="O79" s="214">
        <f>O78+砌石!E26*(材料预算价格表!K5-材料预算价格表!K6)*取费!H6</f>
        <v>968.09054283832552</v>
      </c>
    </row>
    <row r="80" spans="1:15" ht="18" customHeight="1">
      <c r="A80" s="199">
        <f>砌石!B35</f>
        <v>3023</v>
      </c>
      <c r="B80" s="204" t="s">
        <v>263</v>
      </c>
      <c r="C80" s="199" t="s">
        <v>194</v>
      </c>
      <c r="D80" s="214">
        <f t="shared" si="1"/>
        <v>32681.984069983089</v>
      </c>
      <c r="E80" s="214">
        <f>砌石!F40</f>
        <v>6020.32</v>
      </c>
      <c r="F80" s="214">
        <f>砌石!F43</f>
        <v>13006.66938996</v>
      </c>
      <c r="G80" s="214">
        <f>砌石!F47</f>
        <v>301.71521045045046</v>
      </c>
      <c r="H80" s="214"/>
      <c r="I80" s="214">
        <f>砌石!F51</f>
        <v>927.77782081970156</v>
      </c>
      <c r="J80" s="214">
        <f>砌石!F52</f>
        <v>0</v>
      </c>
      <c r="K80" s="214">
        <f>砌石!F53</f>
        <v>1721.8010058045629</v>
      </c>
      <c r="L80" s="214">
        <f>砌石!F54</f>
        <v>1538.4798398924299</v>
      </c>
      <c r="M80" s="214">
        <f>砌石!F55</f>
        <v>5593.4033581579997</v>
      </c>
      <c r="N80" s="214">
        <f>砌石!F59</f>
        <v>2619.9149962576626</v>
      </c>
      <c r="O80" s="214">
        <f>砌石!F61</f>
        <v>951.90244864028409</v>
      </c>
    </row>
    <row r="81" spans="1:15" ht="18" customHeight="1">
      <c r="A81" s="199">
        <f>A80</f>
        <v>3023</v>
      </c>
      <c r="B81" s="204" t="s">
        <v>264</v>
      </c>
      <c r="C81" s="199" t="s">
        <v>194</v>
      </c>
      <c r="D81" s="214">
        <f t="shared" si="1"/>
        <v>34129.762990773866</v>
      </c>
      <c r="E81" s="214">
        <f>E80</f>
        <v>6020.32</v>
      </c>
      <c r="F81" s="214">
        <f>F80</f>
        <v>13006.66938996</v>
      </c>
      <c r="G81" s="214">
        <f>G80</f>
        <v>301.71521045045046</v>
      </c>
      <c r="H81" s="214"/>
      <c r="I81" s="214">
        <f>I80</f>
        <v>927.77782081970156</v>
      </c>
      <c r="J81" s="214">
        <f>J80</f>
        <v>0</v>
      </c>
      <c r="K81" s="214">
        <f>K80</f>
        <v>1721.8010058045629</v>
      </c>
      <c r="L81" s="214">
        <f>L80</f>
        <v>1538.4798398924299</v>
      </c>
      <c r="M81" s="214">
        <f>M80+砌石!E56*(材料预算价格表!K5-材料预算价格表!K6)</f>
        <v>6956.403660164</v>
      </c>
      <c r="N81" s="214">
        <f>N80+砌石!E56*(材料预算价格表!K5-材料预算价格表!K6)*0.0322</f>
        <v>2663.8036059822557</v>
      </c>
      <c r="O81" s="214">
        <f>O80+砌石!E56*(材料预算价格表!K5-材料预算价格表!K6)*取费!H6</f>
        <v>992.79245770046407</v>
      </c>
    </row>
    <row r="82" spans="1:15" ht="18" customHeight="1">
      <c r="A82" s="199">
        <f>砌石!B65</f>
        <v>3017</v>
      </c>
      <c r="B82" s="204" t="s">
        <v>265</v>
      </c>
      <c r="C82" s="199" t="s">
        <v>194</v>
      </c>
      <c r="D82" s="214">
        <f t="shared" si="1"/>
        <v>32340.444914483003</v>
      </c>
      <c r="E82" s="214">
        <f>砌石!F70</f>
        <v>5684.8559999999998</v>
      </c>
      <c r="F82" s="214">
        <f>砌石!F73</f>
        <v>13079.329151309999</v>
      </c>
      <c r="G82" s="214">
        <f>砌石!F77</f>
        <v>299.82844999999998</v>
      </c>
      <c r="H82" s="214"/>
      <c r="I82" s="214">
        <f>砌石!F81</f>
        <v>915.07265286287998</v>
      </c>
      <c r="J82" s="214">
        <f>砌石!F82</f>
        <v>0</v>
      </c>
      <c r="K82" s="214">
        <f>砌石!F83</f>
        <v>1698.2223316046948</v>
      </c>
      <c r="L82" s="214">
        <f>砌石!F84</f>
        <v>1517.4116010044302</v>
      </c>
      <c r="M82" s="214">
        <f>砌石!F85</f>
        <v>5611.2341327004997</v>
      </c>
      <c r="N82" s="214">
        <f>砌石!F89</f>
        <v>2592.5358887534253</v>
      </c>
      <c r="O82" s="214">
        <f>砌石!F91</f>
        <v>941.95470624707775</v>
      </c>
    </row>
    <row r="83" spans="1:15" ht="18" customHeight="1">
      <c r="A83" s="199">
        <f>A82</f>
        <v>3017</v>
      </c>
      <c r="B83" s="52" t="s">
        <v>266</v>
      </c>
      <c r="C83" s="199" t="s">
        <v>194</v>
      </c>
      <c r="D83" s="214">
        <f t="shared" si="1"/>
        <v>33809.02525654951</v>
      </c>
      <c r="E83" s="214">
        <f>E82</f>
        <v>5684.8559999999998</v>
      </c>
      <c r="F83" s="214">
        <f>F82</f>
        <v>13079.329151309999</v>
      </c>
      <c r="G83" s="214">
        <f>G82</f>
        <v>299.82844999999998</v>
      </c>
      <c r="H83" s="214"/>
      <c r="I83" s="214">
        <f>I82</f>
        <v>915.07265286287998</v>
      </c>
      <c r="J83" s="214">
        <f>J82</f>
        <v>0</v>
      </c>
      <c r="K83" s="214">
        <f>K82</f>
        <v>1698.2223316046948</v>
      </c>
      <c r="L83" s="214">
        <f>L82</f>
        <v>1517.4116010044302</v>
      </c>
      <c r="M83" s="214">
        <f>M82+砌石!E86*(材料预算价格表!K5-材料预算价格表!K6)</f>
        <v>6993.8177723790004</v>
      </c>
      <c r="N83" s="214">
        <f>N82+砌石!E86*(材料预算价格表!K5-材料预算价格表!K6)*0.0322</f>
        <v>2637.0550819510731</v>
      </c>
      <c r="O83" s="214">
        <f>O82+砌石!E86*(材料预算价格表!K5-材料预算价格表!K6)*取费!H6</f>
        <v>983.43221543743277</v>
      </c>
    </row>
    <row r="84" spans="1:15" ht="18" customHeight="1">
      <c r="A84" s="199">
        <f>砌石!B95</f>
        <v>3018</v>
      </c>
      <c r="B84" s="204" t="s">
        <v>267</v>
      </c>
      <c r="C84" s="199" t="s">
        <v>194</v>
      </c>
      <c r="D84" s="214">
        <f t="shared" si="1"/>
        <v>33537.85103518689</v>
      </c>
      <c r="E84" s="214">
        <f>砌石!F100</f>
        <v>6561.4589999999998</v>
      </c>
      <c r="F84" s="214">
        <f>砌石!F103</f>
        <v>13079.329151309999</v>
      </c>
      <c r="G84" s="214">
        <f>砌石!F107</f>
        <v>299.82844999999998</v>
      </c>
      <c r="H84" s="214"/>
      <c r="I84" s="214">
        <f>砌石!F111</f>
        <v>957.14959686288012</v>
      </c>
      <c r="J84" s="214">
        <f>砌石!F112</f>
        <v>0</v>
      </c>
      <c r="K84" s="214">
        <f>砌石!F113</f>
        <v>1776.3101268446951</v>
      </c>
      <c r="L84" s="214">
        <f>砌石!F114</f>
        <v>1587.1853427512306</v>
      </c>
      <c r="M84" s="214">
        <f>砌石!F115</f>
        <v>5611.2341327004997</v>
      </c>
      <c r="N84" s="214">
        <f>砌石!F119</f>
        <v>2688.5246220422373</v>
      </c>
      <c r="O84" s="214">
        <f>砌石!F121</f>
        <v>976.83061267534617</v>
      </c>
    </row>
    <row r="85" spans="1:15" ht="18" customHeight="1">
      <c r="A85" s="199">
        <f>砌石!$B$125</f>
        <v>3019</v>
      </c>
      <c r="B85" s="204" t="s">
        <v>268</v>
      </c>
      <c r="C85" s="199" t="s">
        <v>194</v>
      </c>
      <c r="D85" s="214">
        <f t="shared" si="1"/>
        <v>31390.43039747333</v>
      </c>
      <c r="E85" s="214">
        <f>砌石!$F$130</f>
        <v>4983.2030000000004</v>
      </c>
      <c r="F85" s="214">
        <f>砌石!$F$133</f>
        <v>13079.329151309999</v>
      </c>
      <c r="G85" s="214">
        <f>砌石!$F$137</f>
        <v>305.99011981981982</v>
      </c>
      <c r="H85" s="199"/>
      <c r="I85" s="214">
        <f>砌石!$F$141</f>
        <v>881.68906901423134</v>
      </c>
      <c r="J85" s="214">
        <f>砌石!$F$142</f>
        <v>0</v>
      </c>
      <c r="K85" s="214">
        <f>砌石!$F$143</f>
        <v>1636.2679639122446</v>
      </c>
      <c r="L85" s="214">
        <f>砌石!$F$144</f>
        <v>1462.0535512839408</v>
      </c>
      <c r="M85" s="214">
        <f>砌石!$F$145</f>
        <v>5611.2341327004997</v>
      </c>
      <c r="N85" s="214">
        <f>砌石!$F$149</f>
        <v>2516.3790289236658</v>
      </c>
      <c r="O85" s="214">
        <f>砌石!F151</f>
        <v>914.28438050893192</v>
      </c>
    </row>
    <row r="86" spans="1:15" ht="18" customHeight="1">
      <c r="A86" s="199">
        <f>A85</f>
        <v>3019</v>
      </c>
      <c r="B86" s="204" t="s">
        <v>269</v>
      </c>
      <c r="C86" s="199" t="s">
        <v>194</v>
      </c>
      <c r="D86" s="214">
        <f t="shared" si="1"/>
        <v>32859.010739539837</v>
      </c>
      <c r="E86" s="214">
        <f>E85</f>
        <v>4983.2030000000004</v>
      </c>
      <c r="F86" s="214">
        <f>F85</f>
        <v>13079.329151309999</v>
      </c>
      <c r="G86" s="214">
        <f>G85</f>
        <v>305.99011981981982</v>
      </c>
      <c r="H86" s="199"/>
      <c r="I86" s="214">
        <f>I85</f>
        <v>881.68906901423134</v>
      </c>
      <c r="J86" s="214">
        <f>J85</f>
        <v>0</v>
      </c>
      <c r="K86" s="214">
        <f>K85</f>
        <v>1636.2679639122446</v>
      </c>
      <c r="L86" s="214">
        <f>L85</f>
        <v>1462.0535512839408</v>
      </c>
      <c r="M86" s="214">
        <f>M85+砌石!E146*(材料预算价格表!K5-材料预算价格表!K6)</f>
        <v>6993.8177723790004</v>
      </c>
      <c r="N86" s="214">
        <f>N85+砌石!E146*(材料预算价格表!K5-材料预算价格表!K6)*0.0322</f>
        <v>2560.8982221213137</v>
      </c>
      <c r="O86" s="214">
        <f>O85+砌石!E146*(材料预算价格表!K5-材料预算价格表!K6)*取费!H6</f>
        <v>955.76188969928694</v>
      </c>
    </row>
    <row r="87" spans="1:15" ht="18" customHeight="1">
      <c r="A87" s="199">
        <f>砌石!$B$155</f>
        <v>3020</v>
      </c>
      <c r="B87" s="204" t="s">
        <v>270</v>
      </c>
      <c r="C87" s="199" t="s">
        <v>194</v>
      </c>
      <c r="D87" s="214">
        <f t="shared" si="1"/>
        <v>30292.568101670327</v>
      </c>
      <c r="E87" s="214">
        <f>砌石!$F$160</f>
        <v>4415.5</v>
      </c>
      <c r="F87" s="214">
        <f>砌石!$F$163</f>
        <v>12890.4137718</v>
      </c>
      <c r="G87" s="214">
        <f>砌石!$F$167</f>
        <v>296.98387656874269</v>
      </c>
      <c r="H87" s="199"/>
      <c r="I87" s="214">
        <f>砌石!$F$171</f>
        <v>844.93908712169957</v>
      </c>
      <c r="J87" s="214">
        <f>砌石!$F$172</f>
        <v>0</v>
      </c>
      <c r="K87" s="214">
        <f>砌石!$F$173</f>
        <v>1568.0661225166875</v>
      </c>
      <c r="L87" s="214">
        <f>砌石!$F$174</f>
        <v>1401.1132000604991</v>
      </c>
      <c r="M87" s="214">
        <f>砌石!$F$175</f>
        <v>5564.8741188899994</v>
      </c>
      <c r="N87" s="214">
        <f>砌石!$F$179</f>
        <v>2428.3701159261864</v>
      </c>
      <c r="O87" s="214">
        <f>砌石!F181</f>
        <v>882.30780878651433</v>
      </c>
    </row>
    <row r="88" spans="1:15" ht="18" customHeight="1">
      <c r="A88" s="199">
        <f>A87</f>
        <v>3020</v>
      </c>
      <c r="B88" s="204" t="s">
        <v>271</v>
      </c>
      <c r="C88" s="199" t="s">
        <v>194</v>
      </c>
      <c r="D88" s="214">
        <f t="shared" si="1"/>
        <v>31707.064748419933</v>
      </c>
      <c r="E88" s="214">
        <f>E87</f>
        <v>4415.5</v>
      </c>
      <c r="F88" s="214">
        <f>F87</f>
        <v>12890.4137718</v>
      </c>
      <c r="G88" s="214">
        <f>G87</f>
        <v>296.98387656874269</v>
      </c>
      <c r="H88" s="199"/>
      <c r="I88" s="214">
        <f>I87</f>
        <v>844.93908712169957</v>
      </c>
      <c r="J88" s="214">
        <f>J87</f>
        <v>0</v>
      </c>
      <c r="K88" s="214">
        <f>K87</f>
        <v>1568.0661225166875</v>
      </c>
      <c r="L88" s="214">
        <f>L87</f>
        <v>1401.1132000604991</v>
      </c>
      <c r="M88" s="214">
        <f>M87+砌石!E176*(材料预算价格表!K5-材料预算价格表!K6)</f>
        <v>6896.5410806199998</v>
      </c>
      <c r="N88" s="214">
        <f>N87+砌石!E176*(材料预算价格表!K5-材料预算价格表!K6)*0.0322</f>
        <v>2471.2497920938922</v>
      </c>
      <c r="O88" s="214">
        <f>O87+砌石!E176*(材料预算价格表!K5-材料预算价格表!K6)*取费!H6</f>
        <v>922.25781763841428</v>
      </c>
    </row>
    <row r="89" spans="1:15" ht="18" customHeight="1">
      <c r="A89" s="199">
        <f>砌石!B185</f>
        <v>3025</v>
      </c>
      <c r="B89" s="204" t="s">
        <v>272</v>
      </c>
      <c r="C89" s="199" t="s">
        <v>194</v>
      </c>
      <c r="D89" s="214">
        <f t="shared" si="1"/>
        <v>29449.182371634961</v>
      </c>
      <c r="E89" s="214">
        <f>砌石!F190</f>
        <v>3798.07</v>
      </c>
      <c r="F89" s="214">
        <f>砌石!F193</f>
        <v>12890.4137718</v>
      </c>
      <c r="G89" s="214">
        <f>砌石!F197</f>
        <v>296.98387656874269</v>
      </c>
      <c r="H89" s="199"/>
      <c r="I89" s="214">
        <f>砌石!F201</f>
        <v>815.30244712169974</v>
      </c>
      <c r="J89" s="214">
        <f>砌石!F202</f>
        <v>0</v>
      </c>
      <c r="K89" s="214">
        <f>砌石!F203</f>
        <v>1513.0654581166878</v>
      </c>
      <c r="L89" s="214">
        <f>砌石!F204</f>
        <v>1351.9684887524993</v>
      </c>
      <c r="M89" s="214">
        <f>砌石!F205</f>
        <v>5564.8741188899994</v>
      </c>
      <c r="N89" s="214">
        <f>砌石!F209</f>
        <v>2360.7610345124667</v>
      </c>
      <c r="O89" s="214">
        <f>砌石!F211</f>
        <v>857.74317587286293</v>
      </c>
    </row>
    <row r="90" spans="1:15" ht="18" customHeight="1">
      <c r="A90" s="199">
        <f>A89</f>
        <v>3025</v>
      </c>
      <c r="B90" s="204" t="s">
        <v>273</v>
      </c>
      <c r="C90" s="199" t="s">
        <v>194</v>
      </c>
      <c r="D90" s="214">
        <f t="shared" si="1"/>
        <v>30863.679018384566</v>
      </c>
      <c r="E90" s="214">
        <f>E89</f>
        <v>3798.07</v>
      </c>
      <c r="F90" s="214">
        <f>F89</f>
        <v>12890.4137718</v>
      </c>
      <c r="G90" s="214">
        <f>G89</f>
        <v>296.98387656874269</v>
      </c>
      <c r="H90" s="199"/>
      <c r="I90" s="214">
        <f>I89</f>
        <v>815.30244712169974</v>
      </c>
      <c r="J90" s="214">
        <f>J89</f>
        <v>0</v>
      </c>
      <c r="K90" s="214">
        <f>K89</f>
        <v>1513.0654581166878</v>
      </c>
      <c r="L90" s="214">
        <f>L89</f>
        <v>1351.9684887524993</v>
      </c>
      <c r="M90" s="214">
        <f>M89+砌石!E206*(材料预算价格表!K5-材料预算价格表!K6)</f>
        <v>6896.5410806199998</v>
      </c>
      <c r="N90" s="214">
        <f>N89+砌石!E206*(材料预算价格表!K5-材料预算价格表!K6)*0.0322</f>
        <v>2403.6407106801726</v>
      </c>
      <c r="O90" s="214">
        <f>O89+砌石!E206*(材料预算价格表!K5-材料预算价格表!K6)*取费!H6</f>
        <v>897.69318472476289</v>
      </c>
    </row>
    <row r="91" spans="1:15" ht="18" customHeight="1">
      <c r="A91" s="199">
        <f>砌石!$B$215</f>
        <v>3009</v>
      </c>
      <c r="B91" s="215" t="s">
        <v>274</v>
      </c>
      <c r="C91" s="199" t="s">
        <v>194</v>
      </c>
      <c r="D91" s="214">
        <f t="shared" si="1"/>
        <v>21368.338435259047</v>
      </c>
      <c r="E91" s="214">
        <f>砌石!$F$220</f>
        <v>3707.145</v>
      </c>
      <c r="F91" s="214">
        <f>砌石!$F$223</f>
        <v>8201.2000000000007</v>
      </c>
      <c r="G91" s="214">
        <f>砌石!$F$227</f>
        <v>62.848554641598135</v>
      </c>
      <c r="H91" s="199"/>
      <c r="I91" s="214">
        <f>砌石!$F$231</f>
        <v>574.61729062279676</v>
      </c>
      <c r="J91" s="214">
        <f>砌石!$F$232</f>
        <v>0</v>
      </c>
      <c r="K91" s="214">
        <f>砌石!$F$233</f>
        <v>1066.3939218474736</v>
      </c>
      <c r="L91" s="214">
        <f>砌石!$F$234</f>
        <v>952.85433369783095</v>
      </c>
      <c r="M91" s="214">
        <f>砌石!$F$235</f>
        <v>4467.9313999999995</v>
      </c>
      <c r="N91" s="214">
        <f>砌石!$F$237</f>
        <v>1712.9691450728726</v>
      </c>
      <c r="O91" s="214">
        <f>砌石!F239</f>
        <v>622.37878937647702</v>
      </c>
    </row>
    <row r="92" spans="1:15" ht="18" customHeight="1">
      <c r="A92" s="221">
        <f>砌石!B243</f>
        <v>3011</v>
      </c>
      <c r="B92" s="222" t="s">
        <v>275</v>
      </c>
      <c r="C92" s="221" t="s">
        <v>276</v>
      </c>
      <c r="D92" s="223">
        <f t="shared" si="1"/>
        <v>20667.340552427228</v>
      </c>
      <c r="E92" s="223">
        <f>砌石!F248</f>
        <v>3193.9549999999999</v>
      </c>
      <c r="F92" s="223">
        <f>砌石!F251</f>
        <v>8201.2000000000007</v>
      </c>
      <c r="G92" s="223">
        <f>砌石!F255</f>
        <v>62.848554641598135</v>
      </c>
      <c r="H92" s="221"/>
      <c r="I92" s="223">
        <f>砌石!F259</f>
        <v>549.98417062279668</v>
      </c>
      <c r="J92" s="223">
        <f>砌石!F260</f>
        <v>0</v>
      </c>
      <c r="K92" s="223">
        <f>砌石!F261</f>
        <v>1020.6789566474736</v>
      </c>
      <c r="L92" s="223">
        <f>砌石!F262</f>
        <v>912.00666773383091</v>
      </c>
      <c r="M92" s="223">
        <f>砌石!F263</f>
        <v>4467.9313999999995</v>
      </c>
      <c r="N92" s="223">
        <f>砌石!F265</f>
        <v>1656.7744274681131</v>
      </c>
      <c r="O92" s="223">
        <f>砌石!F267</f>
        <v>601.96137531341435</v>
      </c>
    </row>
    <row r="93" spans="1:15" ht="18" customHeight="1">
      <c r="A93" s="221">
        <f>砌石!B271</f>
        <v>9013</v>
      </c>
      <c r="B93" s="222" t="s">
        <v>277</v>
      </c>
      <c r="C93" s="221" t="s">
        <v>276</v>
      </c>
      <c r="D93" s="223">
        <f t="shared" si="1"/>
        <v>20887.387419940282</v>
      </c>
      <c r="E93" s="223">
        <f>砌石!F276</f>
        <v>3395.6480000000001</v>
      </c>
      <c r="F93" s="223">
        <f>砌石!F279</f>
        <v>8160.6</v>
      </c>
      <c r="G93" s="223">
        <f>砌石!F283</f>
        <v>62.848554641598135</v>
      </c>
      <c r="H93" s="221"/>
      <c r="I93" s="223">
        <f>砌石!F287</f>
        <v>557.71663462279673</v>
      </c>
      <c r="J93" s="223">
        <f>砌石!F288</f>
        <v>0</v>
      </c>
      <c r="K93" s="223">
        <f>砌石!F289</f>
        <v>1035.0291210874736</v>
      </c>
      <c r="L93" s="223">
        <f>砌石!F290</f>
        <v>924.82896172463074</v>
      </c>
      <c r="M93" s="223">
        <f>砌石!F291</f>
        <v>4467.9313999999995</v>
      </c>
      <c r="N93" s="223">
        <f>砌石!F293</f>
        <v>1674.4142404868846</v>
      </c>
      <c r="O93" s="223">
        <f>砌石!F295</f>
        <v>608.3705073769014</v>
      </c>
    </row>
    <row r="94" spans="1:15" ht="18" customHeight="1">
      <c r="A94" s="221">
        <f>砌石!B299</f>
        <v>9014</v>
      </c>
      <c r="B94" s="222" t="s">
        <v>278</v>
      </c>
      <c r="C94" s="221" t="s">
        <v>276</v>
      </c>
      <c r="D94" s="223">
        <f t="shared" si="1"/>
        <v>18759.730654767445</v>
      </c>
      <c r="E94" s="223">
        <f>砌石!F304</f>
        <v>2350.788</v>
      </c>
      <c r="F94" s="223">
        <f>砌石!F307</f>
        <v>7808.85</v>
      </c>
      <c r="G94" s="223">
        <f>砌石!F311</f>
        <v>60.11949862906387</v>
      </c>
      <c r="H94" s="221"/>
      <c r="I94" s="223">
        <f>砌石!F315</f>
        <v>490.54835993419516</v>
      </c>
      <c r="J94" s="223">
        <f>砌石!F316</f>
        <v>0</v>
      </c>
      <c r="K94" s="223">
        <f>砌石!F317</f>
        <v>910.3759979778772</v>
      </c>
      <c r="L94" s="223">
        <f>砌石!F318</f>
        <v>813.44772995787969</v>
      </c>
      <c r="M94" s="223">
        <f>砌石!F319</f>
        <v>4275.3481499999998</v>
      </c>
      <c r="N94" s="223">
        <f>砌石!F321</f>
        <v>1503.8529962849116</v>
      </c>
      <c r="O94" s="223">
        <f>砌石!F323</f>
        <v>546.39992198351786</v>
      </c>
    </row>
    <row r="95" spans="1:15" ht="18" customHeight="1">
      <c r="A95" s="221">
        <f>砌石!B355</f>
        <v>9010</v>
      </c>
      <c r="B95" s="222" t="s">
        <v>279</v>
      </c>
      <c r="C95" s="221" t="s">
        <v>276</v>
      </c>
      <c r="D95" s="223">
        <f t="shared" si="1"/>
        <v>27856.813577424102</v>
      </c>
      <c r="E95" s="223">
        <f>砌石!F360</f>
        <v>3799.4850000000001</v>
      </c>
      <c r="F95" s="223">
        <f>砌石!F363</f>
        <v>12858.975</v>
      </c>
      <c r="G95" s="223">
        <f>砌石!F367</f>
        <v>62.848554641598135</v>
      </c>
      <c r="H95" s="221"/>
      <c r="I95" s="223">
        <f>砌石!F371</f>
        <v>802.62281062279669</v>
      </c>
      <c r="J95" s="223">
        <f>砌石!F372</f>
        <v>0</v>
      </c>
      <c r="K95" s="223">
        <f>砌石!F373</f>
        <v>1489.5341660474737</v>
      </c>
      <c r="L95" s="223">
        <f>砌石!F374</f>
        <v>1330.9425871918309</v>
      </c>
      <c r="M95" s="223">
        <f>砌石!F375</f>
        <v>4467.9313999999995</v>
      </c>
      <c r="N95" s="223">
        <f>砌石!F377</f>
        <v>2233.1105566653328</v>
      </c>
      <c r="O95" s="223">
        <f>砌石!F379</f>
        <v>811.3635022550709</v>
      </c>
    </row>
    <row r="96" spans="1:15" ht="18" customHeight="1">
      <c r="A96" s="221">
        <f>砌石!B327</f>
        <v>9012</v>
      </c>
      <c r="B96" s="222" t="s">
        <v>280</v>
      </c>
      <c r="C96" s="221" t="s">
        <v>276</v>
      </c>
      <c r="D96" s="223">
        <f t="shared" si="1"/>
        <v>23170.220448434426</v>
      </c>
      <c r="E96" s="223">
        <f>砌石!F332</f>
        <v>1754.6569999999999</v>
      </c>
      <c r="F96" s="223">
        <f>砌石!F335</f>
        <v>11896.885</v>
      </c>
      <c r="G96" s="223">
        <f>砌石!F339</f>
        <v>50.327003525264409</v>
      </c>
      <c r="H96" s="221"/>
      <c r="I96" s="223">
        <f>砌石!F343</f>
        <v>657.68971216921273</v>
      </c>
      <c r="J96" s="223">
        <f>砌石!F344</f>
        <v>0</v>
      </c>
      <c r="K96" s="223">
        <f>砌石!F345</f>
        <v>1220.5624908340305</v>
      </c>
      <c r="L96" s="223">
        <f>砌石!F346</f>
        <v>1090.6084844569957</v>
      </c>
      <c r="M96" s="223">
        <f>砌石!F347</f>
        <v>3967.21495</v>
      </c>
      <c r="N96" s="223">
        <f>砌石!F349</f>
        <v>1857.4150176886953</v>
      </c>
      <c r="O96" s="223">
        <f>砌石!F351</f>
        <v>674.86078976022588</v>
      </c>
    </row>
    <row r="97" spans="1:15" ht="18" customHeight="1">
      <c r="A97" s="221" t="s">
        <v>281</v>
      </c>
      <c r="B97" s="222" t="s">
        <v>282</v>
      </c>
      <c r="C97" s="221" t="s">
        <v>276</v>
      </c>
      <c r="D97" s="223">
        <f t="shared" si="1"/>
        <v>50691.867419330098</v>
      </c>
      <c r="E97" s="223">
        <f>砌石!F388</f>
        <v>3989.4592499999999</v>
      </c>
      <c r="F97" s="223">
        <f>砌石!F391</f>
        <v>29386.2</v>
      </c>
      <c r="G97" s="223">
        <f>砌石!F395</f>
        <v>62.848554641598135</v>
      </c>
      <c r="H97" s="221"/>
      <c r="I97" s="223">
        <f>砌石!F399</f>
        <v>1605.0483746227965</v>
      </c>
      <c r="J97" s="223">
        <f>砌石!F400</f>
        <v>0</v>
      </c>
      <c r="K97" s="223">
        <f>砌石!F401</f>
        <v>2978.7022752374737</v>
      </c>
      <c r="L97" s="223">
        <f>砌石!F402</f>
        <v>2661.5580918151309</v>
      </c>
      <c r="M97" s="223">
        <f>砌石!F403</f>
        <v>4467.9313999999995</v>
      </c>
      <c r="N97" s="223">
        <f>砌石!F405</f>
        <v>4063.6573151685302</v>
      </c>
      <c r="O97" s="223">
        <f>砌石!F407</f>
        <v>1476.4621578445658</v>
      </c>
    </row>
    <row r="98" spans="1:15" ht="18" customHeight="1">
      <c r="A98" s="221" t="s">
        <v>281</v>
      </c>
      <c r="B98" s="222" t="s">
        <v>283</v>
      </c>
      <c r="C98" s="221" t="s">
        <v>276</v>
      </c>
      <c r="D98" s="223">
        <f t="shared" si="1"/>
        <v>37040.828697581725</v>
      </c>
      <c r="E98" s="223">
        <f>砌石!F416</f>
        <v>3989.4592499999999</v>
      </c>
      <c r="F98" s="223">
        <f>砌石!F419</f>
        <v>19392.48</v>
      </c>
      <c r="G98" s="223">
        <f>砌石!F423</f>
        <v>62.848554641598135</v>
      </c>
      <c r="H98" s="221"/>
      <c r="I98" s="223">
        <f>砌石!F427</f>
        <v>1125.3498146227967</v>
      </c>
      <c r="J98" s="223">
        <f>砌石!F428</f>
        <v>0</v>
      </c>
      <c r="K98" s="223">
        <f>砌石!F429</f>
        <v>2088.4616976374737</v>
      </c>
      <c r="L98" s="223">
        <f>砌石!F430</f>
        <v>1866.1019521831311</v>
      </c>
      <c r="M98" s="223">
        <f>砌石!F431</f>
        <v>4467.9313999999995</v>
      </c>
      <c r="N98" s="223">
        <f>砌石!F433</f>
        <v>2969.3369402176504</v>
      </c>
      <c r="O98" s="223">
        <f>砌石!F435</f>
        <v>1078.8590882790793</v>
      </c>
    </row>
    <row r="99" spans="1:15" ht="18" customHeight="1">
      <c r="A99" s="221" t="s">
        <v>281</v>
      </c>
      <c r="B99" s="222" t="s">
        <v>284</v>
      </c>
      <c r="C99" s="221" t="s">
        <v>276</v>
      </c>
      <c r="D99" s="223">
        <f t="shared" si="1"/>
        <v>43443.528275038923</v>
      </c>
      <c r="E99" s="223">
        <f>砌石!F444</f>
        <v>3989.4592499999999</v>
      </c>
      <c r="F99" s="223">
        <f>砌石!F447</f>
        <v>24079.8</v>
      </c>
      <c r="G99" s="223">
        <f>砌石!F451</f>
        <v>62.848554641598135</v>
      </c>
      <c r="H99" s="221"/>
      <c r="I99" s="223">
        <f>砌石!F455</f>
        <v>1350.3411746227966</v>
      </c>
      <c r="J99" s="223">
        <f>砌石!F456</f>
        <v>0</v>
      </c>
      <c r="K99" s="223">
        <f>砌石!F457</f>
        <v>2506.0081632374736</v>
      </c>
      <c r="L99" s="223">
        <f>砌石!F458</f>
        <v>2239.1919999751312</v>
      </c>
      <c r="M99" s="223">
        <f>砌石!F459</f>
        <v>4467.9313999999995</v>
      </c>
      <c r="N99" s="223">
        <f>砌石!F461</f>
        <v>3482.6022488229301</v>
      </c>
      <c r="O99" s="223">
        <f>砌石!F463</f>
        <v>1265.3454837389979</v>
      </c>
    </row>
    <row r="100" spans="1:15" ht="18" customHeight="1">
      <c r="A100" s="221" t="s">
        <v>281</v>
      </c>
      <c r="B100" s="222" t="s">
        <v>285</v>
      </c>
      <c r="C100" s="221" t="s">
        <v>276</v>
      </c>
      <c r="D100" s="223">
        <f t="shared" si="1"/>
        <v>27577.139756276298</v>
      </c>
      <c r="E100" s="223">
        <f>砌石!F472</f>
        <v>2344.0147499999998</v>
      </c>
      <c r="F100" s="223">
        <f>砌石!F475</f>
        <v>14521.245000000001</v>
      </c>
      <c r="G100" s="223">
        <f>砌石!F479</f>
        <v>62.848554641598135</v>
      </c>
      <c r="H100" s="221"/>
      <c r="I100" s="223">
        <f>砌石!F483</f>
        <v>812.54919862279678</v>
      </c>
      <c r="J100" s="223">
        <f>砌石!F484</f>
        <v>0</v>
      </c>
      <c r="K100" s="223">
        <f>砌石!F485</f>
        <v>1507.9558877774737</v>
      </c>
      <c r="L100" s="223">
        <f>砌石!F486</f>
        <v>1347.4029373729309</v>
      </c>
      <c r="M100" s="223">
        <f>砌石!F487</f>
        <v>3967.21495</v>
      </c>
      <c r="N100" s="223">
        <f>砌石!F489</f>
        <v>2210.6908150573322</v>
      </c>
      <c r="O100" s="223">
        <f>砌石!F491</f>
        <v>803.21766280416398</v>
      </c>
    </row>
    <row r="101" spans="1:15" ht="18" customHeight="1">
      <c r="A101" s="221" t="s">
        <v>281</v>
      </c>
      <c r="B101" s="222" t="s">
        <v>286</v>
      </c>
      <c r="C101" s="221" t="s">
        <v>276</v>
      </c>
      <c r="D101" s="223">
        <f t="shared" si="1"/>
        <v>31724.342891674703</v>
      </c>
      <c r="E101" s="223">
        <f>砌石!F500</f>
        <v>2344.0147499999998</v>
      </c>
      <c r="F101" s="223">
        <f>砌石!F503</f>
        <v>17557.349999999999</v>
      </c>
      <c r="G101" s="223">
        <f>砌石!F507</f>
        <v>62.848554641598135</v>
      </c>
      <c r="H101" s="221"/>
      <c r="I101" s="223">
        <f>砌石!F511</f>
        <v>958.28223862279651</v>
      </c>
      <c r="J101" s="223">
        <f>砌石!F512</f>
        <v>0</v>
      </c>
      <c r="K101" s="223">
        <f>砌石!F513</f>
        <v>1778.4121211774734</v>
      </c>
      <c r="L101" s="223">
        <f>砌石!F514</f>
        <v>1589.0635365109306</v>
      </c>
      <c r="M101" s="223">
        <f>砌石!F515</f>
        <v>3967.21495</v>
      </c>
      <c r="N101" s="223">
        <f>砌石!F517</f>
        <v>2543.1467535857514</v>
      </c>
      <c r="O101" s="223">
        <f>砌石!F519</f>
        <v>924.00998713615638</v>
      </c>
    </row>
    <row r="102" spans="1:15" ht="18" customHeight="1">
      <c r="A102" s="221" t="s">
        <v>281</v>
      </c>
      <c r="B102" s="222" t="s">
        <v>287</v>
      </c>
      <c r="C102" s="221" t="s">
        <v>276</v>
      </c>
      <c r="D102" s="223">
        <f t="shared" si="1"/>
        <v>24290.676894262455</v>
      </c>
      <c r="E102" s="223">
        <f>砌石!F528</f>
        <v>2344.0147499999998</v>
      </c>
      <c r="F102" s="223">
        <f>砌石!F531</f>
        <v>12115.275</v>
      </c>
      <c r="G102" s="223">
        <f>砌石!F535</f>
        <v>62.848554641598135</v>
      </c>
      <c r="H102" s="221"/>
      <c r="I102" s="223">
        <f>砌石!F539</f>
        <v>697.06263862279673</v>
      </c>
      <c r="J102" s="223">
        <f>砌石!F540</f>
        <v>0</v>
      </c>
      <c r="K102" s="223">
        <f>砌石!F541</f>
        <v>1293.6320801774737</v>
      </c>
      <c r="L102" s="223">
        <f>砌石!F542</f>
        <v>1155.8983116409308</v>
      </c>
      <c r="M102" s="223">
        <f>砌石!F543</f>
        <v>3967.21495</v>
      </c>
      <c r="N102" s="223">
        <f>砌石!F545</f>
        <v>1947.2351656574517</v>
      </c>
      <c r="O102" s="223">
        <f>砌石!F547</f>
        <v>707.49544352220744</v>
      </c>
    </row>
    <row r="103" spans="1:15" ht="18" customHeight="1">
      <c r="A103" s="221">
        <f>砌石!$B$627</f>
        <v>3070</v>
      </c>
      <c r="B103" s="224" t="s">
        <v>288</v>
      </c>
      <c r="C103" s="221" t="s">
        <v>276</v>
      </c>
      <c r="D103" s="223">
        <f t="shared" si="1"/>
        <v>50219.596503103836</v>
      </c>
      <c r="E103" s="223">
        <f>砌石!$F$632</f>
        <v>11150.592000000001</v>
      </c>
      <c r="F103" s="223">
        <f>砌石!$F$635</f>
        <v>24618.685537157999</v>
      </c>
      <c r="G103" s="223">
        <f>砌石!$F$639</f>
        <v>236.58749904426168</v>
      </c>
      <c r="H103" s="223"/>
      <c r="I103" s="223">
        <f>砌石!$F$643</f>
        <v>1728.2815217377085</v>
      </c>
      <c r="J103" s="223">
        <f>砌石!$F$644</f>
        <v>0</v>
      </c>
      <c r="K103" s="223">
        <f>砌石!$F$645</f>
        <v>3207.4024574248974</v>
      </c>
      <c r="L103" s="223">
        <f>砌石!$F$646</f>
        <v>2865.9084310755406</v>
      </c>
      <c r="M103" s="223">
        <f>砌石!$F$647</f>
        <v>923.63412130149959</v>
      </c>
      <c r="N103" s="223">
        <f>砌石!$F$650</f>
        <v>4025.7982410967711</v>
      </c>
      <c r="O103" s="223">
        <f>砌石!F652</f>
        <v>1462.7066942651602</v>
      </c>
    </row>
    <row r="104" spans="1:15" ht="18" customHeight="1">
      <c r="A104" s="221">
        <f>砌石!B656</f>
        <v>3062</v>
      </c>
      <c r="B104" s="225" t="s">
        <v>289</v>
      </c>
      <c r="C104" s="221" t="s">
        <v>290</v>
      </c>
      <c r="D104" s="223">
        <f t="shared" si="1"/>
        <v>1469.5553455699032</v>
      </c>
      <c r="E104" s="223">
        <f>砌石!F661</f>
        <v>633.22699999999998</v>
      </c>
      <c r="F104" s="223">
        <f>砌石!F664</f>
        <v>359.17780536000004</v>
      </c>
      <c r="G104" s="223">
        <f>砌石!F667</f>
        <v>16.020058104191143</v>
      </c>
      <c r="H104" s="223"/>
      <c r="I104" s="223">
        <f>砌石!F671</f>
        <v>48.404393446281169</v>
      </c>
      <c r="J104" s="223">
        <f>砌石!F672</f>
        <v>0</v>
      </c>
      <c r="K104" s="223">
        <f>砌石!F673</f>
        <v>89.83048683739014</v>
      </c>
      <c r="L104" s="223">
        <f>砌石!F674</f>
        <v>80.266182062350367</v>
      </c>
      <c r="M104" s="223">
        <f>砌石!F675</f>
        <v>82.021562895499969</v>
      </c>
      <c r="N104" s="223">
        <f>砌石!F678</f>
        <v>117.80527398351411</v>
      </c>
      <c r="O104" s="223">
        <f>砌石!F680</f>
        <v>42.802582880676795</v>
      </c>
    </row>
    <row r="105" spans="1:15" ht="18" customHeight="1">
      <c r="A105" s="221">
        <f>砌石!$B$551</f>
        <v>3007</v>
      </c>
      <c r="B105" s="222" t="s">
        <v>291</v>
      </c>
      <c r="C105" s="221" t="s">
        <v>276</v>
      </c>
      <c r="D105" s="223">
        <f t="shared" si="1"/>
        <v>14481.289063688757</v>
      </c>
      <c r="E105" s="223">
        <f>砌石!$F$556</f>
        <v>2866.5230000000001</v>
      </c>
      <c r="F105" s="223">
        <f>砌石!$F$559</f>
        <v>7211.4</v>
      </c>
      <c r="G105" s="223"/>
      <c r="H105" s="221"/>
      <c r="I105" s="223">
        <f>砌石!$F$564</f>
        <v>483.74030399999998</v>
      </c>
      <c r="J105" s="223">
        <f>砌石!$F$565</f>
        <v>0</v>
      </c>
      <c r="K105" s="223">
        <f>砌石!$F$566</f>
        <v>897.74138084000003</v>
      </c>
      <c r="L105" s="223">
        <f>砌石!$F$567</f>
        <v>802.15832793880008</v>
      </c>
      <c r="M105" s="223">
        <f>砌石!$F$568</f>
        <v>637.06445999999903</v>
      </c>
      <c r="N105" s="223">
        <f>砌石!$F$571</f>
        <v>1160.8764725500919</v>
      </c>
      <c r="O105" s="223">
        <f>砌石!F573</f>
        <v>421.78511835986666</v>
      </c>
    </row>
    <row r="106" spans="1:15" ht="18" customHeight="1">
      <c r="A106" s="221">
        <f>砌石!$B$601</f>
        <v>3008</v>
      </c>
      <c r="B106" s="222" t="s">
        <v>292</v>
      </c>
      <c r="C106" s="221" t="s">
        <v>276</v>
      </c>
      <c r="D106" s="223">
        <f t="shared" si="1"/>
        <v>14390.486275954438</v>
      </c>
      <c r="E106" s="223">
        <f>砌石!$F$606</f>
        <v>2866.5230000000001</v>
      </c>
      <c r="F106" s="223">
        <f>砌石!$F$609</f>
        <v>7211.4</v>
      </c>
      <c r="G106" s="223"/>
      <c r="H106" s="221"/>
      <c r="I106" s="223">
        <f>砌石!$F$614</f>
        <v>483.74030399999998</v>
      </c>
      <c r="J106" s="223">
        <f>砌石!$F$615</f>
        <v>0</v>
      </c>
      <c r="K106" s="223">
        <f>砌石!$F$616</f>
        <v>897.74138084000003</v>
      </c>
      <c r="L106" s="223">
        <f>砌石!$F$617</f>
        <v>802.15832793880008</v>
      </c>
      <c r="M106" s="223">
        <f>砌石!$F$618</f>
        <v>556.18551839999895</v>
      </c>
      <c r="N106" s="223">
        <f>砌石!$F$621</f>
        <v>1153.5973678060918</v>
      </c>
      <c r="O106" s="223">
        <f>砌石!F623</f>
        <v>419.14037696954671</v>
      </c>
    </row>
    <row r="107" spans="1:15" ht="18" customHeight="1">
      <c r="A107" s="221">
        <v>3007</v>
      </c>
      <c r="B107" s="222" t="s">
        <v>293</v>
      </c>
      <c r="C107" s="221" t="s">
        <v>276</v>
      </c>
      <c r="D107" s="223">
        <f t="shared" si="1"/>
        <v>12000.784555196851</v>
      </c>
      <c r="E107" s="223">
        <f>砌石!F582</f>
        <v>2866.5230000000001</v>
      </c>
      <c r="F107" s="223">
        <f>砌石!F585</f>
        <v>5919.0707609999999</v>
      </c>
      <c r="G107" s="223"/>
      <c r="H107" s="221"/>
      <c r="I107" s="223">
        <f>砌石!F589</f>
        <v>421.708500528</v>
      </c>
      <c r="J107" s="223">
        <f>砌石!F590</f>
        <v>0</v>
      </c>
      <c r="K107" s="223">
        <f>砌石!F591</f>
        <v>782.62069222988009</v>
      </c>
      <c r="L107" s="223">
        <f>砌石!F592</f>
        <v>699.29460676305177</v>
      </c>
      <c r="M107" s="223">
        <f>砌石!F593</f>
        <v>0</v>
      </c>
      <c r="N107" s="223">
        <f>砌石!F595</f>
        <v>962.02958044688387</v>
      </c>
      <c r="O107" s="223">
        <f>砌石!F597</f>
        <v>349.53741422903448</v>
      </c>
    </row>
    <row r="108" spans="1:15" ht="18" customHeight="1">
      <c r="A108" s="221">
        <f>土石方!$B$5</f>
        <v>1225</v>
      </c>
      <c r="B108" s="225" t="s">
        <v>294</v>
      </c>
      <c r="C108" s="221" t="s">
        <v>276</v>
      </c>
      <c r="D108" s="223">
        <f t="shared" si="1"/>
        <v>597.37169665788667</v>
      </c>
      <c r="E108" s="223">
        <f>土石方!$F$10</f>
        <v>115.4</v>
      </c>
      <c r="F108" s="223"/>
      <c r="G108" s="223">
        <f>土石方!$F$11</f>
        <v>224.78286523411683</v>
      </c>
      <c r="H108" s="223">
        <f>土石方!$F$17</f>
        <v>34.018286523411682</v>
      </c>
      <c r="I108" s="223">
        <f>土石方!$F$19</f>
        <v>17.96165528436137</v>
      </c>
      <c r="J108" s="223">
        <f>土石方!$F$20</f>
        <v>0</v>
      </c>
      <c r="K108" s="223">
        <f>土石方!$F$21</f>
        <v>15.686512281675595</v>
      </c>
      <c r="L108" s="223">
        <f>土石方!$F$22</f>
        <v>28.549452352649588</v>
      </c>
      <c r="M108" s="223">
        <f>土石方!$F$23</f>
        <v>95.686109999999985</v>
      </c>
      <c r="N108" s="223">
        <f>土石方!$F$25</f>
        <v>47.887639350859359</v>
      </c>
      <c r="O108" s="223">
        <f>土石方!F27</f>
        <v>17.399175630812234</v>
      </c>
    </row>
    <row r="109" spans="1:15" ht="25.5" customHeight="1">
      <c r="A109" s="221">
        <f>土石方!B57</f>
        <v>1156</v>
      </c>
      <c r="B109" s="222" t="s">
        <v>295</v>
      </c>
      <c r="C109" s="221" t="s">
        <v>276</v>
      </c>
      <c r="D109" s="223">
        <f t="shared" si="1"/>
        <v>798.72592261513739</v>
      </c>
      <c r="E109" s="223">
        <f>土石方!F62</f>
        <v>27.303640000000001</v>
      </c>
      <c r="F109" s="223"/>
      <c r="G109" s="223">
        <f>土石方!F63</f>
        <v>406.36904096130058</v>
      </c>
      <c r="H109" s="223">
        <f>土石方!F67</f>
        <v>21.683634048065027</v>
      </c>
      <c r="I109" s="223">
        <f>土石方!F69</f>
        <v>21.857103120449548</v>
      </c>
      <c r="J109" s="223">
        <f>土石方!F70</f>
        <v>0</v>
      </c>
      <c r="K109" s="223">
        <f>土石方!F71</f>
        <v>19.088536725192604</v>
      </c>
      <c r="L109" s="223">
        <f>土石方!F72</f>
        <v>34.741136839850547</v>
      </c>
      <c r="M109" s="223">
        <f>土石方!F73</f>
        <v>180.38999160000003</v>
      </c>
      <c r="N109" s="223">
        <f>土石方!F75</f>
        <v>64.028977496537252</v>
      </c>
      <c r="O109" s="223">
        <f>土石方!F77</f>
        <v>23.263861823741866</v>
      </c>
    </row>
    <row r="110" spans="1:15" ht="25.5" customHeight="1">
      <c r="A110" s="221">
        <f>土石方!B81</f>
        <v>1156</v>
      </c>
      <c r="B110" s="222" t="s">
        <v>296</v>
      </c>
      <c r="C110" s="221" t="s">
        <v>276</v>
      </c>
      <c r="D110" s="223">
        <f t="shared" si="1"/>
        <v>877.72079408256855</v>
      </c>
      <c r="E110" s="223">
        <f>土石方!F86</f>
        <v>30.004000000000001</v>
      </c>
      <c r="F110" s="223"/>
      <c r="G110" s="223">
        <f>土石方!F87</f>
        <v>446.55938567175883</v>
      </c>
      <c r="H110" s="223">
        <f>土石方!F91</f>
        <v>23.82816928358794</v>
      </c>
      <c r="I110" s="223">
        <f>土石方!F93</f>
        <v>24.018794637856647</v>
      </c>
      <c r="J110" s="223">
        <f>土石方!F94</f>
        <v>0</v>
      </c>
      <c r="K110" s="223">
        <f>土石方!F95</f>
        <v>20.97641398372814</v>
      </c>
      <c r="L110" s="223">
        <f>土石方!F96</f>
        <v>38.177073450385215</v>
      </c>
      <c r="M110" s="223">
        <f>土石方!F97</f>
        <v>198.23075999999998</v>
      </c>
      <c r="N110" s="223">
        <f>土石方!F99</f>
        <v>70.361513732458505</v>
      </c>
      <c r="O110" s="223">
        <f>土石方!F101</f>
        <v>25.564683322793258</v>
      </c>
    </row>
    <row r="111" spans="1:15" ht="25.5" customHeight="1">
      <c r="A111" s="221">
        <f>土石方!B105</f>
        <v>1157</v>
      </c>
      <c r="B111" s="222" t="s">
        <v>297</v>
      </c>
      <c r="C111" s="221" t="s">
        <v>276</v>
      </c>
      <c r="D111" s="223">
        <f t="shared" si="1"/>
        <v>886.38324684096779</v>
      </c>
      <c r="E111" s="223">
        <f>土石方!F110</f>
        <v>27.303640000000001</v>
      </c>
      <c r="F111" s="223"/>
      <c r="G111" s="223">
        <f>土石方!F111</f>
        <v>453.22759632205265</v>
      </c>
      <c r="H111" s="223">
        <f>土石方!F115</f>
        <v>24.026561816102635</v>
      </c>
      <c r="I111" s="223">
        <f>土石方!F117</f>
        <v>24.218774310631456</v>
      </c>
      <c r="J111" s="223">
        <f>土石方!F118</f>
        <v>0</v>
      </c>
      <c r="K111" s="223">
        <f>土石方!F119</f>
        <v>21.151062897951469</v>
      </c>
      <c r="L111" s="223">
        <f>土石方!F120</f>
        <v>38.494934474271673</v>
      </c>
      <c r="M111" s="223">
        <f>土石方!F121</f>
        <v>201.08775960000003</v>
      </c>
      <c r="N111" s="223">
        <f>土石方!F123</f>
        <v>71.055929647890878</v>
      </c>
      <c r="O111" s="223">
        <f>土石方!F125</f>
        <v>25.816987772067023</v>
      </c>
    </row>
    <row r="112" spans="1:15" ht="25.5" customHeight="1">
      <c r="A112" s="221">
        <f>土石方!B129</f>
        <v>1157</v>
      </c>
      <c r="B112" s="222" t="s">
        <v>298</v>
      </c>
      <c r="C112" s="221" t="s">
        <v>276</v>
      </c>
      <c r="D112" s="223">
        <f t="shared" si="1"/>
        <v>974.04752400106349</v>
      </c>
      <c r="E112" s="223">
        <f>土石方!F134</f>
        <v>30.004000000000001</v>
      </c>
      <c r="F112" s="223"/>
      <c r="G112" s="223">
        <f>土石方!F135</f>
        <v>498.05230365060731</v>
      </c>
      <c r="H112" s="223">
        <f>土石方!F139</f>
        <v>26.402815182530368</v>
      </c>
      <c r="I112" s="223">
        <f>土石方!F141</f>
        <v>26.614037703990611</v>
      </c>
      <c r="J112" s="223">
        <f>土石方!F142</f>
        <v>0</v>
      </c>
      <c r="K112" s="223">
        <f>土石方!F143</f>
        <v>23.242926261485131</v>
      </c>
      <c r="L112" s="223">
        <f>土石方!F144</f>
        <v>42.302125795902938</v>
      </c>
      <c r="M112" s="223">
        <f>土石方!F145</f>
        <v>220.97556</v>
      </c>
      <c r="N112" s="223">
        <f>土石方!F147</f>
        <v>78.083439173506463</v>
      </c>
      <c r="O112" s="223">
        <f>土石方!F149</f>
        <v>28.370316233040683</v>
      </c>
    </row>
    <row r="113" spans="1:15" ht="25.5" customHeight="1">
      <c r="A113" s="221">
        <f>土石方!B153</f>
        <v>1158</v>
      </c>
      <c r="B113" s="222" t="s">
        <v>299</v>
      </c>
      <c r="C113" s="221" t="s">
        <v>276</v>
      </c>
      <c r="D113" s="223">
        <f t="shared" si="1"/>
        <v>1061.6978952926286</v>
      </c>
      <c r="E113" s="223">
        <f>土石方!F158</f>
        <v>27.303640000000001</v>
      </c>
      <c r="F113" s="223"/>
      <c r="G113" s="223">
        <f>土石方!F159</f>
        <v>546.94470704355683</v>
      </c>
      <c r="H113" s="223">
        <f>土石方!F163</f>
        <v>28.712417352177841</v>
      </c>
      <c r="I113" s="223">
        <f>土石方!F165</f>
        <v>28.94211669099526</v>
      </c>
      <c r="J113" s="223">
        <f>土石方!F166</f>
        <v>0</v>
      </c>
      <c r="K113" s="223">
        <f>土石方!F167</f>
        <v>25.276115243469196</v>
      </c>
      <c r="L113" s="223">
        <f>土石方!F168</f>
        <v>46.002529743113939</v>
      </c>
      <c r="M113" s="223">
        <f>土石方!F169</f>
        <v>242.48329559999999</v>
      </c>
      <c r="N113" s="223">
        <f>土石方!F171</f>
        <v>85.109833950598173</v>
      </c>
      <c r="O113" s="223">
        <f>土石方!F173</f>
        <v>30.923239668717336</v>
      </c>
    </row>
    <row r="114" spans="1:15" ht="25.5" customHeight="1">
      <c r="A114" s="221">
        <f>土石方!$B$177</f>
        <v>1158</v>
      </c>
      <c r="B114" s="222" t="s">
        <v>300</v>
      </c>
      <c r="C114" s="221" t="s">
        <v>276</v>
      </c>
      <c r="D114" s="223">
        <f t="shared" si="1"/>
        <v>1166.7009838380534</v>
      </c>
      <c r="E114" s="223">
        <f>土石方!$F$182</f>
        <v>30.004000000000001</v>
      </c>
      <c r="F114" s="223"/>
      <c r="G114" s="223">
        <f>土石方!$F$183</f>
        <v>601.03813960830416</v>
      </c>
      <c r="H114" s="223">
        <f>土石方!$F$187</f>
        <v>31.552106980415211</v>
      </c>
      <c r="I114" s="223">
        <f>土石方!$F$189</f>
        <v>31.804523836258532</v>
      </c>
      <c r="J114" s="223">
        <f>土石方!$F$190</f>
        <v>0</v>
      </c>
      <c r="K114" s="223">
        <f>土石方!$F$191</f>
        <v>27.775950816999121</v>
      </c>
      <c r="L114" s="223">
        <f>土石方!$F$192</f>
        <v>50.552230486938406</v>
      </c>
      <c r="M114" s="223">
        <f>土石方!$F$193</f>
        <v>266.46516000000003</v>
      </c>
      <c r="N114" s="223">
        <f>土石方!$F$195</f>
        <v>93.527290055602393</v>
      </c>
      <c r="O114" s="223">
        <f>土石方!F197</f>
        <v>33.981582053535533</v>
      </c>
    </row>
    <row r="115" spans="1:15" ht="25.5" customHeight="1">
      <c r="A115" s="221">
        <f>土石方!B201</f>
        <v>1159</v>
      </c>
      <c r="B115" s="222" t="s">
        <v>301</v>
      </c>
      <c r="C115" s="221" t="s">
        <v>276</v>
      </c>
      <c r="D115" s="223">
        <f t="shared" si="1"/>
        <v>1936.8101821471691</v>
      </c>
      <c r="E115" s="223">
        <f>土石方!F206</f>
        <v>27.303640000000001</v>
      </c>
      <c r="F115" s="223"/>
      <c r="G115" s="223">
        <f>土石方!F207</f>
        <v>1014.7492847283985</v>
      </c>
      <c r="H115" s="223">
        <f>土石方!F211</f>
        <v>52.102646236419922</v>
      </c>
      <c r="I115" s="223">
        <f>土石方!F213</f>
        <v>52.519467406311286</v>
      </c>
      <c r="J115" s="223">
        <f>土石方!F214</f>
        <v>0</v>
      </c>
      <c r="K115" s="223">
        <f>土石方!F215</f>
        <v>45.867001534845194</v>
      </c>
      <c r="L115" s="223">
        <f>土石方!F216</f>
        <v>83.477942793418265</v>
      </c>
      <c r="M115" s="223">
        <f>土石方!F217</f>
        <v>449.11601280000002</v>
      </c>
      <c r="N115" s="223">
        <f>土石方!F219</f>
        <v>155.26223959494541</v>
      </c>
      <c r="O115" s="223">
        <f>土石方!F221</f>
        <v>56.411947052830172</v>
      </c>
    </row>
    <row r="116" spans="1:15" ht="25.5" customHeight="1">
      <c r="A116" s="221">
        <f>A115</f>
        <v>1159</v>
      </c>
      <c r="B116" s="222" t="s">
        <v>302</v>
      </c>
      <c r="C116" s="221" t="s">
        <v>276</v>
      </c>
      <c r="D116" s="223">
        <f t="shared" si="1"/>
        <v>1304.7692967212295</v>
      </c>
      <c r="E116" s="223">
        <f>土石方!F230</f>
        <v>30.004000000000001</v>
      </c>
      <c r="F116" s="223"/>
      <c r="G116" s="223">
        <f>土石方!F231</f>
        <v>674.8446553779869</v>
      </c>
      <c r="H116" s="223">
        <f>土石方!F235</f>
        <v>35.242432768899342</v>
      </c>
      <c r="I116" s="223">
        <f>土石方!F237</f>
        <v>35.524372231050542</v>
      </c>
      <c r="J116" s="223">
        <f>土石方!F238</f>
        <v>0</v>
      </c>
      <c r="K116" s="223">
        <f>土石方!F239</f>
        <v>31.02461841511747</v>
      </c>
      <c r="L116" s="223">
        <f>土石方!F240</f>
        <v>56.464805515513802</v>
      </c>
      <c r="M116" s="223">
        <f>土石方!F241</f>
        <v>299.06603999999999</v>
      </c>
      <c r="N116" s="223">
        <f>土石方!F243</f>
        <v>104.59538318777113</v>
      </c>
      <c r="O116" s="223">
        <f>土石方!F245</f>
        <v>38.002989224890179</v>
      </c>
    </row>
    <row r="117" spans="1:15" ht="20.25" customHeight="1">
      <c r="A117" s="221">
        <f>土石方!$B$249</f>
        <v>1146</v>
      </c>
      <c r="B117" s="225" t="s">
        <v>303</v>
      </c>
      <c r="C117" s="221" t="s">
        <v>276</v>
      </c>
      <c r="D117" s="223">
        <f t="shared" si="1"/>
        <v>263.96021563231722</v>
      </c>
      <c r="E117" s="223">
        <f>土石方!$F$254</f>
        <v>23.657</v>
      </c>
      <c r="F117" s="223"/>
      <c r="G117" s="223">
        <f>土石方!$F$255</f>
        <v>129.11600000000001</v>
      </c>
      <c r="H117" s="223">
        <f>土石方!$F$257</f>
        <v>7.6386500000000002</v>
      </c>
      <c r="I117" s="223">
        <f>土石方!$F$259</f>
        <v>7.6997592000000008</v>
      </c>
      <c r="J117" s="223">
        <f>土石方!$F$260</f>
        <v>0</v>
      </c>
      <c r="K117" s="223">
        <f>土石方!$F$261</f>
        <v>6.7244563680000002</v>
      </c>
      <c r="L117" s="223">
        <f>土石方!$F$262</f>
        <v>12.238510589760001</v>
      </c>
      <c r="M117" s="223">
        <f>土石方!$F$263</f>
        <v>48.037600000000005</v>
      </c>
      <c r="N117" s="223">
        <f>土石方!$F$265</f>
        <v>21.160077854198398</v>
      </c>
      <c r="O117" s="223">
        <f>土石方!F267</f>
        <v>7.6881616203587519</v>
      </c>
    </row>
    <row r="118" spans="1:15" ht="20.25" customHeight="1">
      <c r="A118" s="221">
        <f>土石方!$B$271</f>
        <v>1133</v>
      </c>
      <c r="B118" s="225" t="s">
        <v>304</v>
      </c>
      <c r="C118" s="221" t="s">
        <v>276</v>
      </c>
      <c r="D118" s="223">
        <f t="shared" si="1"/>
        <v>266.85400158871352</v>
      </c>
      <c r="E118" s="223">
        <f>土石方!$F$276</f>
        <v>12.117000000000001</v>
      </c>
      <c r="F118" s="223"/>
      <c r="G118" s="223">
        <f>土石方!$F$277</f>
        <v>134.48858590677628</v>
      </c>
      <c r="H118" s="223">
        <f>土石方!$F$279</f>
        <v>14.660558590677626</v>
      </c>
      <c r="I118" s="223">
        <f>土石方!$F$281</f>
        <v>7.7407749358777869</v>
      </c>
      <c r="J118" s="223">
        <f>土石方!$F$282</f>
        <v>0</v>
      </c>
      <c r="K118" s="223">
        <f>土石方!$F$283</f>
        <v>6.7602767773332673</v>
      </c>
      <c r="L118" s="223">
        <f>土石方!$F$284</f>
        <v>12.303703734746549</v>
      </c>
      <c r="M118" s="223">
        <f>土石方!$F$285</f>
        <v>49.618600000000001</v>
      </c>
      <c r="N118" s="223">
        <f>土石方!$F$287</f>
        <v>21.392054995087037</v>
      </c>
      <c r="O118" s="223">
        <f>土石方!F289</f>
        <v>7.7724466482149568</v>
      </c>
    </row>
    <row r="119" spans="1:15" ht="20.25" customHeight="1">
      <c r="A119" s="221">
        <f>土石方!$B$293</f>
        <v>1080</v>
      </c>
      <c r="B119" s="225" t="s">
        <v>305</v>
      </c>
      <c r="C119" s="221" t="s">
        <v>276</v>
      </c>
      <c r="D119" s="223">
        <f t="shared" si="1"/>
        <v>1294.4713478986475</v>
      </c>
      <c r="E119" s="223">
        <f>土石方!$F$298</f>
        <v>922.57799999999997</v>
      </c>
      <c r="F119" s="223"/>
      <c r="G119" s="223">
        <f>土石方!$F$301</f>
        <v>47.638080689385056</v>
      </c>
      <c r="H119" s="223">
        <f>土石方!$F$303</f>
        <v>18.451560000000001</v>
      </c>
      <c r="I119" s="223">
        <f>土石方!$F$305</f>
        <v>47.456046753090483</v>
      </c>
      <c r="J119" s="223">
        <f>土石方!$F$306</f>
        <v>0</v>
      </c>
      <c r="K119" s="223">
        <f>土石方!$F$307</f>
        <v>41.444947497699026</v>
      </c>
      <c r="L119" s="223">
        <f>土石方!$F$308</f>
        <v>75.429804445812238</v>
      </c>
      <c r="M119" s="223"/>
      <c r="N119" s="223">
        <f>土石方!$F$309</f>
        <v>103.76985954473881</v>
      </c>
      <c r="O119" s="223">
        <f>土石方!F311</f>
        <v>37.703048967921767</v>
      </c>
    </row>
    <row r="120" spans="1:15" ht="20.25" customHeight="1">
      <c r="A120" s="221">
        <f>土石方!$B$315</f>
        <v>1034</v>
      </c>
      <c r="B120" s="225" t="s">
        <v>306</v>
      </c>
      <c r="C120" s="221" t="s">
        <v>276</v>
      </c>
      <c r="D120" s="223">
        <f t="shared" si="1"/>
        <v>931.39430471754952</v>
      </c>
      <c r="E120" s="223">
        <f>土石方!$F$320</f>
        <v>697.41499999999996</v>
      </c>
      <c r="F120" s="223"/>
      <c r="G120" s="223"/>
      <c r="H120" s="223">
        <f>土石方!$F$325</f>
        <v>13.9483</v>
      </c>
      <c r="I120" s="223">
        <f>土石方!$F$327</f>
        <v>34.145438400000003</v>
      </c>
      <c r="J120" s="223">
        <f>土石方!$F$328</f>
        <v>0</v>
      </c>
      <c r="K120" s="223">
        <f>土石方!$F$329</f>
        <v>29.820349535999998</v>
      </c>
      <c r="L120" s="223">
        <f>土石方!$F$330</f>
        <v>54.273036155520003</v>
      </c>
      <c r="M120" s="223"/>
      <c r="N120" s="223">
        <f>土石方!$F$331</f>
        <v>74.664191168236798</v>
      </c>
      <c r="O120" s="223">
        <f>土石方!F333</f>
        <v>27.127989457792701</v>
      </c>
    </row>
    <row r="121" spans="1:15" ht="20.25" customHeight="1">
      <c r="A121" s="221">
        <f>土石方!B337</f>
        <v>1034</v>
      </c>
      <c r="B121" s="225" t="s">
        <v>307</v>
      </c>
      <c r="C121" s="221" t="s">
        <v>276</v>
      </c>
      <c r="D121" s="223">
        <f t="shared" si="1"/>
        <v>1667.0464303191541</v>
      </c>
      <c r="E121" s="223">
        <f>土石方!F342</f>
        <v>1248.261</v>
      </c>
      <c r="F121" s="223"/>
      <c r="G121" s="223"/>
      <c r="H121" s="223">
        <f>土石方!F347</f>
        <v>24.965219999999999</v>
      </c>
      <c r="I121" s="223">
        <f>土石方!F349</f>
        <v>61.114858560000002</v>
      </c>
      <c r="J121" s="223">
        <f>土石方!F350</f>
        <v>0</v>
      </c>
      <c r="K121" s="223">
        <f>土石方!F351</f>
        <v>53.373643142399999</v>
      </c>
      <c r="L121" s="223">
        <f>土石方!F352</f>
        <v>97.140030519167993</v>
      </c>
      <c r="M121" s="223"/>
      <c r="N121" s="223">
        <f>土石方!F353</f>
        <v>133.63692769994111</v>
      </c>
      <c r="O121" s="223">
        <f>土石方!F355</f>
        <v>48.554750397645265</v>
      </c>
    </row>
    <row r="122" spans="1:15" ht="20.25" customHeight="1">
      <c r="A122" s="221">
        <f>土石方!B359</f>
        <v>1034</v>
      </c>
      <c r="B122" s="225" t="s">
        <v>308</v>
      </c>
      <c r="C122" s="221" t="s">
        <v>276</v>
      </c>
      <c r="D122" s="223">
        <f t="shared" si="1"/>
        <v>2372.3347396677991</v>
      </c>
      <c r="E122" s="223">
        <f>土石方!F364</f>
        <v>1776.3710000000001</v>
      </c>
      <c r="F122" s="223"/>
      <c r="G122" s="223"/>
      <c r="H122" s="223">
        <f>土石方!F369</f>
        <v>35.527419999999999</v>
      </c>
      <c r="I122" s="223">
        <f>土石方!F371</f>
        <v>86.971124160000002</v>
      </c>
      <c r="J122" s="223">
        <f>土石方!F372</f>
        <v>0</v>
      </c>
      <c r="K122" s="223">
        <f>土石方!F373</f>
        <v>75.954781766400004</v>
      </c>
      <c r="L122" s="223">
        <f>土石方!F374</f>
        <v>138.23770281484801</v>
      </c>
      <c r="M122" s="223"/>
      <c r="N122" s="223">
        <f>土石方!F375</f>
        <v>190.17558258671232</v>
      </c>
      <c r="O122" s="223">
        <f>土石方!F377</f>
        <v>69.097128339838804</v>
      </c>
    </row>
    <row r="123" spans="1:15" ht="20.25" customHeight="1">
      <c r="A123" s="221">
        <f>土石方!$B$425</f>
        <v>1243</v>
      </c>
      <c r="B123" s="225" t="s">
        <v>309</v>
      </c>
      <c r="C123" s="221" t="s">
        <v>276</v>
      </c>
      <c r="D123" s="223">
        <f t="shared" si="1"/>
        <v>2144.9014955983166</v>
      </c>
      <c r="E123" s="223">
        <f>土石方!$F$430</f>
        <v>1274.5930000000001</v>
      </c>
      <c r="F123" s="223"/>
      <c r="G123" s="223">
        <f>土石方!$F$433</f>
        <v>285.59139835487656</v>
      </c>
      <c r="H123" s="223">
        <f>土石方!$F$435</f>
        <v>78.009219917743835</v>
      </c>
      <c r="I123" s="223">
        <f>土石方!$F$437</f>
        <v>78.633293677085774</v>
      </c>
      <c r="J123" s="223">
        <f>土石方!$F$438</f>
        <v>0</v>
      </c>
      <c r="K123" s="223">
        <f>土石方!$F$439</f>
        <v>68.673076477988246</v>
      </c>
      <c r="L123" s="223">
        <f>土石方!$F$440</f>
        <v>124.98499918993861</v>
      </c>
      <c r="M123" s="223"/>
      <c r="N123" s="223">
        <f>土石方!$F$441</f>
        <v>171.94364888558695</v>
      </c>
      <c r="O123" s="223">
        <f>土石方!F443</f>
        <v>62.472859095096595</v>
      </c>
    </row>
    <row r="124" spans="1:15" ht="20.25" customHeight="1">
      <c r="A124" s="221">
        <f>土石方!B403</f>
        <v>1259</v>
      </c>
      <c r="B124" s="225" t="s">
        <v>310</v>
      </c>
      <c r="C124" s="221" t="s">
        <v>290</v>
      </c>
      <c r="D124" s="223">
        <f t="shared" ref="D124" si="21">SUM(E124:O124)</f>
        <v>71.392032110992332</v>
      </c>
      <c r="E124" s="223">
        <f>土石方!F408</f>
        <v>51.93</v>
      </c>
      <c r="F124" s="223"/>
      <c r="G124" s="223"/>
      <c r="H124" s="223">
        <f>土石方!F413</f>
        <v>2.5964999999999998</v>
      </c>
      <c r="I124" s="223">
        <f>土石方!F415</f>
        <v>2.6172719999999998</v>
      </c>
      <c r="J124" s="223">
        <f>土石方!F416</f>
        <v>0</v>
      </c>
      <c r="K124" s="223">
        <f>土石方!F417</f>
        <v>2.2857508800000002</v>
      </c>
      <c r="L124" s="223">
        <f>土石方!F418</f>
        <v>4.1600666016000005</v>
      </c>
      <c r="M124" s="223"/>
      <c r="N124" s="223">
        <f>土石方!F419</f>
        <v>5.7230630533440001</v>
      </c>
      <c r="O124" s="223">
        <f>土石方!F421</f>
        <v>2.07937957604832</v>
      </c>
    </row>
    <row r="125" spans="1:15" ht="20.25" customHeight="1">
      <c r="A125" s="221">
        <f>土石方!$B$472</f>
        <v>1238</v>
      </c>
      <c r="B125" s="225" t="s">
        <v>311</v>
      </c>
      <c r="C125" s="221" t="s">
        <v>276</v>
      </c>
      <c r="D125" s="223">
        <f t="shared" si="1"/>
        <v>2215.9437873757765</v>
      </c>
      <c r="E125" s="223">
        <f>土石方!$F$477</f>
        <v>1343.588</v>
      </c>
      <c r="F125" s="223"/>
      <c r="G125" s="223">
        <f>土石方!$F$480</f>
        <v>268.27199999999999</v>
      </c>
      <c r="H125" s="223">
        <f>土石方!$F$482</f>
        <v>80.593000000000004</v>
      </c>
      <c r="I125" s="223">
        <f>土石方!$F$484</f>
        <v>81.237744000000006</v>
      </c>
      <c r="J125" s="223">
        <f>土石方!$F$485</f>
        <v>0</v>
      </c>
      <c r="K125" s="223">
        <f>土石方!$F$486</f>
        <v>70.947629759999998</v>
      </c>
      <c r="L125" s="223">
        <f>土石方!$F$487</f>
        <v>129.12468616320001</v>
      </c>
      <c r="M125" s="223"/>
      <c r="N125" s="223">
        <f>土石方!$F$488</f>
        <v>177.63867539308799</v>
      </c>
      <c r="O125" s="223">
        <f>土石方!F490</f>
        <v>64.54205205948864</v>
      </c>
    </row>
    <row r="126" spans="1:15" ht="20.25" customHeight="1">
      <c r="A126" s="221">
        <f>土石方!$B$381</f>
        <v>1237</v>
      </c>
      <c r="B126" s="225" t="s">
        <v>312</v>
      </c>
      <c r="C126" s="221" t="s">
        <v>276</v>
      </c>
      <c r="D126" s="223">
        <f t="shared" si="1"/>
        <v>769.00908672724699</v>
      </c>
      <c r="E126" s="223">
        <f>土石方!$F$386</f>
        <v>464.17399999999998</v>
      </c>
      <c r="F126" s="223"/>
      <c r="G126" s="223">
        <f>土石方!$F$389</f>
        <v>95.197132784958853</v>
      </c>
      <c r="H126" s="223">
        <f>土石方!$F$391</f>
        <v>27.968556639247939</v>
      </c>
      <c r="I126" s="223">
        <f>土石方!$F$393</f>
        <v>28.192305092361927</v>
      </c>
      <c r="J126" s="223">
        <f>土石方!$F$394</f>
        <v>0</v>
      </c>
      <c r="K126" s="223">
        <f>土石方!$F$395</f>
        <v>24.62127978066275</v>
      </c>
      <c r="L126" s="223">
        <f>土石方!$F$396</f>
        <v>44.810729200806207</v>
      </c>
      <c r="M126" s="223"/>
      <c r="N126" s="223">
        <f>土石方!$F$397</f>
        <v>61.646760314823396</v>
      </c>
      <c r="O126" s="223">
        <f>土石方!F399</f>
        <v>22.398322914385833</v>
      </c>
    </row>
    <row r="127" spans="1:15" ht="20.25" customHeight="1">
      <c r="A127" s="221">
        <f>土石方!$B$494</f>
        <v>10231</v>
      </c>
      <c r="B127" s="225" t="s">
        <v>313</v>
      </c>
      <c r="C127" s="221" t="s">
        <v>276</v>
      </c>
      <c r="D127" s="223">
        <f t="shared" si="1"/>
        <v>25940.978597843987</v>
      </c>
      <c r="E127" s="223">
        <f>土石方!$F$499</f>
        <v>3985.5250000000001</v>
      </c>
      <c r="F127" s="223">
        <f>土石方!$F$502</f>
        <v>11434.900210689791</v>
      </c>
      <c r="G127" s="223">
        <f>土石方!$F$506</f>
        <v>1068.1911607912259</v>
      </c>
      <c r="H127" s="223"/>
      <c r="I127" s="223">
        <f>土石方!$F$509</f>
        <v>791.45358583108884</v>
      </c>
      <c r="J127" s="223">
        <f>土石方!$F$510</f>
        <v>0</v>
      </c>
      <c r="K127" s="223">
        <f>土石方!$F$511</f>
        <v>691.2027982924842</v>
      </c>
      <c r="L127" s="223">
        <f>土石方!$F$512</f>
        <v>1257.9890928923214</v>
      </c>
      <c r="M127" s="223">
        <f>土石方!$F$513</f>
        <v>3876.6244949999996</v>
      </c>
      <c r="N127" s="223">
        <f>土石方!$F$515</f>
        <v>2079.5297709147221</v>
      </c>
      <c r="O127" s="223">
        <f>土石方!F517</f>
        <v>755.56248343234904</v>
      </c>
    </row>
    <row r="128" spans="1:15" ht="20.25" customHeight="1">
      <c r="A128" s="221">
        <f>土石方!$B$521</f>
        <v>10227</v>
      </c>
      <c r="B128" s="225" t="s">
        <v>314</v>
      </c>
      <c r="C128" s="221" t="s">
        <v>276</v>
      </c>
      <c r="D128" s="223">
        <f t="shared" si="1"/>
        <v>21793.645606061935</v>
      </c>
      <c r="E128" s="223">
        <f>土石方!$F$526</f>
        <v>3985.5250000000001</v>
      </c>
      <c r="F128" s="223">
        <f>土石方!$F$529</f>
        <v>12233.223050879562</v>
      </c>
      <c r="G128" s="223">
        <f>土石方!$F$533</f>
        <v>426.4038239326282</v>
      </c>
      <c r="H128" s="223"/>
      <c r="I128" s="223">
        <f>土石方!$F$536</f>
        <v>798.96728999098514</v>
      </c>
      <c r="J128" s="223">
        <f>土石方!$F$537</f>
        <v>0</v>
      </c>
      <c r="K128" s="223">
        <f>土石方!$F$538</f>
        <v>697.76476659212699</v>
      </c>
      <c r="L128" s="223">
        <f>土石方!$F$539</f>
        <v>1269.9318751976714</v>
      </c>
      <c r="M128" s="223"/>
      <c r="N128" s="223">
        <f>土石方!$F$540</f>
        <v>1747.0634225933677</v>
      </c>
      <c r="O128" s="223">
        <f>土石方!F542</f>
        <v>634.76637687559025</v>
      </c>
    </row>
    <row r="129" spans="1:15" ht="20.25" customHeight="1">
      <c r="A129" s="221">
        <f>土石方!B546</f>
        <v>1275</v>
      </c>
      <c r="B129" s="225" t="s">
        <v>315</v>
      </c>
      <c r="C129" s="221" t="s">
        <v>290</v>
      </c>
      <c r="D129" s="223">
        <f t="shared" si="1"/>
        <v>59.743944356353495</v>
      </c>
      <c r="E129" s="223">
        <f>土石方!F551</f>
        <v>4.0389999999999997</v>
      </c>
      <c r="F129" s="223"/>
      <c r="G129" s="223">
        <f>土石方!F552</f>
        <v>29.391545264394818</v>
      </c>
      <c r="H129" s="223">
        <f>土石方!F554</f>
        <v>1.6715272632197409</v>
      </c>
      <c r="I129" s="223">
        <f>土石方!F556</f>
        <v>1.6848994813254989</v>
      </c>
      <c r="J129" s="223">
        <f>土石方!F557</f>
        <v>0</v>
      </c>
      <c r="K129" s="223">
        <f>土石方!F558</f>
        <v>1.4714788803576024</v>
      </c>
      <c r="L129" s="223">
        <f>土石方!F559</f>
        <v>2.6780915622508368</v>
      </c>
      <c r="M129" s="223">
        <f>土石方!F560</f>
        <v>12.277979999999999</v>
      </c>
      <c r="N129" s="223">
        <f>土石方!F562</f>
        <v>4.7893070206393649</v>
      </c>
      <c r="O129" s="223">
        <f>土石方!F564</f>
        <v>1.7401148841656358</v>
      </c>
    </row>
    <row r="130" spans="1:15" ht="20.25" customHeight="1">
      <c r="A130" s="221">
        <f>土石方!B568</f>
        <v>10213</v>
      </c>
      <c r="B130" s="225" t="s">
        <v>316</v>
      </c>
      <c r="C130" s="221" t="s">
        <v>290</v>
      </c>
      <c r="D130" s="223">
        <f t="shared" si="1"/>
        <v>672.36226721654384</v>
      </c>
      <c r="E130" s="223">
        <f>土石方!F573</f>
        <v>285.07100000000003</v>
      </c>
      <c r="F130" s="223">
        <f>土石方!F576</f>
        <v>204</v>
      </c>
      <c r="G130" s="223">
        <f>土石方!F577</f>
        <v>24.45355</v>
      </c>
      <c r="H130" s="223"/>
      <c r="I130" s="223">
        <f>土石方!F579</f>
        <v>24.6491784</v>
      </c>
      <c r="J130" s="223">
        <f>土石方!F580</f>
        <v>0</v>
      </c>
      <c r="K130" s="223">
        <f>土石方!F581</f>
        <v>21.526949135999999</v>
      </c>
      <c r="L130" s="223">
        <f>土石方!F582</f>
        <v>39.179047427519997</v>
      </c>
      <c r="M130" s="223"/>
      <c r="N130" s="223">
        <f>土石方!F583</f>
        <v>53.899175246716794</v>
      </c>
      <c r="O130" s="223">
        <f>土石方!F585</f>
        <v>19.583367006307103</v>
      </c>
    </row>
    <row r="131" spans="1:15" ht="20.25" customHeight="1">
      <c r="A131" s="221">
        <f>土石方!$B$837</f>
        <v>2060</v>
      </c>
      <c r="B131" s="225" t="s">
        <v>317</v>
      </c>
      <c r="C131" s="221" t="s">
        <v>276</v>
      </c>
      <c r="D131" s="223">
        <f t="shared" si="1"/>
        <v>2066.6003753914088</v>
      </c>
      <c r="E131" s="223">
        <f>土石方!$F$842</f>
        <v>907.90599999999995</v>
      </c>
      <c r="F131" s="223">
        <f>土石方!$F$845</f>
        <v>436.24599999999998</v>
      </c>
      <c r="G131" s="223">
        <f>土石方!$F$851</f>
        <v>168.77503247943594</v>
      </c>
      <c r="H131" s="223"/>
      <c r="I131" s="223">
        <f>土石方!$F$855</f>
        <v>72.620497559012932</v>
      </c>
      <c r="J131" s="223">
        <f>土石方!$F$856</f>
        <v>0</v>
      </c>
      <c r="K131" s="223">
        <f>土石方!$F$857</f>
        <v>134.77154005326818</v>
      </c>
      <c r="L131" s="223">
        <f>土石方!$F$858</f>
        <v>120.4223349064202</v>
      </c>
      <c r="M131" s="223"/>
      <c r="N131" s="223">
        <f>土石方!$F$859</f>
        <v>165.66672644983237</v>
      </c>
      <c r="O131" s="223">
        <f>土石方!F861</f>
        <v>60.192243943439088</v>
      </c>
    </row>
    <row r="132" spans="1:15" ht="20.25" customHeight="1">
      <c r="A132" s="221">
        <f>土石方!B865</f>
        <v>2103</v>
      </c>
      <c r="B132" s="225" t="s">
        <v>318</v>
      </c>
      <c r="C132" s="221" t="s">
        <v>276</v>
      </c>
      <c r="D132" s="223">
        <f t="shared" si="1"/>
        <v>6051.8496271756148</v>
      </c>
      <c r="E132" s="223">
        <f>土石方!F870</f>
        <v>2537.2939999999999</v>
      </c>
      <c r="F132" s="223">
        <f>土石方!F873</f>
        <v>1434.87435</v>
      </c>
      <c r="G132" s="223">
        <f>土石方!F879</f>
        <v>458.2996816921268</v>
      </c>
      <c r="H132" s="223"/>
      <c r="I132" s="223">
        <f>土石方!F883</f>
        <v>212.66246552122209</v>
      </c>
      <c r="J132" s="223">
        <f>土石方!F884</f>
        <v>0</v>
      </c>
      <c r="K132" s="223">
        <f>土石方!F885</f>
        <v>394.66609226313466</v>
      </c>
      <c r="L132" s="223">
        <f>土石方!F886</f>
        <v>352.64576126335385</v>
      </c>
      <c r="M132" s="223"/>
      <c r="N132" s="223">
        <f>土石方!F887</f>
        <v>485.13981156658531</v>
      </c>
      <c r="O132" s="223">
        <f>土石方!F889</f>
        <v>176.26746486919265</v>
      </c>
    </row>
    <row r="133" spans="1:15" ht="20.25" customHeight="1">
      <c r="A133" s="221">
        <f>土石方!$B$893</f>
        <v>2110</v>
      </c>
      <c r="B133" s="225" t="s">
        <v>319</v>
      </c>
      <c r="C133" s="221" t="s">
        <v>276</v>
      </c>
      <c r="D133" s="223">
        <f t="shared" si="1"/>
        <v>3272.9142389299477</v>
      </c>
      <c r="E133" s="223">
        <f>土石方!$F$898</f>
        <v>1392.8130000000001</v>
      </c>
      <c r="F133" s="223">
        <f>土石方!$F$901</f>
        <v>769.42309</v>
      </c>
      <c r="G133" s="223">
        <f>土石方!$F$907</f>
        <v>233.81516694712096</v>
      </c>
      <c r="H133" s="223"/>
      <c r="I133" s="223">
        <f>土石方!$F$911</f>
        <v>115.01046033346182</v>
      </c>
      <c r="J133" s="223">
        <f>土石方!$F$912</f>
        <v>0</v>
      </c>
      <c r="K133" s="223">
        <f>土石方!$F$913</f>
        <v>213.44024596884955</v>
      </c>
      <c r="L133" s="223">
        <f>土石方!$F$914</f>
        <v>190.71513742746026</v>
      </c>
      <c r="M133" s="223"/>
      <c r="N133" s="223">
        <f>土石方!$F$915</f>
        <v>262.36953906092032</v>
      </c>
      <c r="O133" s="223">
        <f>土石方!F917</f>
        <v>95.327599192134386</v>
      </c>
    </row>
    <row r="134" spans="1:15" ht="20.25" customHeight="1">
      <c r="A134" s="221">
        <f>土石方!B921</f>
        <v>2117</v>
      </c>
      <c r="B134" s="225" t="s">
        <v>320</v>
      </c>
      <c r="C134" s="221" t="s">
        <v>276</v>
      </c>
      <c r="D134" s="223">
        <f t="shared" si="1"/>
        <v>2393.3114711637409</v>
      </c>
      <c r="E134" s="223">
        <f>土石方!F926</f>
        <v>1054.4059999999999</v>
      </c>
      <c r="F134" s="223">
        <f>土石方!F929</f>
        <v>530.024</v>
      </c>
      <c r="G134" s="223">
        <f>土石方!F935</f>
        <v>167.67730869095178</v>
      </c>
      <c r="H134" s="223"/>
      <c r="I134" s="223">
        <f>土石方!F939</f>
        <v>84.101150817165674</v>
      </c>
      <c r="J134" s="223">
        <f>土石方!F940</f>
        <v>0</v>
      </c>
      <c r="K134" s="223">
        <f>土石方!F941</f>
        <v>156.07771905818998</v>
      </c>
      <c r="L134" s="223">
        <f>土石方!F942</f>
        <v>139.46003249964153</v>
      </c>
      <c r="M134" s="223"/>
      <c r="N134" s="223">
        <f>土石方!F943</f>
        <v>191.85715899593541</v>
      </c>
      <c r="O134" s="223">
        <f>土石方!F945</f>
        <v>69.708101101856528</v>
      </c>
    </row>
    <row r="135" spans="1:15" ht="20.25" customHeight="1">
      <c r="A135" s="221">
        <f>土石方!B949</f>
        <v>2145</v>
      </c>
      <c r="B135" s="225" t="s">
        <v>321</v>
      </c>
      <c r="C135" s="221" t="s">
        <v>276</v>
      </c>
      <c r="D135" s="223">
        <f t="shared" si="1"/>
        <v>5266.7607303889963</v>
      </c>
      <c r="E135" s="223">
        <f>土石方!F954</f>
        <v>2172.0650000000001</v>
      </c>
      <c r="F135" s="223">
        <f>土石方!F957</f>
        <v>1273.377</v>
      </c>
      <c r="G135" s="223">
        <f>土石方!F963</f>
        <v>410.27426594594579</v>
      </c>
      <c r="H135" s="223"/>
      <c r="I135" s="223">
        <f>土石方!F967</f>
        <v>185.07438076540541</v>
      </c>
      <c r="J135" s="223">
        <f>土石方!F968</f>
        <v>0</v>
      </c>
      <c r="K135" s="223">
        <f>土石方!F969</f>
        <v>343.46720497046488</v>
      </c>
      <c r="L135" s="223">
        <f>土石方!F970</f>
        <v>306.89804961772711</v>
      </c>
      <c r="M135" s="223"/>
      <c r="N135" s="223">
        <f>土石方!F971</f>
        <v>422.20403111695884</v>
      </c>
      <c r="O135" s="223">
        <f>土石方!F973</f>
        <v>153.40079797249504</v>
      </c>
    </row>
    <row r="136" spans="1:15" ht="20.25" customHeight="1">
      <c r="A136" s="221">
        <f>土石方!B977</f>
        <v>2152</v>
      </c>
      <c r="B136" s="225" t="s">
        <v>322</v>
      </c>
      <c r="C136" s="221" t="s">
        <v>276</v>
      </c>
      <c r="D136" s="223">
        <f t="shared" si="1"/>
        <v>3937.1307357394985</v>
      </c>
      <c r="E136" s="223">
        <f>土石方!F982</f>
        <v>1608.1410000000001</v>
      </c>
      <c r="F136" s="223">
        <f>土石方!F985</f>
        <v>935.7998</v>
      </c>
      <c r="G136" s="223">
        <f>土石方!F991</f>
        <v>338.37335780023488</v>
      </c>
      <c r="H136" s="223"/>
      <c r="I136" s="223">
        <f>土石方!F995</f>
        <v>138.35107957441127</v>
      </c>
      <c r="J136" s="223">
        <f>土石方!F996</f>
        <v>0</v>
      </c>
      <c r="K136" s="223">
        <f>土石方!F997</f>
        <v>256.75654517684495</v>
      </c>
      <c r="L136" s="223">
        <f>土石方!F998</f>
        <v>229.41952477860443</v>
      </c>
      <c r="M136" s="223"/>
      <c r="N136" s="223">
        <f>土石方!F999</f>
        <v>315.61571765970859</v>
      </c>
      <c r="O136" s="223">
        <f>土石方!F1001</f>
        <v>114.67371074969412</v>
      </c>
    </row>
    <row r="137" spans="1:15" ht="26.25" customHeight="1">
      <c r="A137" s="221">
        <f>土石方!$B$775</f>
        <v>2418</v>
      </c>
      <c r="B137" s="222" t="s">
        <v>323</v>
      </c>
      <c r="C137" s="221" t="s">
        <v>276</v>
      </c>
      <c r="D137" s="223">
        <f>SUM(E137:O137)</f>
        <v>2544.4008241172314</v>
      </c>
      <c r="E137" s="223">
        <f>土石方!$F$780</f>
        <v>105.014</v>
      </c>
      <c r="F137" s="223"/>
      <c r="G137" s="223">
        <f>土石方!$F$781</f>
        <v>1635.1339128397965</v>
      </c>
      <c r="H137" s="223">
        <f>土石方!$F$785</f>
        <v>34.802958256795925</v>
      </c>
      <c r="I137" s="223">
        <f>土石方!$F$787</f>
        <v>0.85197641812636438</v>
      </c>
      <c r="J137" s="223">
        <f>土石方!$F$788</f>
        <v>0</v>
      </c>
      <c r="K137" s="223">
        <f>土石方!$F$789</f>
        <v>1.5094324203875109</v>
      </c>
      <c r="L137" s="223">
        <f>土石方!$F$790</f>
        <v>1.2441185959545746</v>
      </c>
      <c r="M137" s="223">
        <f>土石方!$F$791</f>
        <v>689.51439999999991</v>
      </c>
      <c r="N137" s="223">
        <f>土石方!$F$793</f>
        <v>2.2212637186779549</v>
      </c>
      <c r="O137" s="223">
        <f>土石方!F795</f>
        <v>74.108761867492163</v>
      </c>
    </row>
    <row r="138" spans="1:15" ht="23.25" customHeight="1">
      <c r="A138" s="226" t="str">
        <f>土石方!$B$1034</f>
        <v>2390+2395*2</v>
      </c>
      <c r="B138" s="225" t="s">
        <v>324</v>
      </c>
      <c r="C138" s="221" t="s">
        <v>276</v>
      </c>
      <c r="D138" s="223">
        <f t="shared" si="1"/>
        <v>7147.0244517557157</v>
      </c>
      <c r="E138" s="223">
        <f>土石方!$F$1039</f>
        <v>2876.4027000000001</v>
      </c>
      <c r="F138" s="223"/>
      <c r="G138" s="223">
        <f>土石方!$F$1040</f>
        <v>1764.4078976858602</v>
      </c>
      <c r="H138" s="223">
        <f>土石方!$F$1042</f>
        <v>46.408105976858607</v>
      </c>
      <c r="I138" s="223">
        <f>土石方!$F$1044</f>
        <v>224.98649777581053</v>
      </c>
      <c r="J138" s="223">
        <f>土石方!$F$1045</f>
        <v>0</v>
      </c>
      <c r="K138" s="223">
        <f>土石方!$F$1046</f>
        <v>417.53744212227508</v>
      </c>
      <c r="L138" s="223">
        <f>土石方!$F$1047</f>
        <v>373.08198504925639</v>
      </c>
      <c r="M138" s="223">
        <f>土石方!$F$1048</f>
        <v>663.10077599999988</v>
      </c>
      <c r="N138" s="223">
        <f>土石方!$F$1050</f>
        <v>572.93328641490552</v>
      </c>
      <c r="O138" s="223">
        <f>土石方!F1052</f>
        <v>208.16576073074899</v>
      </c>
    </row>
    <row r="139" spans="1:15" ht="18" customHeight="1">
      <c r="A139" s="226">
        <f>砼单价!B2498</f>
        <v>8073</v>
      </c>
      <c r="B139" s="225" t="s">
        <v>325</v>
      </c>
      <c r="C139" s="221" t="s">
        <v>326</v>
      </c>
      <c r="D139" s="223">
        <f t="shared" si="1"/>
        <v>34197.300317472043</v>
      </c>
      <c r="E139" s="223">
        <f>砼单价!F2503</f>
        <v>10913.528</v>
      </c>
      <c r="F139" s="223">
        <f>砼单价!F2506</f>
        <v>11684.659838199999</v>
      </c>
      <c r="G139" s="223">
        <f>砼单价!F2513</f>
        <v>2699.2758417547993</v>
      </c>
      <c r="H139" s="223"/>
      <c r="I139" s="223">
        <f>砼单价!F2518</f>
        <v>1214.2782566378303</v>
      </c>
      <c r="J139" s="223">
        <f>砼单价!F2519</f>
        <v>0</v>
      </c>
      <c r="K139" s="223">
        <f>砼单价!F2520</f>
        <v>1922.1012904029656</v>
      </c>
      <c r="L139" s="223">
        <f>砼单价!F2521</f>
        <v>1990.3690258896918</v>
      </c>
      <c r="M139" s="223">
        <f>砼单价!F2522</f>
        <v>35.66154908499999</v>
      </c>
      <c r="N139" s="223">
        <f>砼单价!F2529</f>
        <v>2741.3886421773259</v>
      </c>
      <c r="O139" s="223">
        <f>砼单价!F2531</f>
        <v>996.03787332442835</v>
      </c>
    </row>
    <row r="140" spans="1:15" ht="18" customHeight="1">
      <c r="A140" s="226">
        <f>砼单价!B2535</f>
        <v>8070</v>
      </c>
      <c r="B140" s="225" t="s">
        <v>327</v>
      </c>
      <c r="C140" s="221" t="s">
        <v>326</v>
      </c>
      <c r="D140" s="223">
        <f t="shared" si="1"/>
        <v>20781.189695392884</v>
      </c>
      <c r="E140" s="223">
        <f>砼单价!F2540</f>
        <v>6448.7969999999996</v>
      </c>
      <c r="F140" s="223">
        <f>砼单价!F2543</f>
        <v>7210.7747042000001</v>
      </c>
      <c r="G140" s="223">
        <f>砼单价!F2550</f>
        <v>1701.6868930669807</v>
      </c>
      <c r="H140" s="223"/>
      <c r="I140" s="223">
        <f>砼单价!F2555</f>
        <v>737.34041266881502</v>
      </c>
      <c r="J140" s="223">
        <f>砼单价!F2556</f>
        <v>0</v>
      </c>
      <c r="K140" s="223">
        <f>砼单价!F2557</f>
        <v>1167.1484282203451</v>
      </c>
      <c r="L140" s="223">
        <f>砼单价!F2558</f>
        <v>1208.6023206709299</v>
      </c>
      <c r="M140" s="223">
        <f>砼单价!F2559</f>
        <v>35.66154908499999</v>
      </c>
      <c r="N140" s="223">
        <f>砼单价!F2566</f>
        <v>1665.9010177120863</v>
      </c>
      <c r="O140" s="223">
        <f>砼单价!F2568</f>
        <v>605.27736976872472</v>
      </c>
    </row>
    <row r="141" spans="1:15" ht="18" customHeight="1">
      <c r="A141" s="221">
        <f>砼单价!$B$2572</f>
        <v>8069</v>
      </c>
      <c r="B141" s="225" t="s">
        <v>328</v>
      </c>
      <c r="C141" s="221" t="s">
        <v>326</v>
      </c>
      <c r="D141" s="223">
        <f t="shared" si="1"/>
        <v>11913.060125922309</v>
      </c>
      <c r="E141" s="223">
        <f>砼单价!$F$2577</f>
        <v>4464.4979999999996</v>
      </c>
      <c r="F141" s="223">
        <f>砼单价!$F$2580</f>
        <v>3082.4545702</v>
      </c>
      <c r="G141" s="223">
        <f>砼单价!$F$2587</f>
        <v>1246.4148860164519</v>
      </c>
      <c r="H141" s="223"/>
      <c r="I141" s="223">
        <f>砼单价!$F$2592</f>
        <v>422.08163789838966</v>
      </c>
      <c r="J141" s="223">
        <f>砼单价!$F$2593</f>
        <v>0</v>
      </c>
      <c r="K141" s="223">
        <f>砼单价!$F$2594</f>
        <v>668.12005932332579</v>
      </c>
      <c r="L141" s="223">
        <f>砼单价!$F$2595</f>
        <v>691.84984074067165</v>
      </c>
      <c r="M141" s="223">
        <f>砼单价!$F$2596</f>
        <v>35.66154908499999</v>
      </c>
      <c r="N141" s="223">
        <f>砼单价!$F$2603</f>
        <v>954.99724889374534</v>
      </c>
      <c r="O141" s="223">
        <f>砼单价!F2605</f>
        <v>346.98233376472746</v>
      </c>
    </row>
    <row r="142" spans="1:15" ht="18" customHeight="1">
      <c r="A142" s="221">
        <f>砌石!$B$724</f>
        <v>10206</v>
      </c>
      <c r="B142" s="222" t="s">
        <v>329</v>
      </c>
      <c r="C142" s="221" t="s">
        <v>290</v>
      </c>
      <c r="D142" s="223">
        <f t="shared" ref="D142:D150" si="22">SUM(E142:O142)</f>
        <v>475.94117347852557</v>
      </c>
      <c r="E142" s="223">
        <f>砌石!$F$729</f>
        <v>219.48</v>
      </c>
      <c r="F142" s="223">
        <f>砌石!$F$732</f>
        <v>52</v>
      </c>
      <c r="G142" s="223"/>
      <c r="H142" s="223"/>
      <c r="I142" s="223">
        <f>砌石!$F$736</f>
        <v>13.031040000000001</v>
      </c>
      <c r="J142" s="223">
        <f>砌石!$F$737</f>
        <v>0</v>
      </c>
      <c r="K142" s="223">
        <f>砌石!$F$738</f>
        <v>20.627050400000002</v>
      </c>
      <c r="L142" s="223">
        <f>砌石!$F$739</f>
        <v>21.359666328000003</v>
      </c>
      <c r="M142" s="223"/>
      <c r="N142" s="223">
        <f>砌石!$F$742</f>
        <v>109.61619810552</v>
      </c>
      <c r="O142" s="223">
        <f>砌石!F744</f>
        <v>39.827218645005601</v>
      </c>
    </row>
    <row r="143" spans="1:15" ht="18" customHeight="1">
      <c r="A143" s="221">
        <f>砌石!$B$772</f>
        <v>10202</v>
      </c>
      <c r="B143" s="222" t="s">
        <v>330</v>
      </c>
      <c r="C143" s="221" t="s">
        <v>290</v>
      </c>
      <c r="D143" s="223">
        <f t="shared" si="22"/>
        <v>978.05424443020013</v>
      </c>
      <c r="E143" s="223">
        <f>砌石!$F$777</f>
        <v>113.18</v>
      </c>
      <c r="F143" s="223">
        <f>砌石!$F$780</f>
        <v>611.18399999999997</v>
      </c>
      <c r="G143" s="223"/>
      <c r="H143" s="223"/>
      <c r="I143" s="223">
        <f>砌石!$F$785</f>
        <v>34.769472</v>
      </c>
      <c r="J143" s="223">
        <f>砌石!$F$786</f>
        <v>0</v>
      </c>
      <c r="K143" s="223">
        <f>砌石!$F$787</f>
        <v>55.037176719999998</v>
      </c>
      <c r="L143" s="223">
        <f>砌石!$F$788</f>
        <v>56.991945410400007</v>
      </c>
      <c r="M143" s="223"/>
      <c r="N143" s="223">
        <f>砌石!$F$789</f>
        <v>78.404633471736005</v>
      </c>
      <c r="O143" s="223">
        <f>砌石!F791</f>
        <v>28.487016828064082</v>
      </c>
    </row>
    <row r="144" spans="1:15" ht="18" customHeight="1">
      <c r="A144" s="221">
        <f>砼单价!$B$2343</f>
        <v>10020</v>
      </c>
      <c r="B144" s="225" t="s">
        <v>331</v>
      </c>
      <c r="C144" s="221" t="s">
        <v>332</v>
      </c>
      <c r="D144" s="223">
        <f t="shared" si="22"/>
        <v>79194.112868543307</v>
      </c>
      <c r="E144" s="223">
        <f>砼单价!$F$2348</f>
        <v>4939.84</v>
      </c>
      <c r="F144" s="223">
        <f>砼单价!$F$2351</f>
        <v>50957.198013399997</v>
      </c>
      <c r="G144" s="223">
        <f>砼单价!$F$2359</f>
        <v>1841.4134844394835</v>
      </c>
      <c r="H144" s="223"/>
      <c r="I144" s="223">
        <f>砼单价!$F$2365</f>
        <v>2771.4456718962956</v>
      </c>
      <c r="J144" s="223">
        <f>砼单价!$F$2366</f>
        <v>0</v>
      </c>
      <c r="K144" s="223">
        <f>砼单价!$F$2367</f>
        <v>4386.9675448058442</v>
      </c>
      <c r="L144" s="223">
        <f>砼单价!$F$2368</f>
        <v>4542.7805300179143</v>
      </c>
      <c r="M144" s="223">
        <f>砼单价!$F$2369</f>
        <v>1099.3347755199991</v>
      </c>
      <c r="N144" s="223">
        <f>砼单价!$F$2376</f>
        <v>6348.5082018071589</v>
      </c>
      <c r="O144" s="223">
        <f>砼单价!F2378</f>
        <v>2306.6246466566008</v>
      </c>
    </row>
    <row r="145" spans="1:15" ht="18" customHeight="1">
      <c r="A145" s="221">
        <f>砼单价!B2382</f>
        <v>10019</v>
      </c>
      <c r="B145" s="225" t="s">
        <v>333</v>
      </c>
      <c r="C145" s="221" t="s">
        <v>332</v>
      </c>
      <c r="D145" s="223">
        <f t="shared" si="22"/>
        <v>74952.327766119532</v>
      </c>
      <c r="E145" s="223">
        <f>砼单价!F2387</f>
        <v>12205.74</v>
      </c>
      <c r="F145" s="223">
        <f>砼单价!F2390</f>
        <v>32650.186250807998</v>
      </c>
      <c r="G145" s="223">
        <f>砼单价!F2397</f>
        <v>3153.9723887896598</v>
      </c>
      <c r="H145" s="223"/>
      <c r="I145" s="223">
        <f>砼单价!F2403</f>
        <v>2304.4751347006877</v>
      </c>
      <c r="J145" s="223">
        <f>砼单价!F2404</f>
        <v>0</v>
      </c>
      <c r="K145" s="223">
        <f>砼单价!F2405</f>
        <v>3647.7920986366303</v>
      </c>
      <c r="L145" s="223">
        <f>砼单价!F2406</f>
        <v>3777.3516111054491</v>
      </c>
      <c r="M145" s="223">
        <f>砼单价!F2407</f>
        <v>9021.2625695086317</v>
      </c>
      <c r="N145" s="223">
        <f>砼单价!F2414</f>
        <v>6008.4702048194158</v>
      </c>
      <c r="O145" s="223">
        <f>砼单价!F2416</f>
        <v>2183.0775077510543</v>
      </c>
    </row>
    <row r="146" spans="1:15" ht="18" customHeight="1">
      <c r="A146" s="221">
        <f>砼单价!B2420</f>
        <v>10017</v>
      </c>
      <c r="B146" s="225" t="s">
        <v>334</v>
      </c>
      <c r="C146" s="221" t="s">
        <v>332</v>
      </c>
      <c r="D146" s="223">
        <f t="shared" si="22"/>
        <v>26175.602331078695</v>
      </c>
      <c r="E146" s="223">
        <f>砼单价!F2425</f>
        <v>1606.86</v>
      </c>
      <c r="F146" s="223">
        <f>砼单价!F2428</f>
        <v>16273.4625</v>
      </c>
      <c r="G146" s="223">
        <f>砼单价!F2436</f>
        <v>375.43317810810834</v>
      </c>
      <c r="H146" s="223"/>
      <c r="I146" s="223">
        <f>砼单价!F2442</f>
        <v>876.27627254918923</v>
      </c>
      <c r="J146" s="223">
        <f>砼单价!F2443</f>
        <v>0</v>
      </c>
      <c r="K146" s="223">
        <f>砼单价!F2444</f>
        <v>1387.0723164226538</v>
      </c>
      <c r="L146" s="223">
        <f>砼单价!F2445</f>
        <v>1436.3372986955967</v>
      </c>
      <c r="M146" s="223">
        <f>砼单价!F2446</f>
        <v>1359.426458699998</v>
      </c>
      <c r="N146" s="223">
        <f>砼单价!F2453</f>
        <v>2098.3381222027988</v>
      </c>
      <c r="O146" s="223">
        <f>砼单价!F2455</f>
        <v>762.39618440035031</v>
      </c>
    </row>
    <row r="147" spans="1:15" ht="18" customHeight="1">
      <c r="A147" s="221">
        <f>砼单价!B2459</f>
        <v>10018</v>
      </c>
      <c r="B147" s="225" t="s">
        <v>335</v>
      </c>
      <c r="C147" s="221" t="s">
        <v>332</v>
      </c>
      <c r="D147" s="223">
        <f t="shared" si="22"/>
        <v>25048.280721924453</v>
      </c>
      <c r="E147" s="223">
        <f>砼单价!F2464</f>
        <v>2416.16</v>
      </c>
      <c r="F147" s="223">
        <f>砼单价!F2467</f>
        <v>14396.625</v>
      </c>
      <c r="G147" s="223">
        <f>砼单价!F2475</f>
        <v>645.07418918918961</v>
      </c>
      <c r="H147" s="223"/>
      <c r="I147" s="223">
        <f>砼单价!F2481</f>
        <v>837.97724108108105</v>
      </c>
      <c r="J147" s="223">
        <f>砼单价!F2482</f>
        <v>0</v>
      </c>
      <c r="K147" s="223">
        <f>砼单价!F2483</f>
        <v>1326.4481411945944</v>
      </c>
      <c r="L147" s="223">
        <f>砼单价!F2484</f>
        <v>1373.5599200025406</v>
      </c>
      <c r="M147" s="223">
        <f>砼单价!F2485</f>
        <v>1314.9070199999983</v>
      </c>
      <c r="N147" s="223">
        <f>砼单价!F2492</f>
        <v>2007.9676360320661</v>
      </c>
      <c r="O147" s="223">
        <f>砼单价!F2494</f>
        <v>729.56157442498409</v>
      </c>
    </row>
    <row r="148" spans="1:15" ht="18" customHeight="1">
      <c r="A148" s="227" t="str">
        <f>生物!B3</f>
        <v>08096</v>
      </c>
      <c r="B148" s="225" t="s">
        <v>336</v>
      </c>
      <c r="C148" s="221" t="s">
        <v>337</v>
      </c>
      <c r="D148" s="223">
        <f t="shared" si="22"/>
        <v>686.42566874987119</v>
      </c>
      <c r="E148" s="223">
        <f>生物!F8</f>
        <v>502.32</v>
      </c>
      <c r="F148" s="223">
        <f>生物!F11</f>
        <v>6.0587999999999997</v>
      </c>
      <c r="G148" s="223"/>
      <c r="H148" s="223"/>
      <c r="I148" s="223">
        <f>生物!F16</f>
        <v>24.402182400000001</v>
      </c>
      <c r="J148" s="223">
        <f>生物!F17</f>
        <v>0</v>
      </c>
      <c r="K148" s="223">
        <f>生物!F18</f>
        <v>38.626621223999997</v>
      </c>
      <c r="L148" s="223">
        <f>生物!F19</f>
        <v>39.998532253680004</v>
      </c>
      <c r="M148" s="223"/>
      <c r="N148" s="223">
        <f>生物!F20</f>
        <v>55.026552228991193</v>
      </c>
      <c r="O148" s="229">
        <f>生物!F22</f>
        <v>19.992980643200131</v>
      </c>
    </row>
    <row r="149" spans="1:15" ht="18" customHeight="1">
      <c r="A149" s="227" t="str">
        <f>生物!B26</f>
        <v>08090</v>
      </c>
      <c r="B149" s="225" t="s">
        <v>338</v>
      </c>
      <c r="C149" s="221" t="s">
        <v>337</v>
      </c>
      <c r="D149" s="223">
        <f t="shared" si="22"/>
        <v>1727.1384457231411</v>
      </c>
      <c r="E149" s="223">
        <f>生物!F31</f>
        <v>1154.77</v>
      </c>
      <c r="F149" s="223">
        <f>生物!F34</f>
        <v>124.37879999999998</v>
      </c>
      <c r="G149" s="223"/>
      <c r="H149" s="223"/>
      <c r="I149" s="223">
        <f>生物!F39</f>
        <v>61.399142399999995</v>
      </c>
      <c r="J149" s="223">
        <f>生物!F40</f>
        <v>0</v>
      </c>
      <c r="K149" s="223">
        <f>生物!F41</f>
        <v>97.189725823999993</v>
      </c>
      <c r="L149" s="223">
        <f>生物!F42</f>
        <v>100.64163677568001</v>
      </c>
      <c r="M149" s="223"/>
      <c r="N149" s="223">
        <f>生物!F43</f>
        <v>138.45413744997123</v>
      </c>
      <c r="O149" s="229">
        <f>生物!F45</f>
        <v>50.305003273489547</v>
      </c>
    </row>
    <row r="150" spans="1:15" ht="18" customHeight="1">
      <c r="A150" s="227" t="s">
        <v>339</v>
      </c>
      <c r="B150" s="225" t="s">
        <v>340</v>
      </c>
      <c r="C150" s="221" t="s">
        <v>341</v>
      </c>
      <c r="D150" s="223">
        <f t="shared" si="22"/>
        <v>2736.6221431057938</v>
      </c>
      <c r="E150" s="223">
        <f>生物!F54</f>
        <v>1886.79</v>
      </c>
      <c r="F150" s="223">
        <f>生物!F55</f>
        <v>140</v>
      </c>
      <c r="G150" s="223"/>
      <c r="H150" s="223"/>
      <c r="I150" s="223">
        <f>生物!F59</f>
        <v>97.285920000000004</v>
      </c>
      <c r="J150" s="223">
        <f>生物!F60</f>
        <v>0</v>
      </c>
      <c r="K150" s="223">
        <f>生物!F61</f>
        <v>153.99550419999997</v>
      </c>
      <c r="L150" s="223">
        <f>生物!F62</f>
        <v>159.464999694</v>
      </c>
      <c r="M150" s="223"/>
      <c r="N150" s="223">
        <f>生物!F63</f>
        <v>219.37827815046001</v>
      </c>
      <c r="O150" s="221">
        <f>生物!F65</f>
        <v>79.70744106133381</v>
      </c>
    </row>
    <row r="151" spans="1:15" ht="18" customHeight="1">
      <c r="A151" s="221"/>
      <c r="B151" s="225"/>
      <c r="C151" s="221"/>
      <c r="D151" s="223"/>
      <c r="E151" s="223"/>
      <c r="F151" s="223"/>
      <c r="G151" s="223"/>
      <c r="H151" s="223"/>
      <c r="I151" s="223"/>
      <c r="J151" s="223"/>
      <c r="K151" s="223"/>
      <c r="L151" s="223"/>
      <c r="M151" s="223"/>
      <c r="N151" s="221"/>
      <c r="O151" s="221"/>
    </row>
    <row r="152" spans="1:15" ht="20.25" customHeight="1">
      <c r="A152" s="221"/>
      <c r="B152" s="225"/>
      <c r="C152" s="221"/>
      <c r="D152" s="223"/>
      <c r="E152" s="223"/>
      <c r="F152" s="223"/>
      <c r="G152" s="223"/>
      <c r="H152" s="223"/>
      <c r="I152" s="223"/>
      <c r="J152" s="223"/>
      <c r="K152" s="223"/>
      <c r="L152" s="223"/>
      <c r="M152" s="223"/>
      <c r="N152" s="223"/>
      <c r="O152" s="221"/>
    </row>
    <row r="153" spans="1:15" ht="20.25" customHeight="1">
      <c r="A153" s="221"/>
      <c r="B153" s="225"/>
      <c r="C153" s="225"/>
      <c r="D153" s="223"/>
      <c r="E153" s="223"/>
      <c r="F153" s="223"/>
      <c r="G153" s="223"/>
      <c r="H153" s="223"/>
      <c r="I153" s="223"/>
      <c r="J153" s="223"/>
      <c r="K153" s="223"/>
      <c r="L153" s="223"/>
      <c r="M153" s="223"/>
      <c r="N153" s="223"/>
      <c r="O153" s="221"/>
    </row>
    <row r="154" spans="1:15" ht="20.25" customHeight="1">
      <c r="A154" s="225"/>
      <c r="B154" s="225"/>
      <c r="C154" s="225"/>
      <c r="D154" s="223"/>
      <c r="E154" s="223"/>
      <c r="F154" s="223"/>
      <c r="G154" s="221"/>
      <c r="H154" s="221"/>
      <c r="I154" s="223"/>
      <c r="J154" s="223"/>
      <c r="K154" s="223"/>
      <c r="L154" s="223"/>
      <c r="M154" s="221"/>
      <c r="N154" s="223"/>
      <c r="O154" s="221"/>
    </row>
    <row r="155" spans="1:15" ht="20.25" customHeight="1">
      <c r="A155" s="225"/>
      <c r="B155" s="225"/>
      <c r="C155" s="221"/>
      <c r="D155" s="223"/>
      <c r="E155" s="228"/>
      <c r="F155" s="228"/>
      <c r="G155" s="228"/>
      <c r="H155" s="229"/>
      <c r="I155" s="229"/>
      <c r="J155" s="229"/>
      <c r="K155" s="229"/>
      <c r="L155" s="229"/>
      <c r="M155" s="229"/>
      <c r="N155" s="229"/>
      <c r="O155" s="221"/>
    </row>
    <row r="156" spans="1:15" ht="20.25" customHeight="1">
      <c r="A156" s="225"/>
      <c r="B156" s="225"/>
      <c r="C156" s="225"/>
      <c r="D156" s="223"/>
      <c r="E156" s="225"/>
      <c r="F156" s="225"/>
      <c r="G156" s="225"/>
      <c r="H156" s="221"/>
      <c r="I156" s="221"/>
      <c r="J156" s="221"/>
      <c r="K156" s="221"/>
      <c r="L156" s="221"/>
      <c r="M156" s="221"/>
      <c r="N156" s="221"/>
      <c r="O156" s="221"/>
    </row>
    <row r="157" spans="1:15" ht="20.25" customHeight="1">
      <c r="A157" s="225"/>
      <c r="B157" s="225"/>
      <c r="C157" s="225"/>
      <c r="D157" s="223"/>
      <c r="E157" s="225"/>
      <c r="F157" s="225"/>
      <c r="G157" s="225"/>
      <c r="H157" s="221"/>
      <c r="I157" s="221"/>
      <c r="J157" s="221"/>
      <c r="K157" s="221"/>
      <c r="L157" s="221"/>
      <c r="M157" s="221"/>
      <c r="N157" s="221"/>
      <c r="O157" s="221"/>
    </row>
    <row r="158" spans="1:15" ht="20.25" customHeight="1">
      <c r="O158" s="230"/>
    </row>
    <row r="159" spans="1:15" ht="20.25" customHeight="1">
      <c r="O159" s="230"/>
    </row>
    <row r="160" spans="1:15" ht="20.25" customHeight="1">
      <c r="O160" s="230"/>
    </row>
    <row r="161" spans="15:15" ht="20.25" customHeight="1">
      <c r="O161" s="230"/>
    </row>
    <row r="162" spans="15:15" ht="20.25" customHeight="1">
      <c r="O162" s="230"/>
    </row>
    <row r="163" spans="15:15" ht="20.25" customHeight="1">
      <c r="O163" s="230"/>
    </row>
    <row r="164" spans="15:15" ht="20.25" customHeight="1">
      <c r="O164" s="230"/>
    </row>
    <row r="165" spans="15:15" ht="20.25" customHeight="1">
      <c r="O165" s="230"/>
    </row>
    <row r="166" spans="15:15" ht="20.25" customHeight="1">
      <c r="O166" s="230"/>
    </row>
    <row r="167" spans="15:15" ht="20.25" customHeight="1">
      <c r="O167" s="230"/>
    </row>
    <row r="168" spans="15:15" ht="20.25" customHeight="1">
      <c r="O168" s="230"/>
    </row>
    <row r="169" spans="15:15" ht="20.25" customHeight="1">
      <c r="O169" s="230"/>
    </row>
    <row r="170" spans="15:15" ht="20.25" customHeight="1"/>
    <row r="171" spans="15:15" ht="20.25" customHeight="1"/>
    <row r="172" spans="15:15" ht="20.25" customHeight="1"/>
    <row r="173" spans="15:15" ht="20.25" customHeight="1"/>
    <row r="174" spans="15:15" ht="20.25" customHeight="1"/>
    <row r="175" spans="15:15" ht="20.25" customHeight="1"/>
    <row r="176" spans="15:15" ht="20.25" customHeight="1"/>
    <row r="177" ht="20.25" customHeight="1"/>
    <row r="178" ht="20.25" customHeight="1"/>
    <row r="179" ht="20.25" customHeight="1"/>
    <row r="180" ht="20.25" customHeight="1"/>
    <row r="181" ht="20.25" customHeight="1"/>
    <row r="182" ht="20.25" customHeight="1"/>
    <row r="183" ht="20.25" customHeight="1"/>
    <row r="184" ht="20.25" customHeight="1"/>
    <row r="185" ht="20.25" customHeight="1"/>
    <row r="186" ht="20.25" customHeight="1"/>
    <row r="187" ht="20.25" customHeight="1"/>
    <row r="188" ht="20.25" customHeight="1"/>
    <row r="189" ht="20.25" customHeight="1"/>
    <row r="190" ht="20.25" customHeight="1"/>
    <row r="191" ht="20.25" customHeight="1"/>
    <row r="192" ht="20.25" customHeight="1"/>
    <row r="193" ht="20.25" customHeight="1"/>
    <row r="194" ht="20.25" customHeight="1"/>
    <row r="195" ht="20.25" customHeight="1"/>
    <row r="196" ht="20.25" customHeight="1"/>
    <row r="197" ht="20.25" customHeight="1"/>
    <row r="198" ht="20.25" customHeight="1"/>
    <row r="199" ht="20.25" customHeight="1"/>
    <row r="200" ht="20.25" customHeight="1"/>
    <row r="201" ht="20.25" customHeight="1"/>
    <row r="202" ht="20.25" customHeight="1"/>
    <row r="203" ht="20.25" customHeight="1"/>
    <row r="204" ht="20.25" customHeight="1"/>
    <row r="205" ht="20.25" customHeight="1"/>
    <row r="206" ht="20.25" customHeight="1"/>
    <row r="207" ht="20.25" customHeight="1"/>
    <row r="208" ht="20.25" customHeight="1"/>
    <row r="209" ht="20.25" customHeight="1"/>
    <row r="210" ht="20.25" customHeight="1"/>
    <row r="211" ht="20.25" customHeight="1"/>
    <row r="212" ht="20.25" customHeight="1"/>
    <row r="213" ht="20.25" customHeight="1"/>
    <row r="214" ht="20.25" customHeight="1"/>
    <row r="215" ht="20.25" customHeight="1"/>
    <row r="216" ht="20.25" customHeight="1"/>
    <row r="217" ht="20.25" customHeight="1"/>
    <row r="218" ht="20.25" customHeight="1"/>
    <row r="219" ht="20.25" customHeight="1"/>
    <row r="220" ht="20.25" customHeight="1"/>
    <row r="221" ht="20.25" customHeight="1"/>
    <row r="222" ht="20.25" customHeight="1"/>
    <row r="223" ht="20.25" customHeight="1"/>
    <row r="224" ht="20.25" customHeight="1"/>
    <row r="225" ht="20.25" customHeight="1"/>
    <row r="226" ht="20.25" customHeight="1"/>
    <row r="227" ht="20.25" customHeight="1"/>
    <row r="228" ht="20.25" customHeight="1"/>
    <row r="229" ht="20.25" customHeight="1"/>
    <row r="230" ht="20.25" customHeight="1"/>
    <row r="231" ht="20.25" customHeight="1"/>
    <row r="232" ht="20.25" customHeight="1"/>
    <row r="233" ht="20.25" customHeight="1"/>
    <row r="234" ht="20.25" customHeight="1"/>
    <row r="235" ht="20.25" customHeight="1"/>
    <row r="236" ht="20.25" customHeight="1"/>
    <row r="237" ht="20.25" customHeight="1"/>
    <row r="238" ht="20.25" customHeight="1"/>
    <row r="239" ht="20.25" customHeight="1"/>
    <row r="240" ht="20.25" customHeight="1"/>
    <row r="241" ht="20.25" customHeight="1"/>
    <row r="242" ht="20.25" customHeight="1"/>
    <row r="243" ht="20.25" customHeight="1"/>
    <row r="244" ht="20.25" customHeight="1"/>
    <row r="245" ht="20.25" customHeight="1"/>
  </sheetData>
  <mergeCells count="17">
    <mergeCell ref="K6:K7"/>
    <mergeCell ref="L6:L7"/>
    <mergeCell ref="M6:M7"/>
    <mergeCell ref="N6:N7"/>
    <mergeCell ref="O6:O7"/>
    <mergeCell ref="A1:N1"/>
    <mergeCell ref="E5:O5"/>
    <mergeCell ref="A5:A7"/>
    <mergeCell ref="B5:B7"/>
    <mergeCell ref="C5:C7"/>
    <mergeCell ref="D5:D7"/>
    <mergeCell ref="E6:E7"/>
    <mergeCell ref="F6:F7"/>
    <mergeCell ref="G6:G7"/>
    <mergeCell ref="H6:H7"/>
    <mergeCell ref="I6:I7"/>
    <mergeCell ref="J6:J7"/>
  </mergeCells>
  <phoneticPr fontId="79" type="noConversion"/>
  <printOptions horizontalCentered="1"/>
  <pageMargins left="0.90486111111111101" right="0.90486111111111101" top="0.98402777777777795" bottom="0.98402777777777795" header="0.90486111111111101" footer="0.90486111111111101"/>
  <pageSetup paperSize="9" firstPageNumber="149" orientation="landscape" useFirstPageNumber="1" horizontalDpi="72" verticalDpi="72"/>
  <headerFooter alignWithMargins="0">
    <oddFooter>&amp;C&amp;9&amp;P</oddFooter>
  </headerFooter>
</worksheet>
</file>

<file path=xl/worksheets/sheet6.xml><?xml version="1.0" encoding="utf-8"?>
<worksheet xmlns="http://schemas.openxmlformats.org/spreadsheetml/2006/main" xmlns:r="http://schemas.openxmlformats.org/officeDocument/2006/relationships">
  <dimension ref="A1:H38"/>
  <sheetViews>
    <sheetView workbookViewId="0">
      <selection activeCell="D14" sqref="D14"/>
    </sheetView>
  </sheetViews>
  <sheetFormatPr defaultColWidth="9" defaultRowHeight="14.25"/>
  <cols>
    <col min="1" max="1" width="6.125" customWidth="1"/>
    <col min="2" max="2" width="11.125" customWidth="1"/>
    <col min="3" max="3" width="8" customWidth="1"/>
    <col min="4" max="4" width="8.75" customWidth="1"/>
  </cols>
  <sheetData>
    <row r="1" spans="1:8" ht="23.25" customHeight="1">
      <c r="A1" s="378" t="s">
        <v>342</v>
      </c>
      <c r="B1" s="378"/>
      <c r="C1" s="378"/>
      <c r="D1" s="378"/>
      <c r="E1" s="378"/>
      <c r="F1" s="378"/>
      <c r="G1" s="378"/>
      <c r="H1" s="378"/>
    </row>
    <row r="2" spans="1:8" ht="2.25" customHeight="1">
      <c r="A2" s="80"/>
      <c r="B2" s="80"/>
      <c r="C2" s="80"/>
      <c r="D2" s="80"/>
      <c r="E2" s="80"/>
      <c r="F2" s="80"/>
      <c r="G2" s="80"/>
      <c r="H2" s="80"/>
    </row>
    <row r="3" spans="1:8" ht="15">
      <c r="A3" s="383"/>
      <c r="B3" s="383"/>
      <c r="C3" s="208"/>
      <c r="E3" s="384" t="s">
        <v>343</v>
      </c>
      <c r="F3" s="384"/>
      <c r="G3" s="384"/>
      <c r="H3" s="384"/>
    </row>
    <row r="4" spans="1:8" ht="3" customHeight="1"/>
    <row r="5" spans="1:8" ht="22.5" customHeight="1">
      <c r="A5" s="385" t="s">
        <v>1</v>
      </c>
      <c r="B5" s="385" t="s">
        <v>344</v>
      </c>
      <c r="C5" s="385" t="s">
        <v>345</v>
      </c>
      <c r="D5" s="385" t="s">
        <v>346</v>
      </c>
      <c r="E5" s="385" t="s">
        <v>347</v>
      </c>
      <c r="F5" s="385"/>
      <c r="G5" s="385"/>
      <c r="H5" s="385"/>
    </row>
    <row r="6" spans="1:8" ht="33.75" customHeight="1">
      <c r="A6" s="385"/>
      <c r="B6" s="385"/>
      <c r="C6" s="385"/>
      <c r="D6" s="385"/>
      <c r="E6" s="198" t="s">
        <v>348</v>
      </c>
      <c r="F6" s="198" t="s">
        <v>349</v>
      </c>
      <c r="G6" s="209" t="s">
        <v>350</v>
      </c>
      <c r="H6" s="209" t="s">
        <v>351</v>
      </c>
    </row>
    <row r="7" spans="1:8" ht="26.25" customHeight="1">
      <c r="A7" s="198">
        <v>1</v>
      </c>
      <c r="B7" s="209" t="s">
        <v>352</v>
      </c>
      <c r="C7" s="198" t="s">
        <v>353</v>
      </c>
      <c r="D7" s="210">
        <f t="shared" ref="D7:D13" si="0">E7+F7+H7</f>
        <v>520.73530000000005</v>
      </c>
      <c r="E7" s="198">
        <f>材料预算价格表!$D$5</f>
        <v>470</v>
      </c>
      <c r="F7" s="211">
        <f>材料预算价格表!$H$5+材料预算价格表!$I$5</f>
        <v>34.1</v>
      </c>
      <c r="G7" s="209"/>
      <c r="H7" s="212">
        <f>材料预算价格表!$J$5</f>
        <v>16.635300000000001</v>
      </c>
    </row>
    <row r="8" spans="1:8" ht="22.5" customHeight="1">
      <c r="A8" s="198">
        <v>2</v>
      </c>
      <c r="B8" s="209" t="s">
        <v>354</v>
      </c>
      <c r="C8" s="198" t="s">
        <v>353</v>
      </c>
      <c r="D8" s="210">
        <f t="shared" si="0"/>
        <v>371.41514999999993</v>
      </c>
      <c r="E8" s="198">
        <f>材料预算价格表!$D$6</f>
        <v>323.89</v>
      </c>
      <c r="F8" s="210">
        <f>材料预算价格表!$H$6+材料预算价格表!$I$6</f>
        <v>35.659999999999997</v>
      </c>
      <c r="G8" s="210"/>
      <c r="H8" s="210">
        <f>材料预算价格表!$J$6</f>
        <v>11.86515</v>
      </c>
    </row>
    <row r="9" spans="1:8" ht="22.5" customHeight="1">
      <c r="A9" s="198">
        <v>3</v>
      </c>
      <c r="B9" s="198" t="s">
        <v>355</v>
      </c>
      <c r="C9" s="198" t="s">
        <v>353</v>
      </c>
      <c r="D9" s="210">
        <f t="shared" si="0"/>
        <v>4054.7134600000004</v>
      </c>
      <c r="E9" s="198">
        <f>材料预算价格表!$D$7</f>
        <v>3941.13</v>
      </c>
      <c r="F9" s="210">
        <f>材料预算价格表!$H$7+材料预算价格表!$I$7</f>
        <v>26.3</v>
      </c>
      <c r="G9" s="210"/>
      <c r="H9" s="210">
        <f>材料预算价格表!$J$7</f>
        <v>87.283460000000005</v>
      </c>
    </row>
    <row r="10" spans="1:8" ht="22.5" customHeight="1">
      <c r="A10" s="198">
        <v>4</v>
      </c>
      <c r="B10" s="198" t="s">
        <v>356</v>
      </c>
      <c r="C10" s="198" t="s">
        <v>357</v>
      </c>
      <c r="D10" s="210">
        <f t="shared" si="0"/>
        <v>1874.0778</v>
      </c>
      <c r="E10" s="198">
        <f>材料预算价格表!$D$8</f>
        <v>1800</v>
      </c>
      <c r="F10" s="210">
        <f>材料预算价格表!$H$8+材料预算价格表!$I$8</f>
        <v>23.92</v>
      </c>
      <c r="G10" s="210"/>
      <c r="H10" s="210">
        <f>材料预算价格表!$J$8</f>
        <v>50.157800000000002</v>
      </c>
    </row>
    <row r="11" spans="1:8" ht="22.5" customHeight="1">
      <c r="A11" s="198">
        <v>5</v>
      </c>
      <c r="B11" s="198" t="s">
        <v>358</v>
      </c>
      <c r="C11" s="198" t="s">
        <v>357</v>
      </c>
      <c r="D11" s="210">
        <f t="shared" si="0"/>
        <v>74.659868399999993</v>
      </c>
      <c r="E11" s="198">
        <f>材料预算价格表!$D$9</f>
        <v>53.43</v>
      </c>
      <c r="F11" s="210">
        <f>材料预算价格表!$H$9+材料预算价格表!$I$9</f>
        <v>18.844799999999999</v>
      </c>
      <c r="G11" s="210"/>
      <c r="H11" s="210">
        <f>材料预算价格表!$J$9</f>
        <v>2.3850684000000002</v>
      </c>
    </row>
    <row r="12" spans="1:8" ht="22.5" customHeight="1">
      <c r="A12" s="198">
        <v>6</v>
      </c>
      <c r="B12" s="198" t="s">
        <v>359</v>
      </c>
      <c r="C12" s="198" t="s">
        <v>357</v>
      </c>
      <c r="D12" s="210">
        <f t="shared" si="0"/>
        <v>76.245730000000009</v>
      </c>
      <c r="E12" s="198">
        <f>材料预算价格表!$D$10</f>
        <v>38.83</v>
      </c>
      <c r="F12" s="210">
        <f>材料预算价格表!$H$10+材料预算价格表!$I$10</f>
        <v>34.979999999999997</v>
      </c>
      <c r="G12" s="210"/>
      <c r="H12" s="210">
        <f>材料预算价格表!$J$10</f>
        <v>2.43573</v>
      </c>
    </row>
    <row r="13" spans="1:8" ht="22.5" customHeight="1">
      <c r="A13" s="198">
        <v>7</v>
      </c>
      <c r="B13" s="198" t="s">
        <v>360</v>
      </c>
      <c r="C13" s="198" t="s">
        <v>357</v>
      </c>
      <c r="D13" s="210">
        <f t="shared" si="0"/>
        <v>108.51665000000001</v>
      </c>
      <c r="E13" s="198">
        <f>材料预算价格表!$D$11</f>
        <v>58.25</v>
      </c>
      <c r="F13" s="210">
        <f>材料预算价格表!$H$11+材料预算价格表!$I$11</f>
        <v>46.800000000000004</v>
      </c>
      <c r="G13" s="210"/>
      <c r="H13" s="210">
        <f>材料预算价格表!$J$11</f>
        <v>3.46665</v>
      </c>
    </row>
    <row r="14" spans="1:8" ht="22.5" customHeight="1">
      <c r="A14" s="198">
        <v>8</v>
      </c>
      <c r="B14" s="198" t="s">
        <v>361</v>
      </c>
      <c r="C14" s="198" t="s">
        <v>353</v>
      </c>
      <c r="D14" s="210">
        <f>材料预算价格表!$K$13</f>
        <v>7820</v>
      </c>
      <c r="E14" s="210"/>
      <c r="F14" s="210"/>
      <c r="G14" s="210"/>
      <c r="H14" s="210"/>
    </row>
    <row r="15" spans="1:8" ht="22.5" customHeight="1">
      <c r="A15" s="198">
        <v>9</v>
      </c>
      <c r="B15" s="198" t="s">
        <v>362</v>
      </c>
      <c r="C15" s="198" t="s">
        <v>353</v>
      </c>
      <c r="D15" s="210">
        <f>材料预算价格表!$K$14</f>
        <v>6500</v>
      </c>
      <c r="E15" s="198"/>
      <c r="F15" s="210"/>
      <c r="G15" s="210"/>
      <c r="H15" s="210"/>
    </row>
    <row r="16" spans="1:8" ht="22.5" customHeight="1">
      <c r="A16" s="198"/>
      <c r="B16" s="198"/>
      <c r="C16" s="198"/>
      <c r="D16" s="210"/>
      <c r="E16" s="213"/>
      <c r="F16" s="198"/>
      <c r="G16" s="198"/>
      <c r="H16" s="198"/>
    </row>
    <row r="17" spans="1:8" ht="22.5" customHeight="1">
      <c r="A17" s="198"/>
      <c r="B17" s="209"/>
      <c r="C17" s="198"/>
      <c r="D17" s="210"/>
      <c r="E17" s="198"/>
      <c r="F17" s="198"/>
      <c r="G17" s="198"/>
      <c r="H17" s="210"/>
    </row>
    <row r="18" spans="1:8" ht="22.5" customHeight="1">
      <c r="A18" s="198"/>
      <c r="B18" s="209"/>
      <c r="C18" s="198"/>
      <c r="D18" s="210"/>
      <c r="E18" s="198"/>
      <c r="F18" s="198"/>
      <c r="G18" s="198"/>
      <c r="H18" s="210"/>
    </row>
    <row r="19" spans="1:8" ht="22.5" customHeight="1">
      <c r="A19" s="198"/>
      <c r="B19" s="204"/>
      <c r="C19" s="204"/>
      <c r="D19" s="204"/>
      <c r="E19" s="204"/>
      <c r="F19" s="198"/>
      <c r="G19" s="198"/>
      <c r="H19" s="198"/>
    </row>
    <row r="20" spans="1:8" ht="22.5" customHeight="1">
      <c r="A20" s="198"/>
      <c r="B20" s="204"/>
      <c r="C20" s="204"/>
      <c r="D20" s="204"/>
      <c r="E20" s="204"/>
      <c r="F20" s="198"/>
      <c r="G20" s="198"/>
      <c r="H20" s="198"/>
    </row>
    <row r="21" spans="1:8" ht="22.5" customHeight="1">
      <c r="A21" s="198"/>
      <c r="B21" s="204"/>
      <c r="C21" s="204"/>
      <c r="D21" s="204"/>
      <c r="E21" s="204"/>
      <c r="F21" s="198"/>
      <c r="G21" s="198"/>
      <c r="H21" s="198"/>
    </row>
    <row r="22" spans="1:8" ht="22.5" customHeight="1">
      <c r="A22" s="198"/>
      <c r="B22" s="204"/>
      <c r="C22" s="204"/>
      <c r="D22" s="204"/>
      <c r="E22" s="204"/>
      <c r="F22" s="198"/>
      <c r="G22" s="198"/>
      <c r="H22" s="198"/>
    </row>
    <row r="23" spans="1:8" ht="22.5" customHeight="1">
      <c r="A23" s="198"/>
      <c r="B23" s="204"/>
      <c r="C23" s="204"/>
      <c r="D23" s="204"/>
      <c r="E23" s="204"/>
      <c r="F23" s="198"/>
      <c r="G23" s="198"/>
      <c r="H23" s="198"/>
    </row>
    <row r="24" spans="1:8" ht="22.5" customHeight="1">
      <c r="A24" s="198"/>
      <c r="B24" s="204"/>
      <c r="C24" s="204"/>
      <c r="D24" s="204"/>
      <c r="E24" s="204"/>
      <c r="F24" s="198"/>
      <c r="G24" s="198"/>
      <c r="H24" s="198"/>
    </row>
    <row r="25" spans="1:8" ht="22.5" customHeight="1">
      <c r="A25" s="198"/>
      <c r="B25" s="204"/>
      <c r="C25" s="204"/>
      <c r="D25" s="204"/>
      <c r="E25" s="204"/>
      <c r="F25" s="198"/>
      <c r="G25" s="198"/>
      <c r="H25" s="198"/>
    </row>
    <row r="26" spans="1:8" ht="22.5" customHeight="1">
      <c r="A26" s="198"/>
      <c r="B26" s="204"/>
      <c r="C26" s="204"/>
      <c r="D26" s="204"/>
      <c r="E26" s="204"/>
      <c r="F26" s="198"/>
      <c r="G26" s="198"/>
      <c r="H26" s="198"/>
    </row>
    <row r="27" spans="1:8" ht="22.5" customHeight="1">
      <c r="A27" s="198"/>
      <c r="B27" s="204"/>
      <c r="C27" s="204"/>
      <c r="D27" s="204"/>
      <c r="E27" s="204"/>
      <c r="F27" s="198"/>
      <c r="G27" s="198"/>
      <c r="H27" s="198"/>
    </row>
    <row r="28" spans="1:8" ht="22.5" customHeight="1">
      <c r="A28" s="198"/>
      <c r="B28" s="204"/>
      <c r="C28" s="204"/>
      <c r="D28" s="204"/>
      <c r="E28" s="204"/>
      <c r="F28" s="198"/>
      <c r="G28" s="198"/>
      <c r="H28" s="198"/>
    </row>
    <row r="29" spans="1:8" ht="22.5" customHeight="1">
      <c r="A29" s="198"/>
      <c r="B29" s="204"/>
      <c r="C29" s="204"/>
      <c r="D29" s="204"/>
      <c r="E29" s="204"/>
      <c r="F29" s="198"/>
      <c r="G29" s="198"/>
      <c r="H29" s="198"/>
    </row>
    <row r="30" spans="1:8" ht="22.5" customHeight="1">
      <c r="A30" s="198"/>
      <c r="B30" s="204"/>
      <c r="C30" s="204"/>
      <c r="D30" s="204"/>
      <c r="E30" s="204"/>
      <c r="F30" s="198"/>
      <c r="G30" s="198"/>
      <c r="H30" s="198"/>
    </row>
    <row r="31" spans="1:8" ht="22.5" customHeight="1"/>
    <row r="32" spans="1:8" ht="22.5" customHeight="1"/>
    <row r="33" ht="22.5" customHeight="1"/>
    <row r="34" ht="22.5" customHeight="1"/>
    <row r="35" ht="22.5" customHeight="1"/>
    <row r="36" ht="22.5" customHeight="1"/>
    <row r="37" ht="22.5" customHeight="1"/>
    <row r="38" ht="22.5" customHeight="1"/>
  </sheetData>
  <mergeCells count="8">
    <mergeCell ref="A1:H1"/>
    <mergeCell ref="A3:B3"/>
    <mergeCell ref="E3:H3"/>
    <mergeCell ref="E5:H5"/>
    <mergeCell ref="A5:A6"/>
    <mergeCell ref="B5:B6"/>
    <mergeCell ref="C5:C6"/>
    <mergeCell ref="D5:D6"/>
  </mergeCells>
  <phoneticPr fontId="79" type="noConversion"/>
  <printOptions horizontalCentered="1"/>
  <pageMargins left="1.18055555555556" right="1.18055555555556" top="1.18055555555556" bottom="1.18055555555556" header="0.90486111111111101" footer="0.90486111111111101"/>
  <pageSetup paperSize="9" orientation="portrait" horizontalDpi="72" verticalDpi="72"/>
  <headerFooter alignWithMargins="0">
    <oddFooter>&amp;C&amp;9&amp;P</oddFooter>
  </headerFooter>
</worksheet>
</file>

<file path=xl/worksheets/sheet7.xml><?xml version="1.0" encoding="utf-8"?>
<worksheet xmlns="http://schemas.openxmlformats.org/spreadsheetml/2006/main" xmlns:r="http://schemas.openxmlformats.org/officeDocument/2006/relationships">
  <dimension ref="A1:G34"/>
  <sheetViews>
    <sheetView workbookViewId="0">
      <selection activeCell="J16" sqref="J16"/>
    </sheetView>
  </sheetViews>
  <sheetFormatPr defaultColWidth="9" defaultRowHeight="14.25"/>
  <cols>
    <col min="1" max="1" width="7.625" customWidth="1"/>
    <col min="2" max="2" width="15.25" customWidth="1"/>
    <col min="3" max="7" width="9.25" customWidth="1"/>
  </cols>
  <sheetData>
    <row r="1" spans="1:7" ht="23.25" customHeight="1">
      <c r="A1" s="378" t="s">
        <v>363</v>
      </c>
      <c r="B1" s="378"/>
      <c r="C1" s="378"/>
      <c r="D1" s="378"/>
      <c r="E1" s="378"/>
      <c r="F1" s="378"/>
      <c r="G1" s="378"/>
    </row>
    <row r="2" spans="1:7" ht="15" customHeight="1">
      <c r="A2" s="79"/>
      <c r="B2" s="79"/>
      <c r="C2" s="79"/>
      <c r="D2" s="79"/>
      <c r="E2" s="79"/>
      <c r="F2" s="103" t="s">
        <v>364</v>
      </c>
      <c r="G2" s="83" t="s">
        <v>170</v>
      </c>
    </row>
    <row r="3" spans="1:7" ht="6" customHeight="1"/>
    <row r="4" spans="1:7" ht="22.5" customHeight="1">
      <c r="A4" s="198" t="s">
        <v>365</v>
      </c>
      <c r="B4" s="198" t="s">
        <v>366</v>
      </c>
      <c r="C4" s="198" t="s">
        <v>345</v>
      </c>
      <c r="D4" s="198" t="s">
        <v>367</v>
      </c>
      <c r="E4" s="198" t="s">
        <v>368</v>
      </c>
      <c r="F4" s="198" t="s">
        <v>7</v>
      </c>
      <c r="G4" s="198" t="s">
        <v>369</v>
      </c>
    </row>
    <row r="5" spans="1:7" ht="22.5" customHeight="1">
      <c r="A5" s="198">
        <v>1</v>
      </c>
      <c r="B5" s="198" t="s">
        <v>370</v>
      </c>
      <c r="C5" s="198" t="s">
        <v>371</v>
      </c>
      <c r="D5" s="198"/>
      <c r="E5" s="198"/>
      <c r="F5" s="207">
        <v>8</v>
      </c>
      <c r="G5" s="198"/>
    </row>
    <row r="6" spans="1:7" ht="22.5" customHeight="1">
      <c r="A6" s="198">
        <v>2</v>
      </c>
      <c r="B6" s="198" t="s">
        <v>372</v>
      </c>
      <c r="C6" s="198" t="s">
        <v>371</v>
      </c>
      <c r="D6" s="198"/>
      <c r="E6" s="198"/>
      <c r="F6" s="198">
        <v>7.4</v>
      </c>
      <c r="G6" s="198"/>
    </row>
    <row r="7" spans="1:7" ht="22.5" customHeight="1">
      <c r="A7" s="198">
        <v>3</v>
      </c>
      <c r="B7" s="198" t="s">
        <v>373</v>
      </c>
      <c r="C7" s="198" t="s">
        <v>371</v>
      </c>
      <c r="D7" s="198"/>
      <c r="E7" s="198"/>
      <c r="F7" s="198">
        <v>8.5</v>
      </c>
      <c r="G7" s="198"/>
    </row>
    <row r="8" spans="1:7" ht="22.5" customHeight="1">
      <c r="A8" s="198">
        <v>4</v>
      </c>
      <c r="B8" s="198" t="s">
        <v>374</v>
      </c>
      <c r="C8" s="198" t="s">
        <v>371</v>
      </c>
      <c r="D8" s="198"/>
      <c r="E8" s="198"/>
      <c r="F8" s="207">
        <v>8</v>
      </c>
      <c r="G8" s="198"/>
    </row>
    <row r="9" spans="1:7" ht="22.5" customHeight="1">
      <c r="A9" s="198">
        <v>5</v>
      </c>
      <c r="B9" s="198" t="s">
        <v>375</v>
      </c>
      <c r="C9" s="198" t="s">
        <v>371</v>
      </c>
      <c r="D9" s="198"/>
      <c r="E9" s="198"/>
      <c r="F9" s="207">
        <v>6</v>
      </c>
      <c r="G9" s="198"/>
    </row>
    <row r="10" spans="1:7" ht="22.5" customHeight="1">
      <c r="A10" s="198">
        <v>6</v>
      </c>
      <c r="B10" s="198" t="s">
        <v>376</v>
      </c>
      <c r="C10" s="198" t="s">
        <v>371</v>
      </c>
      <c r="D10" s="198"/>
      <c r="E10" s="198"/>
      <c r="F10" s="207">
        <v>5.5</v>
      </c>
      <c r="G10" s="198"/>
    </row>
    <row r="11" spans="1:7" ht="22.5" customHeight="1">
      <c r="A11" s="198">
        <v>7</v>
      </c>
      <c r="B11" s="198" t="s">
        <v>377</v>
      </c>
      <c r="C11" s="198" t="s">
        <v>371</v>
      </c>
      <c r="D11" s="198"/>
      <c r="E11" s="198"/>
      <c r="F11" s="207">
        <v>6.5</v>
      </c>
      <c r="G11" s="198"/>
    </row>
    <row r="12" spans="1:7" ht="22.5" customHeight="1">
      <c r="A12" s="198">
        <v>8</v>
      </c>
      <c r="B12" s="198" t="s">
        <v>378</v>
      </c>
      <c r="C12" s="198" t="s">
        <v>371</v>
      </c>
      <c r="D12" s="198"/>
      <c r="E12" s="198"/>
      <c r="F12" s="207">
        <v>7.5</v>
      </c>
      <c r="G12" s="198"/>
    </row>
    <row r="13" spans="1:7" ht="22.5" customHeight="1">
      <c r="A13" s="198">
        <v>9</v>
      </c>
      <c r="B13" s="198" t="s">
        <v>379</v>
      </c>
      <c r="C13" s="198" t="s">
        <v>141</v>
      </c>
      <c r="D13" s="198"/>
      <c r="E13" s="198"/>
      <c r="F13" s="207">
        <v>120</v>
      </c>
      <c r="G13" s="198"/>
    </row>
    <row r="14" spans="1:7" ht="22.5" customHeight="1">
      <c r="A14" s="198">
        <v>10</v>
      </c>
      <c r="B14" s="198" t="s">
        <v>380</v>
      </c>
      <c r="C14" s="198" t="s">
        <v>371</v>
      </c>
      <c r="D14" s="198"/>
      <c r="E14" s="198"/>
      <c r="F14" s="207">
        <v>15</v>
      </c>
      <c r="G14" s="198"/>
    </row>
    <row r="15" spans="1:7" ht="22.5" customHeight="1">
      <c r="A15" s="198">
        <v>11</v>
      </c>
      <c r="B15" s="198" t="s">
        <v>381</v>
      </c>
      <c r="C15" s="198" t="s">
        <v>141</v>
      </c>
      <c r="D15" s="198"/>
      <c r="E15" s="198"/>
      <c r="F15" s="207">
        <v>35</v>
      </c>
      <c r="G15" s="198"/>
    </row>
    <row r="16" spans="1:7" ht="22.5" customHeight="1">
      <c r="A16" s="198">
        <v>12</v>
      </c>
      <c r="B16" s="198" t="s">
        <v>382</v>
      </c>
      <c r="C16" s="198" t="s">
        <v>371</v>
      </c>
      <c r="D16" s="198"/>
      <c r="E16" s="198"/>
      <c r="F16" s="207">
        <v>8.5</v>
      </c>
      <c r="G16" s="198"/>
    </row>
    <row r="17" spans="1:7" ht="22.5" customHeight="1">
      <c r="A17" s="198">
        <v>13</v>
      </c>
      <c r="B17" s="198" t="s">
        <v>383</v>
      </c>
      <c r="C17" s="198" t="s">
        <v>371</v>
      </c>
      <c r="D17" s="198"/>
      <c r="E17" s="198"/>
      <c r="F17" s="207">
        <v>6</v>
      </c>
      <c r="G17" s="198"/>
    </row>
    <row r="18" spans="1:7" ht="22.5" customHeight="1">
      <c r="A18" s="198">
        <v>14</v>
      </c>
      <c r="B18" s="198" t="s">
        <v>384</v>
      </c>
      <c r="C18" s="198" t="s">
        <v>141</v>
      </c>
      <c r="D18" s="198"/>
      <c r="E18" s="198"/>
      <c r="F18" s="207">
        <v>0.8</v>
      </c>
      <c r="G18" s="198"/>
    </row>
    <row r="19" spans="1:7" ht="22.5" customHeight="1">
      <c r="A19" s="198">
        <v>15</v>
      </c>
      <c r="B19" s="198" t="s">
        <v>385</v>
      </c>
      <c r="C19" s="198" t="s">
        <v>386</v>
      </c>
      <c r="D19" s="198"/>
      <c r="E19" s="198"/>
      <c r="F19" s="207">
        <v>0.5</v>
      </c>
      <c r="G19" s="198"/>
    </row>
    <row r="20" spans="1:7" ht="22.5" customHeight="1">
      <c r="A20" s="198">
        <v>16</v>
      </c>
      <c r="B20" s="198" t="s">
        <v>387</v>
      </c>
      <c r="C20" s="198" t="s">
        <v>371</v>
      </c>
      <c r="D20" s="198"/>
      <c r="E20" s="198"/>
      <c r="F20" s="207">
        <v>2</v>
      </c>
      <c r="G20" s="198"/>
    </row>
    <row r="21" spans="1:7" ht="22.5" customHeight="1">
      <c r="A21" s="198"/>
      <c r="B21" s="198"/>
      <c r="C21" s="198"/>
      <c r="D21" s="198"/>
      <c r="E21" s="198"/>
      <c r="F21" s="198"/>
      <c r="G21" s="198"/>
    </row>
    <row r="22" spans="1:7" ht="22.5" customHeight="1">
      <c r="A22" s="198"/>
      <c r="B22" s="198"/>
      <c r="C22" s="198"/>
      <c r="D22" s="198"/>
      <c r="E22" s="198"/>
      <c r="F22" s="198"/>
      <c r="G22" s="198"/>
    </row>
    <row r="23" spans="1:7" ht="22.5" customHeight="1">
      <c r="A23" s="198"/>
      <c r="B23" s="198"/>
      <c r="C23" s="198"/>
      <c r="D23" s="198"/>
      <c r="E23" s="198"/>
      <c r="F23" s="198"/>
      <c r="G23" s="198"/>
    </row>
    <row r="24" spans="1:7" ht="22.5" customHeight="1">
      <c r="A24" s="198"/>
      <c r="B24" s="198"/>
      <c r="C24" s="198"/>
      <c r="D24" s="198"/>
      <c r="E24" s="198"/>
      <c r="F24" s="198"/>
      <c r="G24" s="198"/>
    </row>
    <row r="25" spans="1:7" ht="22.5" customHeight="1">
      <c r="A25" s="198"/>
      <c r="B25" s="198"/>
      <c r="C25" s="198"/>
      <c r="D25" s="198"/>
      <c r="E25" s="198"/>
      <c r="F25" s="198"/>
      <c r="G25" s="198"/>
    </row>
    <row r="26" spans="1:7" ht="22.5" customHeight="1">
      <c r="A26" s="198"/>
      <c r="B26" s="198"/>
      <c r="C26" s="198"/>
      <c r="D26" s="198"/>
      <c r="E26" s="198"/>
      <c r="F26" s="198"/>
      <c r="G26" s="198"/>
    </row>
    <row r="27" spans="1:7" ht="22.5" customHeight="1">
      <c r="A27" s="198"/>
      <c r="B27" s="198"/>
      <c r="C27" s="198"/>
      <c r="D27" s="198"/>
      <c r="E27" s="198"/>
      <c r="F27" s="198"/>
      <c r="G27" s="198"/>
    </row>
    <row r="28" spans="1:7" ht="22.5" customHeight="1">
      <c r="A28" s="198"/>
      <c r="B28" s="198"/>
      <c r="C28" s="198"/>
      <c r="D28" s="198"/>
      <c r="E28" s="198"/>
      <c r="F28" s="198"/>
      <c r="G28" s="198"/>
    </row>
    <row r="29" spans="1:7" ht="22.5" customHeight="1">
      <c r="A29" s="198"/>
      <c r="B29" s="198"/>
      <c r="C29" s="198"/>
      <c r="D29" s="198"/>
      <c r="E29" s="198"/>
      <c r="F29" s="198"/>
      <c r="G29" s="198"/>
    </row>
    <row r="30" spans="1:7" ht="22.5" customHeight="1">
      <c r="A30" s="198"/>
      <c r="B30" s="198"/>
      <c r="C30" s="198"/>
      <c r="D30" s="198"/>
      <c r="E30" s="198"/>
      <c r="F30" s="198"/>
      <c r="G30" s="198"/>
    </row>
    <row r="31" spans="1:7" ht="22.5" customHeight="1">
      <c r="A31" s="198"/>
      <c r="B31" s="198"/>
      <c r="C31" s="198"/>
      <c r="D31" s="198"/>
      <c r="E31" s="198"/>
      <c r="F31" s="198"/>
      <c r="G31" s="198"/>
    </row>
    <row r="32" spans="1:7" ht="22.5" customHeight="1"/>
    <row r="33" ht="22.5" customHeight="1"/>
    <row r="34" ht="22.5" customHeight="1"/>
  </sheetData>
  <mergeCells count="1">
    <mergeCell ref="A1:G1"/>
  </mergeCells>
  <phoneticPr fontId="79" type="noConversion"/>
  <printOptions horizontalCentered="1"/>
  <pageMargins left="1.18055555555556" right="1.18055555555556" top="1.18055555555556" bottom="1.18055555555556" header="0.90486111111111101" footer="0.90486111111111101"/>
  <pageSetup paperSize="9" orientation="portrait" horizontalDpi="72" verticalDpi="72"/>
  <headerFooter alignWithMargins="0">
    <oddFooter>&amp;C&amp;9&amp;P</oddFooter>
  </headerFooter>
</worksheet>
</file>

<file path=xl/worksheets/sheet8.xml><?xml version="1.0" encoding="utf-8"?>
<worksheet xmlns="http://schemas.openxmlformats.org/spreadsheetml/2006/main" xmlns:r="http://schemas.openxmlformats.org/officeDocument/2006/relationships">
  <dimension ref="A1:G109"/>
  <sheetViews>
    <sheetView topLeftCell="A22" workbookViewId="0">
      <selection activeCell="G11" sqref="G11"/>
    </sheetView>
  </sheetViews>
  <sheetFormatPr defaultColWidth="9" defaultRowHeight="14.25"/>
  <cols>
    <col min="1" max="1" width="7.625" customWidth="1"/>
    <col min="2" max="2" width="29.375" customWidth="1"/>
    <col min="3" max="5" width="10.625" customWidth="1"/>
  </cols>
  <sheetData>
    <row r="1" spans="1:6" ht="23.25" customHeight="1">
      <c r="A1" s="378" t="s">
        <v>388</v>
      </c>
      <c r="B1" s="378"/>
      <c r="C1" s="378"/>
      <c r="D1" s="378"/>
      <c r="E1" s="378"/>
      <c r="F1" s="197"/>
    </row>
    <row r="2" spans="1:6" ht="15.75">
      <c r="D2" s="386" t="s">
        <v>389</v>
      </c>
      <c r="E2" s="386"/>
    </row>
    <row r="3" spans="1:6" ht="2.25" customHeight="1"/>
    <row r="4" spans="1:6" ht="22.5" customHeight="1">
      <c r="A4" s="385" t="s">
        <v>1</v>
      </c>
      <c r="B4" s="385" t="s">
        <v>344</v>
      </c>
      <c r="C4" s="385" t="s">
        <v>390</v>
      </c>
      <c r="D4" s="385" t="s">
        <v>391</v>
      </c>
      <c r="E4" s="385"/>
    </row>
    <row r="5" spans="1:6" ht="22.5" customHeight="1">
      <c r="A5" s="385"/>
      <c r="B5" s="385"/>
      <c r="C5" s="385"/>
      <c r="D5" s="198" t="s">
        <v>392</v>
      </c>
      <c r="E5" s="198" t="s">
        <v>393</v>
      </c>
    </row>
    <row r="6" spans="1:6" ht="22.5" customHeight="1">
      <c r="A6" s="199">
        <f>台时!$F$5</f>
        <v>1004</v>
      </c>
      <c r="B6" s="200" t="s">
        <v>394</v>
      </c>
      <c r="C6" s="201">
        <f t="shared" ref="C6:C44" si="0">D6+E6</f>
        <v>116.55532824128471</v>
      </c>
      <c r="D6" s="201">
        <f>台时!$F$15</f>
        <v>50.134328241284699</v>
      </c>
      <c r="E6" s="201">
        <f>台时!$F$34</f>
        <v>66.421000000000006</v>
      </c>
    </row>
    <row r="7" spans="1:6" ht="22.5" customHeight="1">
      <c r="A7" s="199">
        <f>台时!G5</f>
        <v>1008</v>
      </c>
      <c r="B7" s="200" t="s">
        <v>395</v>
      </c>
      <c r="C7" s="201">
        <f t="shared" si="0"/>
        <v>64.287229142185595</v>
      </c>
      <c r="D7" s="201">
        <f>台时!G15</f>
        <v>24.455229142185601</v>
      </c>
      <c r="E7" s="201">
        <f>台时!G34+台时!G35</f>
        <v>39.832000000000001</v>
      </c>
    </row>
    <row r="8" spans="1:6" ht="22.5" customHeight="1">
      <c r="A8" s="199">
        <f>台时!$H$5</f>
        <v>1015</v>
      </c>
      <c r="B8" s="202" t="s">
        <v>396</v>
      </c>
      <c r="C8" s="201">
        <f t="shared" si="0"/>
        <v>66.167034077555797</v>
      </c>
      <c r="D8" s="201">
        <f>台时!$H$15</f>
        <v>21.6110340775558</v>
      </c>
      <c r="E8" s="201">
        <f>台时!$H$34</f>
        <v>44.556000000000004</v>
      </c>
    </row>
    <row r="9" spans="1:6" ht="22.5" customHeight="1">
      <c r="A9" s="199">
        <f>台时!$I$5</f>
        <v>1016</v>
      </c>
      <c r="B9" s="202" t="s">
        <v>397</v>
      </c>
      <c r="C9" s="201">
        <f t="shared" si="0"/>
        <v>89.065288679984292</v>
      </c>
      <c r="D9" s="201">
        <f>台时!$I$15</f>
        <v>37.931288679984299</v>
      </c>
      <c r="E9" s="201">
        <f>台时!$I$34</f>
        <v>51.134</v>
      </c>
    </row>
    <row r="10" spans="1:6" ht="22.5" customHeight="1">
      <c r="A10" s="199">
        <f>台时!$J$5</f>
        <v>1017</v>
      </c>
      <c r="B10" s="203" t="s">
        <v>398</v>
      </c>
      <c r="C10" s="201">
        <f t="shared" si="0"/>
        <v>107.5979717978849</v>
      </c>
      <c r="D10" s="201">
        <f>台时!$J$15</f>
        <v>50.483971797884898</v>
      </c>
      <c r="E10" s="201">
        <f>台时!$J$34</f>
        <v>57.114000000000004</v>
      </c>
    </row>
    <row r="11" spans="1:6" ht="22.5" customHeight="1">
      <c r="A11" s="199">
        <f>台时!$K$5</f>
        <v>1010</v>
      </c>
      <c r="B11" s="202" t="s">
        <v>399</v>
      </c>
      <c r="C11" s="201">
        <f t="shared" si="0"/>
        <v>54.54968390129261</v>
      </c>
      <c r="D11" s="201">
        <f>台时!$K$15</f>
        <v>11.4886839012926</v>
      </c>
      <c r="E11" s="201">
        <f>台时!$K$34</f>
        <v>43.061000000000007</v>
      </c>
    </row>
    <row r="12" spans="1:6" ht="22.5" customHeight="1">
      <c r="A12" s="199">
        <f>台时!$L$5</f>
        <v>1011</v>
      </c>
      <c r="B12" s="202" t="s">
        <v>400</v>
      </c>
      <c r="C12" s="201">
        <f t="shared" si="0"/>
        <v>68.224556600078401</v>
      </c>
      <c r="D12" s="201">
        <f>台时!$L$15</f>
        <v>19.183556600078401</v>
      </c>
      <c r="E12" s="201">
        <f>台时!$L$34</f>
        <v>49.041000000000004</v>
      </c>
    </row>
    <row r="13" spans="1:6" ht="22.5" customHeight="1">
      <c r="A13" s="199">
        <f>台时!$M$5</f>
        <v>1021</v>
      </c>
      <c r="B13" s="203" t="s">
        <v>401</v>
      </c>
      <c r="C13" s="201">
        <f t="shared" si="0"/>
        <v>15.877257735996871</v>
      </c>
      <c r="D13" s="201">
        <f>台时!$M$15</f>
        <v>2.69425773599687</v>
      </c>
      <c r="E13" s="201">
        <f>台时!$M$34</f>
        <v>13.183</v>
      </c>
    </row>
    <row r="14" spans="1:6" ht="22.5" customHeight="1">
      <c r="A14" s="199">
        <f>台时!$N$5</f>
        <v>1030</v>
      </c>
      <c r="B14" s="202" t="s">
        <v>402</v>
      </c>
      <c r="C14" s="201">
        <f t="shared" si="0"/>
        <v>2.05930278104191</v>
      </c>
      <c r="D14" s="201">
        <f>台时!$N$15</f>
        <v>2.05930278104191</v>
      </c>
      <c r="E14" s="201"/>
    </row>
    <row r="15" spans="1:6" ht="22.5" customHeight="1">
      <c r="A15" s="199">
        <f>台时!$O$5</f>
        <v>1034</v>
      </c>
      <c r="B15" s="202" t="s">
        <v>403</v>
      </c>
      <c r="C15" s="201">
        <f t="shared" si="0"/>
        <v>19.832735996866429</v>
      </c>
      <c r="D15" s="201">
        <f>台时!$O$15</f>
        <v>1.0577359968664299</v>
      </c>
      <c r="E15" s="201">
        <f>台时!$O$34</f>
        <v>18.774999999999999</v>
      </c>
    </row>
    <row r="16" spans="1:6" ht="22.5" customHeight="1">
      <c r="A16" s="199">
        <f>台时!$Q$5</f>
        <v>1094</v>
      </c>
      <c r="B16" s="202" t="s">
        <v>404</v>
      </c>
      <c r="C16" s="201">
        <f t="shared" si="0"/>
        <v>58.495000000000005</v>
      </c>
      <c r="D16" s="201">
        <f>台时!$Q$15</f>
        <v>19.62</v>
      </c>
      <c r="E16" s="201">
        <f>台时!$Q$34</f>
        <v>38.875</v>
      </c>
    </row>
    <row r="17" spans="1:5" ht="22.5" customHeight="1">
      <c r="A17" s="199">
        <f>台时!CB5</f>
        <v>1133</v>
      </c>
      <c r="B17" s="202" t="s">
        <v>405</v>
      </c>
      <c r="C17" s="201">
        <f t="shared" si="0"/>
        <v>2.29</v>
      </c>
      <c r="D17" s="201">
        <f>台时!CB15</f>
        <v>2.29</v>
      </c>
      <c r="E17" s="201"/>
    </row>
    <row r="18" spans="1:5" ht="22.5" customHeight="1">
      <c r="A18" s="199">
        <f>台时!CC5</f>
        <v>1135</v>
      </c>
      <c r="B18" s="202" t="s">
        <v>406</v>
      </c>
      <c r="C18" s="201">
        <f t="shared" si="0"/>
        <v>1.87</v>
      </c>
      <c r="D18" s="201">
        <f>台时!CC15</f>
        <v>1.87</v>
      </c>
      <c r="E18" s="201"/>
    </row>
    <row r="19" spans="1:5" ht="22.5" customHeight="1">
      <c r="A19" s="199">
        <f>台时!$P$5</f>
        <v>3031</v>
      </c>
      <c r="B19" s="202" t="s">
        <v>407</v>
      </c>
      <c r="C19" s="201">
        <f t="shared" si="0"/>
        <v>0.80266353309831595</v>
      </c>
      <c r="D19" s="201">
        <f>台时!$P$15</f>
        <v>0.80266353309831595</v>
      </c>
      <c r="E19" s="201"/>
    </row>
    <row r="20" spans="1:5" ht="22.5" customHeight="1">
      <c r="A20" s="199">
        <f>台时!$CQ$5</f>
        <v>3038</v>
      </c>
      <c r="B20" s="204" t="s">
        <v>408</v>
      </c>
      <c r="C20" s="201">
        <f t="shared" si="0"/>
        <v>0.75346650998824904</v>
      </c>
      <c r="D20" s="201">
        <f>台时!$CQ$15</f>
        <v>0.75346650998824904</v>
      </c>
      <c r="E20" s="201"/>
    </row>
    <row r="21" spans="1:5" ht="22.5" customHeight="1">
      <c r="A21" s="199">
        <f>台时!$R$5</f>
        <v>2002</v>
      </c>
      <c r="B21" s="202" t="s">
        <v>409</v>
      </c>
      <c r="C21" s="201">
        <f t="shared" si="0"/>
        <v>28.129680376028197</v>
      </c>
      <c r="D21" s="201">
        <f>台时!$R$15</f>
        <v>8.7416803760281994</v>
      </c>
      <c r="E21" s="201">
        <f>台时!$R$34</f>
        <v>19.387999999999998</v>
      </c>
    </row>
    <row r="22" spans="1:5" ht="22.5" customHeight="1">
      <c r="A22" s="199">
        <f>台时!$S$5</f>
        <v>2003</v>
      </c>
      <c r="B22" s="202" t="s">
        <v>410</v>
      </c>
      <c r="C22" s="201">
        <f t="shared" si="0"/>
        <v>39.913066980023501</v>
      </c>
      <c r="D22" s="201">
        <f>台时!$S$15</f>
        <v>10.843066980023499</v>
      </c>
      <c r="E22" s="201">
        <f>台时!$S$34</f>
        <v>29.07</v>
      </c>
    </row>
    <row r="23" spans="1:5" ht="22.5" customHeight="1">
      <c r="A23" s="199">
        <f>台时!$T$5</f>
        <v>2010</v>
      </c>
      <c r="B23" s="202" t="s">
        <v>411</v>
      </c>
      <c r="C23" s="201">
        <f t="shared" si="0"/>
        <v>3.1980998824911806</v>
      </c>
      <c r="D23" s="201">
        <f>台时!$T$15</f>
        <v>2.0650998824911801</v>
      </c>
      <c r="E23" s="201">
        <f>台时!$T$34</f>
        <v>1.1330000000000002</v>
      </c>
    </row>
    <row r="24" spans="1:5" ht="22.5" customHeight="1">
      <c r="A24" s="199">
        <f>台时!$U$5</f>
        <v>2009</v>
      </c>
      <c r="B24" s="202" t="s">
        <v>412</v>
      </c>
      <c r="C24" s="201">
        <f t="shared" si="0"/>
        <v>2.2013599686643204</v>
      </c>
      <c r="D24" s="201">
        <f>台时!$U$15</f>
        <v>1.3773599686643201</v>
      </c>
      <c r="E24" s="201">
        <f>台时!$U$34</f>
        <v>0.82400000000000007</v>
      </c>
    </row>
    <row r="25" spans="1:5" ht="22.5" customHeight="1">
      <c r="A25" s="199">
        <f>台时!$V$5</f>
        <v>2012</v>
      </c>
      <c r="B25" s="203" t="s">
        <v>413</v>
      </c>
      <c r="C25" s="201">
        <f t="shared" si="0"/>
        <v>3.2420301605953799</v>
      </c>
      <c r="D25" s="201">
        <f>台时!$V$15</f>
        <v>1.49103016059538</v>
      </c>
      <c r="E25" s="201">
        <f>台时!$V$34</f>
        <v>1.7509999999999999</v>
      </c>
    </row>
    <row r="26" spans="1:5" ht="22.5" customHeight="1">
      <c r="A26" s="199">
        <f>台时!$W$5</f>
        <v>2013</v>
      </c>
      <c r="B26" s="203" t="s">
        <v>414</v>
      </c>
      <c r="C26" s="201">
        <f t="shared" si="0"/>
        <v>9.7891414022718415</v>
      </c>
      <c r="D26" s="201">
        <f>台时!$W$15</f>
        <v>5.4631414022718401</v>
      </c>
      <c r="E26" s="201">
        <f>台时!$W$34</f>
        <v>4.3260000000000005</v>
      </c>
    </row>
    <row r="27" spans="1:5" ht="22.5" customHeight="1">
      <c r="A27" s="199">
        <f>台时!$X$5</f>
        <v>2021</v>
      </c>
      <c r="B27" s="202" t="s">
        <v>415</v>
      </c>
      <c r="C27" s="201">
        <f t="shared" si="0"/>
        <v>2.26016451233843</v>
      </c>
      <c r="D27" s="201">
        <f>台时!$X$15</f>
        <v>2.26016451233843</v>
      </c>
      <c r="E27" s="201"/>
    </row>
    <row r="28" spans="1:5" ht="22.5" customHeight="1">
      <c r="A28" s="199">
        <f>台时!$Y$5</f>
        <v>2032</v>
      </c>
      <c r="B28" s="202" t="s">
        <v>416</v>
      </c>
      <c r="C28" s="201">
        <f t="shared" si="0"/>
        <v>100.15100000000001</v>
      </c>
      <c r="D28" s="201">
        <f>台时!$Y$15</f>
        <v>53.21</v>
      </c>
      <c r="E28" s="201">
        <f>台时!$Y$34</f>
        <v>46.941000000000003</v>
      </c>
    </row>
    <row r="29" spans="1:5" ht="22.5" customHeight="1">
      <c r="A29" s="199">
        <f>台时!$Z$5</f>
        <v>1042</v>
      </c>
      <c r="B29" s="200" t="s">
        <v>417</v>
      </c>
      <c r="C29" s="201">
        <f t="shared" si="0"/>
        <v>1.0862514688601601</v>
      </c>
      <c r="D29" s="201">
        <f>台时!$Z$15</f>
        <v>1.0862514688601601</v>
      </c>
      <c r="E29" s="201"/>
    </row>
    <row r="30" spans="1:5" ht="22.5" customHeight="1">
      <c r="A30" s="199">
        <f>台时!CA5</f>
        <v>1043</v>
      </c>
      <c r="B30" s="200" t="s">
        <v>418</v>
      </c>
      <c r="C30" s="201">
        <f t="shared" si="0"/>
        <v>10.01719545632589</v>
      </c>
      <c r="D30" s="201">
        <f>台时!CA15</f>
        <v>1.9171954563258899</v>
      </c>
      <c r="E30" s="201">
        <f>台时!CA34</f>
        <v>8.1</v>
      </c>
    </row>
    <row r="31" spans="1:5" ht="22.5" customHeight="1">
      <c r="A31" s="199">
        <f>台时!$AA$5</f>
        <v>2022</v>
      </c>
      <c r="B31" s="202" t="s">
        <v>419</v>
      </c>
      <c r="C31" s="201">
        <f t="shared" si="0"/>
        <v>43.447247943595769</v>
      </c>
      <c r="D31" s="201">
        <f>台时!$AA$15</f>
        <v>3.2392479435957702</v>
      </c>
      <c r="E31" s="201">
        <f>台时!$AA$34</f>
        <v>40.207999999999998</v>
      </c>
    </row>
    <row r="32" spans="1:5" ht="22.5" customHeight="1">
      <c r="A32" s="199">
        <f>台时!$AB$5</f>
        <v>8005</v>
      </c>
      <c r="B32" s="202" t="s">
        <v>420</v>
      </c>
      <c r="C32" s="201">
        <f t="shared" si="0"/>
        <v>28.860150802976889</v>
      </c>
      <c r="D32" s="201">
        <f>台时!$AB$15</f>
        <v>2.3651508029768902</v>
      </c>
      <c r="E32" s="201">
        <f>台时!$AB$34</f>
        <v>26.494999999999997</v>
      </c>
    </row>
    <row r="33" spans="1:5" ht="22.5" customHeight="1">
      <c r="A33" s="199">
        <f>台时!$AC$5</f>
        <v>8010</v>
      </c>
      <c r="B33" s="202" t="s">
        <v>421</v>
      </c>
      <c r="C33" s="201">
        <f t="shared" si="0"/>
        <v>36.506371719545641</v>
      </c>
      <c r="D33" s="201">
        <f>台时!$AC$15</f>
        <v>6.0973717195456398</v>
      </c>
      <c r="E33" s="201">
        <f>台时!$AC$34</f>
        <v>30.408999999999999</v>
      </c>
    </row>
    <row r="34" spans="1:5" ht="22.5" customHeight="1">
      <c r="A34" s="199">
        <f>台时!AD5</f>
        <v>9032</v>
      </c>
      <c r="B34" s="202" t="s">
        <v>422</v>
      </c>
      <c r="C34" s="201">
        <f t="shared" si="0"/>
        <v>27.919999999999998</v>
      </c>
      <c r="D34" s="201">
        <f>台时!AD15</f>
        <v>2.97</v>
      </c>
      <c r="E34" s="201">
        <f>台时!AD34</f>
        <v>24.95</v>
      </c>
    </row>
    <row r="35" spans="1:5" ht="22.5" customHeight="1">
      <c r="A35" s="199">
        <f>台时!AE5</f>
        <v>8016</v>
      </c>
      <c r="B35" s="202" t="s">
        <v>423</v>
      </c>
      <c r="C35" s="201">
        <f t="shared" si="0"/>
        <v>17.21944026635331</v>
      </c>
      <c r="D35" s="201">
        <f>台时!AE15</f>
        <v>2.67244026635331</v>
      </c>
      <c r="E35" s="201">
        <f>台时!AE34</f>
        <v>14.547000000000001</v>
      </c>
    </row>
    <row r="36" spans="1:5" ht="22.5" customHeight="1">
      <c r="A36" s="199">
        <f>台时!AF5</f>
        <v>5013</v>
      </c>
      <c r="B36" s="202" t="s">
        <v>424</v>
      </c>
      <c r="C36" s="201">
        <f t="shared" si="0"/>
        <v>22.79052878965922</v>
      </c>
      <c r="D36" s="201">
        <f>台时!AF15</f>
        <v>8.1405287896592196</v>
      </c>
      <c r="E36" s="201">
        <f>台时!AF34</f>
        <v>14.649999999999999</v>
      </c>
    </row>
    <row r="37" spans="1:5" ht="22.5" customHeight="1">
      <c r="A37" s="199">
        <f>台时!$CL$5</f>
        <v>9048</v>
      </c>
      <c r="B37" s="204" t="s">
        <v>425</v>
      </c>
      <c r="C37" s="201">
        <f t="shared" si="0"/>
        <v>148.25299999999999</v>
      </c>
      <c r="D37" s="201">
        <f>台时!$CL$15</f>
        <v>23.29</v>
      </c>
      <c r="E37" s="201">
        <f>台时!$CL$34</f>
        <v>124.96299999999999</v>
      </c>
    </row>
    <row r="38" spans="1:5" ht="22.5" customHeight="1">
      <c r="A38" s="199">
        <f>台时!$AG$5</f>
        <v>8035</v>
      </c>
      <c r="B38" s="202" t="s">
        <v>426</v>
      </c>
      <c r="C38" s="201">
        <f t="shared" si="0"/>
        <v>22.127931844888373</v>
      </c>
      <c r="D38" s="201">
        <f>台时!$AG$15</f>
        <v>1.5279318448883701</v>
      </c>
      <c r="E38" s="201">
        <f>台时!$AG$34</f>
        <v>20.6</v>
      </c>
    </row>
    <row r="39" spans="1:5" ht="22.5" customHeight="1">
      <c r="A39" s="199">
        <f>台时!AH5</f>
        <v>8036</v>
      </c>
      <c r="B39" s="202" t="s">
        <v>427</v>
      </c>
      <c r="C39" s="201">
        <f t="shared" si="0"/>
        <v>32.598264786525661</v>
      </c>
      <c r="D39" s="201">
        <f>台时!AH15</f>
        <v>1.6982647865256599</v>
      </c>
      <c r="E39" s="201">
        <f>台时!AH34</f>
        <v>30.900000000000002</v>
      </c>
    </row>
    <row r="40" spans="1:5" ht="22.5" customHeight="1">
      <c r="A40" s="199">
        <f>台时!$AI$5</f>
        <v>8033</v>
      </c>
      <c r="B40" s="202" t="s">
        <v>428</v>
      </c>
      <c r="C40" s="201">
        <f t="shared" si="0"/>
        <v>15.582226792009401</v>
      </c>
      <c r="D40" s="201">
        <f>台时!$AI$15</f>
        <v>0.64722679200940003</v>
      </c>
      <c r="E40" s="201">
        <f>台时!$AI$34</f>
        <v>14.935</v>
      </c>
    </row>
    <row r="41" spans="1:5" ht="22.5" customHeight="1">
      <c r="A41" s="199">
        <f>台时!$AJ$5</f>
        <v>2013</v>
      </c>
      <c r="B41" s="205" t="s">
        <v>429</v>
      </c>
      <c r="C41" s="201">
        <f t="shared" si="0"/>
        <v>9.7891414022718415</v>
      </c>
      <c r="D41" s="201">
        <f>台时!$AJ$15</f>
        <v>5.4631414022718401</v>
      </c>
      <c r="E41" s="201">
        <f>台时!$AJ$34</f>
        <v>4.3260000000000005</v>
      </c>
    </row>
    <row r="42" spans="1:5" ht="22.5" customHeight="1">
      <c r="A42" s="199">
        <f>台时!$AK$5</f>
        <v>3002</v>
      </c>
      <c r="B42" s="202" t="s">
        <v>430</v>
      </c>
      <c r="C42" s="201">
        <f t="shared" si="0"/>
        <v>49.210305522914197</v>
      </c>
      <c r="D42" s="201">
        <f>台时!$AK$15</f>
        <v>16.540305522914199</v>
      </c>
      <c r="E42" s="201">
        <f>台时!$AK$34</f>
        <v>32.67</v>
      </c>
    </row>
    <row r="43" spans="1:5" ht="22.5" customHeight="1">
      <c r="A43" s="199">
        <f>台时!$AL$5</f>
        <v>3003</v>
      </c>
      <c r="B43" s="202" t="s">
        <v>431</v>
      </c>
      <c r="C43" s="201">
        <f t="shared" si="0"/>
        <v>74.115148061104605</v>
      </c>
      <c r="D43" s="201">
        <f>台时!$AL$15</f>
        <v>36.9741480611046</v>
      </c>
      <c r="E43" s="201">
        <f>台时!$AL$34</f>
        <v>37.141000000000005</v>
      </c>
    </row>
    <row r="44" spans="1:5" ht="22.5" customHeight="1">
      <c r="A44" s="199">
        <f>台时!AM5</f>
        <v>3004</v>
      </c>
      <c r="B44" s="202" t="s">
        <v>432</v>
      </c>
      <c r="C44" s="201">
        <f t="shared" si="0"/>
        <v>44.887319428123803</v>
      </c>
      <c r="D44" s="201">
        <f>台时!AM15</f>
        <v>10.436819428123799</v>
      </c>
      <c r="E44" s="201">
        <f>台时!AM34+台时!AM35</f>
        <v>34.450500000000005</v>
      </c>
    </row>
    <row r="45" spans="1:5" ht="22.5" customHeight="1">
      <c r="A45" s="199">
        <f>台时!$AN$5</f>
        <v>3005</v>
      </c>
      <c r="B45" s="202" t="s">
        <v>433</v>
      </c>
      <c r="C45" s="201">
        <f t="shared" ref="C45:C80" si="1">D45+E45</f>
        <v>51.907272620446498</v>
      </c>
      <c r="D45" s="201">
        <f>台时!$AN$15</f>
        <v>14.168272620446499</v>
      </c>
      <c r="E45" s="201">
        <f>台时!$AN$34</f>
        <v>37.738999999999997</v>
      </c>
    </row>
    <row r="46" spans="1:5" ht="22.5" customHeight="1">
      <c r="A46" s="199">
        <f>台时!$AO$5</f>
        <v>3006</v>
      </c>
      <c r="B46" s="202" t="s">
        <v>434</v>
      </c>
      <c r="C46" s="201">
        <f t="shared" si="1"/>
        <v>72.878685468076796</v>
      </c>
      <c r="D46" s="201">
        <f>台时!$AO$15</f>
        <v>31.850685468076801</v>
      </c>
      <c r="E46" s="201">
        <f>台时!$AO$34</f>
        <v>41.027999999999999</v>
      </c>
    </row>
    <row r="47" spans="1:5" ht="22.5" customHeight="1">
      <c r="A47" s="199">
        <f>台时!$AP$5</f>
        <v>3007</v>
      </c>
      <c r="B47" s="202" t="s">
        <v>435</v>
      </c>
      <c r="C47" s="201">
        <f t="shared" si="1"/>
        <v>85.821529964747413</v>
      </c>
      <c r="D47" s="201">
        <f>台时!$AP$15</f>
        <v>42.999529964747403</v>
      </c>
      <c r="E47" s="201">
        <f>台时!$AP$34</f>
        <v>42.822000000000003</v>
      </c>
    </row>
    <row r="48" spans="1:5" ht="22.5" customHeight="1">
      <c r="A48" s="199">
        <f>台时!$AQ$5</f>
        <v>2099</v>
      </c>
      <c r="B48" s="204" t="s">
        <v>436</v>
      </c>
      <c r="C48" s="201">
        <f t="shared" si="1"/>
        <v>184.44</v>
      </c>
      <c r="D48" s="201">
        <f>台时!$AQ$15</f>
        <v>144.62</v>
      </c>
      <c r="E48" s="201">
        <f>台时!$AQ$34</f>
        <v>39.82</v>
      </c>
    </row>
    <row r="49" spans="1:5" ht="22.5" customHeight="1">
      <c r="A49" s="199">
        <f>台时!$AR$5</f>
        <v>4151</v>
      </c>
      <c r="B49" s="204" t="s">
        <v>437</v>
      </c>
      <c r="C49" s="201">
        <f t="shared" si="1"/>
        <v>29.213000000000001</v>
      </c>
      <c r="D49" s="201">
        <f>台时!$AR$15</f>
        <v>8.2799999999999994</v>
      </c>
      <c r="E49" s="201">
        <f>台时!$AR$34</f>
        <v>20.933</v>
      </c>
    </row>
    <row r="50" spans="1:5" ht="22.5" customHeight="1">
      <c r="A50" s="199">
        <f>台时!$AS$5</f>
        <v>4069</v>
      </c>
      <c r="B50" s="202" t="s">
        <v>438</v>
      </c>
      <c r="C50" s="201">
        <f t="shared" si="1"/>
        <v>15.82635174304739</v>
      </c>
      <c r="D50" s="201">
        <f>台时!$AS$15</f>
        <v>2.1643517430473902</v>
      </c>
      <c r="E50" s="201">
        <f>台时!$AS$34</f>
        <v>13.661999999999999</v>
      </c>
    </row>
    <row r="51" spans="1:5" ht="22.5" customHeight="1">
      <c r="A51" s="199">
        <f>台时!$AT$5</f>
        <v>4070</v>
      </c>
      <c r="B51" s="202" t="s">
        <v>439</v>
      </c>
      <c r="C51" s="201">
        <f t="shared" si="1"/>
        <v>22.344653740697211</v>
      </c>
      <c r="D51" s="201">
        <f>台时!$AT$15</f>
        <v>3.6776537406972101</v>
      </c>
      <c r="E51" s="201">
        <f>台时!$AT$34</f>
        <v>18.667000000000002</v>
      </c>
    </row>
    <row r="52" spans="1:5" ht="22.5" customHeight="1">
      <c r="A52" s="199">
        <f>台时!$AU$5</f>
        <v>4066</v>
      </c>
      <c r="B52" s="203" t="s">
        <v>440</v>
      </c>
      <c r="C52" s="201">
        <f t="shared" si="1"/>
        <v>5.8829455542499103</v>
      </c>
      <c r="D52" s="201">
        <f>台时!$AU$15</f>
        <v>1.76294555424991</v>
      </c>
      <c r="E52" s="201">
        <f>台时!$AU$34</f>
        <v>4.12</v>
      </c>
    </row>
    <row r="53" spans="1:5" ht="22.5" customHeight="1">
      <c r="A53" s="199">
        <f>台时!$AV$5</f>
        <v>4007</v>
      </c>
      <c r="B53" s="203" t="s">
        <v>441</v>
      </c>
      <c r="C53" s="201">
        <f t="shared" si="1"/>
        <v>244.90577438307901</v>
      </c>
      <c r="D53" s="201">
        <f>台时!$AV$15</f>
        <v>119.791774383079</v>
      </c>
      <c r="E53" s="201">
        <f>台时!$AV$34</f>
        <v>125.114</v>
      </c>
    </row>
    <row r="54" spans="1:5" ht="22.5" customHeight="1">
      <c r="A54" s="199">
        <f>台时!$AW$5</f>
        <v>4002</v>
      </c>
      <c r="B54" s="202" t="s">
        <v>442</v>
      </c>
      <c r="C54" s="201">
        <f t="shared" si="1"/>
        <v>73.41121778300041</v>
      </c>
      <c r="D54" s="201">
        <f>台时!$AW$15</f>
        <v>32.238217783000401</v>
      </c>
      <c r="E54" s="201">
        <f>台时!$AW$34</f>
        <v>41.173000000000002</v>
      </c>
    </row>
    <row r="55" spans="1:5" ht="22.5" customHeight="1">
      <c r="A55" s="199">
        <f>台时!$AX$5</f>
        <v>4004</v>
      </c>
      <c r="B55" s="202" t="s">
        <v>443</v>
      </c>
      <c r="C55" s="201">
        <f t="shared" si="1"/>
        <v>113.9611292596945</v>
      </c>
      <c r="D55" s="201">
        <f>台时!$AX$15</f>
        <v>54.290129259694503</v>
      </c>
      <c r="E55" s="201">
        <f>台时!$AX$34</f>
        <v>59.671000000000006</v>
      </c>
    </row>
    <row r="56" spans="1:5" ht="22.5" customHeight="1">
      <c r="A56" s="199">
        <f>台时!$AY$5</f>
        <v>4006</v>
      </c>
      <c r="B56" s="202" t="s">
        <v>444</v>
      </c>
      <c r="C56" s="201">
        <f t="shared" si="1"/>
        <v>188.07945280062671</v>
      </c>
      <c r="D56" s="201">
        <f>台时!$AY$15</f>
        <v>85.1484528006267</v>
      </c>
      <c r="E56" s="201">
        <f>台时!$AY$34</f>
        <v>102.93100000000001</v>
      </c>
    </row>
    <row r="57" spans="1:5" ht="22.5" customHeight="1">
      <c r="A57" s="199">
        <f>台时!$AZ$5</f>
        <v>4027</v>
      </c>
      <c r="B57" s="202" t="s">
        <v>445</v>
      </c>
      <c r="C57" s="201">
        <f t="shared" si="1"/>
        <v>62.128971797884901</v>
      </c>
      <c r="D57" s="201">
        <f>台时!$AZ$15</f>
        <v>22.423971797884899</v>
      </c>
      <c r="E57" s="201">
        <f>台时!$AZ$34</f>
        <v>39.704999999999998</v>
      </c>
    </row>
    <row r="58" spans="1:5" ht="22.5" customHeight="1">
      <c r="A58" s="199">
        <f>台时!$BA$5</f>
        <v>4031</v>
      </c>
      <c r="B58" s="202" t="s">
        <v>446</v>
      </c>
      <c r="C58" s="201">
        <f t="shared" si="1"/>
        <v>111.3486200548375</v>
      </c>
      <c r="D58" s="201">
        <f>台时!$BA$15</f>
        <v>56.289620054837499</v>
      </c>
      <c r="E58" s="201">
        <f>台时!$BA$34</f>
        <v>55.058999999999997</v>
      </c>
    </row>
    <row r="59" spans="1:5" ht="22.5" customHeight="1">
      <c r="A59" s="199">
        <f>台时!BB5</f>
        <v>4032</v>
      </c>
      <c r="B59" s="202" t="s">
        <v>447</v>
      </c>
      <c r="C59" s="201">
        <f t="shared" si="1"/>
        <v>122.7478112025069</v>
      </c>
      <c r="D59" s="201">
        <f>台时!BB15</f>
        <v>66.193811202506893</v>
      </c>
      <c r="E59" s="201">
        <f>台时!BB34</f>
        <v>56.554000000000002</v>
      </c>
    </row>
    <row r="60" spans="1:5" ht="22.5" customHeight="1">
      <c r="A60" s="199">
        <f>台时!$BC$5</f>
        <v>4033</v>
      </c>
      <c r="B60" s="202" t="s">
        <v>448</v>
      </c>
      <c r="C60" s="201">
        <f t="shared" si="1"/>
        <v>160.16566314140198</v>
      </c>
      <c r="D60" s="201">
        <f>台时!$BC$15</f>
        <v>101.21966314140199</v>
      </c>
      <c r="E60" s="201">
        <f>台时!$BC$34</f>
        <v>58.945999999999998</v>
      </c>
    </row>
    <row r="61" spans="1:5" ht="22.5" customHeight="1">
      <c r="A61" s="199">
        <f>台时!$BD$5</f>
        <v>4018</v>
      </c>
      <c r="B61" s="202" t="s">
        <v>449</v>
      </c>
      <c r="C61" s="201">
        <f t="shared" si="1"/>
        <v>89.918316098707407</v>
      </c>
      <c r="D61" s="201">
        <f>台时!$BD$15</f>
        <v>45.661316098707402</v>
      </c>
      <c r="E61" s="201">
        <f>台时!$BD$34</f>
        <v>44.257000000000005</v>
      </c>
    </row>
    <row r="62" spans="1:5" ht="22.5" customHeight="1">
      <c r="A62" s="199">
        <f>台时!$BE$5</f>
        <v>4019</v>
      </c>
      <c r="B62" s="202" t="s">
        <v>450</v>
      </c>
      <c r="C62" s="201">
        <f t="shared" ref="C62:C67" si="2">D62+E62</f>
        <v>109.45121151586369</v>
      </c>
      <c r="D62" s="201">
        <f>台时!$BE$15</f>
        <v>54.430211515863697</v>
      </c>
      <c r="E62" s="201">
        <f>台时!$BE$34</f>
        <v>55.021000000000001</v>
      </c>
    </row>
    <row r="63" spans="1:5" ht="22.5" customHeight="1">
      <c r="A63" s="199">
        <f>台时!$BJ$5</f>
        <v>4054</v>
      </c>
      <c r="B63" s="204" t="s">
        <v>451</v>
      </c>
      <c r="C63" s="201">
        <f t="shared" si="2"/>
        <v>0.28076772424598501</v>
      </c>
      <c r="D63" s="201">
        <f>台时!$BJ$15</f>
        <v>0.28076772424598501</v>
      </c>
      <c r="E63" s="201"/>
    </row>
    <row r="64" spans="1:5" ht="22.5" customHeight="1">
      <c r="A64" s="199">
        <f>台时!BF5</f>
        <v>4011</v>
      </c>
      <c r="B64" s="204" t="s">
        <v>452</v>
      </c>
      <c r="C64" s="201">
        <f t="shared" si="2"/>
        <v>56.915176263219806</v>
      </c>
      <c r="D64" s="201">
        <f>台时!BF15</f>
        <v>21.510176263219801</v>
      </c>
      <c r="E64" s="201">
        <f>台时!BF34</f>
        <v>35.405000000000001</v>
      </c>
    </row>
    <row r="65" spans="1:5" ht="22.5" customHeight="1">
      <c r="A65" s="199">
        <f>台时!$BG$5</f>
        <v>4059</v>
      </c>
      <c r="B65" s="203" t="s">
        <v>453</v>
      </c>
      <c r="C65" s="201">
        <f t="shared" si="2"/>
        <v>118.62537916177051</v>
      </c>
      <c r="D65" s="201">
        <f>台时!$BG$15</f>
        <v>30.484379161770502</v>
      </c>
      <c r="E65" s="201">
        <f>台时!$BG$34</f>
        <v>88.141000000000005</v>
      </c>
    </row>
    <row r="66" spans="1:5" ht="22.5" customHeight="1">
      <c r="A66" s="199">
        <f>台时!BH5</f>
        <v>4082</v>
      </c>
      <c r="B66" s="203" t="s">
        <v>454</v>
      </c>
      <c r="C66" s="201">
        <f t="shared" si="2"/>
        <v>307.36705601253402</v>
      </c>
      <c r="D66" s="201">
        <f>台时!BH15</f>
        <v>195.969056012534</v>
      </c>
      <c r="E66" s="201">
        <f>台时!BH34</f>
        <v>111.398</v>
      </c>
    </row>
    <row r="67" spans="1:5" ht="22.5" customHeight="1">
      <c r="A67" s="199">
        <f>台时!BI5</f>
        <v>4015</v>
      </c>
      <c r="B67" s="203" t="s">
        <v>455</v>
      </c>
      <c r="C67" s="201">
        <f t="shared" si="2"/>
        <v>58.988217783000394</v>
      </c>
      <c r="D67" s="201">
        <f>台时!BI15</f>
        <v>30.948217783000398</v>
      </c>
      <c r="E67" s="201">
        <f>台时!BI34</f>
        <v>28.04</v>
      </c>
    </row>
    <row r="68" spans="1:5" ht="22.5" customHeight="1">
      <c r="A68" s="199">
        <f>台时!$BK$5</f>
        <v>8044</v>
      </c>
      <c r="B68" s="202" t="s">
        <v>456</v>
      </c>
      <c r="C68" s="201">
        <f t="shared" si="1"/>
        <v>18.7171758715237</v>
      </c>
      <c r="D68" s="201">
        <f>台时!$BK$15</f>
        <v>2.0071758715237</v>
      </c>
      <c r="E68" s="201">
        <f>台时!$BK$34</f>
        <v>16.71</v>
      </c>
    </row>
    <row r="69" spans="1:5" ht="22.5" customHeight="1">
      <c r="A69" s="199">
        <f>台时!$BL$5</f>
        <v>8042</v>
      </c>
      <c r="B69" s="202" t="s">
        <v>457</v>
      </c>
      <c r="C69" s="201">
        <f t="shared" si="1"/>
        <v>110.9568715236976</v>
      </c>
      <c r="D69" s="201">
        <f>台时!$BL$15</f>
        <v>4.5358715236976099</v>
      </c>
      <c r="E69" s="201">
        <f>台时!$BL$34</f>
        <v>106.42099999999999</v>
      </c>
    </row>
    <row r="70" spans="1:5" ht="22.5" customHeight="1">
      <c r="A70" s="199">
        <f>台时!$BM$5</f>
        <v>8048</v>
      </c>
      <c r="B70" s="202" t="s">
        <v>458</v>
      </c>
      <c r="C70" s="201">
        <f t="shared" si="1"/>
        <v>22.200727771249507</v>
      </c>
      <c r="D70" s="201">
        <f>台时!$BM$15</f>
        <v>4.2547277712495104</v>
      </c>
      <c r="E70" s="201">
        <f>台时!$BM$34</f>
        <v>17.945999999999998</v>
      </c>
    </row>
    <row r="71" spans="1:5" ht="22.5" customHeight="1">
      <c r="A71" s="199">
        <f>台时!$BN$5</f>
        <v>8047</v>
      </c>
      <c r="B71" s="202" t="s">
        <v>459</v>
      </c>
      <c r="C71" s="201">
        <f t="shared" si="1"/>
        <v>31.092627497062281</v>
      </c>
      <c r="D71" s="201">
        <f>台时!$BN$15</f>
        <v>2.84662749706228</v>
      </c>
      <c r="E71" s="201">
        <f>台时!$BN$34</f>
        <v>28.246000000000002</v>
      </c>
    </row>
    <row r="72" spans="1:5" ht="22.5" customHeight="1">
      <c r="A72" s="199">
        <f>台时!$BO$5</f>
        <v>9148</v>
      </c>
      <c r="B72" s="203" t="s">
        <v>460</v>
      </c>
      <c r="C72" s="201">
        <f t="shared" si="1"/>
        <v>35.802999999999997</v>
      </c>
      <c r="D72" s="201">
        <f>台时!$BO$15</f>
        <v>14.87</v>
      </c>
      <c r="E72" s="201">
        <f>台时!$BO$34</f>
        <v>20.933</v>
      </c>
    </row>
    <row r="73" spans="1:5" ht="22.5" customHeight="1">
      <c r="A73" s="199">
        <f>台时!$BP$5</f>
        <v>9150</v>
      </c>
      <c r="B73" s="203" t="s">
        <v>461</v>
      </c>
      <c r="C73" s="201">
        <f t="shared" si="1"/>
        <v>23.154</v>
      </c>
      <c r="D73" s="201">
        <f>台时!$BP$15</f>
        <v>4.59</v>
      </c>
      <c r="E73" s="201">
        <f>台时!$BP$34</f>
        <v>18.564</v>
      </c>
    </row>
    <row r="74" spans="1:5" ht="22.5" customHeight="1">
      <c r="A74" s="199">
        <f>台时!$BQ$5</f>
        <v>7002</v>
      </c>
      <c r="B74" s="203" t="s">
        <v>462</v>
      </c>
      <c r="C74" s="201">
        <f t="shared" si="1"/>
        <v>30.654558950254597</v>
      </c>
      <c r="D74" s="201">
        <f>台时!$BQ$15</f>
        <v>4.5715589502545999</v>
      </c>
      <c r="E74" s="201">
        <f>台时!$BQ$34</f>
        <v>26.082999999999998</v>
      </c>
    </row>
    <row r="75" spans="1:5" ht="22.5" customHeight="1">
      <c r="A75" s="199">
        <f>台时!$BR$5</f>
        <v>9202</v>
      </c>
      <c r="B75" s="203" t="s">
        <v>463</v>
      </c>
      <c r="C75" s="201">
        <f t="shared" si="1"/>
        <v>28.373000000000001</v>
      </c>
      <c r="D75" s="201">
        <f>台时!$BR$15</f>
        <v>1.62</v>
      </c>
      <c r="E75" s="201">
        <f>台时!$BR$34</f>
        <v>26.753</v>
      </c>
    </row>
    <row r="76" spans="1:5" ht="22.5" customHeight="1">
      <c r="A76" s="199">
        <f>台时!$BS$5</f>
        <v>9204</v>
      </c>
      <c r="B76" s="203" t="s">
        <v>464</v>
      </c>
      <c r="C76" s="201">
        <f t="shared" si="1"/>
        <v>22.059999999999995</v>
      </c>
      <c r="D76" s="201">
        <f>台时!$BS$15</f>
        <v>2.2599999999999998</v>
      </c>
      <c r="E76" s="201">
        <f>台时!$BS$34</f>
        <v>19.799999999999997</v>
      </c>
    </row>
    <row r="77" spans="1:5" ht="22.5" customHeight="1">
      <c r="A77" s="199">
        <f>台时!BT5</f>
        <v>8060</v>
      </c>
      <c r="B77" s="203" t="s">
        <v>465</v>
      </c>
      <c r="C77" s="201">
        <f t="shared" si="1"/>
        <v>17.449476302389339</v>
      </c>
      <c r="D77" s="201">
        <f>台时!BT15</f>
        <v>7.59847630238934</v>
      </c>
      <c r="E77" s="201">
        <f>台时!BT34</f>
        <v>9.8509999999999991</v>
      </c>
    </row>
    <row r="78" spans="1:5" ht="22.5" customHeight="1">
      <c r="A78" s="199">
        <f>台时!BU5</f>
        <v>8054</v>
      </c>
      <c r="B78" s="203" t="s">
        <v>466</v>
      </c>
      <c r="C78" s="201">
        <f t="shared" si="1"/>
        <v>23.395992949471207</v>
      </c>
      <c r="D78" s="201">
        <f>台时!BU15</f>
        <v>8.7459929494712103</v>
      </c>
      <c r="E78" s="201">
        <f>台时!BU34</f>
        <v>14.649999999999999</v>
      </c>
    </row>
    <row r="79" spans="1:5" ht="22.5" customHeight="1">
      <c r="A79" s="199">
        <f>台时!BV5</f>
        <v>8056</v>
      </c>
      <c r="B79" s="203" t="s">
        <v>467</v>
      </c>
      <c r="C79" s="201">
        <f t="shared" si="1"/>
        <v>17.961755189972578</v>
      </c>
      <c r="D79" s="201">
        <f>台时!BV15</f>
        <v>4.4447551899725797</v>
      </c>
      <c r="E79" s="201">
        <f>台时!BV34</f>
        <v>13.516999999999999</v>
      </c>
    </row>
    <row r="80" spans="1:5" ht="22.5" customHeight="1">
      <c r="A80" s="199">
        <f>台时!BX5</f>
        <v>8059</v>
      </c>
      <c r="B80" s="203" t="s">
        <v>468</v>
      </c>
      <c r="C80" s="201">
        <f t="shared" si="1"/>
        <v>17.247100274187229</v>
      </c>
      <c r="D80" s="201">
        <f>台时!BX15</f>
        <v>4.3481002741872299</v>
      </c>
      <c r="E80" s="201">
        <f>台时!BX34</f>
        <v>12.898999999999999</v>
      </c>
    </row>
    <row r="81" spans="1:7" ht="22.5" customHeight="1">
      <c r="A81" s="199">
        <f>台时!$BY$5</f>
        <v>1035</v>
      </c>
      <c r="B81" s="203" t="s">
        <v>469</v>
      </c>
      <c r="C81" s="201">
        <f t="shared" ref="C81:C97" si="3">D81+E81</f>
        <v>24.948267920094001</v>
      </c>
      <c r="D81" s="201">
        <f>台时!$BY$15</f>
        <v>2.1722679200939998</v>
      </c>
      <c r="E81" s="201">
        <f>台时!$BY$34</f>
        <v>22.776</v>
      </c>
    </row>
    <row r="82" spans="1:7" ht="22.5" customHeight="1">
      <c r="A82" s="199">
        <f>台时!$BZ$5</f>
        <v>1036</v>
      </c>
      <c r="B82" s="203" t="s">
        <v>470</v>
      </c>
      <c r="C82" s="201">
        <f t="shared" si="3"/>
        <v>34.289259694477089</v>
      </c>
      <c r="D82" s="201">
        <f>台时!$BZ$15</f>
        <v>2.9292596944770901</v>
      </c>
      <c r="E82" s="201">
        <f>台时!$BZ$34</f>
        <v>31.36</v>
      </c>
    </row>
    <row r="83" spans="1:7" ht="22.5" customHeight="1">
      <c r="A83" s="199">
        <f>台时!$CM$5</f>
        <v>5002</v>
      </c>
      <c r="B83" s="203" t="s">
        <v>471</v>
      </c>
      <c r="C83" s="201">
        <f t="shared" si="3"/>
        <v>47.897059537798697</v>
      </c>
      <c r="D83" s="201">
        <f>台时!$CM$15</f>
        <v>13.386059537798699</v>
      </c>
      <c r="E83" s="201">
        <f>台时!$CM$34</f>
        <v>34.510999999999996</v>
      </c>
    </row>
    <row r="84" spans="1:7" ht="22.5" customHeight="1">
      <c r="A84" s="199">
        <f>台时!$CJ$5</f>
        <v>5010</v>
      </c>
      <c r="B84" s="203" t="s">
        <v>472</v>
      </c>
      <c r="C84" s="201">
        <f t="shared" si="3"/>
        <v>41.936826478652563</v>
      </c>
      <c r="D84" s="201">
        <f>台时!$CJ$15</f>
        <v>8.9008264786525597</v>
      </c>
      <c r="E84" s="201">
        <f>台时!$CJ$34</f>
        <v>33.036000000000001</v>
      </c>
    </row>
    <row r="85" spans="1:7" ht="22.5" customHeight="1">
      <c r="A85" s="199">
        <f>台时!$CK$5</f>
        <v>5011</v>
      </c>
      <c r="B85" s="203" t="s">
        <v>473</v>
      </c>
      <c r="C85" s="201">
        <f t="shared" si="3"/>
        <v>39.873990990991004</v>
      </c>
      <c r="D85" s="201">
        <f>台时!$CK$15</f>
        <v>10.030990990991</v>
      </c>
      <c r="E85" s="206">
        <f>台时!$CK$34</f>
        <v>29.843000000000004</v>
      </c>
    </row>
    <row r="86" spans="1:7" ht="22.5" customHeight="1">
      <c r="A86" s="199">
        <f>台时!$CH$5</f>
        <v>5008</v>
      </c>
      <c r="B86" s="203" t="s">
        <v>474</v>
      </c>
      <c r="C86" s="201">
        <f t="shared" si="3"/>
        <v>33.053169212690946</v>
      </c>
      <c r="D86" s="201">
        <f>台时!$CH$15</f>
        <v>9.2361692126909496</v>
      </c>
      <c r="E86" s="201">
        <f>台时!$CH$34</f>
        <v>23.817</v>
      </c>
    </row>
    <row r="87" spans="1:7" ht="22.5" customHeight="1">
      <c r="A87" s="199">
        <f>台时!$CI$5</f>
        <v>5009</v>
      </c>
      <c r="B87" s="203" t="s">
        <v>475</v>
      </c>
      <c r="C87" s="201">
        <f t="shared" si="3"/>
        <v>19.994793184488827</v>
      </c>
      <c r="D87" s="201">
        <f>台时!$CI$15</f>
        <v>2.9757931844888299</v>
      </c>
      <c r="E87" s="201">
        <f>台时!$CI$34</f>
        <v>17.018999999999998</v>
      </c>
    </row>
    <row r="88" spans="1:7" ht="22.5" customHeight="1">
      <c r="A88" s="199">
        <f>台时!$CF$5</f>
        <v>8025</v>
      </c>
      <c r="B88" s="204" t="s">
        <v>476</v>
      </c>
      <c r="C88" s="201">
        <f t="shared" si="3"/>
        <v>17.647831179005102</v>
      </c>
      <c r="D88" s="201">
        <f>台时!$CF$15</f>
        <v>6.1068311790051002</v>
      </c>
      <c r="E88" s="201">
        <f>台时!$CF$34</f>
        <v>11.541</v>
      </c>
    </row>
    <row r="89" spans="1:7" ht="22.5" customHeight="1">
      <c r="A89" s="199">
        <f>台时!CG5</f>
        <v>8027</v>
      </c>
      <c r="B89" s="204" t="s">
        <v>477</v>
      </c>
      <c r="C89" s="201">
        <f t="shared" si="3"/>
        <v>45.516043869956896</v>
      </c>
      <c r="D89" s="201">
        <f>台时!CG15</f>
        <v>11.006043869956899</v>
      </c>
      <c r="E89" s="201">
        <f>台时!CG34</f>
        <v>34.51</v>
      </c>
    </row>
    <row r="90" spans="1:7" ht="22.5" customHeight="1">
      <c r="A90" s="199">
        <f>台时!$CO$5</f>
        <v>1121</v>
      </c>
      <c r="B90" s="204" t="s">
        <v>478</v>
      </c>
      <c r="C90" s="201">
        <f t="shared" si="3"/>
        <v>114.44399999999999</v>
      </c>
      <c r="D90" s="201">
        <f>台时!$CO$15</f>
        <v>9.3000000000000007</v>
      </c>
      <c r="E90" s="201">
        <f>台时!$CO$34</f>
        <v>105.14399999999999</v>
      </c>
    </row>
    <row r="91" spans="1:7" ht="22.5" customHeight="1">
      <c r="A91" s="7">
        <f>台时!$CP$5</f>
        <v>3033</v>
      </c>
      <c r="B91" s="52" t="s">
        <v>479</v>
      </c>
      <c r="C91" s="55">
        <f t="shared" si="3"/>
        <v>24.264267920093999</v>
      </c>
      <c r="D91" s="55">
        <f>台时!$CP$15</f>
        <v>8.1722679200940007</v>
      </c>
      <c r="E91" s="55">
        <f>台时!$CP$34</f>
        <v>16.091999999999999</v>
      </c>
      <c r="F91" s="71"/>
      <c r="G91" s="71"/>
    </row>
    <row r="92" spans="1:7" ht="22.5" customHeight="1">
      <c r="A92" s="7">
        <f>台时!$CR$5</f>
        <v>1017</v>
      </c>
      <c r="B92" s="52" t="s">
        <v>480</v>
      </c>
      <c r="C92" s="55">
        <f t="shared" si="3"/>
        <v>712.3839717978849</v>
      </c>
      <c r="D92" s="55">
        <f>台时!$CR$15</f>
        <v>50.483971797884898</v>
      </c>
      <c r="E92" s="55">
        <f>台时!$CR$34</f>
        <v>661.9</v>
      </c>
      <c r="F92" s="71"/>
      <c r="G92" s="71"/>
    </row>
    <row r="93" spans="1:7" ht="22.5" customHeight="1">
      <c r="A93" s="7">
        <f>台时!$CE$5</f>
        <v>5005</v>
      </c>
      <c r="B93" s="52" t="s">
        <v>481</v>
      </c>
      <c r="C93" s="55">
        <f t="shared" si="3"/>
        <v>85.314925186055603</v>
      </c>
      <c r="D93" s="55">
        <f>台时!$CE$15</f>
        <v>41.636925186055599</v>
      </c>
      <c r="E93" s="55">
        <f>台时!$CE$34</f>
        <v>43.677999999999997</v>
      </c>
      <c r="F93" s="71"/>
      <c r="G93" s="71"/>
    </row>
    <row r="94" spans="1:7" ht="22.5" customHeight="1">
      <c r="A94" s="7">
        <f>台时!CD5</f>
        <v>5015</v>
      </c>
      <c r="B94" s="52" t="s">
        <v>482</v>
      </c>
      <c r="C94" s="55">
        <f t="shared" si="3"/>
        <v>50.969801410105802</v>
      </c>
      <c r="D94" s="55">
        <f>台时!CD15</f>
        <v>18.088801410105798</v>
      </c>
      <c r="E94" s="55">
        <f>台时!CD34</f>
        <v>32.881</v>
      </c>
      <c r="F94" s="71"/>
      <c r="G94" s="71"/>
    </row>
    <row r="95" spans="1:7" ht="22.5" customHeight="1">
      <c r="A95" s="7">
        <f>台时!$CN$5</f>
        <v>1028</v>
      </c>
      <c r="B95" s="52" t="s">
        <v>483</v>
      </c>
      <c r="C95" s="55">
        <f t="shared" si="3"/>
        <v>49.784005092048602</v>
      </c>
      <c r="D95" s="55">
        <f>台时!$CN$15</f>
        <v>21.379005092048601</v>
      </c>
      <c r="E95" s="55">
        <f>台时!$CN$34</f>
        <v>28.405000000000001</v>
      </c>
      <c r="F95" s="71"/>
      <c r="G95" s="71"/>
    </row>
    <row r="96" spans="1:7" ht="22.5" customHeight="1">
      <c r="A96" s="7">
        <f>台时!$CS$5</f>
        <v>1033</v>
      </c>
      <c r="B96" s="52" t="s">
        <v>484</v>
      </c>
      <c r="C96" s="55">
        <f t="shared" si="3"/>
        <v>63.242567567567605</v>
      </c>
      <c r="D96" s="55">
        <f>台时!$CS$15</f>
        <v>24.367567567567601</v>
      </c>
      <c r="E96" s="55">
        <f>台时!$CS$34</f>
        <v>38.875</v>
      </c>
      <c r="F96" s="71"/>
      <c r="G96" s="71"/>
    </row>
    <row r="97" spans="1:7" ht="22.5" customHeight="1">
      <c r="A97" s="7">
        <f>台时!CT5</f>
        <v>1045</v>
      </c>
      <c r="B97" s="52" t="s">
        <v>485</v>
      </c>
      <c r="C97" s="55">
        <f t="shared" si="3"/>
        <v>84.835567567567608</v>
      </c>
      <c r="D97" s="55">
        <f>台时!CT15</f>
        <v>24.367567567567601</v>
      </c>
      <c r="E97" s="55">
        <f>台时!CT34</f>
        <v>60.468000000000004</v>
      </c>
      <c r="F97" s="71"/>
      <c r="G97" s="71"/>
    </row>
    <row r="98" spans="1:7" ht="22.5" customHeight="1">
      <c r="A98" s="7"/>
      <c r="B98" s="52"/>
      <c r="C98" s="55"/>
      <c r="D98" s="55"/>
      <c r="E98" s="55"/>
      <c r="F98" s="71"/>
      <c r="G98" s="71"/>
    </row>
    <row r="99" spans="1:7" ht="22.5" customHeight="1">
      <c r="A99" s="7"/>
      <c r="B99" s="52"/>
      <c r="C99" s="55"/>
      <c r="D99" s="55"/>
      <c r="E99" s="55"/>
      <c r="F99" s="71"/>
      <c r="G99" s="71"/>
    </row>
    <row r="100" spans="1:7" ht="22.5" customHeight="1">
      <c r="A100" s="7"/>
      <c r="B100" s="52"/>
      <c r="C100" s="55"/>
      <c r="D100" s="55"/>
      <c r="E100" s="55"/>
      <c r="F100" s="71"/>
      <c r="G100" s="71"/>
    </row>
    <row r="101" spans="1:7" ht="22.5" customHeight="1">
      <c r="A101" s="7"/>
      <c r="B101" s="52"/>
      <c r="C101" s="55"/>
      <c r="D101" s="55"/>
      <c r="E101" s="55"/>
      <c r="F101" s="71"/>
      <c r="G101" s="71"/>
    </row>
    <row r="102" spans="1:7" ht="22.5" customHeight="1">
      <c r="A102" s="7"/>
      <c r="B102" s="52"/>
      <c r="C102" s="55"/>
      <c r="D102" s="55"/>
      <c r="E102" s="55"/>
      <c r="F102" s="71"/>
      <c r="G102" s="71"/>
    </row>
    <row r="103" spans="1:7" ht="22.5" customHeight="1">
      <c r="A103" s="7"/>
      <c r="B103" s="52"/>
      <c r="C103" s="55"/>
      <c r="D103" s="55"/>
      <c r="E103" s="55"/>
      <c r="F103" s="71"/>
      <c r="G103" s="71"/>
    </row>
    <row r="104" spans="1:7" ht="22.5" customHeight="1">
      <c r="A104" s="7"/>
      <c r="B104" s="52"/>
      <c r="C104" s="55"/>
      <c r="D104" s="55"/>
      <c r="E104" s="55"/>
      <c r="F104" s="71"/>
      <c r="G104" s="71"/>
    </row>
    <row r="105" spans="1:7" ht="22.5" customHeight="1">
      <c r="A105" s="7"/>
      <c r="B105" s="52"/>
      <c r="C105" s="55"/>
      <c r="D105" s="55"/>
      <c r="E105" s="55"/>
      <c r="F105" s="71"/>
      <c r="G105" s="71"/>
    </row>
    <row r="106" spans="1:7" ht="22.5" customHeight="1">
      <c r="A106" s="7"/>
      <c r="B106" s="52"/>
      <c r="C106" s="55"/>
      <c r="D106" s="55"/>
      <c r="E106" s="55"/>
      <c r="F106" s="71"/>
      <c r="G106" s="71"/>
    </row>
    <row r="107" spans="1:7" ht="22.5" customHeight="1">
      <c r="A107" s="7"/>
      <c r="B107" s="52"/>
      <c r="C107" s="55"/>
      <c r="D107" s="55"/>
      <c r="E107" s="55"/>
      <c r="F107" s="71"/>
      <c r="G107" s="71"/>
    </row>
    <row r="108" spans="1:7" ht="22.5" customHeight="1">
      <c r="A108" s="7"/>
      <c r="B108" s="52"/>
      <c r="C108" s="55"/>
      <c r="D108" s="55"/>
      <c r="E108" s="55"/>
      <c r="F108" s="71"/>
      <c r="G108" s="71"/>
    </row>
    <row r="109" spans="1:7" ht="22.5" customHeight="1">
      <c r="A109" s="51"/>
      <c r="B109" s="91"/>
      <c r="C109" s="106"/>
      <c r="D109" s="106"/>
      <c r="E109" s="106"/>
    </row>
  </sheetData>
  <mergeCells count="6">
    <mergeCell ref="A1:E1"/>
    <mergeCell ref="D2:E2"/>
    <mergeCell ref="D4:E4"/>
    <mergeCell ref="A4:A5"/>
    <mergeCell ref="B4:B5"/>
    <mergeCell ref="C4:C5"/>
  </mergeCells>
  <phoneticPr fontId="79" type="noConversion"/>
  <printOptions horizontalCentered="1"/>
  <pageMargins left="1.18055555555556" right="1.18055555555556" top="1.18055555555556" bottom="1.18055555555556" header="0.90486111111111101" footer="0.90486111111111101"/>
  <pageSetup paperSize="9" orientation="portrait" horizontalDpi="72" verticalDpi="72"/>
  <headerFooter alignWithMargins="0">
    <oddFooter>&amp;C&amp;9&amp;P</oddFooter>
  </headerFooter>
</worksheet>
</file>

<file path=xl/worksheets/sheet9.xml><?xml version="1.0" encoding="utf-8"?>
<worksheet xmlns="http://schemas.openxmlformats.org/spreadsheetml/2006/main" xmlns:r="http://schemas.openxmlformats.org/officeDocument/2006/relationships">
  <dimension ref="A1:T29"/>
  <sheetViews>
    <sheetView workbookViewId="0">
      <selection activeCell="F9" sqref="F9"/>
    </sheetView>
  </sheetViews>
  <sheetFormatPr defaultColWidth="9" defaultRowHeight="14.25"/>
  <cols>
    <col min="1" max="1" width="14.875" customWidth="1"/>
    <col min="2" max="2" width="13.125" customWidth="1"/>
    <col min="3" max="3" width="8.625" customWidth="1"/>
    <col min="5" max="6" width="8.5" customWidth="1"/>
    <col min="7" max="7" width="9.25" customWidth="1"/>
    <col min="8" max="8" width="8.375" customWidth="1"/>
    <col min="9" max="9" width="8.5" customWidth="1"/>
    <col min="10" max="10" width="7.125" customWidth="1"/>
    <col min="11" max="11" width="8.75" customWidth="1"/>
    <col min="12" max="12" width="10.125" customWidth="1"/>
  </cols>
  <sheetData>
    <row r="1" spans="1:19" ht="30.75" customHeight="1">
      <c r="A1" s="171"/>
      <c r="B1" s="171"/>
      <c r="C1" s="171"/>
      <c r="D1" s="171"/>
      <c r="E1" s="171"/>
      <c r="F1" s="171"/>
      <c r="G1" s="171"/>
      <c r="H1" s="171"/>
      <c r="I1" s="171"/>
      <c r="J1" s="171"/>
      <c r="K1" s="171"/>
      <c r="L1" s="171"/>
      <c r="M1" s="171"/>
    </row>
    <row r="2" spans="1:19" ht="12.75" customHeight="1">
      <c r="A2" s="387" t="s">
        <v>486</v>
      </c>
      <c r="B2" s="387"/>
      <c r="C2" s="387"/>
      <c r="D2" s="387"/>
      <c r="E2" s="387"/>
      <c r="F2" s="387"/>
      <c r="G2" s="387"/>
      <c r="H2" s="387"/>
      <c r="I2" s="387"/>
      <c r="J2" s="387"/>
      <c r="K2" s="387"/>
      <c r="L2" s="387"/>
      <c r="M2" s="387"/>
    </row>
    <row r="3" spans="1:19" ht="24">
      <c r="A3" s="172" t="s">
        <v>487</v>
      </c>
      <c r="B3" s="173" t="s">
        <v>488</v>
      </c>
      <c r="C3" s="174" t="s">
        <v>489</v>
      </c>
      <c r="D3" s="173" t="s">
        <v>490</v>
      </c>
      <c r="E3" s="174" t="s">
        <v>491</v>
      </c>
      <c r="F3" s="173" t="s">
        <v>492</v>
      </c>
      <c r="G3" s="173" t="s">
        <v>493</v>
      </c>
      <c r="H3" s="173" t="s">
        <v>494</v>
      </c>
      <c r="I3" s="173" t="s">
        <v>495</v>
      </c>
      <c r="J3" s="173" t="s">
        <v>496</v>
      </c>
      <c r="K3" s="173" t="s">
        <v>497</v>
      </c>
      <c r="L3" s="190" t="s">
        <v>498</v>
      </c>
      <c r="M3" s="191" t="s">
        <v>184</v>
      </c>
    </row>
    <row r="4" spans="1:19" ht="22.5" customHeight="1">
      <c r="A4" s="175">
        <v>1</v>
      </c>
      <c r="B4" s="176">
        <v>2</v>
      </c>
      <c r="C4" s="113">
        <v>3</v>
      </c>
      <c r="D4" s="113">
        <v>4</v>
      </c>
      <c r="E4" s="113">
        <v>5</v>
      </c>
      <c r="F4" s="113">
        <v>6</v>
      </c>
      <c r="G4" s="113">
        <v>7</v>
      </c>
      <c r="H4" s="113">
        <v>8</v>
      </c>
      <c r="I4" s="113">
        <v>9</v>
      </c>
      <c r="J4" s="113">
        <v>10</v>
      </c>
      <c r="K4" s="113">
        <v>11</v>
      </c>
      <c r="L4" s="176">
        <v>12</v>
      </c>
      <c r="M4" s="192"/>
      <c r="N4" s="71"/>
      <c r="O4" s="71"/>
      <c r="P4" s="71"/>
      <c r="Q4" s="71"/>
      <c r="R4" s="71"/>
      <c r="S4" s="71"/>
    </row>
    <row r="5" spans="1:19" ht="22.5" hidden="1" customHeight="1">
      <c r="A5" s="177" t="s">
        <v>499</v>
      </c>
      <c r="B5" s="178" t="s">
        <v>500</v>
      </c>
      <c r="C5" s="113" t="s">
        <v>353</v>
      </c>
      <c r="D5" s="113">
        <v>470</v>
      </c>
      <c r="E5" s="113" t="s">
        <v>501</v>
      </c>
      <c r="F5" s="179">
        <v>55</v>
      </c>
      <c r="G5" s="113">
        <v>0.52</v>
      </c>
      <c r="H5" s="118">
        <f t="shared" ref="H5:H12" si="0">F5*G5</f>
        <v>28.6</v>
      </c>
      <c r="I5" s="113">
        <v>5.5</v>
      </c>
      <c r="J5" s="118">
        <f>(D5+H5+I5)*0.03*1.1</f>
        <v>16.635300000000001</v>
      </c>
      <c r="K5" s="118">
        <f t="shared" ref="K5:K12" si="1">D5+H5+I5+J5</f>
        <v>520.73530000000005</v>
      </c>
      <c r="L5" s="176">
        <v>255</v>
      </c>
      <c r="M5" s="192">
        <f>IF((K5-L5)&gt;0,K5-L5,0)</f>
        <v>265.7353</v>
      </c>
      <c r="N5" s="71"/>
      <c r="O5" s="71"/>
      <c r="P5" s="71"/>
      <c r="Q5" s="71"/>
      <c r="R5" s="71"/>
      <c r="S5" s="71"/>
    </row>
    <row r="6" spans="1:19" ht="24.75" customHeight="1">
      <c r="A6" s="177" t="s">
        <v>502</v>
      </c>
      <c r="B6" s="180" t="s">
        <v>503</v>
      </c>
      <c r="C6" s="113" t="s">
        <v>353</v>
      </c>
      <c r="D6" s="113">
        <v>323.89</v>
      </c>
      <c r="E6" s="113" t="s">
        <v>501</v>
      </c>
      <c r="F6" s="180">
        <v>58</v>
      </c>
      <c r="G6" s="113">
        <v>0.52</v>
      </c>
      <c r="H6" s="118">
        <f t="shared" si="0"/>
        <v>30.16</v>
      </c>
      <c r="I6" s="113">
        <v>5.5</v>
      </c>
      <c r="J6" s="118">
        <f>(D6+H6+I6)*0.03*1.1</f>
        <v>11.86515</v>
      </c>
      <c r="K6" s="118">
        <f t="shared" si="1"/>
        <v>371.41514999999998</v>
      </c>
      <c r="L6" s="176">
        <v>255</v>
      </c>
      <c r="M6" s="192">
        <f t="shared" ref="M6:M14" si="2">IF((K6-L6)&gt;0,K6-L6,0)</f>
        <v>116.41515</v>
      </c>
      <c r="N6" s="71"/>
      <c r="O6" s="71"/>
      <c r="P6" s="71"/>
      <c r="Q6" s="71"/>
      <c r="R6" s="71"/>
      <c r="S6" s="71"/>
    </row>
    <row r="7" spans="1:19" ht="22.5" customHeight="1">
      <c r="A7" s="181" t="s">
        <v>33</v>
      </c>
      <c r="B7" s="180" t="s">
        <v>504</v>
      </c>
      <c r="C7" s="113" t="s">
        <v>353</v>
      </c>
      <c r="D7" s="113">
        <v>3941.13</v>
      </c>
      <c r="E7" s="113" t="s">
        <v>501</v>
      </c>
      <c r="F7" s="180">
        <v>40</v>
      </c>
      <c r="G7" s="113">
        <v>0.52</v>
      </c>
      <c r="H7" s="118">
        <f t="shared" si="0"/>
        <v>20.8</v>
      </c>
      <c r="I7" s="113">
        <v>5.5</v>
      </c>
      <c r="J7" s="118">
        <f>(D7+H7+I7)*0.02*1.1</f>
        <v>87.283460000000005</v>
      </c>
      <c r="K7" s="118">
        <f t="shared" si="1"/>
        <v>4054.7134599999999</v>
      </c>
      <c r="L7" s="176">
        <v>2560</v>
      </c>
      <c r="M7" s="192">
        <f t="shared" si="2"/>
        <v>1494.7134599999999</v>
      </c>
      <c r="N7" s="180">
        <v>25</v>
      </c>
      <c r="O7" s="180">
        <v>40</v>
      </c>
      <c r="P7" s="71" t="s">
        <v>9</v>
      </c>
      <c r="Q7" s="180">
        <v>106</v>
      </c>
      <c r="R7" s="180" t="s">
        <v>505</v>
      </c>
      <c r="S7" s="71"/>
    </row>
    <row r="8" spans="1:19" ht="22.5" customHeight="1">
      <c r="A8" s="181" t="s">
        <v>506</v>
      </c>
      <c r="B8" s="180" t="s">
        <v>504</v>
      </c>
      <c r="C8" s="113" t="s">
        <v>357</v>
      </c>
      <c r="D8" s="113">
        <v>1800</v>
      </c>
      <c r="E8" s="113" t="s">
        <v>501</v>
      </c>
      <c r="F8" s="180">
        <v>40</v>
      </c>
      <c r="G8" s="113">
        <v>0.52</v>
      </c>
      <c r="H8" s="118">
        <f t="shared" si="0"/>
        <v>20.8</v>
      </c>
      <c r="I8" s="184">
        <f>I9</f>
        <v>3.12</v>
      </c>
      <c r="J8" s="118">
        <f>(D8+H8+I8)*0.025*1.1</f>
        <v>50.157800000000002</v>
      </c>
      <c r="K8" s="118">
        <f t="shared" si="1"/>
        <v>1874.0778</v>
      </c>
      <c r="L8" s="118">
        <f>K8</f>
        <v>1874.0778</v>
      </c>
      <c r="M8" s="192">
        <f t="shared" si="2"/>
        <v>0</v>
      </c>
      <c r="N8" s="180">
        <v>25</v>
      </c>
      <c r="O8" s="180">
        <v>40</v>
      </c>
      <c r="P8" s="71"/>
      <c r="Q8" s="180">
        <v>25</v>
      </c>
      <c r="R8" s="180" t="s">
        <v>504</v>
      </c>
      <c r="S8" s="71"/>
    </row>
    <row r="9" spans="1:19" ht="22.5" customHeight="1">
      <c r="A9" s="182" t="s">
        <v>507</v>
      </c>
      <c r="B9" s="183" t="s">
        <v>508</v>
      </c>
      <c r="C9" s="113" t="s">
        <v>357</v>
      </c>
      <c r="D9" s="113">
        <v>53.43</v>
      </c>
      <c r="E9" s="113" t="s">
        <v>501</v>
      </c>
      <c r="F9" s="180">
        <v>21</v>
      </c>
      <c r="G9" s="184">
        <f>1.56*0.48</f>
        <v>0.74880000000000002</v>
      </c>
      <c r="H9" s="118">
        <f t="shared" si="0"/>
        <v>15.7248</v>
      </c>
      <c r="I9" s="184">
        <f>1.56*2</f>
        <v>3.12</v>
      </c>
      <c r="J9" s="118">
        <f t="shared" ref="J9:J12" si="3">(D9+H9+I9)*0.03*1.1</f>
        <v>2.3850684000000002</v>
      </c>
      <c r="K9" s="118">
        <f t="shared" si="1"/>
        <v>74.659868399999993</v>
      </c>
      <c r="L9" s="176">
        <v>70</v>
      </c>
      <c r="M9" s="192">
        <f t="shared" si="2"/>
        <v>4.6598683999999899</v>
      </c>
      <c r="N9" s="180">
        <v>48</v>
      </c>
      <c r="O9" s="180">
        <v>21</v>
      </c>
      <c r="P9" s="71"/>
      <c r="Q9" s="180">
        <v>25</v>
      </c>
      <c r="R9" s="180" t="s">
        <v>504</v>
      </c>
      <c r="S9" s="71"/>
    </row>
    <row r="10" spans="1:19" ht="22.5" customHeight="1">
      <c r="A10" s="182" t="s">
        <v>509</v>
      </c>
      <c r="B10" s="180" t="s">
        <v>510</v>
      </c>
      <c r="C10" s="113" t="s">
        <v>357</v>
      </c>
      <c r="D10" s="113">
        <v>38.83</v>
      </c>
      <c r="E10" s="113" t="s">
        <v>501</v>
      </c>
      <c r="F10" s="180">
        <v>40</v>
      </c>
      <c r="G10" s="118">
        <f>1.65*0.48</f>
        <v>0.79200000000000004</v>
      </c>
      <c r="H10" s="184">
        <f t="shared" si="0"/>
        <v>31.68</v>
      </c>
      <c r="I10" s="184">
        <f>1.65*2</f>
        <v>3.3</v>
      </c>
      <c r="J10" s="118">
        <f t="shared" si="3"/>
        <v>2.43573</v>
      </c>
      <c r="K10" s="118">
        <f t="shared" si="1"/>
        <v>76.245729999999995</v>
      </c>
      <c r="L10" s="176">
        <v>70</v>
      </c>
      <c r="M10" s="192">
        <f t="shared" si="2"/>
        <v>6.2457299999999902</v>
      </c>
      <c r="N10" s="180">
        <v>25</v>
      </c>
      <c r="O10" s="180">
        <v>40</v>
      </c>
      <c r="P10" s="71"/>
      <c r="Q10" s="180">
        <v>48</v>
      </c>
      <c r="R10" s="183" t="s">
        <v>508</v>
      </c>
      <c r="S10" s="71"/>
    </row>
    <row r="11" spans="1:19" ht="22.5" customHeight="1">
      <c r="A11" s="182" t="s">
        <v>511</v>
      </c>
      <c r="B11" s="180" t="s">
        <v>512</v>
      </c>
      <c r="C11" s="113" t="s">
        <v>357</v>
      </c>
      <c r="D11" s="113">
        <v>58.25</v>
      </c>
      <c r="E11" s="113" t="s">
        <v>501</v>
      </c>
      <c r="F11" s="180">
        <v>50</v>
      </c>
      <c r="G11" s="118">
        <f>1.8*0.48</f>
        <v>0.86399999999999999</v>
      </c>
      <c r="H11" s="184">
        <f t="shared" si="0"/>
        <v>43.2</v>
      </c>
      <c r="I11" s="113">
        <f>1.8*2</f>
        <v>3.6</v>
      </c>
      <c r="J11" s="118">
        <f t="shared" si="3"/>
        <v>3.46665</v>
      </c>
      <c r="K11" s="118">
        <f t="shared" si="1"/>
        <v>108.51665</v>
      </c>
      <c r="L11" s="176">
        <v>70</v>
      </c>
      <c r="M11" s="192">
        <f t="shared" si="2"/>
        <v>38.516649999999998</v>
      </c>
      <c r="N11" s="180">
        <v>30</v>
      </c>
      <c r="O11" s="180">
        <v>50</v>
      </c>
      <c r="P11" s="71"/>
      <c r="Q11" s="180">
        <v>25</v>
      </c>
      <c r="R11" s="180" t="s">
        <v>510</v>
      </c>
      <c r="S11" s="71"/>
    </row>
    <row r="12" spans="1:19" ht="22.5" customHeight="1">
      <c r="A12" s="182" t="s">
        <v>513</v>
      </c>
      <c r="B12" s="180" t="s">
        <v>514</v>
      </c>
      <c r="C12" s="113" t="s">
        <v>357</v>
      </c>
      <c r="D12" s="113">
        <f>25/1.09</f>
        <v>22.935779816513801</v>
      </c>
      <c r="E12" s="113" t="s">
        <v>501</v>
      </c>
      <c r="F12" s="180">
        <v>25</v>
      </c>
      <c r="G12" s="118">
        <f>1.8*0.48</f>
        <v>0.86399999999999999</v>
      </c>
      <c r="H12" s="184">
        <f t="shared" si="0"/>
        <v>21.6</v>
      </c>
      <c r="I12" s="113">
        <f>1.8*2</f>
        <v>3.6</v>
      </c>
      <c r="J12" s="118">
        <f t="shared" si="3"/>
        <v>1.58848073394495</v>
      </c>
      <c r="K12" s="118">
        <f t="shared" si="1"/>
        <v>49.724260550458702</v>
      </c>
      <c r="L12" s="193">
        <f>K12</f>
        <v>49.724260550458702</v>
      </c>
      <c r="M12" s="192">
        <f t="shared" si="2"/>
        <v>0</v>
      </c>
      <c r="N12" s="180">
        <v>25</v>
      </c>
      <c r="O12" s="180">
        <v>25</v>
      </c>
      <c r="P12" s="71"/>
      <c r="Q12" s="180">
        <v>30</v>
      </c>
      <c r="R12" s="180" t="s">
        <v>512</v>
      </c>
      <c r="S12" s="71"/>
    </row>
    <row r="13" spans="1:19" ht="22.5" customHeight="1">
      <c r="A13" s="175" t="s">
        <v>515</v>
      </c>
      <c r="B13" s="180" t="s">
        <v>514</v>
      </c>
      <c r="C13" s="113" t="s">
        <v>353</v>
      </c>
      <c r="D13" s="113"/>
      <c r="E13" s="113"/>
      <c r="F13" s="180"/>
      <c r="G13" s="113"/>
      <c r="H13" s="184"/>
      <c r="I13" s="113"/>
      <c r="J13" s="118"/>
      <c r="K13" s="118">
        <v>7820</v>
      </c>
      <c r="L13" s="176">
        <v>3075</v>
      </c>
      <c r="M13" s="192">
        <f t="shared" si="2"/>
        <v>4745</v>
      </c>
      <c r="N13" s="71"/>
      <c r="O13" s="71"/>
      <c r="P13" s="71"/>
      <c r="Q13" s="180">
        <v>25</v>
      </c>
      <c r="R13" s="180" t="s">
        <v>514</v>
      </c>
      <c r="S13" s="71"/>
    </row>
    <row r="14" spans="1:19" ht="22.5" customHeight="1">
      <c r="A14" s="175" t="s">
        <v>516</v>
      </c>
      <c r="B14" s="185" t="s">
        <v>514</v>
      </c>
      <c r="C14" s="113" t="s">
        <v>353</v>
      </c>
      <c r="D14" s="113"/>
      <c r="E14" s="113"/>
      <c r="F14" s="113"/>
      <c r="G14" s="113"/>
      <c r="H14" s="184"/>
      <c r="I14" s="113"/>
      <c r="J14" s="118"/>
      <c r="K14" s="118">
        <v>6500</v>
      </c>
      <c r="L14" s="176">
        <v>2990</v>
      </c>
      <c r="M14" s="192">
        <f t="shared" si="2"/>
        <v>3510</v>
      </c>
      <c r="N14" s="71"/>
      <c r="O14" s="71"/>
      <c r="P14" s="71"/>
      <c r="Q14" s="71"/>
      <c r="R14" s="71"/>
      <c r="S14" s="71"/>
    </row>
    <row r="15" spans="1:19" ht="22.5" customHeight="1">
      <c r="A15" s="175" t="s">
        <v>517</v>
      </c>
      <c r="B15" s="178" t="s">
        <v>514</v>
      </c>
      <c r="C15" s="113" t="s">
        <v>353</v>
      </c>
      <c r="D15" s="113"/>
      <c r="E15" s="113"/>
      <c r="F15" s="113"/>
      <c r="G15" s="113"/>
      <c r="H15" s="184"/>
      <c r="I15" s="113"/>
      <c r="J15" s="113"/>
      <c r="K15" s="118">
        <v>3.88</v>
      </c>
      <c r="L15" s="176"/>
      <c r="M15" s="192"/>
      <c r="N15" s="71"/>
      <c r="O15" s="71"/>
      <c r="P15" s="71"/>
      <c r="Q15" s="71"/>
      <c r="R15" s="71"/>
      <c r="S15" s="71"/>
    </row>
    <row r="16" spans="1:19" ht="22.5" customHeight="1">
      <c r="A16" s="175" t="s">
        <v>518</v>
      </c>
      <c r="B16" s="178" t="s">
        <v>514</v>
      </c>
      <c r="C16" s="113" t="s">
        <v>519</v>
      </c>
      <c r="D16" s="186"/>
      <c r="E16" s="186"/>
      <c r="F16" s="186"/>
      <c r="G16" s="186"/>
      <c r="H16" s="186"/>
      <c r="I16" s="186"/>
      <c r="J16" s="186"/>
      <c r="K16" s="118">
        <v>1.03</v>
      </c>
      <c r="L16" s="52"/>
      <c r="M16" s="192"/>
      <c r="N16" s="71"/>
      <c r="O16" s="71"/>
      <c r="P16" s="71"/>
      <c r="Q16" s="71"/>
      <c r="R16" s="71"/>
      <c r="S16" s="71"/>
    </row>
    <row r="17" spans="1:20" ht="22.5" customHeight="1">
      <c r="A17" s="187"/>
      <c r="B17" s="188"/>
      <c r="C17" s="189"/>
      <c r="D17" s="189"/>
      <c r="E17" s="189"/>
      <c r="F17" s="189"/>
      <c r="G17" s="189"/>
      <c r="H17" s="189"/>
      <c r="I17" s="189"/>
      <c r="J17" s="189"/>
      <c r="K17" s="189"/>
      <c r="L17" s="189"/>
      <c r="M17" s="194"/>
      <c r="N17" s="71"/>
      <c r="O17" s="71"/>
      <c r="P17" s="71"/>
      <c r="Q17" s="71"/>
      <c r="R17" s="71"/>
      <c r="S17" s="71"/>
    </row>
    <row r="18" spans="1:20" ht="21" hidden="1" customHeight="1">
      <c r="N18" s="195"/>
      <c r="O18" s="195"/>
      <c r="P18" s="195"/>
      <c r="Q18" s="195"/>
      <c r="R18" s="195"/>
      <c r="S18" s="195"/>
      <c r="T18" s="195"/>
    </row>
    <row r="19" spans="1:20" ht="21" hidden="1" customHeight="1">
      <c r="N19" s="195"/>
      <c r="O19" s="195"/>
      <c r="P19" s="195"/>
      <c r="Q19" s="195"/>
      <c r="R19" s="195"/>
      <c r="S19" s="195"/>
      <c r="T19" s="195"/>
    </row>
    <row r="20" spans="1:20" hidden="1">
      <c r="N20" s="195"/>
      <c r="O20" s="195"/>
      <c r="P20" s="195"/>
      <c r="Q20" s="195"/>
      <c r="R20" s="195"/>
      <c r="S20" s="195"/>
      <c r="T20" s="195"/>
    </row>
    <row r="21" spans="1:20">
      <c r="N21" s="195"/>
      <c r="O21" s="196"/>
      <c r="P21" s="196"/>
      <c r="Q21" s="196"/>
      <c r="R21" s="196"/>
      <c r="S21" s="196"/>
      <c r="T21" s="195"/>
    </row>
    <row r="22" spans="1:20">
      <c r="N22" s="195"/>
      <c r="O22" s="196"/>
      <c r="P22" s="196"/>
      <c r="Q22" s="196"/>
      <c r="R22" s="196"/>
      <c r="S22" s="196"/>
      <c r="T22" s="195"/>
    </row>
    <row r="23" spans="1:20">
      <c r="D23" s="113">
        <v>256.64</v>
      </c>
      <c r="E23" s="113" t="s">
        <v>501</v>
      </c>
      <c r="F23" s="180">
        <v>106</v>
      </c>
      <c r="G23" s="113">
        <v>0.52</v>
      </c>
      <c r="H23" s="118">
        <f t="shared" ref="H23:H29" si="4">F23*G23</f>
        <v>55.12</v>
      </c>
      <c r="I23" s="113">
        <v>5.5</v>
      </c>
      <c r="J23" s="118">
        <f>(D23+H23+I23)*0.03*1.1</f>
        <v>10.469580000000001</v>
      </c>
      <c r="K23" s="118">
        <f t="shared" ref="K23:K29" si="5">D23+H23+I23+J23</f>
        <v>327.72958</v>
      </c>
    </row>
    <row r="24" spans="1:20">
      <c r="D24" s="113">
        <v>3941.13</v>
      </c>
      <c r="E24" s="113" t="s">
        <v>501</v>
      </c>
      <c r="F24" s="180">
        <v>25</v>
      </c>
      <c r="G24" s="113">
        <v>0.52</v>
      </c>
      <c r="H24" s="118">
        <f t="shared" si="4"/>
        <v>13</v>
      </c>
      <c r="I24" s="113">
        <v>5.5</v>
      </c>
      <c r="J24" s="118">
        <f>(D24+H24+I24)*0.02*1.1</f>
        <v>87.111859999999993</v>
      </c>
      <c r="K24" s="118">
        <f t="shared" si="5"/>
        <v>4046.7418600000001</v>
      </c>
    </row>
    <row r="25" spans="1:20">
      <c r="D25" s="113">
        <v>1688</v>
      </c>
      <c r="E25" s="113" t="s">
        <v>501</v>
      </c>
      <c r="F25" s="180">
        <v>25</v>
      </c>
      <c r="G25" s="113">
        <v>0.52</v>
      </c>
      <c r="H25" s="118">
        <f t="shared" si="4"/>
        <v>13</v>
      </c>
      <c r="I25" s="184">
        <f>I26</f>
        <v>3.12</v>
      </c>
      <c r="J25" s="118">
        <f>(D25+H25+I25)*0.025*1.1</f>
        <v>46.863300000000002</v>
      </c>
      <c r="K25" s="118">
        <f t="shared" si="5"/>
        <v>1750.9833000000001</v>
      </c>
    </row>
    <row r="26" spans="1:20">
      <c r="D26" s="113">
        <v>53.43</v>
      </c>
      <c r="E26" s="113" t="s">
        <v>501</v>
      </c>
      <c r="F26" s="180">
        <v>48</v>
      </c>
      <c r="G26" s="184">
        <f>1.56*0.48</f>
        <v>0.74880000000000002</v>
      </c>
      <c r="H26" s="118">
        <f t="shared" si="4"/>
        <v>35.942399999999999</v>
      </c>
      <c r="I26" s="184">
        <f>1.56*2</f>
        <v>3.12</v>
      </c>
      <c r="J26" s="118">
        <f t="shared" ref="J26:J29" si="6">(D26+H26+I26)*0.03*1.1</f>
        <v>3.0522491999999999</v>
      </c>
      <c r="K26" s="118">
        <f t="shared" si="5"/>
        <v>95.544649199999995</v>
      </c>
    </row>
    <row r="27" spans="1:20">
      <c r="D27" s="113">
        <v>38.83</v>
      </c>
      <c r="E27" s="113" t="s">
        <v>501</v>
      </c>
      <c r="F27" s="180">
        <v>25</v>
      </c>
      <c r="G27" s="118">
        <f>1.65*0.48</f>
        <v>0.79200000000000004</v>
      </c>
      <c r="H27" s="184">
        <f t="shared" si="4"/>
        <v>19.8</v>
      </c>
      <c r="I27" s="184">
        <f>1.65*2</f>
        <v>3.3</v>
      </c>
      <c r="J27" s="118">
        <f t="shared" si="6"/>
        <v>2.0436899999999998</v>
      </c>
      <c r="K27" s="118">
        <f t="shared" si="5"/>
        <v>63.973689999999998</v>
      </c>
    </row>
    <row r="28" spans="1:20">
      <c r="D28" s="113">
        <v>58.25</v>
      </c>
      <c r="E28" s="113" t="s">
        <v>501</v>
      </c>
      <c r="F28" s="180">
        <v>30</v>
      </c>
      <c r="G28" s="118">
        <f>1.8*0.48</f>
        <v>0.86399999999999999</v>
      </c>
      <c r="H28" s="184">
        <f t="shared" si="4"/>
        <v>25.92</v>
      </c>
      <c r="I28" s="113">
        <f>1.8*2</f>
        <v>3.6</v>
      </c>
      <c r="J28" s="118">
        <f t="shared" si="6"/>
        <v>2.8964099999999999</v>
      </c>
      <c r="K28" s="118">
        <f t="shared" si="5"/>
        <v>90.666409999999999</v>
      </c>
    </row>
    <row r="29" spans="1:20">
      <c r="D29" s="113">
        <f>25/1.09</f>
        <v>22.935779816513801</v>
      </c>
      <c r="E29" s="113" t="s">
        <v>501</v>
      </c>
      <c r="F29" s="180">
        <v>25</v>
      </c>
      <c r="G29" s="118">
        <f>1.8*0.48</f>
        <v>0.86399999999999999</v>
      </c>
      <c r="H29" s="184">
        <f t="shared" si="4"/>
        <v>21.6</v>
      </c>
      <c r="I29" s="113">
        <f>1.8*2</f>
        <v>3.6</v>
      </c>
      <c r="J29" s="118">
        <f t="shared" si="6"/>
        <v>1.58848073394495</v>
      </c>
      <c r="K29" s="118">
        <f t="shared" si="5"/>
        <v>49.724260550458702</v>
      </c>
    </row>
  </sheetData>
  <mergeCells count="1">
    <mergeCell ref="A2:M2"/>
  </mergeCells>
  <phoneticPr fontId="79" type="noConversion"/>
  <printOptions horizontalCentered="1"/>
  <pageMargins left="1.18055555555556" right="1.18055555555556" top="1.18055555555556" bottom="1.18055555555556" header="0.90486111111111101" footer="0.90486111111111101"/>
  <pageSetup paperSize="9" orientation="landscape" horizontalDpi="72" verticalDpi="72"/>
  <headerFooter alignWithMargins="0">
    <oddFooter>&amp;C&amp;9&amp;P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21</vt:i4>
      </vt:variant>
      <vt:variant>
        <vt:lpstr>命名范围</vt:lpstr>
      </vt:variant>
      <vt:variant>
        <vt:i4>8</vt:i4>
      </vt:variant>
    </vt:vector>
  </HeadingPairs>
  <TitlesOfParts>
    <vt:vector size="29" baseType="lpstr">
      <vt:lpstr>总</vt:lpstr>
      <vt:lpstr>渠道工程</vt:lpstr>
      <vt:lpstr>金结</vt:lpstr>
      <vt:lpstr>占地</vt:lpstr>
      <vt:lpstr>建筑单价汇总</vt:lpstr>
      <vt:lpstr>主要材料汇总</vt:lpstr>
      <vt:lpstr>次要材料汇总</vt:lpstr>
      <vt:lpstr>施工机械台时汇总</vt:lpstr>
      <vt:lpstr>材料预算价格表</vt:lpstr>
      <vt:lpstr>设计费</vt:lpstr>
      <vt:lpstr>台时</vt:lpstr>
      <vt:lpstr>管道安装</vt:lpstr>
      <vt:lpstr>砼配合</vt:lpstr>
      <vt:lpstr>砼单价</vt:lpstr>
      <vt:lpstr>钢筋</vt:lpstr>
      <vt:lpstr>砌石</vt:lpstr>
      <vt:lpstr>土石方</vt:lpstr>
      <vt:lpstr>生物</vt:lpstr>
      <vt:lpstr>管材</vt:lpstr>
      <vt:lpstr>取费</vt:lpstr>
      <vt:lpstr>Sheet1</vt:lpstr>
      <vt:lpstr>材料预算价格表!Print_Area</vt:lpstr>
      <vt:lpstr>次要材料汇总!Print_Area</vt:lpstr>
      <vt:lpstr>建筑单价汇总!Print_Area</vt:lpstr>
      <vt:lpstr>施工机械台时汇总!Print_Area</vt:lpstr>
      <vt:lpstr>总!Print_Area</vt:lpstr>
      <vt:lpstr>建筑单价汇总!Print_Titles</vt:lpstr>
      <vt:lpstr>施工机械台时汇总!Print_Titles</vt:lpstr>
      <vt:lpstr>台时!Print_Titles</vt:lpstr>
    </vt:vector>
  </TitlesOfParts>
  <Company>gy</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tnsh</dc:creator>
  <cp:lastModifiedBy>马军</cp:lastModifiedBy>
  <cp:lastPrinted>2017-11-07T01:44:00Z</cp:lastPrinted>
  <dcterms:created xsi:type="dcterms:W3CDTF">1999-01-17T09:05:00Z</dcterms:created>
  <dcterms:modified xsi:type="dcterms:W3CDTF">2019-10-30T07:11:36Z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2052-11.1.0.9098</vt:lpwstr>
  </property>
  <property fmtid="{D5CDD505-2E9C-101B-9397-08002B2CF9AE}" pid="3" name="KSOReadingLayout">
    <vt:bool>true</vt:bool>
  </property>
</Properties>
</file>