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45" windowHeight="9390" tabRatio="794" activeTab="0"/>
  </bookViews>
  <sheets>
    <sheet name="总概算表" sheetId="1" r:id="rId1"/>
    <sheet name="建筑概算表" sheetId="2" r:id="rId2"/>
    <sheet name="建筑物概 " sheetId="3" r:id="rId3"/>
    <sheet name="单价汇总" sheetId="4" r:id="rId4"/>
    <sheet name="单价分析" sheetId="5" r:id="rId5"/>
    <sheet name="配合" sheetId="6" r:id="rId6"/>
    <sheet name="台班总" sheetId="7" r:id="rId7"/>
    <sheet name="机械台班" sheetId="8" r:id="rId8"/>
    <sheet name="单价表" sheetId="9" r:id="rId9"/>
    <sheet name="概算" sheetId="10" state="hidden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</externalReferences>
  <definedNames>
    <definedName name="__PA7">'[1]SW-TEO'!#REF!</definedName>
    <definedName name="__PA8">'[1]SW-TEO'!#REF!</definedName>
    <definedName name="__PD1">'[1]SW-TEO'!#REF!</definedName>
    <definedName name="__PE12">'[1]SW-TEO'!#REF!</definedName>
    <definedName name="__PE13">'[1]SW-TEO'!#REF!</definedName>
    <definedName name="__PE6">'[1]SW-TEO'!#REF!</definedName>
    <definedName name="__PE7">'[1]SW-TEO'!#REF!</definedName>
    <definedName name="__PE8">'[1]SW-TEO'!#REF!</definedName>
    <definedName name="__PE9">'[1]SW-TEO'!#REF!</definedName>
    <definedName name="__PH1">'[1]SW-TEO'!#REF!</definedName>
    <definedName name="__PI1">'[1]SW-TEO'!#REF!</definedName>
    <definedName name="__PK1">'[1]SW-TEO'!#REF!</definedName>
    <definedName name="__PK3">'[1]SW-TEO'!#REF!</definedName>
    <definedName name="_120度弯头φ120">'[2]附表2材料价格表'!#REF!</definedName>
    <definedName name="_120度弯头φ140">'[2]附表2材料价格表'!#REF!</definedName>
    <definedName name="_120度弯头φ160">'[2]附表2材料价格表'!#REF!</definedName>
    <definedName name="_1单元">#REF!</definedName>
    <definedName name="_2m3装载机">'[2]附表3机械台班'!#REF!</definedName>
    <definedName name="_2单元">#REF!</definedName>
    <definedName name="_32.5水泥">'[2]附表2材料价格表'!#REF!</definedName>
    <definedName name="_Fill" hidden="1">'[3]eqpmad2'!#REF!</definedName>
    <definedName name="_PA7">'[1]SW-TEO'!#REF!</definedName>
    <definedName name="_PA8">'[1]SW-TEO'!#REF!</definedName>
    <definedName name="_PD1">'[1]SW-TEO'!#REF!</definedName>
    <definedName name="_PE12">'[1]SW-TEO'!#REF!</definedName>
    <definedName name="_PE13">'[1]SW-TEO'!#REF!</definedName>
    <definedName name="_PE20">'[4]附表2'!#REF!</definedName>
    <definedName name="_PE40">'[4]附表2'!#REF!</definedName>
    <definedName name="_PE6">'[1]SW-TEO'!#REF!</definedName>
    <definedName name="_PE7">'[1]SW-TEO'!#REF!</definedName>
    <definedName name="_PE8">'[1]SW-TEO'!#REF!</definedName>
    <definedName name="_PE9">'[1]SW-TEO'!#REF!</definedName>
    <definedName name="_PH1">'[1]SW-TEO'!#REF!</definedName>
    <definedName name="_PI1">'[1]SW-TEO'!#REF!</definedName>
    <definedName name="_PK1">'[1]SW-TEO'!#REF!</definedName>
    <definedName name="_PK3">'[1]SW-TEO'!#REF!</definedName>
    <definedName name="_PVC11008">'[4]附表2'!#REF!</definedName>
    <definedName name="_PVC16008">'[4]附表2'!#REF!</definedName>
    <definedName name="_PVC20008">'[4]附表2'!#REF!</definedName>
    <definedName name="_PVC25008">'[4]附表2'!#REF!</definedName>
    <definedName name="_PVC31508">'[4]附表2'!#REF!</definedName>
    <definedName name="_PVC9006">'[4]附表2'!#REF!</definedName>
    <definedName name="_PVC9008">'[4]附表2'!#REF!</definedName>
    <definedName name="￠160PVC管_0.6pa">'[2]附表2材料价格表'!#REF!</definedName>
    <definedName name="￠180PVC管_0.6pa">'[2]附表2材料价格表'!#REF!</definedName>
    <definedName name="￠90PVC管_0.6pa">'[2]附表2材料价格表'!#REF!</definedName>
    <definedName name="aa">#REF!</definedName>
    <definedName name="aiu_bottom">'[5]Financ. Overview'!#REF!</definedName>
    <definedName name="anscount" hidden="1">5</definedName>
    <definedName name="Bust">'[6]00000ppy'!$C$31</definedName>
    <definedName name="cc" hidden="1">{"'现金流量表（全部投资）'!$B$4:$P$23"}</definedName>
    <definedName name="Continue">'[6]00000ppy'!$C$9</definedName>
    <definedName name="dd" hidden="1">{"'现金流量表（全部投资）'!$B$4:$P$23"}</definedName>
    <definedName name="dj">'[7]5'!$F$1</definedName>
    <definedName name="ee" hidden="1">{"'现金流量表（全部投资）'!$B$4:$P$23"}</definedName>
    <definedName name="FRC">'[8]Main'!$C$9</definedName>
    <definedName name="Hello">'[6]00000ppy'!$A$15</definedName>
    <definedName name="hostfee">'[5]Financ. Overview'!$H$12</definedName>
    <definedName name="hraiu_bottom">'[5]Financ. Overview'!#REF!</definedName>
    <definedName name="HTML_CodePage" hidden="1">936</definedName>
    <definedName name="HTML_Control" hidden="1">{"'现金流量表（全部投资）'!$B$4:$P$23"}</definedName>
    <definedName name="HTML_Description" hidden="1">"lin zijian"</definedName>
    <definedName name="HTML_Email" hidden="1">""</definedName>
    <definedName name="HTML_Header" hidden="1">"现金流量表（全部投资）"</definedName>
    <definedName name="HTML_LastUpdate" hidden="1">"96-12-2"</definedName>
    <definedName name="HTML_LineAfter" hidden="1">TRUE</definedName>
    <definedName name="HTML_LineBefore" hidden="1">TRUE</definedName>
    <definedName name="HTML_Name" hidden="1">"linzijia"</definedName>
    <definedName name="HTML_OBDlg2" hidden="1">TRUE</definedName>
    <definedName name="HTML_OBDlg4" hidden="1">TRUE</definedName>
    <definedName name="HTML_OS" hidden="1">0</definedName>
    <definedName name="HTML_PathFile" hidden="1">"C:\lin\bk\MyHTML.htm"</definedName>
    <definedName name="HTML_Title" hidden="1">"PROJECT11"</definedName>
    <definedName name="hvac">'[5]Financ. Overview'!#REF!</definedName>
    <definedName name="HWSheet">1</definedName>
    <definedName name="IS80_50_250">'[2]附表2材料价格表'!#REF!</definedName>
    <definedName name="kl">#REF!</definedName>
    <definedName name="LCountry">'[9]数据字典'!$Q$2:$Q$246</definedName>
    <definedName name="LGender">'[10]数据字典'!$L$2:$L$3</definedName>
    <definedName name="limcount" hidden="1">5</definedName>
    <definedName name="LPZone">'[9]数据字典'!$L$12:$L$42</definedName>
    <definedName name="M10浆砌砖基础">'[11]附表4直接工程费单价表'!#REF!</definedName>
    <definedName name="MakeIt">'[6]00000ppy'!$A$26</definedName>
    <definedName name="Module.Prix_SMC">[0]!Module.Prix_SMC</definedName>
    <definedName name="Morning">'[6]00000ppy'!$C$39</definedName>
    <definedName name="OS">'[12]Open'!#REF!</definedName>
    <definedName name="Poppy">'[6]00000ppy'!$C$27</definedName>
    <definedName name="pr_toolbox">'[5]Toolbox'!$A$3:$I$80</definedName>
    <definedName name="_xlnm.Print_Area" localSheetId="9">'概算'!$A$1:$G$256</definedName>
    <definedName name="_xlnm.Print_Titles" localSheetId="3">'单价汇总'!$1:$3</definedName>
    <definedName name="_xlnm.Print_Titles" localSheetId="9">'概算'!$1:$3</definedName>
    <definedName name="_xlnm.Print_Titles" localSheetId="1">'建筑概算表'!$1:$3</definedName>
    <definedName name="_xlnm.Print_Titles" localSheetId="2">'建筑物概 '!$1:$3</definedName>
    <definedName name="Print_titles1">'[13]定额'!$1:$3</definedName>
    <definedName name="PVC变径短管1.5寸">'[2]附表2材料价格表'!#REF!</definedName>
    <definedName name="PVC堵头φ40">'[2]附表2材料价格表'!#REF!</definedName>
    <definedName name="PVC活节φ1.5寸">'[2]附表2材料价格表'!#REF!</definedName>
    <definedName name="PVC连丝1.5寸">'[2]附表2材料价格表'!#REF!</definedName>
    <definedName name="PVC球阀1.5寸">'[2]附表2材料价格表'!#REF!</definedName>
    <definedName name="PVC三通φ16×16×16">'[2]附表2材料价格表'!#REF!</definedName>
    <definedName name="PVC三通φ40×1.5×40">'[2]附表2材料价格表'!#REF!</definedName>
    <definedName name="PVC塑管φ40">'[2]附表2材料价格表'!#REF!</definedName>
    <definedName name="PVC直通φ16">'[2]附表2材料价格表'!#REF!</definedName>
    <definedName name="q">#REF!</definedName>
    <definedName name="QJ30_240_12_200">'[2]附表2材料价格表'!#REF!</definedName>
    <definedName name="QJ50_120_12_250">'[2]附表2材料价格表'!#REF!</definedName>
    <definedName name="s_c_list">'[14]Toolbox'!$A$7:$H$969</definedName>
    <definedName name="SCG">'[15]G.1R-Shou COP Gf'!#REF!</definedName>
    <definedName name="sdlfee">'[5]Financ. Overview'!$H$13</definedName>
    <definedName name="sencount" hidden="1">1</definedName>
    <definedName name="solar_ratio">'[16]POWER ASSUMPTIONS'!$H$7</definedName>
    <definedName name="ss" hidden="1">{"'现金流量表（全部投资）'!$B$4:$P$23"}</definedName>
    <definedName name="ss7fee">'[5]Financ. Overview'!$H$18</definedName>
    <definedName name="subsfee">'[5]Financ. Overview'!$H$14</definedName>
    <definedName name="toolbox">'[17]Toolbox'!$C$5:$T$1578</definedName>
    <definedName name="UPVC管道Φ100">'[11]附表2材料价格计算表'!#REF!</definedName>
    <definedName name="UPVC管道Φ50">'[11]附表2材料价格计算表'!#REF!</definedName>
    <definedName name="UT线夹_NUT_2">'[2]附表2材料价格表'!#REF!</definedName>
    <definedName name="UT线夹NUT_2">'[2]附表2材料价格表'!#REF!</definedName>
    <definedName name="UT型线夹NUT_1">'[2]附表2材料价格表'!#REF!</definedName>
    <definedName name="UT型线夹NUT2">'[11]附表2材料价格计算表'!#REF!</definedName>
    <definedName name="U型抱箍U16_200">'[2]附表2材料价格表'!#REF!</definedName>
    <definedName name="U型挂环U_16">'[2]附表2材料价格表'!#REF!</definedName>
    <definedName name="U型挂环U_7">'[2]附表2材料价格表'!#REF!</definedName>
    <definedName name="V5.1Fee">'[5]Financ. Overview'!$H$15</definedName>
    <definedName name="w">#REF!</definedName>
    <definedName name="x">#REF!</definedName>
    <definedName name="z">#REF!</definedName>
    <definedName name="Z_D416CCE0_90DA_11D2_8B33_444553540000_.wvu.Cols" hidden="1">'[13]材料表'!$E:$E,'[13]材料表'!$J:$L</definedName>
    <definedName name="Z_D416CCE0_90DA_11D2_8B33_444553540000_.wvu.PrintTitles" hidden="1">#REF!</definedName>
    <definedName name="Z_E7D01C20_B8FC_11D1_9E4F_B5D6E120E308_.wvu.Cols" hidden="1">'[13]材料表'!$E:$E,'[13]材料表'!$J:$L</definedName>
    <definedName name="Z_E7D01C20_B8FC_11D1_9E4F_B5D6E120E308_.wvu.PrintTitles" hidden="1">#REF!</definedName>
    <definedName name="Z32_Cost_red">'[5]Financ. Overview'!#REF!</definedName>
    <definedName name="φ10PVC管">'[2]附表2材料价格表'!#REF!</definedName>
    <definedName name="φ225沉淀管">'[2]附表2材料价格表'!#REF!</definedName>
    <definedName name="φ225滤水管">'[2]附表2材料价格表'!#REF!</definedName>
    <definedName name="φ310铸铁管">'[2]附表2材料价格表'!#REF!</definedName>
    <definedName name="φ350铸铁管">'[2]附表2材料价格表'!#REF!</definedName>
    <definedName name="安全阀Dg120">'[2]附表2材料价格表'!#REF!</definedName>
    <definedName name="安全阀Dg90">'[2]附表2材料价格表'!#REF!</definedName>
    <definedName name="安装单价">#REF!</definedName>
    <definedName name="安装工程机械系数">#REF!</definedName>
    <definedName name="安装工程量">#REF!</definedName>
    <definedName name="柏树">'[2]附表2材料价格表'!#REF!</definedName>
    <definedName name="板枋材">#REF!</definedName>
    <definedName name="备">'[18]#REF'!$I$2</definedName>
    <definedName name="苯板">'[11]附表2材料价格计算表'!#REF!</definedName>
    <definedName name="避雷器HY5WS_17_50">'[2]附表2材料价格表'!#REF!</definedName>
    <definedName name="编">'[18]#REF'!$A$2</definedName>
    <definedName name="扁钢">'[2]附表2材料价格表'!#REF!</definedName>
    <definedName name="变电构架安装__离心杆构架独">'[19]定额'!#REF!</definedName>
    <definedName name="变电构架安装离心杆构架">'[20]定额'!#REF!</definedName>
    <definedName name="变径11090">'[4]附表2'!#REF!</definedName>
    <definedName name="变径160110">'[4]附表2'!#REF!</definedName>
    <definedName name="变径16090">'[4]附表2'!#REF!</definedName>
    <definedName name="变径200125">'[4]附表2'!#REF!</definedName>
    <definedName name="变径200160">'[4]附表2'!#REF!</definedName>
    <definedName name="变径250125">'[4]附表2'!#REF!</definedName>
    <definedName name="变径250200">'[4]附表2'!#REF!</definedName>
    <definedName name="变径250300">'[4]附表2'!#REF!</definedName>
    <definedName name="变径315200">'[4]附表2'!#REF!</definedName>
    <definedName name="变径315250">'[4]附表2'!#REF!</definedName>
    <definedName name="变径三通Dg180×90">'[2]附表2材料价格表'!#REF!</definedName>
    <definedName name="变径三通φ110×80×90">'[2]附表2材料价格表'!#REF!</definedName>
    <definedName name="变径三通φ125×80×110">'[2]附表2材料价格表'!#REF!</definedName>
    <definedName name="变径三通φ160×80×110">'[2]附表2材料价格表'!#REF!</definedName>
    <definedName name="变径三通φ160×80×125">'[2]附表2材料价格表'!#REF!</definedName>
    <definedName name="变径三通φ200×80×160">'[2]附表2材料价格表'!#REF!</definedName>
    <definedName name="变频机组8.5kvA">'[2]附表3机械台班'!#REF!</definedName>
    <definedName name="变频振捣器4.5kw">#REF!</definedName>
    <definedName name="变压器160KVA">'[2]附表2材料价格表'!#REF!</definedName>
    <definedName name="变压器80KVA">'[2]附表2材料价格表'!#REF!</definedName>
    <definedName name="变压器油">'[11]附表2材料价格计算表'!#REF!</definedName>
    <definedName name="并沟线夹_BJ_2">'[2]附表2材料价格表'!#REF!</definedName>
    <definedName name="并沟线夹1635mm">'[11]附表2材料价格计算表'!#REF!</definedName>
    <definedName name="并沟线夹BJ_2">'[2]附表2材料价格表'!#REF!</definedName>
    <definedName name="并沟线夹JB2">'[11]附表2材料价格计算表'!#REF!</definedName>
    <definedName name="玻璃">'[2]附表2材料价格表'!#REF!</definedName>
    <definedName name="补充">'[4]附表4单价'!#REF!</definedName>
    <definedName name="不可预见费">#REF!</definedName>
    <definedName name="不可预见费南">'[21]表6不可预见费南 '!$H$10</definedName>
    <definedName name="材">'[2]附表5直接工程费单价表'!#REF!</definedName>
    <definedName name="材1_23_1">0</definedName>
    <definedName name="材10001">'[2]附表5直接工程费单价表'!#REF!</definedName>
    <definedName name="材100017">'[11]附表4直接工程费单价表'!#REF!</definedName>
    <definedName name="材10002">'[2]附表5直接工程费单价表'!#REF!</definedName>
    <definedName name="材100023">'[11]附表4直接工程费单价表'!#REF!</definedName>
    <definedName name="材10003">'[2]附表5直接工程费单价表'!#REF!</definedName>
    <definedName name="材100049">'[11]附表4直接工程费单价表'!#REF!</definedName>
    <definedName name="材10008">'[2]附表5直接工程费单价表'!#REF!</definedName>
    <definedName name="材10019">'[2]附表5直接工程费单价表'!#REF!</definedName>
    <definedName name="材10020">'[2]附表5直接工程费单价表'!#REF!</definedName>
    <definedName name="材10021">'[2]附表5直接工程费单价表'!#REF!</definedName>
    <definedName name="材10045">'[2]附表5直接工程费单价表'!#REF!</definedName>
    <definedName name="材10047">'[2]附表5直接工程费单价表'!#REF!</definedName>
    <definedName name="材10049">'[2]附表5直接工程费单价表'!#REF!</definedName>
    <definedName name="材10052">'[2]附表5直接工程费单价表'!#REF!</definedName>
    <definedName name="材10054">'[2]附表5直接工程费单价表'!#REF!</definedName>
    <definedName name="材10056">'[2]附表5直接工程费单价表'!#REF!</definedName>
    <definedName name="材10066">'[2]附表5直接工程费单价表'!#REF!</definedName>
    <definedName name="材10071">'[2]附表5直接工程费单价表'!#REF!</definedName>
    <definedName name="材10075">'[2]附表5直接工程费单价表'!#REF!</definedName>
    <definedName name="材10090">'[2]附表5直接工程费单价表'!#REF!</definedName>
    <definedName name="材10095">'[2]附表5直接工程费单价表'!#REF!</definedName>
    <definedName name="材10114">'[2]附表5直接工程费单价表'!#REF!</definedName>
    <definedName name="材10116">'[2]附表5直接工程费单价表'!#REF!</definedName>
    <definedName name="材10118">'[2]附表5直接工程费单价表'!#REF!</definedName>
    <definedName name="材10204">'[2]附表5直接工程费单价表'!#REF!</definedName>
    <definedName name="材10269">'[2]附表5直接工程费单价表'!#REF!</definedName>
    <definedName name="材10270">'[2]附表5直接工程费单价表'!#REF!</definedName>
    <definedName name="材10271">'[2]附表5直接工程费单价表'!#REF!</definedName>
    <definedName name="材10272">'[2]附表5直接工程费单价表'!#REF!</definedName>
    <definedName name="材10273">'[2]附表5直接工程费单价表'!#REF!</definedName>
    <definedName name="材10275">'[2]附表5直接工程费单价表'!#REF!</definedName>
    <definedName name="材10277">'[2]附表5直接工程费单价表'!#REF!</definedName>
    <definedName name="材10278">'[2]附表5直接工程费单价表'!#REF!</definedName>
    <definedName name="材10279">'[2]附表5直接工程费单价表'!#REF!</definedName>
    <definedName name="材10279A">'[2]附表5直接工程费单价表'!#REF!</definedName>
    <definedName name="材10280">'[2]附表5直接工程费单价表'!#REF!</definedName>
    <definedName name="材10280A">'[2]附表5直接工程费单价表'!#REF!</definedName>
    <definedName name="材10281">'[2]附表5直接工程费单价表'!#REF!</definedName>
    <definedName name="材10281A">'[2]附表5直接工程费单价表'!#REF!</definedName>
    <definedName name="材10282">'[2]附表5直接工程费单价表'!#REF!</definedName>
    <definedName name="材10282A">'[2]附表5直接工程费单价表'!#REF!</definedName>
    <definedName name="材10283">'[2]附表5直接工程费单价表'!#REF!</definedName>
    <definedName name="材10283A">'[2]附表5直接工程费单价表'!#REF!</definedName>
    <definedName name="材10309">'[2]附表5直接工程费单价表'!#REF!</definedName>
    <definedName name="材10310">'[2]附表5直接工程费单价表'!#REF!</definedName>
    <definedName name="材10311">'[2]附表5直接工程费单价表'!#REF!</definedName>
    <definedName name="材10339">'[2]附表5直接工程费单价表'!#REF!</definedName>
    <definedName name="材10345">'[2]附表5直接工程费单价表'!#REF!</definedName>
    <definedName name="材10360">'[2]附表5直接工程费单价表'!#REF!</definedName>
    <definedName name="材10361">'[2]附表5直接工程费单价表'!#REF!</definedName>
    <definedName name="材10365">'[2]附表5直接工程费单价表'!#REF!</definedName>
    <definedName name="材10366">'[2]附表5直接工程费单价表'!#REF!</definedName>
    <definedName name="材10367">'[2]附表5直接工程费单价表'!#REF!</definedName>
    <definedName name="材10464">'[2]附表5直接工程费单价表'!#REF!</definedName>
    <definedName name="材10465">'[2]附表5直接工程费单价表'!#REF!</definedName>
    <definedName name="材10469">'[2]附表5直接工程费单价表'!#REF!</definedName>
    <definedName name="材10469A">'[2]附表5直接工程费单价表'!#REF!</definedName>
    <definedName name="材10473">'[2]附表5直接工程费单价表'!#REF!</definedName>
    <definedName name="材10474">'[2]附表5直接工程费单价表'!#REF!</definedName>
    <definedName name="材12001">'[2]附表5直接工程费单价表'!#REF!</definedName>
    <definedName name="材12074">'[2]附表5直接工程费单价表'!#REF!</definedName>
    <definedName name="材12075">'[2]附表5直接工程费单价表'!#REF!</definedName>
    <definedName name="材2_19_3">'[2]附表5直接工程费单价表'!#REF!</definedName>
    <definedName name="材2_19_4">'[2]附表5直接工程费单价表'!#REF!</definedName>
    <definedName name="材20484">'[2]附表5直接工程费单价表'!#REF!</definedName>
    <definedName name="材20485">'[2]附表5直接工程费单价表'!#REF!</definedName>
    <definedName name="材20488">'[2]附表5直接工程费单价表'!#REF!</definedName>
    <definedName name="材30001">'[2]附表5直接工程费单价表'!#REF!</definedName>
    <definedName name="材30002">'[2]附表5直接工程费单价表'!#REF!</definedName>
    <definedName name="材30016">'[2]附表5直接工程费单价表'!#REF!</definedName>
    <definedName name="材30019">'[2]附表5直接工程费单价表'!#REF!</definedName>
    <definedName name="材30020">'[2]附表5直接工程费单价表'!#REF!</definedName>
    <definedName name="材30021">'[2]附表5直接工程费单价表'!#REF!</definedName>
    <definedName name="材30022">'[2]附表5直接工程费单价表'!#REF!</definedName>
    <definedName name="材30023">'[2]附表5直接工程费单价表'!#REF!</definedName>
    <definedName name="材30024">'[2]附表5直接工程费单价表'!#REF!</definedName>
    <definedName name="材30025">'[2]附表5直接工程费单价表'!#REF!</definedName>
    <definedName name="材30027">'[2]附表5直接工程费单价表'!#REF!</definedName>
    <definedName name="材30028">'[11]附表4直接工程费单价表'!#REF!</definedName>
    <definedName name="材30038">'[2]附表5直接工程费单价表'!#REF!</definedName>
    <definedName name="材30048">'[2]附表5直接工程费单价表'!#REF!</definedName>
    <definedName name="材30048、30051">'[2]附表5直接工程费单价表'!#REF!</definedName>
    <definedName name="材30049">'[2]附表5直接工程费单价表'!#REF!</definedName>
    <definedName name="材30064">'[11]附表4直接工程费单价表'!#REF!</definedName>
    <definedName name="材30067">'[11]附表4直接工程费单价表'!#REF!</definedName>
    <definedName name="材40004">'[11]附表4直接工程费单价表'!#REF!</definedName>
    <definedName name="材40006">'[22]直接工程费'!$F$192</definedName>
    <definedName name="材40006b">'[11]附表4直接工程费单价表'!#REF!</definedName>
    <definedName name="材40006细石">'[11]附表4直接工程费单价表'!#REF!</definedName>
    <definedName name="材40030">'[11]附表4直接工程费单价表'!#REF!</definedName>
    <definedName name="材40031">'[2]附表5直接工程费单价表'!#REF!</definedName>
    <definedName name="材4003115">'[11]附表4直接工程费单价表'!#REF!</definedName>
    <definedName name="材40041b">'[11]附表4直接工程费单价表'!#REF!</definedName>
    <definedName name="材40056">'[11]附表4直接工程费单价表'!#REF!</definedName>
    <definedName name="材40058">'[2]附表5直接工程费单价表'!#REF!</definedName>
    <definedName name="材40058A">'[2]附表5直接工程费单价表'!#REF!</definedName>
    <definedName name="材40061">'[2]附表5直接工程费单价表'!#REF!</definedName>
    <definedName name="材40062">'[2]附表5直接工程费单价表'!#REF!</definedName>
    <definedName name="材40063">'[11]附表4直接工程费单价表'!#REF!</definedName>
    <definedName name="材40064">'[11]附表4直接工程费单价表'!#REF!</definedName>
    <definedName name="材40067">'[2]附表5直接工程费单价表'!#REF!</definedName>
    <definedName name="材40067A">'[2]附表5直接工程费单价表'!#REF!</definedName>
    <definedName name="材40068">'[2]附表5直接工程费单价表'!#REF!</definedName>
    <definedName name="材40069">'[2]附表5直接工程费单价表'!#REF!</definedName>
    <definedName name="材40070">'[2]附表5直接工程费单价表'!#REF!</definedName>
    <definedName name="材40072">'[2]附表5直接工程费单价表'!#REF!</definedName>
    <definedName name="材40073">'[11]附表4直接工程费单价表'!#REF!</definedName>
    <definedName name="材40074">'[2]附表5直接工程费单价表'!#REF!</definedName>
    <definedName name="材40075">'[2]附表5直接工程费单价表'!#REF!</definedName>
    <definedName name="材40076">'[2]附表5直接工程费单价表'!#REF!</definedName>
    <definedName name="材4007620">'[11]附表4直接工程费单价表'!#REF!</definedName>
    <definedName name="材40077">'[11]附表4直接工程费单价表'!#REF!</definedName>
    <definedName name="材40079">'[11]附表4直接工程费单价表'!#REF!</definedName>
    <definedName name="材40090">'[2]附表5直接工程费单价表'!#REF!</definedName>
    <definedName name="材40096">'[2]附表5直接工程费单价表'!#REF!</definedName>
    <definedName name="材40101">'[2]附表5直接工程费单价表'!#REF!</definedName>
    <definedName name="材40101A">'[2]附表5直接工程费单价表'!#REF!</definedName>
    <definedName name="材40101B">'[2]附表5直接工程费单价表'!#REF!</definedName>
    <definedName name="材40109">'[2]附表5直接工程费单价表'!#REF!</definedName>
    <definedName name="材40110">'[2]附表5直接工程费单价表'!#REF!</definedName>
    <definedName name="材40111">'[2]附表5直接工程费单价表'!#REF!</definedName>
    <definedName name="材40112">'[2]附表5直接工程费单价表'!#REF!</definedName>
    <definedName name="材40113">'[2]附表5直接工程费单价表'!#REF!</definedName>
    <definedName name="材40114">'[2]附表5直接工程费单价表'!#REF!</definedName>
    <definedName name="材40115">'[11]附表4直接工程费单价表'!#REF!</definedName>
    <definedName name="材40116">'[11]附表4直接工程费单价表'!#REF!</definedName>
    <definedName name="材40117">'[2]附表5直接工程费单价表'!#REF!</definedName>
    <definedName name="材40118">'[2]附表5直接工程费单价表'!#REF!</definedName>
    <definedName name="材40120">'[2]附表5直接工程费单价表'!#REF!</definedName>
    <definedName name="材40124">'[2]附表5直接工程费单价表'!#REF!</definedName>
    <definedName name="材40125">'[2]附表5直接工程费单价表'!#REF!</definedName>
    <definedName name="材40133">'[11]附表4直接工程费单价表'!#REF!</definedName>
    <definedName name="材40134">'[2]附表5直接工程费单价表'!#REF!</definedName>
    <definedName name="材40143">'[2]附表5直接工程费单价表'!#REF!</definedName>
    <definedName name="材40203">'[11]附表4直接工程费单价表'!#REF!</definedName>
    <definedName name="材40210">'[11]附表4直接工程费单价表'!#REF!</definedName>
    <definedName name="材40214苯">'[11]附表4直接工程费单价表'!#REF!</definedName>
    <definedName name="材40224">'[2]附表5直接工程费单价表'!#REF!</definedName>
    <definedName name="材40260">'[2]附表5直接工程费单价表'!#REF!</definedName>
    <definedName name="材40263">'[2]附表5直接工程费单价表'!#REF!</definedName>
    <definedName name="材40271">'[2]附表5直接工程费单价表'!#REF!</definedName>
    <definedName name="材40286">'[2]附表5直接工程费单价表'!#REF!</definedName>
    <definedName name="材40287">'[2]附表5直接工程费单价表'!#REF!</definedName>
    <definedName name="材40288">'[2]附表5直接工程费单价表'!#REF!</definedName>
    <definedName name="材40289">'[2]附表5直接工程费单价表'!#REF!</definedName>
    <definedName name="材40289A">'[2]附表5直接工程费单价表'!#REF!</definedName>
    <definedName name="材40306">'[2]附表5直接工程费单价表'!#REF!</definedName>
    <definedName name="材40306A">'[2]附表5直接工程费单价表'!#REF!</definedName>
    <definedName name="材40306B">'[2]附表5直接工程费单价表'!#REF!</definedName>
    <definedName name="材50003">'[2]附表5直接工程费单价表'!#REF!</definedName>
    <definedName name="材50004">'[2]附表5直接工程费单价表'!#REF!</definedName>
    <definedName name="材50005">'[2]附表5直接工程费单价表'!#REF!</definedName>
    <definedName name="材50006">'[2]附表5直接工程费单价表'!#REF!</definedName>
    <definedName name="材50014">'[23]附表4工程费单价表'!#REF!</definedName>
    <definedName name="材50045">'[2]附表5直接工程费单价表'!#REF!</definedName>
    <definedName name="材50046">'[2]附表5直接工程费单价表'!#REF!</definedName>
    <definedName name="材50049">'[2]附表5直接工程费单价表'!#REF!</definedName>
    <definedName name="材50050">'[2]附表5直接工程费单价表'!#REF!</definedName>
    <definedName name="材50064">'[11]附表4直接工程费单价表'!#REF!</definedName>
    <definedName name="材50067">'[11]附表4直接工程费单价表'!#REF!</definedName>
    <definedName name="材50113">'[23]附表4工程费单价表'!#REF!</definedName>
    <definedName name="材50115">0</definedName>
    <definedName name="材70007">'[11]附表4直接工程费单价表'!#REF!</definedName>
    <definedName name="材70013">'[11]附表4直接工程费单价表'!#REF!</definedName>
    <definedName name="材70014">'[11]附表4直接工程费单价表'!#REF!</definedName>
    <definedName name="材70070">'[11]附表4直接工程费单价表'!#REF!</definedName>
    <definedName name="材70105">'[11]附表4直接工程费单价表'!#REF!</definedName>
    <definedName name="材70106">'[11]附表4直接工程费单价表'!#REF!</definedName>
    <definedName name="材70125">'[11]附表4直接工程费单价表'!#REF!</definedName>
    <definedName name="材70194">'[2]附表5直接工程费单价表'!#REF!</definedName>
    <definedName name="材70195">'[2]附表5直接工程费单价表'!#REF!</definedName>
    <definedName name="材70196">'[2]附表5直接工程费单价表'!#REF!</definedName>
    <definedName name="材80023加8002410">'[11]附表4直接工程费单价表'!#REF!</definedName>
    <definedName name="材80033">'[11]附表4直接工程费单价表'!#REF!</definedName>
    <definedName name="材80034">'[11]附表4直接工程费单价表'!#REF!</definedName>
    <definedName name="材90013">'[11]附表4直接工程费单价表'!#REF!</definedName>
    <definedName name="材90014">'[2]附表5直接工程费单价表'!#REF!</definedName>
    <definedName name="材90017">'[2]附表5直接工程费单价表'!#REF!</definedName>
    <definedName name="材90017A">'[2]附表5直接工程费单价表'!#REF!</definedName>
    <definedName name="材90085">'[2]附表5直接工程费单价表'!#REF!</definedName>
    <definedName name="材90086">'[2]附表5直接工程费单价表'!#REF!</definedName>
    <definedName name="材90087">'[2]附表5直接工程费单价表'!#REF!</definedName>
    <definedName name="材90087A">'[2]附表5直接工程费单价表'!#REF!</definedName>
    <definedName name="材90136">'[2]附表5直接工程费单价表'!#REF!</definedName>
    <definedName name="材90147">'[2]附表5直接工程费单价表'!#REF!</definedName>
    <definedName name="材90189">'[2]附表5直接工程费单价表'!#REF!</definedName>
    <definedName name="材补1">'[2]附表5直接工程费单价表'!#REF!</definedName>
    <definedName name="材补1A">'[2]附表5直接工程费单价表'!#REF!</definedName>
    <definedName name="材补2">'[2]附表5直接工程费单价表'!#REF!</definedName>
    <definedName name="材补3">'[2]附表5直接工程费单价表'!#REF!</definedName>
    <definedName name="材补4">'[2]附表5直接工程费单价表'!#REF!</definedName>
    <definedName name="材补5">'[2]附表5直接工程费单价表'!#REF!</definedName>
    <definedName name="材参60432">'[2]附表5直接工程费单价表'!#REF!</definedName>
    <definedName name="材建11_25换">'[2]附表5直接工程费单价表'!#REF!</definedName>
    <definedName name="材建4_10换">'[2]附表5直接工程费单价表'!#REF!</definedName>
    <definedName name="材井">#REF!</definedName>
    <definedName name="材料差价">'[24]#REF'!$C$2</definedName>
    <definedName name="采后处理中心" hidden="1">1</definedName>
    <definedName name="槽钢">'[11]附表2材料价格计算表'!#REF!</definedName>
    <definedName name="插入式振捣器2.2kw">#REF!</definedName>
    <definedName name="插入式振动器1.1kw">'[2]附表3机械台班'!#REF!</definedName>
    <definedName name="插入式振动器1.5kw">'[2]附表3机械台班'!#REF!</definedName>
    <definedName name="插入式振动器2.2kw">'[25]附表3机械'!$K$56</definedName>
    <definedName name="插座φ33">'[2]附表2材料价格表'!#REF!</definedName>
    <definedName name="拆迁补偿费">#REF!</definedName>
    <definedName name="柴油">#REF!</definedName>
    <definedName name="铲运机2.75m3">'[2]附表3机械台班'!#REF!</definedName>
    <definedName name="承插式三通">'[4]附表2'!#REF!</definedName>
    <definedName name="冲击钻机CZ_22型">'[2]附表3机械台班'!#REF!</definedName>
    <definedName name="初">#N/A</definedName>
    <definedName name="瓷横担_S210">'[2]附表2材料价格表'!#REF!</definedName>
    <definedName name="瓷横担S210">'[11]附表2材料价格计算表'!#REF!</definedName>
    <definedName name="瓷横担S210Z">'[11]附表2材料价格计算表'!#REF!</definedName>
    <definedName name="瓷瓶">'[11]附表2材料价格计算表'!#REF!</definedName>
    <definedName name="刺槐">'[4]附表2'!#REF!</definedName>
    <definedName name="粗砂">'[2]附表2材料价格表'!#REF!</definedName>
    <definedName name="单">'[18]#REF'!$E$2</definedName>
    <definedName name="单10245c">'[23]附表4工程费单价表'!#REF!</definedName>
    <definedName name="单承PVC塑管φ110×3.2×9000">'[2]附表2材料价格表'!#REF!</definedName>
    <definedName name="单承PVC塑管φ125×3.7×9000">'[2]附表2材料价格表'!#REF!</definedName>
    <definedName name="单承PVC塑管φ160×4.7×9000">'[2]附表2材料价格表'!#REF!</definedName>
    <definedName name="单承PVC塑管φ200×5.9×10000">'[2]附表2材料价格表'!#REF!</definedName>
    <definedName name="单承PVC塑管φ200×5.9×9000">'[2]附表2材料价格表'!#REF!</definedName>
    <definedName name="单承PVC塑管φ225×6.6×10000">'[2]附表2材料价格表'!#REF!</definedName>
    <definedName name="单承PVC塑管φ250×7.3×10000">'[2]附表2材料价格表'!#REF!</definedName>
    <definedName name="单承PVC塑管φ315×9.2×10000">'[2]附表2材料价格表'!#REF!</definedName>
    <definedName name="单承PVC塑管φ355×10.4×10000">'[2]附表2材料价格表'!#REF!</definedName>
    <definedName name="单承PVC塑管φ400×11.7×10000">'[2]附表2材料价格表'!#REF!</definedName>
    <definedName name="单承PVC塑管φ500×14.6×10000">'[2]附表2材料价格表'!#REF!</definedName>
    <definedName name="单承PVC塑管φ90×2.8×9000">'[2]附表2材料价格表'!#REF!</definedName>
    <definedName name="单斗挖掘机油动斗容0.5m3">'[26]机械汇总'!$K$6</definedName>
    <definedName name="单价">'[2]附表5直接工程费单价表'!#REF!</definedName>
    <definedName name="单盘插头">'[2]附表2材料价格表'!#REF!</definedName>
    <definedName name="单盘插头110">'[2]附表2材料价格表'!#REF!</definedName>
    <definedName name="单盘插头φ160">'[2]附表2材料价格表'!#REF!</definedName>
    <definedName name="单盘插头φ200">'[2]附表2材料价格表'!#REF!</definedName>
    <definedName name="单盘插头φ225">'[2]附表2材料价格表'!#REF!</definedName>
    <definedName name="单盘插头φ250">'[2]附表2材料价格表'!#REF!</definedName>
    <definedName name="单盘插头φ315">'[2]附表2材料价格表'!#REF!</definedName>
    <definedName name="单盘插头φ355">'[2]附表2材料价格表'!#REF!</definedName>
    <definedName name="单盘插头φ400">'[2]附表2材料价格表'!#REF!</definedName>
    <definedName name="单盘插头φ500">'[2]附表2材料价格表'!#REF!</definedName>
    <definedName name="单盘铝承头φ76">'[2]附表2材料价格表'!#REF!</definedName>
    <definedName name="单盘三通φ110×80×110">'[2]附表2材料价格表'!#REF!</definedName>
    <definedName name="单盘三通φ125×80×125">'[2]附表2材料价格表'!#REF!</definedName>
    <definedName name="单盘三通φ160×80×160">'[2]附表2材料价格表'!#REF!</definedName>
    <definedName name="单盘三通φ200×80×200">'[2]附表2材料价格表'!#REF!</definedName>
    <definedName name="单位">'[18]#REF'!$C$2</definedName>
    <definedName name="导火线">#REF!</definedName>
    <definedName name="导线">'[2]附表2材料价格表'!#REF!</definedName>
    <definedName name="导线_BLX_16">'[2]附表2材料价格表'!#REF!</definedName>
    <definedName name="导线_LGJ">'[2]附表2材料价格表'!#REF!</definedName>
    <definedName name="导线BLGJ">'[11]附表2材料价格计算表'!#REF!</definedName>
    <definedName name="导线BLX_16">'[2]附表2材料价格表'!#REF!</definedName>
    <definedName name="导线BLX16">'[11]附表2材料价格计算表'!#REF!</definedName>
    <definedName name="导线L_G_J">'[2]附表2材料价格表'!#REF!</definedName>
    <definedName name="导线LGJ">'[2]附表2材料价格表'!#REF!</definedName>
    <definedName name="导线LGJ_1">'[2]附表2材料价格表'!#REF!</definedName>
    <definedName name="导线LGJ1">'[2]附表2材料价格表'!#REF!</definedName>
    <definedName name="道路工程">'[27]表3工程施工费表'!$I$10</definedName>
    <definedName name="道路影响投资">#REF!</definedName>
    <definedName name="滴灌带φ16">'[2]附表2材料价格表'!#REF!</definedName>
    <definedName name="滴头">'[4]附表2'!#REF!</definedName>
    <definedName name="电">#REF!</definedName>
    <definedName name="电动葫芦3t">'[2]附表3机械台班'!#REF!</definedName>
    <definedName name="电杆">'[2]附表2材料价格表'!#REF!</definedName>
    <definedName name="电杆_10m">'[2]附表2材料价格表'!#REF!</definedName>
    <definedName name="电焊机25kvA">'[2]附表3机械台班'!#REF!</definedName>
    <definedName name="电焊机30KVA">'[2]附表3机械台班'!#REF!</definedName>
    <definedName name="电焊机交流30kVA">'[25]附表3机械'!$K$120</definedName>
    <definedName name="电焊条">#REF!</definedName>
    <definedName name="电焊条结32">'[11]附表2材料价格计算表'!#REF!</definedName>
    <definedName name="电气设备调差系数">#REF!</definedName>
    <definedName name="电石">#REF!</definedName>
    <definedName name="跌落开关RW11_200_10">'[2]附表2材料价格表'!#REF!</definedName>
    <definedName name="定额编号_1213">#REF!</definedName>
    <definedName name="定额编号_2154">#REF!</definedName>
    <definedName name="定额编号_3007">#REF!</definedName>
    <definedName name="定额编号_4067">#REF!</definedName>
    <definedName name="定额编号_4069">#REF!</definedName>
    <definedName name="定额编号_6091">#REF!</definedName>
    <definedName name="定额编号_6093">#REF!</definedName>
    <definedName name="定额编号_8020">#REF!</definedName>
    <definedName name="定额编号_8243">#REF!</definedName>
    <definedName name="堵头φ76">'[2]附表2材料价格表'!#REF!</definedName>
    <definedName name="镀锌扁钢">'[11]附表2材料价格计算表'!#REF!</definedName>
    <definedName name="镀锌钢管">#REF!</definedName>
    <definedName name="镀锌钢绞拉线GJ_50">'[2]附表2材料价格表'!#REF!</definedName>
    <definedName name="镀锌钢绞线GL35">'[11]附表2材料价格计算表'!#REF!</definedName>
    <definedName name="镀锌钢绞线GL50">'[11]附表2材料价格计算表'!#REF!</definedName>
    <definedName name="镀锌铁丝8">'[2]附表2材料价格表'!#REF!</definedName>
    <definedName name="对焊机150型">'[2]附表3机械台班'!#REF!</definedName>
    <definedName name="对焊机电弧150kvA">#REF!</definedName>
    <definedName name="镦">'[28]材料费'!$D$6</definedName>
    <definedName name="多">'[29]单价表'!#REF!</definedName>
    <definedName name="多眼拉板_60_6_300">'[2]附表2材料价格表'!#REF!</definedName>
    <definedName name="多眼拉板_60_6_350">'[2]附表2材料价格表'!#REF!</definedName>
    <definedName name="二丁脂">'[2]附表2材料价格表'!#REF!</definedName>
    <definedName name="二合抱箍抱1_190">'[2]附表2材料价格表'!#REF!</definedName>
    <definedName name="二合抱箍抱2_200">'[2]附表2材料价格表'!#REF!</definedName>
    <definedName name="阀兰阀体">'[2]附表2材料价格表'!#REF!</definedName>
    <definedName name="阀兰阀体80">'[2]附表2材料价格表'!#REF!</definedName>
    <definedName name="阀门φ120">'[2]附表2材料价格表'!#REF!</definedName>
    <definedName name="阀门φ90">'[2]附表2材料价格表'!#REF!</definedName>
    <definedName name="法兰螺栓">'[2]附表2材料价格表'!#REF!</definedName>
    <definedName name="法兰盘φ120">'[2]附表2材料价格表'!#REF!</definedName>
    <definedName name="法兰盘φ90">'[2]附表2材料价格表'!#REF!</definedName>
    <definedName name="放空管φ150×1500">'[2]附表2材料价格表'!#REF!</definedName>
    <definedName name="风">#REF!</definedName>
    <definedName name="风砂水枪">#REF!</definedName>
    <definedName name="风水枪">'[2]附表3机械台班'!#REF!</definedName>
    <definedName name="封井泥球">'[2]附表2材料价格表'!#REF!</definedName>
    <definedName name="浮力塞">'[2]附表2材料价格表'!#REF!</definedName>
    <definedName name="复合土工膜">'[2]附表2材料价格表'!#REF!</definedName>
    <definedName name="杆顶帽_帽_11">'[2]附表2材料价格表'!#REF!</definedName>
    <definedName name="杆顶帽_帽_3">'[2]附表2材料价格表'!#REF!</definedName>
    <definedName name="钢板">'[2]附表2材料价格表'!#REF!</definedName>
    <definedName name="钢板4mm">'[2]附表2材料价格表'!#REF!</definedName>
    <definedName name="钢材">'[2]附表2材料价格表'!#REF!</definedName>
    <definedName name="钢垫板">'[11]附表2材料价格计算表'!#REF!</definedName>
    <definedName name="钢管">'[2]附表2材料价格表'!#REF!</definedName>
    <definedName name="钢管200">'[4]附表2'!#REF!</definedName>
    <definedName name="钢管250">'[4]附表2'!#REF!</definedName>
    <definedName name="钢管300">'[4]附表2'!#REF!</definedName>
    <definedName name="钢管φ120">'[2]附表2材料价格表'!#REF!</definedName>
    <definedName name="钢管φ140">'[2]附表2材料价格表'!#REF!</definedName>
    <definedName name="钢管φ160">'[2]附表2材料价格表'!#REF!</definedName>
    <definedName name="钢绞拉线GJ_35">'[2]附表2材料价格表'!#REF!</definedName>
    <definedName name="钢绞线GJ_25">'[2]附表2材料价格表'!#REF!</definedName>
    <definedName name="钢绞线GJ_35">'[2]附表2材料价格表'!#REF!</definedName>
    <definedName name="钢绞线GJ_35kg">'[2]附表2材料价格表'!#REF!</definedName>
    <definedName name="钢筋">#REF!</definedName>
    <definedName name="钢筋1">'[30]材料调差'!$L$5</definedName>
    <definedName name="钢筋10以内">'[2]附表2材料价格表'!#REF!</definedName>
    <definedName name="钢筋10以外">'[2]附表2材料价格表'!#REF!</definedName>
    <definedName name="钢筋φ12">'[2]附表2材料价格表'!#REF!</definedName>
    <definedName name="钢筋φ16">'[2]附表2材料价格表'!#REF!</definedName>
    <definedName name="钢筋φ8">'[2]附表2材料价格表'!#REF!</definedName>
    <definedName name="钢筋切断机10kw">#REF!</definedName>
    <definedName name="钢筋切断机20kw">'[2]附表3机械台班'!#REF!</definedName>
    <definedName name="钢筋调直机14kw">#REF!</definedName>
    <definedName name="钢筋砼C20管">'[2]附表2材料价格表'!#REF!</definedName>
    <definedName name="钢筋砼C20管_DN600">'[2]附表2材料价格表'!#REF!</definedName>
    <definedName name="钢筋砼管C25Φ1000">'[26]材价汇'!$D$43</definedName>
    <definedName name="钢筋砼管C25Φ400">'[26]材价汇'!$D$40</definedName>
    <definedName name="钢筋砼管C25Φ500">'[26]材价汇'!$D$41</definedName>
    <definedName name="钢筋砼管C25Φ600">'[11]附表2材料价格计算表'!#REF!</definedName>
    <definedName name="钢筋砼管C25Φ800">'[26]材价汇'!$D$42</definedName>
    <definedName name="钢筋弯曲机40mm">#REF!</definedName>
    <definedName name="钢筋弯曲机φ6_40">'[2]附表3机械台班'!#REF!</definedName>
    <definedName name="钢模板">'[2]附表2材料价格表'!#REF!</definedName>
    <definedName name="钢芯铝绞线LGJ_50_8">'[2]附表2材料价格表'!#REF!</definedName>
    <definedName name="高">#N/A</definedName>
    <definedName name="给水栓">'[2]附表2材料价格表'!#REF!</definedName>
    <definedName name="给水栓三通Dg160×60">'[2]附表2材料价格表'!#REF!</definedName>
    <definedName name="给水栓三通Dg180×60">'[2]附表2材料价格表'!#REF!</definedName>
    <definedName name="给水栓三通Dg90×60">'[2]附表2材料价格表'!#REF!</definedName>
    <definedName name="工">#REF!</definedName>
    <definedName name="工100002">'[4]附表4单价'!#REF!</definedName>
    <definedName name="工10017">'[11]附表4直接工程费单价表'!#REF!</definedName>
    <definedName name="工10020">'[11]附表4直接工程费单价表'!$F$15</definedName>
    <definedName name="工10029">'[11]附表4直接工程费单价表'!$F$29</definedName>
    <definedName name="工10042">'[11]附表4直接工程费单价表'!#REF!</definedName>
    <definedName name="工10043">'[11]附表4直接工程费单价表'!#REF!</definedName>
    <definedName name="工10203">'[11]附表4直接工程费单价表'!$F$46</definedName>
    <definedName name="工10269">'[11]附表4直接工程费单价表'!#REF!</definedName>
    <definedName name="工10302">'[4]附表4单价'!$F$110</definedName>
    <definedName name="工10305">'[4]附表4单价'!$F$144</definedName>
    <definedName name="工10333">'[11]附表4直接工程费单价表'!#REF!</definedName>
    <definedName name="工10334">'[11]附表4直接工程费单价表'!$F$63</definedName>
    <definedName name="工10344">'[11]附表4直接工程费单价表'!#REF!</definedName>
    <definedName name="工10345">'[11]附表4直接工程费单价表'!$F$83</definedName>
    <definedName name="工10364">'[4]附表4单价'!$F$256</definedName>
    <definedName name="工30003">'[11]附表4直接工程费单价表'!$F$100</definedName>
    <definedName name="工30017">'[11]附表4直接工程费单价表'!$F$118</definedName>
    <definedName name="工30018">'[11]附表4直接工程费单价表'!$F$136</definedName>
    <definedName name="工30019">'[11]附表4直接工程费单价表'!$F$154</definedName>
    <definedName name="工30019b">'[11]附表4直接工程费单价表'!$F$172</definedName>
    <definedName name="工30020">'[11]附表4直接工程费单价表'!$F$190</definedName>
    <definedName name="工30021">'[11]附表4直接工程费单价表'!$F$208</definedName>
    <definedName name="工30021b">'[11]附表4直接工程费单价表'!$F$226</definedName>
    <definedName name="工30028">'[11]附表4直接工程费单价表'!#REF!</definedName>
    <definedName name="工30058">'[11]附表4直接工程费单价表'!$F$244</definedName>
    <definedName name="工30064">'[11]附表4直接工程费单价表'!#REF!</definedName>
    <definedName name="工30065">'[11]附表4直接工程费单价表'!$F$261</definedName>
    <definedName name="工30066">'[11]附表4直接工程费单价表'!$F$278</definedName>
    <definedName name="工40004">'[11]附表4直接工程费单价表'!#REF!</definedName>
    <definedName name="工40006">'[11]附表4直接工程费单价表'!$F$311</definedName>
    <definedName name="工40006b">'[11]附表4直接工程费单价表'!#REF!</definedName>
    <definedName name="工40006d">'[4]附表4单价'!$F$492</definedName>
    <definedName name="工40006细石">'[11]附表4直接工程费单价表'!#REF!</definedName>
    <definedName name="工40023b">'[4]附表4单价'!$F$607</definedName>
    <definedName name="工40030">'[11]附表4直接工程费单价表'!#REF!</definedName>
    <definedName name="工40031a">'[11]附表4直接工程费单价表'!#REF!</definedName>
    <definedName name="工40041a">'[11]附表4直接工程费单价表'!$F$408</definedName>
    <definedName name="工40041b">'[11]附表4直接工程费单价表'!#REF!</definedName>
    <definedName name="工40056">'[11]附表4直接工程费单价表'!#REF!</definedName>
    <definedName name="工40056a">'[4]附表4单价'!#REF!</definedName>
    <definedName name="工40066">'[4]附表4单价'!$F$776</definedName>
    <definedName name="工40073">'[11]附表4直接工程费单价表'!#REF!</definedName>
    <definedName name="工40076">'[11]附表4直接工程费单价表'!#REF!</definedName>
    <definedName name="工40076d">'[4]附表4单价'!$F$842</definedName>
    <definedName name="工40077">'[11]附表4直接工程费单价表'!#REF!</definedName>
    <definedName name="工40079">'[11]附表4直接工程费单价表'!$F$565</definedName>
    <definedName name="工40115">'[4]附表4单价'!$F$989</definedName>
    <definedName name="工40116">'[11]附表4直接工程费单价表'!$F$629</definedName>
    <definedName name="工40123">'[4]附表4单价'!$F$1012</definedName>
    <definedName name="工40124">'[4]附表4单价'!$F$1040</definedName>
    <definedName name="工40136">'[4]附表4单价'!$F$1096</definedName>
    <definedName name="工40139">'[4]附表4单价'!$F$1129</definedName>
    <definedName name="工40159">'[4]附表4单价'!$F$1174</definedName>
    <definedName name="工40172">'[4]附表4单价'!#REF!</definedName>
    <definedName name="工40190">'[11]附表4直接工程费单价表'!$F$816</definedName>
    <definedName name="工40192">'[11]附表4直接工程费单价表'!#REF!</definedName>
    <definedName name="工40199">'[4]附表4单价'!#REF!</definedName>
    <definedName name="工40203">'[11]附表4直接工程费单价表'!#REF!</definedName>
    <definedName name="工40211">'[11]附表4直接工程费单价表'!$F$853</definedName>
    <definedName name="工40211补">'[4]附表4单价'!#REF!</definedName>
    <definedName name="工40215">'[11]附表4直接工程费单价表'!$F$900</definedName>
    <definedName name="工40215补">'[4]附表4单价'!$F$1222</definedName>
    <definedName name="工40216">'[4]附表4单价'!$F$2138</definedName>
    <definedName name="工40218">'[4]附表4单价'!$F$2192</definedName>
    <definedName name="工40220">'[4]附表4单价'!$F$2220</definedName>
    <definedName name="工40226">'[4]附表4单价'!$F$2240</definedName>
    <definedName name="工40231">'[4]附表4单价'!$F$2291</definedName>
    <definedName name="工40233">'[4]附表4单价'!$F$2337</definedName>
    <definedName name="工40235">'[4]附表4单价'!$F$2360</definedName>
    <definedName name="工50060">'[4]附表4单价'!#REF!</definedName>
    <definedName name="工50061">'[4]附表4单价'!#REF!</definedName>
    <definedName name="工50062">'[4]附表4单价'!#REF!</definedName>
    <definedName name="工50064">'[11]附表4直接工程费单价表'!#REF!</definedName>
    <definedName name="工50067">'[11]附表4直接工程费单价表'!#REF!</definedName>
    <definedName name="工50079改1">'[4]附表4单价'!#REF!</definedName>
    <definedName name="工50079改2">'[4]附表4单价'!#REF!</definedName>
    <definedName name="工50079改3">'[4]附表4单价'!#REF!</definedName>
    <definedName name="工50079改4">'[4]附表4单价'!#REF!</definedName>
    <definedName name="工50079改5">'[4]附表4单价'!#REF!</definedName>
    <definedName name="工50079改6">'[4]附表4单价'!#REF!</definedName>
    <definedName name="工50079改7">'[4]附表4单价'!#REF!</definedName>
    <definedName name="工50079改8">'[4]附表4单价'!#REF!</definedName>
    <definedName name="工50079改9">'[4]附表4单价'!#REF!</definedName>
    <definedName name="工50110a">'[4]附表4单价'!#REF!</definedName>
    <definedName name="工50111">'[11]附表4直接工程费单价表'!$F$952</definedName>
    <definedName name="工50112">'[4]附表4单价'!#REF!</definedName>
    <definedName name="工50113">'[4]附表4单价'!#REF!</definedName>
    <definedName name="工70001">'[11]附表4直接工程费单价表'!$F$1031</definedName>
    <definedName name="工70007">'[11]附表4直接工程费单价表'!#REF!</definedName>
    <definedName name="工70014">'[11]附表4直接工程费单价表'!#REF!</definedName>
    <definedName name="工70046">'[4]附表4单价'!#REF!</definedName>
    <definedName name="工70048">'[4]附表4单价'!#REF!</definedName>
    <definedName name="工80014a">'[4]附表4单价'!#REF!</definedName>
    <definedName name="工80014b">'[4]附表4单价'!#REF!</definedName>
    <definedName name="工80015">'[11]附表4直接工程费单价表'!#REF!</definedName>
    <definedName name="工80015加80016">'[11]附表4直接工程费单价表'!#REF!</definedName>
    <definedName name="工80015加800166">'[11]附表4直接工程费单价表'!$F$1067</definedName>
    <definedName name="工80015减80016">'[11]附表4直接工程费单价表'!#REF!</definedName>
    <definedName name="工80023">'[11]附表4直接工程费单价表'!$F$1089</definedName>
    <definedName name="工80023a">'[4]附表4单价'!$F$1336</definedName>
    <definedName name="工90001">'[11]附表4直接工程费单价表'!$F$1107</definedName>
    <definedName name="工90001a">'[4]附表4单价'!#REF!</definedName>
    <definedName name="工90001b">'[11]附表4直接工程费单价表'!$F$1125</definedName>
    <definedName name="工90001c">'[11]附表4直接工程费单价表'!#REF!</definedName>
    <definedName name="工90013">'[11]附表4直接工程费单价表'!#REF!</definedName>
    <definedName name="工9001c">'[11]附表4直接工程费单价表'!#REF!</definedName>
    <definedName name="工程监理费">#REF!</definedName>
    <definedName name="工程监理费南">'[21]表5-2工程监理费南'!$E$10</definedName>
    <definedName name="工程胶">'[2]附表2材料价格表'!#REF!</definedName>
    <definedName name="工程量清单">#REF!</definedName>
    <definedName name="工程量调整系数">#REF!</definedName>
    <definedName name="工程施工费">#REF!</definedName>
    <definedName name="工程施工费工">'[26]表2预算汇总表'!$H$338</definedName>
    <definedName name="工程施工费南">'[21]表3工程施工费南 '!$H$515</definedName>
    <definedName name="工土地平整">'[11]表3工程施工费用'!#REF!</definedName>
    <definedName name="沟槽石方开挖_______________工程">#REF!</definedName>
    <definedName name="关键">#REF!</definedName>
    <definedName name="管" hidden="1">#REF!</definedName>
    <definedName name="管材" hidden="1">{"'现金流量表（全部投资）'!$B$4:$P$23"}</definedName>
    <definedName name="管件">'[11]附表2材料价格计算表'!#REF!</definedName>
    <definedName name="管件φ120">'[2]附表2材料价格表'!#REF!</definedName>
    <definedName name="管件φ90">'[2]附表2材料价格表'!#REF!</definedName>
    <definedName name="管件供货统计" hidden="1">#REF!</definedName>
    <definedName name="灌排工程">#REF!</definedName>
    <definedName name="灌渠影响投资">#REF!</definedName>
    <definedName name="光轮压路机12_15t">'[2]附表3机械台班'!#REF!</definedName>
    <definedName name="光轮压路机6_8t">'[2]附表3机械台班'!#REF!</definedName>
    <definedName name="光轮压路机8_10t">'[2]附表3机械台班'!#REF!</definedName>
    <definedName name="国槐">'[11]附表2材料价格计算表'!#REF!</definedName>
    <definedName name="合计">'[18]#REF'!$G$2</definedName>
    <definedName name="合金钻头">#REF!</definedName>
    <definedName name="合作杨">'[26]材价汇'!$D$48</definedName>
    <definedName name="环氧树脂">'[2]附表2材料价格表'!#REF!</definedName>
    <definedName name="黄油">'[26]材价汇'!$D$37</definedName>
    <definedName name="灰浆搅拌机">'[2]附表3机械台班'!#REF!</definedName>
    <definedName name="恢复认得">#REF!,#REF!</definedName>
    <definedName name="汇总">#REF!</definedName>
    <definedName name="汇总表">#REF!</definedName>
    <definedName name="混凝土拌制">'[11]附表4直接工程费单价表'!#REF!</definedName>
    <definedName name="混凝土拌制1">'[31]单位估价'!#REF!</definedName>
    <definedName name="混凝土泵">'[2]附表3机械台班'!#REF!</definedName>
    <definedName name="混凝土垂直运输">'[32]单位估价'!#REF!</definedName>
    <definedName name="混凝土底盘">'[2]附表2材料价格表'!#REF!</definedName>
    <definedName name="混凝土底盘800×800×800">'[2]附表2材料价格表'!#REF!</definedName>
    <definedName name="混凝土底盘800800180">'[11]附表2材料价格计算表'!#REF!</definedName>
    <definedName name="混凝土拉盘LP6">'[11]附表2材料价格计算表'!#REF!</definedName>
    <definedName name="混凝土拉线盘LP8">'[11]附表2材料价格计算表'!#REF!</definedName>
    <definedName name="混凝土水平运输">'[32]单位估价'!#REF!</definedName>
    <definedName name="混凝土运输">'[2]附表5直接工程费单价表'!#REF!</definedName>
    <definedName name="混凝土柱">'[2]附表2材料价格表'!#REF!</definedName>
    <definedName name="机">'[2]附表5直接工程费单价表'!#REF!</definedName>
    <definedName name="机1_23_1">'[2]附表5直接工程费单价表'!#REF!</definedName>
    <definedName name="机10001">0</definedName>
    <definedName name="机100017">'[11]附表4直接工程费单价表'!#REF!</definedName>
    <definedName name="机10002">0</definedName>
    <definedName name="机100023">'[11]附表4直接工程费单价表'!#REF!</definedName>
    <definedName name="机100049">'[11]附表4直接工程费单价表'!#REF!</definedName>
    <definedName name="机10008">0</definedName>
    <definedName name="机10018">0</definedName>
    <definedName name="机10019">0</definedName>
    <definedName name="机10020">0</definedName>
    <definedName name="机10021">0</definedName>
    <definedName name="机10023">0</definedName>
    <definedName name="机10043">'[11]附表4直接工程费单价表'!#REF!</definedName>
    <definedName name="机10045">0</definedName>
    <definedName name="机10047">0</definedName>
    <definedName name="机10049">0</definedName>
    <definedName name="机10052">0</definedName>
    <definedName name="机10054">0</definedName>
    <definedName name="机10056">0</definedName>
    <definedName name="机10066">0</definedName>
    <definedName name="机10071">0</definedName>
    <definedName name="机10075">0</definedName>
    <definedName name="机10090">0</definedName>
    <definedName name="机10095">"0单位估价表!$E$2291"</definedName>
    <definedName name="机10114">0</definedName>
    <definedName name="机10116">0</definedName>
    <definedName name="机10118">0</definedName>
    <definedName name="机10204">'[2]附表5直接工程费单价表'!#REF!</definedName>
    <definedName name="机10269">'[2]附表5直接工程费单价表'!#REF!</definedName>
    <definedName name="机10270">'[2]附表5直接工程费单价表'!#REF!</definedName>
    <definedName name="机10271">'[2]附表5直接工程费单价表'!#REF!</definedName>
    <definedName name="机10272">'[2]附表5直接工程费单价表'!#REF!</definedName>
    <definedName name="机10273">'[2]附表5直接工程费单价表'!#REF!</definedName>
    <definedName name="机10275">'[2]附表5直接工程费单价表'!#REF!</definedName>
    <definedName name="机10277">'[2]附表5直接工程费单价表'!#REF!</definedName>
    <definedName name="机10278">'[2]附表5直接工程费单价表'!#REF!</definedName>
    <definedName name="机10279">'[2]附表5直接工程费单价表'!#REF!</definedName>
    <definedName name="机10279A">'[2]附表5直接工程费单价表'!#REF!</definedName>
    <definedName name="机10280">'[2]附表5直接工程费单价表'!#REF!</definedName>
    <definedName name="机10280A">'[2]附表5直接工程费单价表'!#REF!</definedName>
    <definedName name="机10281">'[2]附表5直接工程费单价表'!#REF!</definedName>
    <definedName name="机10281A">'[2]附表5直接工程费单价表'!#REF!</definedName>
    <definedName name="机10282">'[2]附表5直接工程费单价表'!#REF!</definedName>
    <definedName name="机10282A">'[2]附表5直接工程费单价表'!#REF!</definedName>
    <definedName name="机10283">'[2]附表5直接工程费单价表'!#REF!</definedName>
    <definedName name="机10283A">'[2]附表5直接工程费单价表'!#REF!</definedName>
    <definedName name="机10305">'[23]附表4工程费单价表'!#REF!</definedName>
    <definedName name="机10306">'[11]附表4直接工程费单价表'!#REF!</definedName>
    <definedName name="机10309">'[2]附表5直接工程费单价表'!#REF!</definedName>
    <definedName name="机10310">'[2]附表5直接工程费单价表'!#REF!</definedName>
    <definedName name="机10311">'[2]附表5直接工程费单价表'!#REF!</definedName>
    <definedName name="机10315">'[23]附表4工程费单价表'!#REF!</definedName>
    <definedName name="机10332">'[11]附表4直接工程费单价表'!#REF!</definedName>
    <definedName name="机10333">'[11]附表4直接工程费单价表'!#REF!</definedName>
    <definedName name="机10334">'[2]附表5直接工程费单价表'!#REF!</definedName>
    <definedName name="机10339">'[2]附表5直接工程费单价表'!#REF!</definedName>
    <definedName name="机10344">'[11]附表4直接工程费单价表'!#REF!</definedName>
    <definedName name="机10345">'[11]附表4直接工程费单价表'!#REF!</definedName>
    <definedName name="机10360">'[2]附表5直接工程费单价表'!#REF!</definedName>
    <definedName name="机10361">'[2]附表5直接工程费单价表'!#REF!</definedName>
    <definedName name="机10365">'[2]附表5直接工程费单价表'!#REF!</definedName>
    <definedName name="机10366">'[2]附表5直接工程费单价表'!#REF!</definedName>
    <definedName name="机10367">'[2]附表5直接工程费单价表'!#REF!</definedName>
    <definedName name="机10464">0</definedName>
    <definedName name="机10465">'[2]附表5直接工程费单价表'!#REF!</definedName>
    <definedName name="机10469">'[2]附表5直接工程费单价表'!#REF!</definedName>
    <definedName name="机10469A">'[2]附表5直接工程费单价表'!#REF!</definedName>
    <definedName name="机10473">'[2]附表5直接工程费单价表'!#REF!</definedName>
    <definedName name="机10474">'[2]附表5直接工程费单价表'!#REF!</definedName>
    <definedName name="机12001">'[2]附表5直接工程费单价表'!#REF!</definedName>
    <definedName name="机12074">'[2]附表5直接工程费单价表'!#REF!</definedName>
    <definedName name="机12075">'[2]附表5直接工程费单价表'!#REF!</definedName>
    <definedName name="机2_19_3">'[2]附表5直接工程费单价表'!#REF!</definedName>
    <definedName name="机2_19_4">'[2]附表5直接工程费单价表'!#REF!</definedName>
    <definedName name="机20484">'[2]附表5直接工程费单价表'!#REF!</definedName>
    <definedName name="机20485">'[2]附表5直接工程费单价表'!#REF!</definedName>
    <definedName name="机20488">'[2]附表5直接工程费单价表'!#REF!</definedName>
    <definedName name="机30001">0</definedName>
    <definedName name="机30002">0</definedName>
    <definedName name="机30016">'[2]附表5直接工程费单价表'!#REF!</definedName>
    <definedName name="机30019">'[2]附表5直接工程费单价表'!#REF!</definedName>
    <definedName name="机30020">'[2]附表5直接工程费单价表'!#REF!</definedName>
    <definedName name="机30021">'[2]附表5直接工程费单价表'!#REF!</definedName>
    <definedName name="机30022">'[2]附表5直接工程费单价表'!#REF!</definedName>
    <definedName name="机30023">'[2]附表5直接工程费单价表'!#REF!</definedName>
    <definedName name="机30024">0</definedName>
    <definedName name="机30025">'[2]附表5直接工程费单价表'!#REF!</definedName>
    <definedName name="机30026">0</definedName>
    <definedName name="机30027">'[2]附表5直接工程费单价表'!#REF!</definedName>
    <definedName name="机30028">0</definedName>
    <definedName name="机30048">'[2]附表5直接工程费单价表'!#REF!</definedName>
    <definedName name="机30048、30051">'[2]附表5直接工程费单价表'!#REF!</definedName>
    <definedName name="机30049">'[2]附表5直接工程费单价表'!#REF!</definedName>
    <definedName name="机40004">'[11]附表4直接工程费单价表'!#REF!</definedName>
    <definedName name="机40006">'[22]直接工程费'!$F$203</definedName>
    <definedName name="机40006b">'[11]附表4直接工程费单价表'!#REF!</definedName>
    <definedName name="机40006细石">'[11]附表4直接工程费单价表'!#REF!</definedName>
    <definedName name="机40030">'[11]附表4直接工程费单价表'!#REF!</definedName>
    <definedName name="机40031">'[2]附表5直接工程费单价表'!#REF!</definedName>
    <definedName name="机4003115">'[11]附表4直接工程费单价表'!#REF!</definedName>
    <definedName name="机40031C15">'[11]附表4直接工程费单价表'!#REF!</definedName>
    <definedName name="机40041b">'[11]附表4直接工程费单价表'!#REF!</definedName>
    <definedName name="机40056">'[11]附表4直接工程费单价表'!#REF!</definedName>
    <definedName name="机40058">'[2]附表5直接工程费单价表'!#REF!</definedName>
    <definedName name="机40058A">'[2]附表5直接工程费单价表'!#REF!</definedName>
    <definedName name="机40061">'[2]附表5直接工程费单价表'!#REF!</definedName>
    <definedName name="机40062">'[2]附表5直接工程费单价表'!#REF!</definedName>
    <definedName name="机40063">'[11]附表4直接工程费单价表'!#REF!</definedName>
    <definedName name="机40064">'[11]附表4直接工程费单价表'!#REF!</definedName>
    <definedName name="机40067">'[2]附表5直接工程费单价表'!#REF!</definedName>
    <definedName name="机40067A">'[2]附表5直接工程费单价表'!#REF!</definedName>
    <definedName name="机40068">'[2]附表5直接工程费单价表'!#REF!</definedName>
    <definedName name="机40069">'[2]附表5直接工程费单价表'!#REF!</definedName>
    <definedName name="机40070">'[2]附表5直接工程费单价表'!#REF!</definedName>
    <definedName name="机40072">'[2]附表5直接工程费单价表'!#REF!</definedName>
    <definedName name="机40073">'[11]附表4直接工程费单价表'!#REF!</definedName>
    <definedName name="机40074">'[2]附表5直接工程费单价表'!#REF!</definedName>
    <definedName name="机40075">'[2]附表5直接工程费单价表'!#REF!</definedName>
    <definedName name="机40076">'[2]附表5直接工程费单价表'!#REF!</definedName>
    <definedName name="机4007620">'[11]附表4直接工程费单价表'!#REF!</definedName>
    <definedName name="机40077">'[11]附表4直接工程费单价表'!#REF!</definedName>
    <definedName name="机40079">'[11]附表4直接工程费单价表'!#REF!</definedName>
    <definedName name="机40090">'[2]附表5直接工程费单价表'!#REF!</definedName>
    <definedName name="机40096">'[2]附表5直接工程费单价表'!#REF!</definedName>
    <definedName name="机40101">'[2]附表5直接工程费单价表'!#REF!</definedName>
    <definedName name="机40101A">'[2]附表5直接工程费单价表'!#REF!</definedName>
    <definedName name="机40101B">'[2]附表5直接工程费单价表'!#REF!</definedName>
    <definedName name="机40109">'[2]附表5直接工程费单价表'!#REF!</definedName>
    <definedName name="机40110">'[2]附表5直接工程费单价表'!#REF!</definedName>
    <definedName name="机40111">'[2]附表5直接工程费单价表'!#REF!</definedName>
    <definedName name="机40112">'[2]附表5直接工程费单价表'!#REF!</definedName>
    <definedName name="机40113">'[2]附表5直接工程费单价表'!#REF!</definedName>
    <definedName name="机40114">'[2]附表5直接工程费单价表'!#REF!</definedName>
    <definedName name="机40115">'[11]附表4直接工程费单价表'!#REF!</definedName>
    <definedName name="机40116">'[11]附表4直接工程费单价表'!#REF!</definedName>
    <definedName name="机40118">0</definedName>
    <definedName name="机40120">'[2]附表5直接工程费单价表'!#REF!</definedName>
    <definedName name="机40124">'[2]附表5直接工程费单价表'!#REF!</definedName>
    <definedName name="机40125">'[2]附表5直接工程费单价表'!#REF!</definedName>
    <definedName name="机40133">'[11]附表4直接工程费单价表'!#REF!</definedName>
    <definedName name="机40134">'[2]附表5直接工程费单价表'!#REF!</definedName>
    <definedName name="机40143">'[2]附表5直接工程费单价表'!#REF!</definedName>
    <definedName name="机40192">'[11]附表4直接工程费单价表'!#REF!</definedName>
    <definedName name="机40203">'[11]附表4直接工程费单价表'!#REF!</definedName>
    <definedName name="机40214苯">'[11]附表4直接工程费单价表'!#REF!</definedName>
    <definedName name="机40224">'[2]附表5直接工程费单价表'!#REF!</definedName>
    <definedName name="机40260">'[2]附表5直接工程费单价表'!#REF!</definedName>
    <definedName name="机40263">0</definedName>
    <definedName name="机40271">0</definedName>
    <definedName name="机40286">'[2]附表5直接工程费单价表'!#REF!</definedName>
    <definedName name="机40287">'[2]附表5直接工程费单价表'!#REF!</definedName>
    <definedName name="机40288">'[2]附表5直接工程费单价表'!#REF!</definedName>
    <definedName name="机40289">'[2]附表5直接工程费单价表'!#REF!</definedName>
    <definedName name="机40289A">'[2]附表5直接工程费单价表'!#REF!</definedName>
    <definedName name="机40306">'[2]附表5直接工程费单价表'!#REF!</definedName>
    <definedName name="机40306A">'[2]附表5直接工程费单价表'!#REF!</definedName>
    <definedName name="机40306B">'[2]附表5直接工程费单价表'!#REF!</definedName>
    <definedName name="机50003">'[2]附表5直接工程费单价表'!#REF!</definedName>
    <definedName name="机50004">'[2]附表5直接工程费单价表'!#REF!</definedName>
    <definedName name="机50005">'[2]附表5直接工程费单价表'!#REF!</definedName>
    <definedName name="机50006">'[2]附表5直接工程费单价表'!#REF!</definedName>
    <definedName name="机50014">'[23]附表4工程费单价表'!#REF!</definedName>
    <definedName name="机50045">'[2]附表5直接工程费单价表'!#REF!</definedName>
    <definedName name="机50046">'[2]附表5直接工程费单价表'!#REF!</definedName>
    <definedName name="机50049">'[2]附表5直接工程费单价表'!#REF!</definedName>
    <definedName name="机50050">'[2]附表5直接工程费单价表'!#REF!</definedName>
    <definedName name="机50113">'[23]附表4工程费单价表'!#REF!</definedName>
    <definedName name="机50115">0</definedName>
    <definedName name="机70007">'[11]附表4直接工程费单价表'!#REF!</definedName>
    <definedName name="机70013">'[11]附表4直接工程费单价表'!#REF!</definedName>
    <definedName name="机70014">'[11]附表4直接工程费单价表'!#REF!</definedName>
    <definedName name="机70070">'[11]附表4直接工程费单价表'!#REF!</definedName>
    <definedName name="机70105">'[11]附表4直接工程费单价表'!#REF!</definedName>
    <definedName name="机70106">'[11]附表4直接工程费单价表'!#REF!</definedName>
    <definedName name="机70125">'[11]附表4直接工程费单价表'!#REF!</definedName>
    <definedName name="机70194">'[2]附表5直接工程费单价表'!#REF!</definedName>
    <definedName name="机70195">'[2]附表5直接工程费单价表'!#REF!</definedName>
    <definedName name="机70196">'[2]附表5直接工程费单价表'!#REF!</definedName>
    <definedName name="机80015">'[11]附表4直接工程费单价表'!#REF!</definedName>
    <definedName name="机80015加800162">'[11]附表4直接工程费单价表'!#REF!</definedName>
    <definedName name="机80015减80016">'[11]附表4直接工程费单价表'!#REF!</definedName>
    <definedName name="机80023加8002410">'[11]附表4直接工程费单价表'!#REF!</definedName>
    <definedName name="机80033">'[11]附表4直接工程费单价表'!#REF!</definedName>
    <definedName name="机80034">'[11]附表4直接工程费单价表'!#REF!</definedName>
    <definedName name="机90014">'[2]附表5直接工程费单价表'!#REF!</definedName>
    <definedName name="机90017">'[2]附表5直接工程费单价表'!#REF!</definedName>
    <definedName name="机90017A">'[2]附表5直接工程费单价表'!#REF!</definedName>
    <definedName name="机90085">'[2]附表5直接工程费单价表'!#REF!</definedName>
    <definedName name="机90086">'[2]附表5直接工程费单价表'!#REF!</definedName>
    <definedName name="机90087">'[2]附表5直接工程费单价表'!#REF!</definedName>
    <definedName name="机90087A">'[2]附表5直接工程费单价表'!#REF!</definedName>
    <definedName name="机90136">'[2]附表5直接工程费单价表'!#REF!</definedName>
    <definedName name="机90147">'[2]附表5直接工程费单价表'!#REF!</definedName>
    <definedName name="机90189">0</definedName>
    <definedName name="机补1">0</definedName>
    <definedName name="机补1A">0</definedName>
    <definedName name="机补2">'[2]附表5直接工程费单价表'!#REF!</definedName>
    <definedName name="机补3">'[2]附表5直接工程费单价表'!#REF!</definedName>
    <definedName name="机补4">0</definedName>
    <definedName name="机补5">0</definedName>
    <definedName name="机电安装111" hidden="1">#REF!</definedName>
    <definedName name="机动翻斗车1t">'[2]附表3机械台班'!#REF!</definedName>
    <definedName name="机建11_25换">'[2]附表5直接工程费单价表'!#REF!</definedName>
    <definedName name="机建4_10换">'[2]附表5直接工程费单价表'!#REF!</definedName>
    <definedName name="机井">#REF!</definedName>
    <definedName name="机械库">#REF!</definedName>
    <definedName name="机械库1">#REF!</definedName>
    <definedName name="机械调差系数">#REF!</definedName>
    <definedName name="机油">'[11]附表2材料价格计算表'!#REF!</definedName>
    <definedName name="基本电价">'[11]附表2材料价格计算表'!#REF!</definedName>
    <definedName name="甲苯">'[2]附表2材料价格表'!#REF!</definedName>
    <definedName name="甲类">'[33]附表1人工单价表'!#REF!</definedName>
    <definedName name="价_元">'[18]#REF'!$F$2</definedName>
    <definedName name="简易缆索机40t">'[2]附表3机械台班'!#REF!</definedName>
    <definedName name="碱粉">'[2]附表2材料价格表'!#REF!</definedName>
    <definedName name="交流电焊机30">#REF!</definedName>
    <definedName name="胶φ76">'[2]附表2材料价格表'!#REF!</definedName>
    <definedName name="胶轮车">'[2]附表3机械台班'!#REF!</definedName>
    <definedName name="胶轮架子车">#REF!</definedName>
    <definedName name="胶圈φ110">'[2]附表2材料价格表'!#REF!</definedName>
    <definedName name="胶圈φ125">'[2]附表2材料价格表'!#REF!</definedName>
    <definedName name="胶圈φ160">'[2]附表2材料价格表'!#REF!</definedName>
    <definedName name="胶圈φ200">'[2]附表2材料价格表'!#REF!</definedName>
    <definedName name="胶圈φ225">'[2]附表2材料价格表'!#REF!</definedName>
    <definedName name="胶圈φ250">'[2]附表2材料价格表'!#REF!</definedName>
    <definedName name="胶圈φ315">'[2]附表2材料价格表'!#REF!</definedName>
    <definedName name="胶圈φ355">'[2]附表2材料价格表'!#REF!</definedName>
    <definedName name="胶圈φ400">'[2]附表2材料价格表'!#REF!</definedName>
    <definedName name="胶圈φ76">'[2]附表2材料价格表'!#REF!</definedName>
    <definedName name="胶圈φ90">'[2]附表2材料价格表'!#REF!</definedName>
    <definedName name="焦油膏">'[26]材价汇'!$D$51</definedName>
    <definedName name="搅拌机0.25m3">'[2]附表3机械台班'!#REF!</definedName>
    <definedName name="搅拌机0.4m3">'[2]附表3机械台班'!#REF!</definedName>
    <definedName name="搅拌机出料0.4m3">'[25]附表3机械'!$K$54</definedName>
    <definedName name="接头">'[11]附表2材料价格计算表'!#REF!</definedName>
    <definedName name="截阀开关φ90×76">'[2]附表2材料价格表'!#REF!</definedName>
    <definedName name="截止阀开关φ90×76">'[2]附表2材料价格表'!#REF!</definedName>
    <definedName name="精制六角带帽螺栓M161460">'[11]附表2材料价格计算表'!#REF!</definedName>
    <definedName name="精致六角带帽螺栓M101470">'[11]附表2材料价格计算表'!#REF!</definedName>
    <definedName name="锯材">'[26]材价汇'!$D$20</definedName>
    <definedName name="聚氨酯">'[11]附表2材料价格计算表'!#REF!</definedName>
    <definedName name="聚乙烯胶泥">'[11]附表2材料价格计算表'!#REF!</definedName>
    <definedName name="卷板机">#REF!</definedName>
    <definedName name="卷扬机3t">'[2]附表3机械台班'!#REF!</definedName>
    <definedName name="卷扬机5t">#REF!</definedName>
    <definedName name="竣工验收费">#REF!</definedName>
    <definedName name="竣工验收费南">'[21]表5-3竣工验收费南 '!$E$9</definedName>
    <definedName name="竣工验收费预算表">'[33]表5-3竣工'!$E$14</definedName>
    <definedName name="卡扣">'[26]材价汇'!$D$30</definedName>
    <definedName name="卡扣件">#REF!</definedName>
    <definedName name="卡子φ110">'[2]附表2材料价格表'!#REF!</definedName>
    <definedName name="卡子φ125">'[2]附表2材料价格表'!#REF!</definedName>
    <definedName name="卡子φ160">'[2]附表2材料价格表'!#REF!</definedName>
    <definedName name="卡子φ200">'[2]附表2材料价格表'!#REF!</definedName>
    <definedName name="卡子φ225">'[2]附表2材料价格表'!#REF!</definedName>
    <definedName name="卡子φ250">'[2]附表2材料价格表'!#REF!</definedName>
    <definedName name="卡子φ315">'[2]附表2材料价格表'!#REF!</definedName>
    <definedName name="卡子φ355">'[2]附表2材料价格表'!#REF!</definedName>
    <definedName name="卡子φ400">'[2]附表2材料价格表'!#REF!</definedName>
    <definedName name="卡子φ500">'[2]附表2材料价格表'!#REF!</definedName>
    <definedName name="卡子φ90">'[2]附表2材料价格表'!#REF!</definedName>
    <definedName name="开挖">'[34]新定额单价'!#REF!</definedName>
    <definedName name="空气阀φ120">'[2]附表2材料价格表'!#REF!</definedName>
    <definedName name="空气阀φ140">'[2]附表2材料价格表'!#REF!</definedName>
    <definedName name="空气阀φ160">'[2]附表2材料价格表'!#REF!</definedName>
    <definedName name="空心钢">#REF!</definedName>
    <definedName name="控制价">#REF!</definedName>
    <definedName name="块石">#REF!</definedName>
    <definedName name="拉模">#REF!</definedName>
    <definedName name="拉线板_60_12">'[2]附表2材料价格表'!#REF!</definedName>
    <definedName name="拉线棒￠16_2500">'[2]附表2材料价格表'!#REF!</definedName>
    <definedName name="拉线盘_LP_6_混凝土">'[2]附表2材料价格表'!#REF!</definedName>
    <definedName name="拉线盘_LP_6混凝土">'[2]附表2材料价格表'!#REF!</definedName>
    <definedName name="拉线盘_LP_8混凝土">'[2]附表2材料价格表'!#REF!</definedName>
    <definedName name="拉线盘0.3_0.6">'[2]附表2材料价格表'!#REF!</definedName>
    <definedName name="拉线盘LP_6混凝土">'[2]附表2材料价格表'!#REF!</definedName>
    <definedName name="拉线盘LP_8混凝土">'[2]附表2材料价格表'!#REF!</definedName>
    <definedName name="雷管">#REF!</definedName>
    <definedName name="离心式水泵7kw">#REF!</definedName>
    <definedName name="离心水泵17kw">#REF!</definedName>
    <definedName name="离心水泵55kw">#REF!</definedName>
    <definedName name="立">'[20]定额'!#REF!</definedName>
    <definedName name="立管φ33×1000">'[2]附表2材料价格表'!#REF!</definedName>
    <definedName name="立支柱">'[19]定额'!#REF!</definedName>
    <definedName name="立支柱1">'[19]定额'!#REF!</definedName>
    <definedName name="沥青">'[26]材价汇'!$D$34</definedName>
    <definedName name="砾料">'[2]附表2材料价格表'!#REF!</definedName>
    <definedName name="砾石">'[11]附表2材料价格计算表'!#REF!</definedName>
    <definedName name="砾石30mm">'[2]附表2材料价格表'!#REF!</definedName>
    <definedName name="砾石40mm">'[2]附表2材料价格表'!#REF!</definedName>
    <definedName name="砾石50mm">'[2]附表2材料价格表'!#REF!</definedName>
    <definedName name="联板LV_1214">'[2]附表2材料价格表'!#REF!</definedName>
    <definedName name="林施工费">'[21]表3工程施工费南 '!$H$511</definedName>
    <definedName name="零星卡具">'[2]附表2材料价格表'!#REF!</definedName>
    <definedName name="柳树">'[11]附表2材料价格计算表'!#REF!</definedName>
    <definedName name="龙门式起重机10">#REF!</definedName>
    <definedName name="路措施费南">#REF!</definedName>
    <definedName name="路间接费南">#REF!</definedName>
    <definedName name="路施工费">'[21]表3工程施工费南 '!$H$483</definedName>
    <definedName name="卵石">'[26]表3-1直接费预算表达式1'!$D$11</definedName>
    <definedName name="轮胎起重机16t">#REF!</definedName>
    <definedName name="螺杆">'[2]附表2材料价格表'!#REF!</definedName>
    <definedName name="螺杆16_60">'[2]附表2材料价格表'!#REF!</definedName>
    <definedName name="螺杆卡子">'[2]附表2材料价格表'!#REF!</definedName>
    <definedName name="螺杆卡子5_30">'[2]附表2材料价格表'!#REF!</definedName>
    <definedName name="螺栓">'[2]附表2材料价格表'!#REF!</definedName>
    <definedName name="螺栓、铁件">'[2]附表2材料价格表'!#REF!</definedName>
    <definedName name="螺栓φ18×80">'[2]附表2材料价格表'!#REF!</definedName>
    <definedName name="螺栓φ20×80">'[2]附表2材料价格表'!#REF!</definedName>
    <definedName name="螺丝￠16_300">'[2]附表2材料价格表'!#REF!</definedName>
    <definedName name="螺丝￠16_80">'[2]附表2材料价格表'!#REF!</definedName>
    <definedName name="螺丝￠18_300">'[2]附表2材料价格表'!#REF!</definedName>
    <definedName name="螺丝￠18_80">'[2]附表2材料价格表'!#REF!</definedName>
    <definedName name="铝包带">'[2]附表2材料价格表'!#REF!</definedName>
    <definedName name="铝包带10">'[2]附表2材料价格表'!#REF!</definedName>
    <definedName name="铝三通φ76×1.2×6000">'[2]附表2材料价格表'!#REF!</definedName>
    <definedName name="铝三通φ76×1.2×9000">'[2]附表2材料价格表'!#REF!</definedName>
    <definedName name="铝直管φ76×1.2×6000">'[2]附表2材料价格表'!#REF!</definedName>
    <definedName name="履带起重机10t">#REF!</definedName>
    <definedName name="履带起重机油动15t">'[26]机械汇总'!$K$82</definedName>
    <definedName name="滤料">'[2]附表2材料价格表'!#REF!</definedName>
    <definedName name="滤网">'[2]附表2材料价格表'!#REF!</definedName>
    <definedName name="滤油纸">'[11]附表2材料价格计算表'!#REF!</definedName>
    <definedName name="麻刀">'[11]附表2材料价格计算表'!#REF!</definedName>
    <definedName name="麻絮">'[2]附表2材料价格表'!#REF!</definedName>
    <definedName name="毛石">'[2]附表2材料价格表'!#REF!</definedName>
    <definedName name="煤沥青">'[11]附表2材料价格计算表'!#REF!</definedName>
    <definedName name="煤油">'[11]附表2材料价格计算表'!#REF!</definedName>
    <definedName name="门窗用木材">'[2]附表2材料价格表'!#REF!</definedName>
    <definedName name="门式起重机10t">'[2]附表3机械台班'!#REF!</definedName>
    <definedName name="门式起重机25">#REF!</definedName>
    <definedName name="门座式起重机高架">#REF!</definedName>
    <definedName name="棉纱头">'[2]附表2材料价格表'!#REF!</definedName>
    <definedName name="民族">'[35]二级代码'!$B$2:$B$58</definedName>
    <definedName name="名称及规格">'[18]#REF'!$B$2</definedName>
    <definedName name="模板用木材">'[2]附表2材料价格表'!#REF!</definedName>
    <definedName name="木材">'[2]附表2材料价格表'!#REF!</definedName>
    <definedName name="木柴">'[26]材价汇'!$D$21</definedName>
    <definedName name="木结构木材">'[2]附表2材料价格表'!#REF!</definedName>
    <definedName name="耐张线夹_NLD_2">'[2]附表2材料价格表'!#REF!</definedName>
    <definedName name="耐张线夹NLD_1">'[2]附表2材料价格表'!#REF!</definedName>
    <definedName name="耐张线夹NLD_2">'[2]附表2材料价格表'!#REF!</definedName>
    <definedName name="耐张线夹NLD2">'[11]附表2材料价格计算表'!#REF!</definedName>
    <definedName name="内燃压路机12_15t">'[2]附表3机械台班'!#REF!</definedName>
    <definedName name="内燃压路机重量68t">'[26]机械汇总'!$K$24</definedName>
    <definedName name="泥浆泵3PN">'[2]附表3机械台班'!#REF!</definedName>
    <definedName name="泥浆搅拌机">'[2]附表3机械台班'!#REF!</definedName>
    <definedName name="逆止阀">'[2]附表2材料价格表'!#REF!</definedName>
    <definedName name="逆止阀200">'[4]附表2'!#REF!</definedName>
    <definedName name="宁水8028">'[4]附表4单价'!#REF!</definedName>
    <definedName name="宁水8029">'[4]附表4单价'!#REF!</definedName>
    <definedName name="宁水8029a">'[4]附表4单价'!#REF!</definedName>
    <definedName name="宁水8031">'[4]附表4单价'!#REF!</definedName>
    <definedName name="宁水8032">'[4]附表4单价'!#REF!</definedName>
    <definedName name="宁水8033">'[4]附表4单价'!#REF!</definedName>
    <definedName name="宁水8034">'[4]附表4单价'!#REF!</definedName>
    <definedName name="农田防护林">#REF!</definedName>
    <definedName name="农田水利">'[27]表3工程施工费表'!$I$9</definedName>
    <definedName name="排气阀">'[2]附表2材料价格表'!#REF!</definedName>
    <definedName name="刨毛机">'[2]附表3机械台班'!#REF!</definedName>
    <definedName name="配电柜">'[2]附表2材料价格表'!#REF!</definedName>
    <definedName name="喷头6.5_3.1">'[2]附表2材料价格表'!#REF!</definedName>
    <definedName name="平板挂车40t">#REF!</definedName>
    <definedName name="平板式振动器2.2kw">'[2]附表3机械台班'!#REF!</definedName>
    <definedName name="平胶垫">'[2]附表2材料价格表'!#REF!</definedName>
    <definedName name="平胶垫90_3">'[2]附表2材料价格表'!#REF!</definedName>
    <definedName name="平胶垫φ200">'[2]附表2材料价格表'!#REF!</definedName>
    <definedName name="平胶垫φ225">'[2]附表2材料价格表'!#REF!</definedName>
    <definedName name="平胶垫φ250">'[2]附表2材料价格表'!#REF!</definedName>
    <definedName name="平胶垫φ315">'[2]附表2材料价格表'!#REF!</definedName>
    <definedName name="平胶垫φ355">'[2]附表2材料价格表'!#REF!</definedName>
    <definedName name="平胶垫φ400">'[2]附表2材料价格表'!#REF!</definedName>
    <definedName name="其他费用">#REF!</definedName>
    <definedName name="其他费用南">'[21]表5其他费用南 '!$C$9</definedName>
    <definedName name="其他工程">'[2]表3工程施工费表'!#REF!</definedName>
    <definedName name="其它工程">'[2]表3工程施工费表'!#REF!</definedName>
    <definedName name="起重设备调差系数">#REF!</definedName>
    <definedName name="汽车起重机25t">'[2]附表3机械台班'!#REF!</definedName>
    <definedName name="汽车起重机5t">#REF!</definedName>
    <definedName name="汽车起重机5吨">'[26]机械汇总'!$K$84</definedName>
    <definedName name="汽车起重机8t">#REF!</definedName>
    <definedName name="汽车拖头40t">#REF!</definedName>
    <definedName name="汽油">#REF!</definedName>
    <definedName name="铅油">'[11]附表2材料价格计算表'!#REF!</definedName>
    <definedName name="前期工作费">'[36]前期'!$F$12</definedName>
    <definedName name="前期工作费南">'[21]表5-1前期工作费南'!$E$11</definedName>
    <definedName name="桥式起重机10t">#REF!</definedName>
    <definedName name="球阀50">'[4]附表2'!#REF!</definedName>
    <definedName name="球阀75">'[4]附表2'!#REF!</definedName>
    <definedName name="球头挂环QP_7">'[2]附表2材料价格表'!#REF!</definedName>
    <definedName name="人">'[37]机械定额'!#REF!</definedName>
    <definedName name="人1_23_1">'[2]附表5直接工程费单价表'!#REF!</definedName>
    <definedName name="人10001">'[2]附表5直接工程费单价表'!#REF!</definedName>
    <definedName name="人100017">'[11]附表4直接工程费单价表'!#REF!</definedName>
    <definedName name="人10002">'[2]附表5直接工程费单价表'!#REF!</definedName>
    <definedName name="人100023">'[11]附表4直接工程费单价表'!#REF!</definedName>
    <definedName name="人10003">'[2]附表5直接工程费单价表'!#REF!</definedName>
    <definedName name="人100049">'[11]附表4直接工程费单价表'!#REF!</definedName>
    <definedName name="人10008">'[2]附表5直接工程费单价表'!#REF!</definedName>
    <definedName name="人10017">'[11]附表4直接工程费单价表'!#REF!</definedName>
    <definedName name="人10019">'[2]附表5直接工程费单价表'!#REF!</definedName>
    <definedName name="人10020">'[2]附表5直接工程费单价表'!#REF!</definedName>
    <definedName name="人10021">'[2]附表5直接工程费单价表'!#REF!</definedName>
    <definedName name="人10041">'[11]附表4直接工程费单价表'!#REF!</definedName>
    <definedName name="人10043">'[11]附表4直接工程费单价表'!#REF!</definedName>
    <definedName name="人10045">'[2]附表5直接工程费单价表'!#REF!</definedName>
    <definedName name="人10047">'[2]附表5直接工程费单价表'!#REF!</definedName>
    <definedName name="人10049">'[2]附表5直接工程费单价表'!#REF!</definedName>
    <definedName name="人10052">'[2]附表5直接工程费单价表'!#REF!</definedName>
    <definedName name="人10054">'[2]附表5直接工程费单价表'!#REF!</definedName>
    <definedName name="人10056">'[2]附表5直接工程费单价表'!#REF!</definedName>
    <definedName name="人10066">'[2]附表5直接工程费单价表'!#REF!</definedName>
    <definedName name="人10071">'[2]附表5直接工程费单价表'!#REF!</definedName>
    <definedName name="人10075">'[2]附表5直接工程费单价表'!#REF!</definedName>
    <definedName name="人10090">'[2]附表5直接工程费单价表'!#REF!</definedName>
    <definedName name="人10095">'[2]附表5直接工程费单价表'!#REF!</definedName>
    <definedName name="人10114">'[2]附表5直接工程费单价表'!#REF!</definedName>
    <definedName name="人10116">'[2]附表5直接工程费单价表'!#REF!</definedName>
    <definedName name="人10118">'[2]附表5直接工程费单价表'!#REF!</definedName>
    <definedName name="人10204">'[2]附表5直接工程费单价表'!#REF!</definedName>
    <definedName name="人10269">'[2]附表5直接工程费单价表'!#REF!</definedName>
    <definedName name="人10270">'[2]附表5直接工程费单价表'!#REF!</definedName>
    <definedName name="人10271">'[2]附表5直接工程费单价表'!#REF!</definedName>
    <definedName name="人10272">'[2]附表5直接工程费单价表'!#REF!</definedName>
    <definedName name="人10273">'[2]附表5直接工程费单价表'!#REF!</definedName>
    <definedName name="人10275">'[2]附表5直接工程费单价表'!#REF!</definedName>
    <definedName name="人10277">'[2]附表5直接工程费单价表'!#REF!</definedName>
    <definedName name="人10278">'[2]附表5直接工程费单价表'!#REF!</definedName>
    <definedName name="人10279">'[2]附表5直接工程费单价表'!#REF!</definedName>
    <definedName name="人10279A">'[2]附表5直接工程费单价表'!#REF!</definedName>
    <definedName name="人10280">'[2]附表5直接工程费单价表'!#REF!</definedName>
    <definedName name="人10280A">'[2]附表5直接工程费单价表'!#REF!</definedName>
    <definedName name="人10281">'[2]附表5直接工程费单价表'!#REF!</definedName>
    <definedName name="人10281A">'[2]附表5直接工程费单价表'!#REF!</definedName>
    <definedName name="人10282">'[2]附表5直接工程费单价表'!#REF!</definedName>
    <definedName name="人10282A">'[2]附表5直接工程费单价表'!#REF!</definedName>
    <definedName name="人10283">'[2]附表5直接工程费单价表'!#REF!</definedName>
    <definedName name="人10283A">'[2]附表5直接工程费单价表'!#REF!</definedName>
    <definedName name="人10306">'[11]附表4直接工程费单价表'!#REF!</definedName>
    <definedName name="人10309">'[2]附表5直接工程费单价表'!#REF!</definedName>
    <definedName name="人10310">'[2]附表5直接工程费单价表'!#REF!</definedName>
    <definedName name="人10311">'[2]附表5直接工程费单价表'!#REF!</definedName>
    <definedName name="人10332">'[11]附表4直接工程费单价表'!#REF!</definedName>
    <definedName name="人10333">'[11]附表4直接工程费单价表'!#REF!</definedName>
    <definedName name="人10339">'[2]附表5直接工程费单价表'!#REF!</definedName>
    <definedName name="人10344">'[11]附表4直接工程费单价表'!#REF!</definedName>
    <definedName name="人10345">'[11]附表4直接工程费单价表'!#REF!</definedName>
    <definedName name="人10360">'[2]附表5直接工程费单价表'!#REF!</definedName>
    <definedName name="人10361">'[2]附表5直接工程费单价表'!#REF!</definedName>
    <definedName name="人10365">'[2]附表5直接工程费单价表'!#REF!</definedName>
    <definedName name="人10366">'[2]附表5直接工程费单价表'!#REF!</definedName>
    <definedName name="人10367">'[2]附表5直接工程费单价表'!#REF!</definedName>
    <definedName name="人10464">'[2]附表5直接工程费单价表'!#REF!</definedName>
    <definedName name="人10465">'[2]附表5直接工程费单价表'!#REF!</definedName>
    <definedName name="人10469">'[2]附表5直接工程费单价表'!#REF!</definedName>
    <definedName name="人10469A">'[2]附表5直接工程费单价表'!#REF!</definedName>
    <definedName name="人10473">'[2]附表5直接工程费单价表'!#REF!</definedName>
    <definedName name="人10474">'[2]附表5直接工程费单价表'!#REF!</definedName>
    <definedName name="人12001">'[2]附表5直接工程费单价表'!#REF!</definedName>
    <definedName name="人12074">'[2]附表5直接工程费单价表'!#REF!</definedName>
    <definedName name="人12075">'[2]附表5直接工程费单价表'!#REF!</definedName>
    <definedName name="人2_19_3">'[2]附表5直接工程费单价表'!#REF!</definedName>
    <definedName name="人2_19_4">'[2]附表5直接工程费单价表'!#REF!</definedName>
    <definedName name="人20484">'[2]附表5直接工程费单价表'!#REF!</definedName>
    <definedName name="人20485">'[2]附表5直接工程费单价表'!#REF!</definedName>
    <definedName name="人20488">'[2]附表5直接工程费单价表'!#REF!</definedName>
    <definedName name="人30001">'[2]附表5直接工程费单价表'!#REF!</definedName>
    <definedName name="人30002">'[2]附表5直接工程费单价表'!#REF!</definedName>
    <definedName name="人30016">'[2]附表5直接工程费单价表'!#REF!</definedName>
    <definedName name="人30019">'[2]附表5直接工程费单价表'!#REF!</definedName>
    <definedName name="人30020">'[2]附表5直接工程费单价表'!#REF!</definedName>
    <definedName name="人30021">'[2]附表5直接工程费单价表'!#REF!</definedName>
    <definedName name="人30022">'[2]附表5直接工程费单价表'!#REF!</definedName>
    <definedName name="人30023">'[2]附表5直接工程费单价表'!#REF!</definedName>
    <definedName name="人30024">'[2]附表5直接工程费单价表'!#REF!</definedName>
    <definedName name="人30025">'[2]附表5直接工程费单价表'!#REF!</definedName>
    <definedName name="人30027">'[2]附表5直接工程费单价表'!#REF!</definedName>
    <definedName name="人30028">'[11]附表4直接工程费单价表'!#REF!</definedName>
    <definedName name="人30048">'[2]附表5直接工程费单价表'!#REF!</definedName>
    <definedName name="人30048、30051">'[2]附表5直接工程费单价表'!#REF!</definedName>
    <definedName name="人30049">'[2]附表5直接工程费单价表'!#REF!</definedName>
    <definedName name="人30064">'[11]附表4直接工程费单价表'!#REF!</definedName>
    <definedName name="人30067">'[11]附表4直接工程费单价表'!#REF!</definedName>
    <definedName name="人40004">'[11]附表4直接工程费单价表'!#REF!</definedName>
    <definedName name="人40006">'[22]直接工程费'!$F$188</definedName>
    <definedName name="人40006b">'[11]附表4直接工程费单价表'!#REF!</definedName>
    <definedName name="人40006细石">'[11]附表4直接工程费单价表'!#REF!</definedName>
    <definedName name="人40030">'[11]附表4直接工程费单价表'!#REF!</definedName>
    <definedName name="人40031">'[2]附表5直接工程费单价表'!#REF!</definedName>
    <definedName name="人4003115">'[11]附表4直接工程费单价表'!#REF!</definedName>
    <definedName name="人40041b">'[11]附表4直接工程费单价表'!#REF!</definedName>
    <definedName name="人40056">'[11]附表4直接工程费单价表'!#REF!</definedName>
    <definedName name="人40058">'[2]附表5直接工程费单价表'!#REF!</definedName>
    <definedName name="人40058A">'[2]附表5直接工程费单价表'!#REF!</definedName>
    <definedName name="人40061">'[2]附表5直接工程费单价表'!#REF!</definedName>
    <definedName name="人40062">'[2]附表5直接工程费单价表'!#REF!</definedName>
    <definedName name="人40063">'[11]附表4直接工程费单价表'!#REF!</definedName>
    <definedName name="人40064">'[11]附表4直接工程费单价表'!#REF!</definedName>
    <definedName name="人40067">'[2]附表5直接工程费单价表'!#REF!</definedName>
    <definedName name="人40067A">'[2]附表5直接工程费单价表'!#REF!</definedName>
    <definedName name="人40068">'[2]附表5直接工程费单价表'!#REF!</definedName>
    <definedName name="人40069">'[2]附表5直接工程费单价表'!#REF!</definedName>
    <definedName name="人40070">'[2]附表5直接工程费单价表'!#REF!</definedName>
    <definedName name="人40072">'[2]附表5直接工程费单价表'!#REF!</definedName>
    <definedName name="人40073">'[11]附表4直接工程费单价表'!#REF!</definedName>
    <definedName name="人40074">'[2]附表5直接工程费单价表'!#REF!</definedName>
    <definedName name="人40075">'[2]附表5直接工程费单价表'!#REF!</definedName>
    <definedName name="人40076">'[2]附表5直接工程费单价表'!#REF!</definedName>
    <definedName name="人4007620">'[11]附表4直接工程费单价表'!#REF!</definedName>
    <definedName name="人40077">'[11]附表4直接工程费单价表'!#REF!</definedName>
    <definedName name="人40079">'[11]附表4直接工程费单价表'!#REF!</definedName>
    <definedName name="人40090">'[2]附表5直接工程费单价表'!#REF!</definedName>
    <definedName name="人40096">'[2]附表5直接工程费单价表'!#REF!</definedName>
    <definedName name="人40101">'[2]附表5直接工程费单价表'!#REF!</definedName>
    <definedName name="人40101A">'[2]附表5直接工程费单价表'!#REF!</definedName>
    <definedName name="人40101B">'[2]附表5直接工程费单价表'!#REF!</definedName>
    <definedName name="人40109">'[2]附表5直接工程费单价表'!#REF!</definedName>
    <definedName name="人40110">'[2]附表5直接工程费单价表'!#REF!</definedName>
    <definedName name="人40111">'[2]附表5直接工程费单价表'!#REF!</definedName>
    <definedName name="人40112">'[2]附表5直接工程费单价表'!#REF!</definedName>
    <definedName name="人40113">'[2]附表5直接工程费单价表'!#REF!</definedName>
    <definedName name="人40114">'[2]附表5直接工程费单价表'!#REF!</definedName>
    <definedName name="人40115">'[11]附表4直接工程费单价表'!#REF!</definedName>
    <definedName name="人40116">'[11]附表4直接工程费单价表'!#REF!</definedName>
    <definedName name="人40117">'[2]附表5直接工程费单价表'!#REF!</definedName>
    <definedName name="人40118">'[2]附表5直接工程费单价表'!#REF!</definedName>
    <definedName name="人40120">'[2]附表5直接工程费单价表'!#REF!</definedName>
    <definedName name="人40124">'[2]附表5直接工程费单价表'!#REF!</definedName>
    <definedName name="人40125">'[2]附表5直接工程费单价表'!#REF!</definedName>
    <definedName name="人40133">'[11]附表4直接工程费单价表'!#REF!</definedName>
    <definedName name="人40134">'[2]附表5直接工程费单价表'!#REF!</definedName>
    <definedName name="人40143">'[2]附表5直接工程费单价表'!#REF!</definedName>
    <definedName name="人40192">'[11]附表4直接工程费单价表'!#REF!</definedName>
    <definedName name="人40203">'[11]附表4直接工程费单价表'!#REF!</definedName>
    <definedName name="人40210">'[11]附表4直接工程费单价表'!#REF!</definedName>
    <definedName name="人40214苯">'[11]附表4直接工程费单价表'!#REF!</definedName>
    <definedName name="人40224">'[2]附表5直接工程费单价表'!#REF!</definedName>
    <definedName name="人40260">'[2]附表5直接工程费单价表'!#REF!</definedName>
    <definedName name="人40263">'[2]附表5直接工程费单价表'!#REF!</definedName>
    <definedName name="人40271">'[2]附表5直接工程费单价表'!#REF!</definedName>
    <definedName name="人40286">'[2]附表5直接工程费单价表'!#REF!</definedName>
    <definedName name="人40287">'[2]附表5直接工程费单价表'!#REF!</definedName>
    <definedName name="人40288">'[2]附表5直接工程费单价表'!#REF!</definedName>
    <definedName name="人40289">'[2]附表5直接工程费单价表'!#REF!</definedName>
    <definedName name="人40289A">'[2]附表5直接工程费单价表'!#REF!</definedName>
    <definedName name="人40306">'[2]附表5直接工程费单价表'!#REF!</definedName>
    <definedName name="人40306A">'[2]附表5直接工程费单价表'!#REF!</definedName>
    <definedName name="人40306B">'[2]附表5直接工程费单价表'!#REF!</definedName>
    <definedName name="人50003">'[2]附表5直接工程费单价表'!#REF!</definedName>
    <definedName name="人50004">'[2]附表5直接工程费单价表'!#REF!</definedName>
    <definedName name="人50005">'[2]附表5直接工程费单价表'!#REF!</definedName>
    <definedName name="人50006">'[2]附表5直接工程费单价表'!#REF!</definedName>
    <definedName name="人50014">'[23]附表4工程费单价表'!#REF!</definedName>
    <definedName name="人50045">'[2]附表5直接工程费单价表'!#REF!</definedName>
    <definedName name="人50046">'[2]附表5直接工程费单价表'!#REF!</definedName>
    <definedName name="人50049">'[2]附表5直接工程费单价表'!#REF!</definedName>
    <definedName name="人50050">'[2]附表5直接工程费单价表'!#REF!</definedName>
    <definedName name="人50064">'[11]附表4直接工程费单价表'!#REF!</definedName>
    <definedName name="人50067">'[11]附表4直接工程费单价表'!#REF!</definedName>
    <definedName name="人50113">'[23]附表4工程费单价表'!#REF!</definedName>
    <definedName name="人50115">'[2]附表5直接工程费单价表'!#REF!</definedName>
    <definedName name="人70007">'[11]附表4直接工程费单价表'!#REF!</definedName>
    <definedName name="人70013">'[11]附表4直接工程费单价表'!#REF!</definedName>
    <definedName name="人70014">'[11]附表4直接工程费单价表'!#REF!</definedName>
    <definedName name="人70070">'[11]附表4直接工程费单价表'!#REF!</definedName>
    <definedName name="人70105">'[11]附表4直接工程费单价表'!#REF!</definedName>
    <definedName name="人70106">'[11]附表4直接工程费单价表'!#REF!</definedName>
    <definedName name="人70114">'[11]附表4直接工程费单价表'!#REF!</definedName>
    <definedName name="人70125">'[11]附表4直接工程费单价表'!#REF!</definedName>
    <definedName name="人70194">'[2]附表5直接工程费单价表'!#REF!</definedName>
    <definedName name="人70195">'[2]附表5直接工程费单价表'!#REF!</definedName>
    <definedName name="人70196">'[2]附表5直接工程费单价表'!#REF!</definedName>
    <definedName name="人80015">'[11]附表4直接工程费单价表'!#REF!</definedName>
    <definedName name="人80015加800162">'[11]附表4直接工程费单价表'!#REF!</definedName>
    <definedName name="人80015减80016">'[11]附表4直接工程费单价表'!#REF!</definedName>
    <definedName name="人80023加8002410">'[11]附表4直接工程费单价表'!#REF!</definedName>
    <definedName name="人80033">'[11]附表4直接工程费单价表'!#REF!</definedName>
    <definedName name="人80034">'[11]附表4直接工程费单价表'!#REF!</definedName>
    <definedName name="人90013">'[11]附表4直接工程费单价表'!#REF!</definedName>
    <definedName name="人90014">'[2]附表5直接工程费单价表'!#REF!</definedName>
    <definedName name="人90017">'[2]附表5直接工程费单价表'!#REF!</definedName>
    <definedName name="人90017A">'[2]附表5直接工程费单价表'!#REF!</definedName>
    <definedName name="人90085">'[2]附表5直接工程费单价表'!#REF!</definedName>
    <definedName name="人90086">'[2]附表5直接工程费单价表'!#REF!</definedName>
    <definedName name="人90087">'[2]附表5直接工程费单价表'!#REF!</definedName>
    <definedName name="人90087A">'[2]附表5直接工程费单价表'!#REF!</definedName>
    <definedName name="人90136">'[2]附表5直接工程费单价表'!#REF!</definedName>
    <definedName name="人90147">'[2]附表5直接工程费单价表'!#REF!</definedName>
    <definedName name="人90189">'[2]附表5直接工程费单价表'!#REF!</definedName>
    <definedName name="人补1">'[2]附表5直接工程费单价表'!#REF!</definedName>
    <definedName name="人补1A">'[2]附表5直接工程费单价表'!#REF!</definedName>
    <definedName name="人补2">'[2]附表5直接工程费单价表'!#REF!</definedName>
    <definedName name="人补3">'[2]附表5直接工程费单价表'!#REF!</definedName>
    <definedName name="人补4">'[2]附表5直接工程费单价表'!#REF!</definedName>
    <definedName name="人补5">'[2]附表5直接工程费单价表'!#REF!</definedName>
    <definedName name="人参60432">'[2]附表5直接工程费单价表'!#REF!</definedName>
    <definedName name="人工1">'[30]人工单价'!$D$13</definedName>
    <definedName name="人工费">'[38]附表2人工预算单价'!#REF!</definedName>
    <definedName name="人工挖土、手扶运300m__工程">#REF!</definedName>
    <definedName name="人甲">'[26]汇总'!$E$20</definedName>
    <definedName name="人建11_25换">'[2]附表5直接工程费单价表'!#REF!</definedName>
    <definedName name="人建4_10换">'[2]附表5直接工程费单价表'!#REF!</definedName>
    <definedName name="人乙">'[26]汇总'!$G$20</definedName>
    <definedName name="软管接头">'[2]附表2材料价格表'!#REF!</definedName>
    <definedName name="润滑油">'[11]附表2材料价格计算表'!#REF!</definedName>
    <definedName name="洒水汽车6000L以内">'[2]附表3机械台班'!#REF!</definedName>
    <definedName name="三盘三通φ225×200×355">'[2]附表2材料价格表'!#REF!</definedName>
    <definedName name="三盘三通φ250×200×200">'[2]附表2材料价格表'!#REF!</definedName>
    <definedName name="三盘三通φ315×160×250">'[2]附表2材料价格表'!#REF!</definedName>
    <definedName name="三盘三通φ315×200×225">'[2]附表2材料价格表'!#REF!</definedName>
    <definedName name="三盘三通φ315×200×250">'[2]附表2材料价格表'!#REF!</definedName>
    <definedName name="三盘三通φ315×200×315">'[2]附表2材料价格表'!#REF!</definedName>
    <definedName name="三盘三通φ355×160×225">'[2]附表2材料价格表'!#REF!</definedName>
    <definedName name="三盘三通φ355×160×315">'[2]附表2材料价格表'!#REF!</definedName>
    <definedName name="三盘三通φ355×200×225">'[2]附表2材料价格表'!#REF!</definedName>
    <definedName name="三盘三通φ355×200×315">'[2]附表2材料价格表'!#REF!</definedName>
    <definedName name="三盘三通φ355×200×400">'[2]附表2材料价格表'!#REF!</definedName>
    <definedName name="三盘三通φ355×400×355">'[2]附表2材料价格表'!#REF!</definedName>
    <definedName name="三盘三通φ400×200×225">'[2]附表2材料价格表'!#REF!</definedName>
    <definedName name="三盘三通φ400×200×355">'[2]附表2材料价格表'!#REF!</definedName>
    <definedName name="三盘三通φ400×500×400">'[2]附表2材料价格表'!#REF!</definedName>
    <definedName name="三盘三通φ500×500×500">'[2]附表2材料价格表'!#REF!</definedName>
    <definedName name="三盘三通φ80×80×80">'[2]附表2材料价格表'!#REF!</definedName>
    <definedName name="三通11090">'[4]附表2'!#REF!</definedName>
    <definedName name="三通16090">'[4]附表2'!#REF!</definedName>
    <definedName name="三通20090">'[4]附表2'!#REF!</definedName>
    <definedName name="三通25090">'[4]附表2'!#REF!</definedName>
    <definedName name="三通90">'[4]附表2'!#REF!</definedName>
    <definedName name="三通φ160×180×160">'[2]附表2材料价格表'!#REF!</definedName>
    <definedName name="三通φ180×180×160">'[2]附表2材料价格表'!#REF!</definedName>
    <definedName name="三通φ180×180×90">'[2]附表2材料价格表'!#REF!</definedName>
    <definedName name="沙枣">'[11]附表2材料价格计算表'!#REF!</definedName>
    <definedName name="砂">'[11]附表2材料价格计算表'!#REF!</definedName>
    <definedName name="砂浆">'[2]附表5直接工程费单价表'!#REF!</definedName>
    <definedName name="砂浆7.5">'[39]附表7砂浆配比表'!$I$7</definedName>
    <definedName name="砂浆M10">'[40]附表4砼、沙浆费计算表'!$M$12</definedName>
    <definedName name="砂浆M5">'[41]附表4砼、沙浆费计算表'!$M$10</definedName>
    <definedName name="砂浆M7.5">'[41]附表4砼、沙浆费计算表'!$M$11</definedName>
    <definedName name="砂浆库">'[42]砼、砂浆半成品预算表'!$A$6:$K$36</definedName>
    <definedName name="砂砾石">'[26]材价汇'!$D$10</definedName>
    <definedName name="设备费">#REF!</definedName>
    <definedName name="设备费南">'[21]表4设备费南 '!$N$37</definedName>
    <definedName name="设备购置费">'[43]设备'!#REF!</definedName>
    <definedName name="设计费">#REF!</definedName>
    <definedName name="伸缩节200">'[4]附表2'!#REF!</definedName>
    <definedName name="生产安置平衡">#REF!</definedName>
    <definedName name="石灰">'[11]附表2材料价格计算表'!#REF!</definedName>
    <definedName name="石棉织布">'[11]附表2材料价格计算表'!#REF!</definedName>
    <definedName name="石屑">'[11]附表2材料价格计算表'!#REF!</definedName>
    <definedName name="世行项目统计表">'[44]数据字典'!$L$2:$L$3</definedName>
    <definedName name="世行项目预算" hidden="1">#REF!</definedName>
    <definedName name="手扶式拖拉机">'[26]机械汇总'!$K$20</definedName>
    <definedName name="竖管">'[2]附表2材料价格表'!#REF!</definedName>
    <definedName name="竖管75">'[4]附表2'!#REF!</definedName>
    <definedName name="竖管80_150">'[2]附表2材料价格表'!#REF!</definedName>
    <definedName name="数量">'[18]#REF'!$D$2</definedName>
    <definedName name="双" hidden="1">{"'现金流量表（全部投资）'!$B$4:$P$23"}</definedName>
    <definedName name="双承PVC塑管φ110×3.2×9000">'[2]附表2材料价格表'!#REF!</definedName>
    <definedName name="双承PVC塑管φ125×3.7×9000">'[2]附表2材料价格表'!#REF!</definedName>
    <definedName name="双承PVC塑管φ160×4.7×9000">'[2]附表2材料价格表'!#REF!</definedName>
    <definedName name="双承PVC塑管φ200×5.9×10000">'[2]附表2材料价格表'!#REF!</definedName>
    <definedName name="双承PVC塑管φ200×5.9×9000">'[2]附表2材料价格表'!#REF!</definedName>
    <definedName name="双承PVC塑管φ225×6.6×10000">'[2]附表2材料价格表'!#REF!</definedName>
    <definedName name="双承PVC塑管φ250×7.3×10000">'[2]附表2材料价格表'!#REF!</definedName>
    <definedName name="双承PVC塑管φ315×9.2×10000">'[2]附表2材料价格表'!#REF!</definedName>
    <definedName name="双承PVC塑管φ355×10.4×10000">'[2]附表2材料价格表'!#REF!</definedName>
    <definedName name="双承PVC塑管φ400×11.7×10000">'[2]附表2材料价格表'!#REF!</definedName>
    <definedName name="双承PVC塑管φ500×14.6×10000">'[2]附表2材料价格表'!#REF!</definedName>
    <definedName name="双承PVC塑管φ90×2.8×9000">'[2]附表2材料价格表'!#REF!</definedName>
    <definedName name="双法兰短管">'[2]附表2材料价格表'!#REF!</definedName>
    <definedName name="双法兰空气阀">'[2]附表2材料价格表'!#REF!</definedName>
    <definedName name="双轮胶车">'[26]机械汇总'!$K$74</definedName>
    <definedName name="双面刨床">'[2]附表3机械台班'!#REF!</definedName>
    <definedName name="双盘短管φ315×600">'[2]附表2材料价格表'!#REF!</definedName>
    <definedName name="双盘短管φ315×600、45">'[2]附表2材料价格表'!#REF!</definedName>
    <definedName name="双盘短管φ400×600">'[2]附表2材料价格表'!#REF!</definedName>
    <definedName name="双盘短管φ400×600、30">'[2]附表2材料价格表'!#REF!</definedName>
    <definedName name="双盘短管φ500×600">'[2]附表2材料价格表'!#REF!</definedName>
    <definedName name="双盘弯头φ200×200">'[2]附表2材料价格表'!#REF!</definedName>
    <definedName name="双盘弯头φ225×160">'[2]附表2材料价格表'!#REF!</definedName>
    <definedName name="双盘弯头φ225×200">'[2]附表2材料价格表'!#REF!</definedName>
    <definedName name="双盘弯头φ250×160">'[2]附表2材料价格表'!#REF!</definedName>
    <definedName name="双盘弯头φ250×200">'[2]附表2材料价格表'!#REF!</definedName>
    <definedName name="水">#REF!</definedName>
    <definedName name="水泵机组250QJ100_270_15">'[2]附表2材料价格表'!#REF!</definedName>
    <definedName name="水泵机组250QJ80_320_16">'[2]附表2材料价格表'!#REF!</definedName>
    <definedName name="水泵机组IS80_50_250">'[2]附表2材料价格表'!#REF!</definedName>
    <definedName name="水表">'[2]附表2材料价格表'!#REF!</definedName>
    <definedName name="水措施费南">#REF!</definedName>
    <definedName name="水价">'[26]材价汇'!$D$17</definedName>
    <definedName name="水间接费南">#REF!</definedName>
    <definedName name="水力机械调差系数">#REF!</definedName>
    <definedName name="水泥">'[2]附表2材料价格表'!#REF!</definedName>
    <definedName name="水泥32.5">'[23]附表2 材料价格表'!#REF!</definedName>
    <definedName name="水泥325">'[11]附表2材料价格计算表'!#REF!</definedName>
    <definedName name="水泥425">'[26]表3-1直接费预算表达式1'!$D$5</definedName>
    <definedName name="水泥电杆￠190_12m">'[2]附表2材料价格表'!#REF!</definedName>
    <definedName name="水泥电杆79米">'[11]附表2材料价格计算表'!#REF!</definedName>
    <definedName name="水泥电杆911米">'[11]附表2材料价格计算表'!#REF!</definedName>
    <definedName name="水施工费">'[21]表3工程施工费南 '!$H$8</definedName>
    <definedName name="水直接工程费南">#REF!</definedName>
    <definedName name="思想">#REF!</definedName>
    <definedName name="四盘四通φ315×200×400×355">'[2]附表2材料价格表'!#REF!</definedName>
    <definedName name="四盘四通φ400×355×355×200">'[2]附表2材料价格表'!#REF!</definedName>
    <definedName name="四盘四通φ400×500×200×400">'[2]附表2材料价格表'!#REF!</definedName>
    <definedName name="四通φ180×90×180×90">'[2]附表2材料价格表'!#REF!</definedName>
    <definedName name="速生杨">'[4]附表2'!#REF!</definedName>
    <definedName name="塑料软管">'[11]附表2材料价格计算表'!#REF!</definedName>
    <definedName name="碎石">#REF!</definedName>
    <definedName name="碎石30mm">'[2]附表2材料价格表'!#REF!</definedName>
    <definedName name="碎石4">'[26]表3-1直接费预算表达式1'!$D$13</definedName>
    <definedName name="碎石40mm">'[2]附表2材料价格表'!#REF!</definedName>
    <definedName name="碎石50mm">'[2]附表2材料价格表'!#REF!</definedName>
    <definedName name="塔式起重机10t">#REF!</definedName>
    <definedName name="塔式起重机25t">#REF!</definedName>
    <definedName name="塔式起重机6t">'[2]附表3机械台班'!#REF!</definedName>
    <definedName name="摊铺机TX150">'[2]附表3机械台班'!#REF!</definedName>
    <definedName name="谈预算">'[45]表5-2工程监理费南'!$E$10</definedName>
    <definedName name="田间道路工程">#REF!</definedName>
    <definedName name="铁垫块">'[26]材价汇'!$D$22</definedName>
    <definedName name="铁钉">'[26]材价汇'!$D$23</definedName>
    <definedName name="铁横担_∠63×6×1500">'[2]附表2材料价格表'!#REF!</definedName>
    <definedName name="铁横担_∠8×8×1700">'[2]附表2材料价格表'!#REF!</definedName>
    <definedName name="铁横担∠8×8×1700">'[2]附表2材料价格表'!#REF!</definedName>
    <definedName name="铁横担L6361500">'[11]附表2材料价格计算表'!#REF!</definedName>
    <definedName name="铁横担L636800">'[11]附表2材料价格计算表'!#REF!</definedName>
    <definedName name="铁横担L8081700">'[11]附表2材料价格计算表'!#REF!</definedName>
    <definedName name="铁件">'[26]材价汇'!$D$24</definedName>
    <definedName name="铁丝">'[26]材价汇'!$D$25</definedName>
    <definedName name="铁丝_综合">'[2]附表2材料价格表'!#REF!</definedName>
    <definedName name="铁丝10">'[2]附表2材料价格表'!#REF!</definedName>
    <definedName name="铁丝12">'[2]附表2材料价格表'!#REF!</definedName>
    <definedName name="铁丝14">'[2]附表2材料价格表'!#REF!</definedName>
    <definedName name="铁丝16">'[2]附表2材料价格表'!#REF!</definedName>
    <definedName name="铁丝20">'[2]附表2材料价格表'!#REF!</definedName>
    <definedName name="铁丝22">'[2]附表2材料价格表'!#REF!</definedName>
    <definedName name="铁丝8">'[2]附表2材料价格表'!#REF!</definedName>
    <definedName name="砼C10M2">'[26]表3-8'!$N$7</definedName>
    <definedName name="砼C15">'[32]单位估价'!#REF!</definedName>
    <definedName name="砼C20">'[46]附表4砼、沙浆费计算表'!$M$9</definedName>
    <definedName name="砼C20M2">'[26]表3-8'!$N$13</definedName>
    <definedName name="砼C20碎2">'[26]表3-8'!$N$9</definedName>
    <definedName name="砼C25M2">'[26]表3-8'!$N$15</definedName>
    <definedName name="砼C30M2">'[26]表3-8'!$N$17</definedName>
    <definedName name="砼拌制">'[4]附表4单价'!#REF!</definedName>
    <definedName name="砼吊罐1">#REF!</definedName>
    <definedName name="砼管1000">'[23]附表2 材料价格表'!#REF!</definedName>
    <definedName name="砼管1500">'[23]附表2 材料价格表'!#REF!</definedName>
    <definedName name="砼搅拌机0.4">#REF!</definedName>
    <definedName name="砼运输">'[4]附表4单价'!#REF!</definedName>
    <definedName name="铜电焊条">'[2]附表2材料价格表'!#REF!</definedName>
    <definedName name="土措施费南">#REF!</definedName>
    <definedName name="土地平整">'[27]表3工程施工费表'!$I$8</definedName>
    <definedName name="土地平整工程">#REF!</definedName>
    <definedName name="土间接费南">#REF!</definedName>
    <definedName name="土建单价">#REF!</definedName>
    <definedName name="土建费率">#REF!</definedName>
    <definedName name="土建工程量">#REF!</definedName>
    <definedName name="土施工费南">'[21]表3工程施工费南 '!$H$6</definedName>
    <definedName name="土直接工程费南">#REF!</definedName>
    <definedName name="推土机103kw">'[2]附表3机械台班'!#REF!</definedName>
    <definedName name="推土机55kw">'[2]附表3机械台班'!#REF!</definedName>
    <definedName name="推土机59kw">#REF!</definedName>
    <definedName name="推土机74kw">#REF!</definedName>
    <definedName name="推土机88kw">'[2]附表3机械台班'!#REF!</definedName>
    <definedName name="推土机89kw">'[2]附表3机械台班'!#REF!</definedName>
    <definedName name="拖拉机55kw">'[2]附表3机械台班'!#REF!</definedName>
    <definedName name="拖拉机59KW">#REF!</definedName>
    <definedName name="拖拉机74kw">#REF!</definedName>
    <definedName name="拖拉机履带式功率59kw">'[26]机械汇总'!$K$16</definedName>
    <definedName name="拖拉机履带式功率74kw">'[26]机械汇总'!$K$18</definedName>
    <definedName name="挖掘机1.0油动">#REF!</definedName>
    <definedName name="挖掘机1m3">'[2]附表3机械台班'!#REF!</definedName>
    <definedName name="蛙式打夯机2.8k">'[2]附表3机械台班'!#REF!</definedName>
    <definedName name="蛙式打夯机2.8KW">#REF!</definedName>
    <definedName name="蛙式打夯机功率2.8kw">'[26]机械汇总'!$K$30</definedName>
    <definedName name="弯头12590">'[4]附表2'!#REF!</definedName>
    <definedName name="弯头20045">'[4]附表2'!#REF!</definedName>
    <definedName name="弯头25090">'[4]附表2'!#REF!</definedName>
    <definedName name="弯头Dg120">'[2]附表2材料价格表'!#REF!</definedName>
    <definedName name="弯头Dg160">'[2]附表2材料价格表'!#REF!</definedName>
    <definedName name="弯头Dg180">'[2]附表2材料价格表'!#REF!</definedName>
    <definedName name="弯头Dg90">'[2]附表2材料价格表'!#REF!</definedName>
    <definedName name="弯头φ110">'[2]附表2材料价格表'!#REF!</definedName>
    <definedName name="弯头φ120_90度">'[2]附表2材料价格表'!#REF!</definedName>
    <definedName name="弯头φ140_90度">'[2]附表2材料价格表'!#REF!</definedName>
    <definedName name="弯头φ160">'[2]附表2材料价格表'!#REF!</definedName>
    <definedName name="弯头φ160_90度">'[2]附表2材料价格表'!#REF!</definedName>
    <definedName name="弯头φ180">'[2]附表2材料价格表'!#REF!</definedName>
    <definedName name="弯头φ90">'[2]附表2材料价格表'!#REF!</definedName>
    <definedName name="碗头挂板W_7B">'[2]附表2材料价格表'!#REF!</definedName>
    <definedName name="万元">'[18]#REF'!$H$2</definedName>
    <definedName name="桅杆起重机10t">'[26]机械汇总'!$K$102</definedName>
    <definedName name="系数1">#REF!</definedName>
    <definedName name="系数3">#REF!</definedName>
    <definedName name="纤细估算" hidden="1">#REF!</definedName>
    <definedName name="线夹">'[2]附表2材料价格表'!#REF!</definedName>
    <definedName name="橡胶绝缘线">'[11]附表2材料价格计算表'!#REF!</definedName>
    <definedName name="橡胶石棉板">'[2]附表2材料价格表'!#REF!</definedName>
    <definedName name="橡胶止水带">'[26]材价汇'!$D$50</definedName>
    <definedName name="橡胶止水圈_1000">'[2]附表2材料价格表'!#REF!</definedName>
    <definedName name="橡胶止水圈_600">'[2]附表2材料价格表'!#REF!</definedName>
    <definedName name="橡胶止水圈DN1000">'[26]材价汇'!$D$47</definedName>
    <definedName name="橡胶止水圈DN400">'[26]材价汇'!$D$44</definedName>
    <definedName name="橡胶止水圈DN500">'[26]材价汇'!$D$45</definedName>
    <definedName name="橡胶止水圈DN600">'[11]附表2材料价格计算表'!#REF!</definedName>
    <definedName name="橡胶止水圈DN800">'[26]材价汇'!$D$46</definedName>
    <definedName name="橡皮绝缘线">'[11]附表2材料价格计算表'!#REF!</definedName>
    <definedName name="楔形线夹_NX_2">'[2]附表2材料价格表'!#REF!</definedName>
    <definedName name="楔形线夹NX_1">'[2]附表2材料价格表'!#REF!</definedName>
    <definedName name="楔形线夹NX_2">'[2]附表2材料价格表'!#REF!</definedName>
    <definedName name="楔型线夹NX2">'[11]附表2材料价格计算表'!#REF!</definedName>
    <definedName name="泄水阀">'[2]附表2材料价格表'!#REF!</definedName>
    <definedName name="泄水阀φ120">'[2]附表2材料价格表'!#REF!</definedName>
    <definedName name="泄水阀φ140">'[2]附表2材料价格表'!#REF!</definedName>
    <definedName name="泄水阀φ160">'[2]附表2材料价格表'!#REF!</definedName>
    <definedName name="新疆杨">'[11]附表2材料价格计算表'!#REF!</definedName>
    <definedName name="新年">#REF!</definedName>
    <definedName name="型钢">'[26]材价汇'!$D$31</definedName>
    <definedName name="型钢剪断机13kw">'[2]附表3机械台班'!#REF!</definedName>
    <definedName name="性别">'[35]二级代码'!$A$2:$A$4</definedName>
    <definedName name="悬式瓷瓶XP_7">'[2]附表2材料价格表'!#REF!</definedName>
    <definedName name="悬式绝缘子_X_4.5">'[2]附表2材料价格表'!#REF!</definedName>
    <definedName name="悬式绝缘子X_4.5">'[2]附表2材料价格表'!#REF!</definedName>
    <definedName name="悬式绝缘子X4.5">'[11]附表2材料价格计算表'!#REF!</definedName>
    <definedName name="压力表">'[2]附表2材料价格表'!#REF!</definedName>
    <definedName name="压力表0.6MPa">'[2]附表2材料价格表'!#REF!</definedName>
    <definedName name="压力表弯管φ16">'[2]附表2材料价格表'!#REF!</definedName>
    <definedName name="压力钢管">#REF!</definedName>
    <definedName name="压力钢管调差系数">#REF!</definedName>
    <definedName name="羊脚碾5_7t">'[2]附表3机械台班'!#REF!</definedName>
    <definedName name="羊脚碾7T">#REF!</definedName>
    <definedName name="羊脚碾8_12t">'[2]附表3机械台班'!#REF!</definedName>
    <definedName name="杨树">'[26]材价汇'!$D$49</definedName>
    <definedName name="氧气">'[26]材价汇'!$D$35</definedName>
    <definedName name="摇臂钻床规格φ20m35mm">'[26]机械汇总'!$K$136</definedName>
    <definedName name="业主管理费">'[36]业主'!$G$12</definedName>
    <definedName name="业主管理费南">'[21]表5-4业主管理费南 '!$I$9</definedName>
    <definedName name="一般石方开挖风钻Ⅶ_工程">#REF!</definedName>
    <definedName name="乙二胺">'[2]附表2材料价格表'!#REF!</definedName>
    <definedName name="乙类">#N/A</definedName>
    <definedName name="乙炔气">'[26]材价汇'!$D$36</definedName>
    <definedName name="溢流堰砼200__工程">#REF!</definedName>
    <definedName name="油浸石棉盘根250℃">'[11]附表2材料价格计算表'!#REF!</definedName>
    <definedName name="油毛毡">'[2]附表2材料价格表'!#REF!</definedName>
    <definedName name="油漆">'[26]材价汇'!$D$38</definedName>
    <definedName name="油毡">'[11]附表2材料价格计算表'!#REF!</definedName>
    <definedName name="与之">'[32]单位估价'!#REF!</definedName>
    <definedName name="预埋铁件">'[26]材价汇'!$D$33</definedName>
    <definedName name="预算价格">'[47]附表2'!#REF!</definedName>
    <definedName name="预制砼防护管">'[4]附表2'!#REF!</definedName>
    <definedName name="预制砼柱">'[32]单位估价'!#REF!</definedName>
    <definedName name="原木">#REF!</definedName>
    <definedName name="圆盘锯">'[2]附表3机械台班'!#REF!</definedName>
    <definedName name="载重汽车10t">#REF!</definedName>
    <definedName name="载重汽车5t">#REF!</definedName>
    <definedName name="载重汽车5吨">'[26]机械汇总'!$K$60</definedName>
    <definedName name="闸墩21_21.9m接高200_砼">#REF!</definedName>
    <definedName name="闸阀">'[2]附表2材料价格表'!#REF!</definedName>
    <definedName name="闸阀110">'[2]附表2材料价格表'!#REF!</definedName>
    <definedName name="闸阀250">'[4]附表2'!#REF!</definedName>
    <definedName name="闸阀90">'[4]附表2'!#REF!</definedName>
    <definedName name="闸阀Dg120">'[2]附表2材料价格表'!#REF!</definedName>
    <definedName name="闸阀Dg160">'[2]附表2材料价格表'!#REF!</definedName>
    <definedName name="闸阀Dg180">'[2]附表2材料价格表'!#REF!</definedName>
    <definedName name="闸阀Dg90">'[2]附表2材料价格表'!#REF!</definedName>
    <definedName name="闸阀φ120">'[2]附表2材料价格表'!#REF!</definedName>
    <definedName name="闸阀φ140">'[2]附表2材料价格表'!#REF!</definedName>
    <definedName name="闸阀φ160">'[2]附表2材料价格表'!#REF!</definedName>
    <definedName name="闸阀φ180">'[2]附表2材料价格表'!#REF!</definedName>
    <definedName name="闸阀φ200">'[2]附表2材料价格表'!#REF!</definedName>
    <definedName name="闸阀φ225">'[2]附表2材料价格表'!#REF!</definedName>
    <definedName name="闸阀φ250">'[2]附表2材料价格表'!#REF!</definedName>
    <definedName name="闸阀φ315">'[2]附表2材料价格表'!#REF!</definedName>
    <definedName name="闸阀φ355">'[2]附表2材料价格表'!#REF!</definedName>
    <definedName name="闸阀φ400">'[2]附表2材料价格表'!#REF!</definedName>
    <definedName name="闸阀φ80">'[2]附表2材料价格表'!#REF!</definedName>
    <definedName name="闸阀φ90">'[2]附表2材料价格表'!#REF!</definedName>
    <definedName name="闸门0.3">'[43]设备'!#REF!</definedName>
    <definedName name="闸门0.4">'[43]设备'!#REF!</definedName>
    <definedName name="闸门0.5">'[43]设备'!#REF!</definedName>
    <definedName name="闸门0.6">'[43]设备'!#REF!</definedName>
    <definedName name="炸药">#REF!</definedName>
    <definedName name="粘土">'[2]附表2材料价格表'!#REF!</definedName>
    <definedName name="粘土球">'[2]附表2材料价格表'!#REF!</definedName>
    <definedName name="漳河柳">'[4]附表2'!#REF!</definedName>
    <definedName name="长">#N/A</definedName>
    <definedName name="针式瓶P_20T">'[2]附表2材料价格表'!#REF!</definedName>
    <definedName name="支架φ33×1500">'[2]附表2材料价格表'!#REF!</definedName>
    <definedName name="直角挂板Z_7">'[2]附表2材料价格表'!#REF!</definedName>
    <definedName name="直流电焊机30">#REF!</definedName>
    <definedName name="直流电焊机30kVA">'[26]机械汇总'!$K$120</definedName>
    <definedName name="止回阀φ120">'[2]附表2材料价格表'!#REF!</definedName>
    <definedName name="止回阀φ140">'[2]附表2材料价格表'!#REF!</definedName>
    <definedName name="止回阀φ160">'[2]附表2材料价格表'!#REF!</definedName>
    <definedName name="中">#N/A</definedName>
    <definedName name="中粗砂">#REF!</definedName>
    <definedName name="主1">#REF!</definedName>
    <definedName name="专用模板">'[26]材价汇'!$D$28</definedName>
    <definedName name="砖">'[2]附表2材料价格表'!#REF!</definedName>
    <definedName name="紫铜片厚15mm">'[2]附表2材料价格表'!#REF!</definedName>
    <definedName name="自动化">'[48]新定额单价'!$A$190</definedName>
    <definedName name="自行式平地机118kw">'[26]机械汇总'!$K$22</definedName>
    <definedName name="自行式平地机120kw以内">'[2]附表3机械台班'!#REF!</definedName>
    <definedName name="自卸汽车5t">#REF!</definedName>
    <definedName name="自卸汽车8t">'[2]附表3机械台班'!#REF!</definedName>
    <definedName name="总投资">#REF!</definedName>
    <definedName name="总投资南">'[21]表2预算总表 南'!$C$9</definedName>
    <definedName name="组合钢模">#REF!</definedName>
    <definedName name="组合钢模板">'[26]材价汇'!$D$29</definedName>
    <definedName name="钻杆">'[11]附表2材料价格计算表'!#REF!</definedName>
  </definedNames>
  <calcPr fullCalcOnLoad="1"/>
</workbook>
</file>

<file path=xl/sharedStrings.xml><?xml version="1.0" encoding="utf-8"?>
<sst xmlns="http://schemas.openxmlformats.org/spreadsheetml/2006/main" count="4639" uniqueCount="728">
  <si>
    <r>
      <t xml:space="preserve"> 总</t>
    </r>
    <r>
      <rPr>
        <b/>
        <sz val="16"/>
        <rFont val="宋体"/>
        <family val="0"/>
      </rPr>
      <t xml:space="preserve">  </t>
    </r>
    <r>
      <rPr>
        <b/>
        <sz val="16"/>
        <rFont val="宋体"/>
        <family val="0"/>
      </rPr>
      <t>概</t>
    </r>
    <r>
      <rPr>
        <b/>
        <sz val="16"/>
        <rFont val="宋体"/>
        <family val="0"/>
      </rPr>
      <t xml:space="preserve">  </t>
    </r>
    <r>
      <rPr>
        <b/>
        <sz val="16"/>
        <rFont val="宋体"/>
        <family val="0"/>
      </rPr>
      <t>算</t>
    </r>
    <r>
      <rPr>
        <b/>
        <sz val="16"/>
        <rFont val="宋体"/>
        <family val="0"/>
      </rPr>
      <t xml:space="preserve">  </t>
    </r>
    <r>
      <rPr>
        <b/>
        <sz val="16"/>
        <rFont val="宋体"/>
        <family val="0"/>
      </rPr>
      <t>表</t>
    </r>
  </si>
  <si>
    <t>工程名称:2019年红寺堡区柳泉乡渠道维修、改建项目</t>
  </si>
  <si>
    <t>单位：万元</t>
  </si>
  <si>
    <t>编 号</t>
  </si>
  <si>
    <t>工 程 或 费 用 名 称</t>
  </si>
  <si>
    <t>建  筑        工程费</t>
  </si>
  <si>
    <t>设  备        购置费</t>
  </si>
  <si>
    <t>独 立      费 用</t>
  </si>
  <si>
    <t xml:space="preserve">合价           </t>
  </si>
  <si>
    <t xml:space="preserve"> 第一部分  建筑安装工程</t>
  </si>
  <si>
    <t xml:space="preserve"> 第二部分  机电设备安装工程</t>
  </si>
  <si>
    <t xml:space="preserve"> 第三部分  金属结构安装工程</t>
  </si>
  <si>
    <t>一至三部分合计</t>
  </si>
  <si>
    <t xml:space="preserve"> 第四部分  临时工程(1%)</t>
  </si>
  <si>
    <t>一至四部分合计</t>
  </si>
  <si>
    <t xml:space="preserve"> 第五部分  独立费用</t>
  </si>
  <si>
    <t>一</t>
  </si>
  <si>
    <t>建设管理费(1.5%)</t>
  </si>
  <si>
    <t>二</t>
  </si>
  <si>
    <t>工程监理费(1.5%)</t>
  </si>
  <si>
    <t>三</t>
  </si>
  <si>
    <t>设计费(3.0%)</t>
  </si>
  <si>
    <t>四</t>
  </si>
  <si>
    <t>安全生产措施费(0.5%)</t>
  </si>
  <si>
    <t>五</t>
  </si>
  <si>
    <t>质量检测费(0.5%)</t>
  </si>
  <si>
    <t>一至五部分合计</t>
  </si>
  <si>
    <t>总 投 资</t>
  </si>
  <si>
    <t>建筑工程概算表</t>
  </si>
  <si>
    <t xml:space="preserve">工程名称:2019年红寺堡区柳泉乡渠道维修、改建项目 </t>
  </si>
  <si>
    <t>单位:元</t>
  </si>
  <si>
    <t>编号</t>
  </si>
  <si>
    <t>工程或费用名称</t>
  </si>
  <si>
    <t>单位</t>
  </si>
  <si>
    <t>数量</t>
  </si>
  <si>
    <t>单价</t>
  </si>
  <si>
    <t>合计</t>
  </si>
  <si>
    <t>备注</t>
  </si>
  <si>
    <t>黄羊滩村灌区工程</t>
  </si>
  <si>
    <t>(一)</t>
  </si>
  <si>
    <t>渠道维修、改建工程</t>
  </si>
  <si>
    <t>Km</t>
  </si>
  <si>
    <t>1</t>
  </si>
  <si>
    <t>340支渠衬砌</t>
  </si>
  <si>
    <t>m</t>
  </si>
  <si>
    <t>梯形</t>
  </si>
  <si>
    <t>土方开挖</t>
  </si>
  <si>
    <r>
      <t>m</t>
    </r>
    <r>
      <rPr>
        <vertAlign val="superscript"/>
        <sz val="10"/>
        <rFont val="宋体"/>
        <family val="0"/>
      </rPr>
      <t>3</t>
    </r>
  </si>
  <si>
    <t>土方回填</t>
  </si>
  <si>
    <t>C20砼U型砼板预制、运输及衬砌</t>
  </si>
  <si>
    <t>聚乙烯油膏</t>
  </si>
  <si>
    <t>2</t>
  </si>
  <si>
    <t>340-2支渠衬砌</t>
  </si>
  <si>
    <t>3</t>
  </si>
  <si>
    <t>U80支渠道衬砌</t>
  </si>
  <si>
    <t>4</t>
  </si>
  <si>
    <t>U60支渠道衬砌</t>
  </si>
  <si>
    <t>5</t>
  </si>
  <si>
    <t>U50斗渠道衬砌</t>
  </si>
  <si>
    <t>6</t>
  </si>
  <si>
    <t>U40农渠道衬砌</t>
  </si>
  <si>
    <t>渠道旧板拆除</t>
  </si>
  <si>
    <t>砼拆除及运输</t>
  </si>
  <si>
    <t>(二)</t>
  </si>
  <si>
    <t>渠道建筑物工程</t>
  </si>
  <si>
    <t>座</t>
  </si>
  <si>
    <t>4m宽U80生产桥</t>
  </si>
  <si>
    <t>U40双向U30畦田口</t>
  </si>
  <si>
    <t>水套村灌区工程</t>
  </si>
  <si>
    <t>红塔村灌区工程</t>
  </si>
  <si>
    <t>337-1支渠</t>
  </si>
  <si>
    <t>合    计</t>
  </si>
  <si>
    <t>建筑物工程概算表</t>
  </si>
  <si>
    <t xml:space="preserve"> 工程名称:2019年红寺堡区柳泉乡渠道维修、改建项目</t>
  </si>
  <si>
    <t>合价</t>
  </si>
  <si>
    <t>800节制闸单向500斗口</t>
  </si>
  <si>
    <t>C20砼预制闸板</t>
  </si>
  <si>
    <t>t</t>
  </si>
  <si>
    <t xml:space="preserve">PZ800平面铸铁闸门 </t>
  </si>
  <si>
    <t>套</t>
  </si>
  <si>
    <t xml:space="preserve">LQL-1.5T启闭机 </t>
  </si>
  <si>
    <t>LQZ500整体式闸门启闭机</t>
  </si>
  <si>
    <t>600节制闸单向500斗口</t>
  </si>
  <si>
    <t>M7.5浆砌石</t>
  </si>
  <si>
    <t>含钢筋安置</t>
  </si>
  <si>
    <t>现浇C15砼</t>
  </si>
  <si>
    <t>钢筋制安</t>
  </si>
  <si>
    <t>LQZ600整体式闸门启闭机</t>
  </si>
  <si>
    <t>500节制闸单向400农口</t>
  </si>
  <si>
    <t>LQZ400整体式闸门启闭机</t>
  </si>
  <si>
    <t>U50双向U30畦田口</t>
  </si>
  <si>
    <r>
      <t>m</t>
    </r>
    <r>
      <rPr>
        <vertAlign val="superscript"/>
        <sz val="10"/>
        <color indexed="8"/>
        <rFont val="宋体"/>
        <family val="0"/>
      </rPr>
      <t>3</t>
    </r>
  </si>
  <si>
    <t>个</t>
  </si>
  <si>
    <t>现浇C20砼(闸板墩)</t>
  </si>
  <si>
    <t>U50单向U30畦田口</t>
  </si>
  <si>
    <t>U40单向U30畦田口</t>
  </si>
  <si>
    <t xml:space="preserve">4m宽U80生产桥 </t>
  </si>
  <si>
    <t>现浇C20砼(桥板)</t>
  </si>
  <si>
    <t>4m宽U60生产桥</t>
  </si>
  <si>
    <t xml:space="preserve"> 建筑工程单价汇总表</t>
  </si>
  <si>
    <t>序号</t>
  </si>
  <si>
    <t xml:space="preserve">  名    称</t>
  </si>
  <si>
    <t>单 位</t>
  </si>
  <si>
    <t>单价(元)</t>
  </si>
  <si>
    <t>挖掘机挖土（一、二类土）</t>
  </si>
  <si>
    <r>
      <t>100m</t>
    </r>
    <r>
      <rPr>
        <vertAlign val="superscript"/>
        <sz val="10"/>
        <rFont val="宋体"/>
        <family val="0"/>
      </rPr>
      <t>3</t>
    </r>
  </si>
  <si>
    <t>推土机推土（40米）</t>
  </si>
  <si>
    <t>拖拉机压实</t>
  </si>
  <si>
    <t>建筑物土方回填</t>
  </si>
  <si>
    <t>机械翻夯土</t>
  </si>
  <si>
    <t>人工修整边坡（一、二类土）</t>
  </si>
  <si>
    <r>
      <t>100m</t>
    </r>
    <r>
      <rPr>
        <vertAlign val="superscript"/>
        <sz val="10"/>
        <rFont val="宋体"/>
        <family val="0"/>
      </rPr>
      <t>2</t>
    </r>
  </si>
  <si>
    <t>人工夯填土坝</t>
  </si>
  <si>
    <t>人工挖淤泥</t>
  </si>
  <si>
    <r>
      <t>1m</t>
    </r>
    <r>
      <rPr>
        <vertAlign val="superscript"/>
        <sz val="10"/>
        <rFont val="宋体"/>
        <family val="0"/>
      </rPr>
      <t>3</t>
    </r>
    <r>
      <rPr>
        <sz val="10"/>
        <rFont val="宋体"/>
        <family val="0"/>
      </rPr>
      <t>挖掘机挖装土自卸汽车运输（3km）</t>
    </r>
  </si>
  <si>
    <r>
      <t>1m</t>
    </r>
    <r>
      <rPr>
        <vertAlign val="superscript"/>
        <sz val="10"/>
        <rFont val="宋体"/>
        <family val="0"/>
      </rPr>
      <t>3</t>
    </r>
    <r>
      <rPr>
        <sz val="10"/>
        <rFont val="宋体"/>
        <family val="0"/>
      </rPr>
      <t>挖掘机挖装土自卸汽车运输（6km）</t>
    </r>
  </si>
  <si>
    <t>M7.5浆砌石基础</t>
  </si>
  <si>
    <t>M7.5浆砌石挡土墙</t>
  </si>
  <si>
    <t>干砌块石基础</t>
  </si>
  <si>
    <t>砂砾石垫层</t>
  </si>
  <si>
    <t>钢筋制作安装</t>
  </si>
  <si>
    <t>现浇砼C15</t>
  </si>
  <si>
    <t>现浇砼C20</t>
  </si>
  <si>
    <t>C15细石砼填缝</t>
  </si>
  <si>
    <t>C20细石砼填缝</t>
  </si>
  <si>
    <t>现浇C25砼铺装层</t>
  </si>
  <si>
    <t>C20砼渠道板预制、安装及运输(缝板比0.19,运距7km)</t>
  </si>
  <si>
    <t>C20砼桥板预制、安装及运输(9km)</t>
  </si>
  <si>
    <t>自卸汽车运砼3km</t>
  </si>
  <si>
    <t>渠道衬砌旧砼拆除</t>
  </si>
  <si>
    <t>砂砾石路面（厚10cm）</t>
  </si>
  <si>
    <r>
      <t>1000m</t>
    </r>
    <r>
      <rPr>
        <vertAlign val="superscript"/>
        <sz val="10.5"/>
        <rFont val="宋体"/>
        <family val="0"/>
      </rPr>
      <t>2</t>
    </r>
  </si>
  <si>
    <t xml:space="preserve"> 材料概算单价分析表</t>
  </si>
  <si>
    <t>编
号</t>
  </si>
  <si>
    <t>材料或设备名称</t>
  </si>
  <si>
    <t>产地
或提货
地点</t>
  </si>
  <si>
    <t>计量
单位</t>
  </si>
  <si>
    <t>产地或
出库价（元）</t>
  </si>
  <si>
    <t>运输
工具</t>
  </si>
  <si>
    <t>运 距
（公里）</t>
  </si>
  <si>
    <t>运输
单价（元）</t>
  </si>
  <si>
    <t>运费  （元）</t>
  </si>
  <si>
    <t>装卸费
（元）</t>
  </si>
  <si>
    <t>采管费
（元）</t>
  </si>
  <si>
    <t>合计单价（元）</t>
  </si>
  <si>
    <t>备  注</t>
  </si>
  <si>
    <t>水 泥32.5R</t>
  </si>
  <si>
    <t>中宁</t>
  </si>
  <si>
    <t>汽车</t>
  </si>
  <si>
    <t>水 泥42.5R</t>
  </si>
  <si>
    <t>砂   子</t>
  </si>
  <si>
    <t>皮条沟</t>
  </si>
  <si>
    <t>砂砾石</t>
  </si>
  <si>
    <t>石   子</t>
  </si>
  <si>
    <t>片   石</t>
  </si>
  <si>
    <t>太阳山</t>
  </si>
  <si>
    <t>钢   材</t>
  </si>
  <si>
    <t>吴忠</t>
  </si>
  <si>
    <t>枋   材</t>
  </si>
  <si>
    <t>汽  油</t>
  </si>
  <si>
    <t>公斤</t>
  </si>
  <si>
    <t>柴  油</t>
  </si>
  <si>
    <t>技  工</t>
  </si>
  <si>
    <t>工时</t>
  </si>
  <si>
    <t>普  工</t>
  </si>
  <si>
    <t>施工用水</t>
  </si>
  <si>
    <t>吨</t>
  </si>
  <si>
    <t>混凝土材料单价计算表</t>
  </si>
  <si>
    <t>混凝土标号</t>
  </si>
  <si>
    <t>水泥强度等级</t>
  </si>
  <si>
    <t>级配</t>
  </si>
  <si>
    <t>概  算  量</t>
  </si>
  <si>
    <t>单价（元）</t>
  </si>
  <si>
    <t>水泥（kg）</t>
  </si>
  <si>
    <r>
      <t>砂（m</t>
    </r>
    <r>
      <rPr>
        <b/>
        <vertAlign val="superscript"/>
        <sz val="10"/>
        <rFont val="宋体"/>
        <family val="0"/>
      </rPr>
      <t>3</t>
    </r>
    <r>
      <rPr>
        <b/>
        <sz val="10"/>
        <rFont val="宋体"/>
        <family val="0"/>
      </rPr>
      <t>）</t>
    </r>
  </si>
  <si>
    <r>
      <t>碎石（m</t>
    </r>
    <r>
      <rPr>
        <b/>
        <vertAlign val="superscript"/>
        <sz val="10"/>
        <rFont val="宋体"/>
        <family val="0"/>
      </rPr>
      <t>3</t>
    </r>
    <r>
      <rPr>
        <b/>
        <sz val="10"/>
        <rFont val="宋体"/>
        <family val="0"/>
      </rPr>
      <t>）</t>
    </r>
  </si>
  <si>
    <r>
      <t>水（m</t>
    </r>
    <r>
      <rPr>
        <b/>
        <vertAlign val="superscript"/>
        <sz val="10"/>
        <rFont val="宋体"/>
        <family val="0"/>
      </rPr>
      <t>3</t>
    </r>
    <r>
      <rPr>
        <b/>
        <sz val="10"/>
        <rFont val="宋体"/>
        <family val="0"/>
      </rPr>
      <t>）</t>
    </r>
  </si>
  <si>
    <t>C10</t>
  </si>
  <si>
    <t>C15</t>
  </si>
  <si>
    <t>C20</t>
  </si>
  <si>
    <t>C25</t>
  </si>
  <si>
    <t>C30</t>
  </si>
  <si>
    <t>砂浆类别</t>
  </si>
  <si>
    <t>砂浆强度等级</t>
  </si>
  <si>
    <t>水泥砂浆</t>
  </si>
  <si>
    <t>M5</t>
  </si>
  <si>
    <t>M7.5</t>
  </si>
  <si>
    <t>M10</t>
  </si>
  <si>
    <t>施工机械台时费汇总表</t>
  </si>
  <si>
    <t>单位：元</t>
  </si>
  <si>
    <t>名称及规格</t>
  </si>
  <si>
    <t>台时费</t>
  </si>
  <si>
    <t>其    中</t>
  </si>
  <si>
    <t>一类费用</t>
  </si>
  <si>
    <t>二类费用</t>
  </si>
  <si>
    <r>
      <t>挖掘机1m</t>
    </r>
    <r>
      <rPr>
        <vertAlign val="superscript"/>
        <sz val="10"/>
        <rFont val="宋体"/>
        <family val="0"/>
      </rPr>
      <t>3</t>
    </r>
  </si>
  <si>
    <t>推土机59kw</t>
  </si>
  <si>
    <t>推土机74kw</t>
  </si>
  <si>
    <t>拖拉机59kw</t>
  </si>
  <si>
    <t>手扶拖拉机11kw</t>
  </si>
  <si>
    <t>羊脚碾7kw</t>
  </si>
  <si>
    <t>蛙式打夯机2.8kw</t>
  </si>
  <si>
    <r>
      <t>砼搅拌机0.4m</t>
    </r>
    <r>
      <rPr>
        <vertAlign val="superscript"/>
        <sz val="10"/>
        <rFont val="宋体"/>
        <family val="0"/>
      </rPr>
      <t>3</t>
    </r>
  </si>
  <si>
    <t>插入式振捣器1.1kw</t>
  </si>
  <si>
    <t>风水枪2~6</t>
  </si>
  <si>
    <t>载重汽车5t</t>
  </si>
  <si>
    <t>载重汽车10t</t>
  </si>
  <si>
    <t>自卸汽车5t</t>
  </si>
  <si>
    <t>自卸汽车8t</t>
  </si>
  <si>
    <t>胶轮车</t>
  </si>
  <si>
    <t>塔式起重机10t</t>
  </si>
  <si>
    <t>履带起重机5t</t>
  </si>
  <si>
    <t>履带起重机10t</t>
  </si>
  <si>
    <t>汽车起重机5t</t>
  </si>
  <si>
    <t>汽车起重机10t</t>
  </si>
  <si>
    <t>卷扬机5t</t>
  </si>
  <si>
    <t>桅杆起重机15t</t>
  </si>
  <si>
    <t>桅杆起重机25t</t>
  </si>
  <si>
    <t>离心泵5-7kw</t>
  </si>
  <si>
    <t>电焊机直流20KVA</t>
  </si>
  <si>
    <t>电焊机交流25KVA</t>
  </si>
  <si>
    <t>对焊机电弧150型</t>
  </si>
  <si>
    <t>钢筋弯曲机φ6-40</t>
  </si>
  <si>
    <t>钢筋切断机20kw</t>
  </si>
  <si>
    <t>钢筋调直机14kw</t>
  </si>
  <si>
    <t>施工机械台班计算表</t>
  </si>
  <si>
    <t>机械名称</t>
  </si>
  <si>
    <t>挖掘机</t>
  </si>
  <si>
    <t>推土机</t>
  </si>
  <si>
    <t>拖拉机</t>
  </si>
  <si>
    <t>内燃压路机</t>
  </si>
  <si>
    <t>手扶
拖拉机</t>
  </si>
  <si>
    <t>羊脚碾</t>
  </si>
  <si>
    <t>刨毛机</t>
  </si>
  <si>
    <t>蛙式夯
实机</t>
  </si>
  <si>
    <t>砼搅
拌机</t>
  </si>
  <si>
    <t>振捣器</t>
  </si>
  <si>
    <t>风水枪</t>
  </si>
  <si>
    <t>载重
汽车</t>
  </si>
  <si>
    <t>自卸汽车</t>
  </si>
  <si>
    <t>胶轮
架子车</t>
  </si>
  <si>
    <t>门座起重机</t>
  </si>
  <si>
    <t>塔式起重机</t>
  </si>
  <si>
    <t>履带起重机</t>
  </si>
  <si>
    <t>汽车
起重机</t>
  </si>
  <si>
    <t>汽车起重机</t>
  </si>
  <si>
    <t>内燃叉车</t>
  </si>
  <si>
    <t>卷扬机</t>
  </si>
  <si>
    <t>桅杆起重机</t>
  </si>
  <si>
    <t>离心泵</t>
  </si>
  <si>
    <t>电焊机</t>
  </si>
  <si>
    <t>钢筋调直机</t>
  </si>
  <si>
    <t>钢筋切断机</t>
  </si>
  <si>
    <t>钢筋弯曲机</t>
  </si>
  <si>
    <t>对焊机</t>
  </si>
  <si>
    <t>采沙船</t>
  </si>
  <si>
    <t>规     格</t>
  </si>
  <si>
    <r>
      <t>油动1m</t>
    </r>
    <r>
      <rPr>
        <vertAlign val="superscript"/>
        <sz val="12"/>
        <rFont val="宋体"/>
        <family val="0"/>
      </rPr>
      <t>3</t>
    </r>
  </si>
  <si>
    <t>59kw</t>
  </si>
  <si>
    <t>74kw</t>
  </si>
  <si>
    <t>12-15t</t>
  </si>
  <si>
    <t>11kw</t>
  </si>
  <si>
    <t>7KW</t>
  </si>
  <si>
    <t>2.8kw</t>
  </si>
  <si>
    <r>
      <t>0.4m</t>
    </r>
    <r>
      <rPr>
        <vertAlign val="superscript"/>
        <sz val="12"/>
        <rFont val="宋体"/>
        <family val="0"/>
      </rPr>
      <t>3</t>
    </r>
  </si>
  <si>
    <t>插入式2.2kw</t>
  </si>
  <si>
    <t>插入式1.1kw</t>
  </si>
  <si>
    <t>2~6</t>
  </si>
  <si>
    <t>5 t</t>
  </si>
  <si>
    <t>10t</t>
  </si>
  <si>
    <t>8 t</t>
  </si>
  <si>
    <t>10/30t高架</t>
  </si>
  <si>
    <t>10 t</t>
  </si>
  <si>
    <t>15 t</t>
  </si>
  <si>
    <t>20 t</t>
  </si>
  <si>
    <t>16 t</t>
  </si>
  <si>
    <t>2t</t>
  </si>
  <si>
    <t>3 t</t>
  </si>
  <si>
    <t>25t</t>
  </si>
  <si>
    <t>15t</t>
  </si>
  <si>
    <t>单级
11-17Kw</t>
  </si>
  <si>
    <t>直流
20KVA</t>
  </si>
  <si>
    <t>交流
25KVA</t>
  </si>
  <si>
    <t>14kw</t>
  </si>
  <si>
    <t>20kw</t>
  </si>
  <si>
    <t>φ6-40</t>
  </si>
  <si>
    <t>电弧150型</t>
  </si>
  <si>
    <t xml:space="preserve">  依椐定额</t>
  </si>
  <si>
    <t>Ⅰ
类
费
用</t>
  </si>
  <si>
    <t>Ⅰ类费用</t>
  </si>
  <si>
    <t>调整系数</t>
  </si>
  <si>
    <t>小计</t>
  </si>
  <si>
    <t>Ⅱ
类
费
用</t>
  </si>
  <si>
    <t>人工
(元/工日)</t>
  </si>
  <si>
    <t>柴油
(元/kg)</t>
  </si>
  <si>
    <t>电
(元/kwh)</t>
  </si>
  <si>
    <t>台  班  费</t>
  </si>
  <si>
    <t>高抗硫水泥</t>
  </si>
  <si>
    <t>水泥</t>
  </si>
  <si>
    <t>砂子</t>
  </si>
  <si>
    <t>石子</t>
  </si>
  <si>
    <t>片石</t>
  </si>
  <si>
    <t>钢筋</t>
  </si>
  <si>
    <t>汽油</t>
  </si>
  <si>
    <t>柴油</t>
  </si>
  <si>
    <t>枋材</t>
  </si>
  <si>
    <t>组合钢模</t>
  </si>
  <si>
    <t>kg</t>
  </si>
  <si>
    <t>型钢</t>
  </si>
  <si>
    <t>卡扣件</t>
  </si>
  <si>
    <t>电焊条</t>
  </si>
  <si>
    <t>钢板</t>
  </si>
  <si>
    <t>铁件</t>
  </si>
  <si>
    <t>铁丝</t>
  </si>
  <si>
    <t>铁钉</t>
  </si>
  <si>
    <t>预埋铁件</t>
  </si>
  <si>
    <t>铁垫块</t>
  </si>
  <si>
    <t>建筑工程单价表</t>
  </si>
  <si>
    <t>项目名称：挖掘机挖土(一、二类土)</t>
  </si>
  <si>
    <t>定额编号：1144</t>
  </si>
  <si>
    <r>
      <t>单位：100M</t>
    </r>
    <r>
      <rPr>
        <vertAlign val="superscript"/>
        <sz val="10.5"/>
        <rFont val="宋体"/>
        <family val="0"/>
      </rPr>
      <t>3</t>
    </r>
  </si>
  <si>
    <t>工作内容：反铲挖土、挖松、堆放。</t>
  </si>
  <si>
    <t>名 称 及 规 格</t>
  </si>
  <si>
    <t>单  位</t>
  </si>
  <si>
    <t>数  量</t>
  </si>
  <si>
    <t>单价
(元)</t>
  </si>
  <si>
    <t>合价
(元)</t>
  </si>
  <si>
    <t>直接工程费</t>
  </si>
  <si>
    <t>直接费</t>
  </si>
  <si>
    <t>人工费</t>
  </si>
  <si>
    <t>普工</t>
  </si>
  <si>
    <t>零星材料费</t>
  </si>
  <si>
    <t>%</t>
  </si>
  <si>
    <t>机械费</t>
  </si>
  <si>
    <t>挖掘机1方</t>
  </si>
  <si>
    <t>台时</t>
  </si>
  <si>
    <t>其他直接费</t>
  </si>
  <si>
    <t>间接费</t>
  </si>
  <si>
    <t>企业利润</t>
  </si>
  <si>
    <t>材差</t>
  </si>
  <si>
    <t>税　金</t>
  </si>
  <si>
    <t>六</t>
  </si>
  <si>
    <t>阶段系数</t>
  </si>
  <si>
    <t>总计</t>
  </si>
  <si>
    <t>项目名称：建筑物土方回填</t>
  </si>
  <si>
    <t>项目名称：挖掘机挖沟道淤泥</t>
  </si>
  <si>
    <t>定额编号：1238</t>
  </si>
  <si>
    <t>定额编号：9019</t>
  </si>
  <si>
    <t>工作内容：回填土方，机械夯实</t>
  </si>
  <si>
    <t>工作内容：挖掘、旋转、堆放、空回、移机、清斗。</t>
  </si>
  <si>
    <t>数   量</t>
  </si>
  <si>
    <t>技工</t>
  </si>
  <si>
    <t>机械使用费</t>
  </si>
  <si>
    <t>蛙式夯实机</t>
  </si>
  <si>
    <r>
      <t>挖掘机液压1m</t>
    </r>
    <r>
      <rPr>
        <vertAlign val="superscript"/>
        <sz val="10.5"/>
        <rFont val="宋体"/>
        <family val="0"/>
      </rPr>
      <t>3</t>
    </r>
  </si>
  <si>
    <t>(三)</t>
  </si>
  <si>
    <t>现场经费</t>
  </si>
  <si>
    <t>合     计</t>
  </si>
  <si>
    <t>项目名称：机械翻夯土</t>
  </si>
  <si>
    <t>定额编号:1245</t>
  </si>
  <si>
    <t>工作内容：</t>
  </si>
  <si>
    <t>编  号</t>
  </si>
  <si>
    <t>单  价
(元)</t>
  </si>
  <si>
    <t>合   价
(元)</t>
  </si>
  <si>
    <t>材料费:水</t>
  </si>
  <si>
    <r>
      <t>m</t>
    </r>
    <r>
      <rPr>
        <vertAlign val="superscript"/>
        <sz val="10.5"/>
        <rFont val="宋体"/>
        <family val="0"/>
      </rPr>
      <t>3</t>
    </r>
  </si>
  <si>
    <t>机械</t>
  </si>
  <si>
    <t>拖拉机74kw</t>
  </si>
  <si>
    <t>蛙式打夯机</t>
  </si>
  <si>
    <t>挖掘机1m3</t>
  </si>
  <si>
    <t>其他机械费</t>
  </si>
  <si>
    <t>项目名称：土围堰</t>
  </si>
  <si>
    <t>定额编号：10001</t>
  </si>
  <si>
    <t>材料费</t>
  </si>
  <si>
    <t>土料</t>
  </si>
  <si>
    <t>项目名称：人工修整边坡</t>
  </si>
  <si>
    <t>定额编号：1262</t>
  </si>
  <si>
    <r>
      <t>单位：100m</t>
    </r>
    <r>
      <rPr>
        <vertAlign val="superscript"/>
        <sz val="10.5"/>
        <rFont val="宋体"/>
        <family val="0"/>
      </rPr>
      <t>2</t>
    </r>
  </si>
  <si>
    <t>工作内容：挂线、拍平、修整。（填方边坡Ⅰ、Ⅱ类土)</t>
  </si>
  <si>
    <t>合  价
(元)</t>
  </si>
  <si>
    <r>
      <t>项目名称：1m</t>
    </r>
    <r>
      <rPr>
        <vertAlign val="superscript"/>
        <sz val="10.5"/>
        <rFont val="宋体"/>
        <family val="0"/>
      </rPr>
      <t>3</t>
    </r>
    <r>
      <rPr>
        <sz val="10.5"/>
        <rFont val="宋体"/>
        <family val="0"/>
      </rPr>
      <t>挖掘机挖装土汽车运土</t>
    </r>
  </si>
  <si>
    <t>定额编号:1164</t>
  </si>
  <si>
    <t>定额编号:1161</t>
  </si>
  <si>
    <t>工作内容：挖装、运输、卸除、空回。运10km以内</t>
  </si>
  <si>
    <t>工作内容：挖装、运输、卸除、空回。运15km以内</t>
  </si>
  <si>
    <t>工作内容：挖装、运输、卸除、空回。运2-3km以内</t>
  </si>
  <si>
    <t>备 注</t>
  </si>
  <si>
    <t>自卸车8T</t>
  </si>
  <si>
    <t>税  　金</t>
  </si>
  <si>
    <t>ⅠⅡ类土</t>
  </si>
  <si>
    <t>项目名称：推土机推土</t>
  </si>
  <si>
    <t>定额编号:1131</t>
  </si>
  <si>
    <t>工作内容：推土距离小于等于40米，一、二类土</t>
  </si>
  <si>
    <t>工作内容：挖装、运输、卸除、空回。运6km以内</t>
  </si>
  <si>
    <t>数 量</t>
  </si>
  <si>
    <t>推土机74KW</t>
  </si>
  <si>
    <t>项目名称：拖拉机压实(土料)</t>
  </si>
  <si>
    <t>定额编号:1225</t>
  </si>
  <si>
    <t>工作内容：推平、刨毛、压实、削坡、洒水、补边夯。</t>
  </si>
  <si>
    <t>项目名称：钢筋制作安装</t>
  </si>
  <si>
    <t>定额编号：4267</t>
  </si>
  <si>
    <t>单位：吨</t>
  </si>
  <si>
    <t>工作内容：回直、除锈、切断、弯曲、焊接、绑扎及加工运输</t>
  </si>
  <si>
    <t>Kg</t>
  </si>
  <si>
    <t>其他材料费</t>
  </si>
  <si>
    <t>载重汽车5T</t>
  </si>
  <si>
    <t>塔式起重机10T</t>
  </si>
  <si>
    <t>项目名称：砼底板</t>
  </si>
  <si>
    <t>定额编号：4069</t>
  </si>
  <si>
    <t>工作内容：水闸、泄水闸、排砂闸底板</t>
  </si>
  <si>
    <t>组合钢摸</t>
  </si>
  <si>
    <t>锯材</t>
  </si>
  <si>
    <r>
      <t>砼(C</t>
    </r>
    <r>
      <rPr>
        <vertAlign val="subscript"/>
        <sz val="10.5"/>
        <rFont val="宋体"/>
        <family val="0"/>
      </rPr>
      <t>15</t>
    </r>
    <r>
      <rPr>
        <sz val="10.5"/>
        <rFont val="宋体"/>
        <family val="0"/>
      </rPr>
      <t>)</t>
    </r>
  </si>
  <si>
    <t>水</t>
  </si>
  <si>
    <t>砼拌和机</t>
  </si>
  <si>
    <t>电焊机交流</t>
  </si>
  <si>
    <t>汽车起重机5T</t>
  </si>
  <si>
    <t>振动器1.1kw</t>
  </si>
  <si>
    <t>砼运输</t>
  </si>
  <si>
    <t>砼水平运输</t>
  </si>
  <si>
    <t>砼垂直运输</t>
  </si>
  <si>
    <t>扩大系数</t>
  </si>
  <si>
    <t>项目名称：砼闸墩</t>
  </si>
  <si>
    <r>
      <t>定额编号：40</t>
    </r>
    <r>
      <rPr>
        <sz val="10.5"/>
        <rFont val="宋体"/>
        <family val="0"/>
      </rPr>
      <t>47</t>
    </r>
  </si>
  <si>
    <t>工作内容：水闸、泄水闸、排砂闸</t>
  </si>
  <si>
    <r>
      <t>砼(C</t>
    </r>
    <r>
      <rPr>
        <vertAlign val="subscript"/>
        <sz val="10.5"/>
        <rFont val="宋体"/>
        <family val="0"/>
      </rPr>
      <t>20</t>
    </r>
    <r>
      <rPr>
        <sz val="10.5"/>
        <rFont val="宋体"/>
        <family val="0"/>
      </rPr>
      <t>)</t>
    </r>
  </si>
  <si>
    <t>项目名称：铺装层</t>
  </si>
  <si>
    <t>定额编号：4068</t>
  </si>
  <si>
    <r>
      <t>砼(C</t>
    </r>
    <r>
      <rPr>
        <vertAlign val="subscript"/>
        <sz val="10.5"/>
        <rFont val="宋体"/>
        <family val="0"/>
      </rPr>
      <t>25</t>
    </r>
    <r>
      <rPr>
        <sz val="10.5"/>
        <rFont val="宋体"/>
        <family val="0"/>
      </rPr>
      <t>)</t>
    </r>
  </si>
  <si>
    <t>项目名称：浆砌石基础                                                                                                                                                                                                                                                                                                                 石</t>
  </si>
  <si>
    <t>定额编号：3020</t>
  </si>
  <si>
    <t>工作内容：选石、修石、冲洗、拌浆、砌石、勾缝</t>
  </si>
  <si>
    <t>块石</t>
  </si>
  <si>
    <t>砂浆(M7.5)</t>
  </si>
  <si>
    <r>
      <t>砼搅拌机0.4m</t>
    </r>
    <r>
      <rPr>
        <vertAlign val="superscript"/>
        <sz val="10.5"/>
        <rFont val="宋体"/>
        <family val="0"/>
      </rPr>
      <t>3</t>
    </r>
  </si>
  <si>
    <t>税金</t>
  </si>
  <si>
    <t xml:space="preserve">项目名称：干砌块石基础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</si>
  <si>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定额编号：3012</t>
  </si>
  <si>
    <t>砂浆(M10)</t>
  </si>
  <si>
    <t>项目名称：浆砌石挡土墙                                                                                                                                                                                                                                                                                                                石</t>
  </si>
  <si>
    <t>定额编号：3021</t>
  </si>
  <si>
    <t>工作内容：选修石、冲洗、拌浆、砌石、勾缝</t>
  </si>
  <si>
    <t xml:space="preserve">项目名称：人工铺筑砂石垫层                                                                                                                                                                                                                                </t>
  </si>
  <si>
    <t>定额编号：3007</t>
  </si>
  <si>
    <t>项目名称：预制砼板</t>
  </si>
  <si>
    <t>项目名称：卷扬机吊运砼</t>
  </si>
  <si>
    <t>定额编号：4163</t>
  </si>
  <si>
    <t>定额编号：4264</t>
  </si>
  <si>
    <r>
      <t>单位：100m</t>
    </r>
    <r>
      <rPr>
        <vertAlign val="superscript"/>
        <sz val="10.5"/>
        <rFont val="宋体"/>
        <family val="0"/>
      </rPr>
      <t>3</t>
    </r>
  </si>
  <si>
    <t>卷扬机5T</t>
  </si>
  <si>
    <t>台班</t>
  </si>
  <si>
    <r>
      <t>砼(C2</t>
    </r>
    <r>
      <rPr>
        <sz val="10.5"/>
        <rFont val="宋体"/>
        <family val="0"/>
      </rPr>
      <t>0</t>
    </r>
    <r>
      <rPr>
        <sz val="10.5"/>
        <rFont val="宋体"/>
        <family val="0"/>
      </rPr>
      <t>)</t>
    </r>
  </si>
  <si>
    <r>
      <t>搅拌机0.4m</t>
    </r>
    <r>
      <rPr>
        <vertAlign val="superscript"/>
        <sz val="10.5"/>
        <rFont val="宋体"/>
        <family val="0"/>
      </rPr>
      <t>3</t>
    </r>
  </si>
  <si>
    <t>项目名称：胶轮车运砼</t>
  </si>
  <si>
    <t>定额编号：4229</t>
  </si>
  <si>
    <t>工作内容：运100M</t>
  </si>
  <si>
    <t>砼拌运</t>
  </si>
  <si>
    <t>项目名称：预制砼板安装</t>
  </si>
  <si>
    <t>定额编号：4193</t>
  </si>
  <si>
    <t>圆木</t>
  </si>
  <si>
    <t>砼构件</t>
  </si>
  <si>
    <r>
      <t>砼（C2</t>
    </r>
    <r>
      <rPr>
        <sz val="10.5"/>
        <rFont val="宋体"/>
        <family val="0"/>
      </rPr>
      <t>0</t>
    </r>
    <r>
      <rPr>
        <sz val="10.5"/>
        <rFont val="宋体"/>
        <family val="0"/>
      </rPr>
      <t>）</t>
    </r>
  </si>
  <si>
    <t>砂浆M7.5</t>
  </si>
  <si>
    <t>汽车起重机15t</t>
  </si>
  <si>
    <t>电焊机25KVA</t>
  </si>
  <si>
    <t>砼构件运输</t>
  </si>
  <si>
    <t>项目名称：预制砼板运输30km</t>
  </si>
  <si>
    <t>项目名称：预制砼板运输7km</t>
  </si>
  <si>
    <t>定额编号：4223</t>
  </si>
  <si>
    <t>项目名称：预制砼板运输9km</t>
  </si>
  <si>
    <t>项目名称：橡胶止水带</t>
  </si>
  <si>
    <t>定额编号:4273</t>
  </si>
  <si>
    <t>单位：100m</t>
  </si>
  <si>
    <t>橡胶止水带</t>
  </si>
  <si>
    <t xml:space="preserve">项目名称：塑料薄膜铺设                                                                                                                                                                                                                                    </t>
  </si>
  <si>
    <t>定额编号：10196</t>
  </si>
  <si>
    <r>
      <t>单位：100M</t>
    </r>
    <r>
      <rPr>
        <vertAlign val="superscript"/>
        <sz val="10.5"/>
        <rFont val="宋体"/>
        <family val="0"/>
      </rPr>
      <t>2</t>
    </r>
  </si>
  <si>
    <t>塑料薄膜</t>
  </si>
  <si>
    <r>
      <t>m</t>
    </r>
    <r>
      <rPr>
        <vertAlign val="superscript"/>
        <sz val="10.5"/>
        <rFont val="宋体"/>
        <family val="0"/>
      </rPr>
      <t>2</t>
    </r>
  </si>
  <si>
    <t>项目名称：液压岩石破碎机拆除砼</t>
  </si>
  <si>
    <t>定额编号:10181</t>
  </si>
  <si>
    <t>工作内容：破碎、解小、翻渣、清面。</t>
  </si>
  <si>
    <r>
      <t>液压挖掘机1m</t>
    </r>
    <r>
      <rPr>
        <vertAlign val="superscript"/>
        <sz val="10.5"/>
        <rFont val="宋体"/>
        <family val="0"/>
      </rPr>
      <t>3</t>
    </r>
  </si>
  <si>
    <t>项目名称：预制砼U型板</t>
  </si>
  <si>
    <t>定额编号：4142</t>
  </si>
  <si>
    <t>专用钢摸板</t>
  </si>
  <si>
    <t>地模砂浆(M7.5)</t>
  </si>
  <si>
    <t>项目名称：渠道预制板砼构件砌筑</t>
  </si>
  <si>
    <t>定额编号：3053</t>
  </si>
  <si>
    <t>工作内容：缝板比0.17</t>
  </si>
  <si>
    <t>砼预制构件</t>
  </si>
  <si>
    <t>砂浆或细粒砼</t>
  </si>
  <si>
    <t>预制板运输</t>
  </si>
  <si>
    <t>工作内容：缝板比0.19</t>
  </si>
  <si>
    <t>工作内容：缝板比0.11</t>
  </si>
  <si>
    <t>项目名称：细石填缝</t>
  </si>
  <si>
    <t>定额编号：4082</t>
  </si>
  <si>
    <t>砼(C20)</t>
  </si>
  <si>
    <t>砼(C15)</t>
  </si>
  <si>
    <t>砼搅拌机</t>
  </si>
  <si>
    <t>胶轮架子车</t>
  </si>
  <si>
    <t>计划利润</t>
  </si>
  <si>
    <t xml:space="preserve">项目名称：砌砖（墩墙）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</si>
  <si>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定额编号：3067</t>
  </si>
  <si>
    <t>机砖</t>
  </si>
  <si>
    <t>千块</t>
  </si>
  <si>
    <t>项目名称：自卸汽车运砼</t>
  </si>
  <si>
    <t>定额编号：4249</t>
  </si>
  <si>
    <t>工作内容：3km</t>
  </si>
  <si>
    <t>单  价</t>
  </si>
  <si>
    <t>合   价</t>
  </si>
  <si>
    <t>基本直接费</t>
  </si>
  <si>
    <t>其它直接费</t>
  </si>
  <si>
    <t>总  计</t>
  </si>
  <si>
    <t>项目名称：渠道衬砌旧砼拆除(预制板)</t>
  </si>
  <si>
    <t>定额编号：10188</t>
  </si>
  <si>
    <t>打夯机1m3</t>
  </si>
  <si>
    <t>合  计</t>
  </si>
  <si>
    <t>项目名称：小型构件</t>
  </si>
  <si>
    <t>项目名称：预制砼板运输5km</t>
  </si>
  <si>
    <t>定额编号：4182</t>
  </si>
  <si>
    <t>搅拌机0.4m3</t>
  </si>
  <si>
    <t>项目名称：小型预制构件安装</t>
  </si>
  <si>
    <t>定额编号：4213</t>
  </si>
  <si>
    <t>预制构件</t>
  </si>
  <si>
    <t>预制构件运输</t>
  </si>
  <si>
    <t>项目名称：砂砾石路面</t>
  </si>
  <si>
    <t>定额编号:10017</t>
  </si>
  <si>
    <r>
      <t>单位：1000M</t>
    </r>
    <r>
      <rPr>
        <vertAlign val="superscript"/>
        <sz val="10.5"/>
        <rFont val="宋体"/>
        <family val="0"/>
      </rPr>
      <t>2</t>
    </r>
  </si>
  <si>
    <t>工作内容：压实厚度10cm</t>
  </si>
  <si>
    <t>碎石</t>
  </si>
  <si>
    <t>粘土</t>
  </si>
  <si>
    <t>内燃压路机12-15t</t>
  </si>
  <si>
    <t>项目名称：人工夯填土坝</t>
  </si>
  <si>
    <t>定额编号:1215</t>
  </si>
  <si>
    <t xml:space="preserve">项目名称：无纺布（土工布）铺设                                                                                                                                                                                                                                      </t>
  </si>
  <si>
    <t>定额编号：10200</t>
  </si>
  <si>
    <t>无纺布（土工布200g）</t>
  </si>
  <si>
    <t>项目名称：人工挖淤泥</t>
  </si>
  <si>
    <t>定额编号:1067</t>
  </si>
  <si>
    <t>项目名称：预制C25桥板</t>
  </si>
  <si>
    <r>
      <rPr>
        <sz val="10.5"/>
        <rFont val="新宋体"/>
        <family val="3"/>
      </rPr>
      <t>单位：100m</t>
    </r>
    <r>
      <rPr>
        <vertAlign val="superscript"/>
        <sz val="10.5"/>
        <rFont val="新宋体"/>
        <family val="3"/>
      </rPr>
      <t>3</t>
    </r>
  </si>
  <si>
    <t>工作内容：模板制安、拆除、修理，砼拌和、场内运输、浇筑、养护、堆放。</t>
  </si>
  <si>
    <t>单价/元</t>
  </si>
  <si>
    <t>合价/元</t>
  </si>
  <si>
    <t xml:space="preserve"> 铁钉</t>
  </si>
  <si>
    <r>
      <rPr>
        <sz val="10.5"/>
        <rFont val="新宋体"/>
        <family val="3"/>
      </rPr>
      <t>m</t>
    </r>
    <r>
      <rPr>
        <vertAlign val="superscript"/>
        <sz val="10.5"/>
        <rFont val="新宋体"/>
        <family val="3"/>
      </rPr>
      <t>3</t>
    </r>
  </si>
  <si>
    <t>砼(C25)</t>
  </si>
  <si>
    <t>其它材料费</t>
  </si>
  <si>
    <r>
      <rPr>
        <sz val="10.5"/>
        <rFont val="新宋体"/>
        <family val="3"/>
      </rPr>
      <t>搅拌机0.4m</t>
    </r>
    <r>
      <rPr>
        <vertAlign val="superscript"/>
        <sz val="10.5"/>
        <rFont val="新宋体"/>
        <family val="3"/>
      </rPr>
      <t>3</t>
    </r>
  </si>
  <si>
    <t>项目名称：预制C25砼板安装</t>
  </si>
  <si>
    <t>定额编号：4190</t>
  </si>
  <si>
    <t>工作内容：缝板比0.21</t>
  </si>
  <si>
    <t>原木</t>
  </si>
  <si>
    <t>砼</t>
  </si>
  <si>
    <t>汽车起重机5</t>
  </si>
  <si>
    <t>定额编号：4224</t>
  </si>
  <si>
    <t>预制C20砼小型构件</t>
  </si>
  <si>
    <r>
      <rPr>
        <sz val="11"/>
        <color indexed="8"/>
        <rFont val="宋体"/>
        <family val="0"/>
      </rPr>
      <t>单位：100</t>
    </r>
    <r>
      <rPr>
        <sz val="11"/>
        <color indexed="8"/>
        <rFont val="宋体"/>
        <family val="0"/>
      </rPr>
      <t>㎥</t>
    </r>
  </si>
  <si>
    <t>工作内容：模板制作、安装、拆除，混凝土水平运输。混凝土搅拌、捣固、养护。成品堆放。</t>
  </si>
  <si>
    <t>（一）</t>
  </si>
  <si>
    <t>㎥</t>
  </si>
  <si>
    <t>组合钢模板</t>
  </si>
  <si>
    <t>㎏</t>
  </si>
  <si>
    <t>地模砂浆</t>
  </si>
  <si>
    <t>混凝土（C20）</t>
  </si>
  <si>
    <t>％</t>
  </si>
  <si>
    <r>
      <rPr>
        <sz val="11"/>
        <color indexed="8"/>
        <rFont val="宋体"/>
        <family val="0"/>
      </rPr>
      <t>搅拌机0.4</t>
    </r>
    <r>
      <rPr>
        <sz val="11"/>
        <color indexed="8"/>
        <rFont val="宋体"/>
        <family val="0"/>
      </rPr>
      <t>㎥</t>
    </r>
  </si>
  <si>
    <t>（二）</t>
  </si>
  <si>
    <t>砂</t>
  </si>
  <si>
    <t>m³</t>
  </si>
  <si>
    <t>C20小型预制构件安装</t>
  </si>
  <si>
    <t>适用范围:单个体积小于0.1m³的构件安装。</t>
  </si>
  <si>
    <t>工作内容：座浆、灌缝、就位、安装。</t>
  </si>
  <si>
    <t>垫铁块</t>
  </si>
  <si>
    <t>混凝土C20</t>
  </si>
  <si>
    <t>电焊机25kVA</t>
  </si>
  <si>
    <t>运输费</t>
  </si>
  <si>
    <t>项目名称：机械装车、汽车运输混凝土构件（运输9km）</t>
  </si>
  <si>
    <r>
      <rPr>
        <sz val="11"/>
        <rFont val="宋体"/>
        <family val="0"/>
      </rPr>
      <t>单位：100</t>
    </r>
    <r>
      <rPr>
        <sz val="11"/>
        <rFont val="Arial Unicode MS"/>
        <family val="2"/>
      </rPr>
      <t>㎥</t>
    </r>
  </si>
  <si>
    <t>适用范围：混凝土梁、柱、块、板管运输。</t>
  </si>
  <si>
    <t>工作内容：装车、运输、卸车并按指定地点堆放等。</t>
  </si>
  <si>
    <t xml:space="preserve">项目名称：铅丝笼块石护坡（填腹）                                                                                                                                                                                                                                        </t>
  </si>
  <si>
    <t>定额编号：9011</t>
  </si>
  <si>
    <t>机制铅丝</t>
  </si>
  <si>
    <t xml:space="preserve">项目名称：铅丝笼块石护脚                                                                                                                                                                                                                                       </t>
  </si>
  <si>
    <t>定额编号：9012</t>
  </si>
  <si>
    <t>项目名称：砂砾石垫层</t>
  </si>
  <si>
    <r>
      <rPr>
        <sz val="10.5"/>
        <rFont val="新宋体"/>
        <family val="3"/>
      </rPr>
      <t>单位：100M</t>
    </r>
    <r>
      <rPr>
        <vertAlign val="superscript"/>
        <sz val="10.5"/>
        <rFont val="新宋体"/>
        <family val="3"/>
      </rPr>
      <t>3</t>
    </r>
  </si>
  <si>
    <r>
      <rPr>
        <sz val="10.5"/>
        <rFont val="宋体"/>
        <family val="0"/>
      </rPr>
      <t>m</t>
    </r>
    <r>
      <rPr>
        <vertAlign val="superscript"/>
        <sz val="10.5"/>
        <rFont val="宋体"/>
        <family val="0"/>
      </rPr>
      <t>3</t>
    </r>
  </si>
  <si>
    <t>4.8%</t>
  </si>
  <si>
    <t>7.0%</t>
  </si>
  <si>
    <t xml:space="preserve">项目名称：格宾网垫/(厚0.3m)/双隔板/(热镀锌)/低碳钢丝2.2mm/(80*100mm)                                                                                                                                                                                                          </t>
  </si>
  <si>
    <r>
      <rPr>
        <sz val="10.5"/>
        <rFont val="宋体"/>
        <family val="0"/>
      </rPr>
      <t>单位：100M</t>
    </r>
    <r>
      <rPr>
        <vertAlign val="superscript"/>
        <sz val="10.5"/>
        <rFont val="宋体"/>
        <family val="0"/>
      </rPr>
      <t>3</t>
    </r>
  </si>
  <si>
    <t>钢丝网片(2.7mm)</t>
  </si>
  <si>
    <r>
      <rPr>
        <sz val="10.5"/>
        <rFont val="宋体"/>
        <family val="0"/>
      </rPr>
      <t>m</t>
    </r>
    <r>
      <rPr>
        <vertAlign val="superscript"/>
        <sz val="10.5"/>
        <rFont val="宋体"/>
        <family val="0"/>
      </rPr>
      <t>2</t>
    </r>
  </si>
  <si>
    <t>项目名称：格栅石笼块石基础（双向格栅，拉伸强度≥30KN,40*40mm）</t>
  </si>
  <si>
    <t>聚丙烯双向格栅SS30</t>
  </si>
  <si>
    <r>
      <rPr>
        <sz val="10.5"/>
        <rFont val="宋体"/>
        <family val="0"/>
      </rPr>
      <t>m</t>
    </r>
    <r>
      <rPr>
        <vertAlign val="superscript"/>
        <sz val="9"/>
        <rFont val="Times New Roman"/>
        <family val="1"/>
      </rPr>
      <t>2</t>
    </r>
  </si>
  <si>
    <t>项目名称：碎石基层</t>
  </si>
  <si>
    <t>定额编号：10016</t>
  </si>
  <si>
    <t>项目名称：DN400钢筋砼管</t>
  </si>
  <si>
    <t>项目名称：DN600钢筋砼管</t>
  </si>
  <si>
    <t>定额编号:8044</t>
  </si>
  <si>
    <t>单位：10m</t>
  </si>
  <si>
    <t>定额编号:8045</t>
  </si>
  <si>
    <t>工作内容：接口、找平、加固、安装、养护、压水试验及场内40m运输</t>
  </si>
  <si>
    <t>麻布</t>
  </si>
  <si>
    <t>沥青</t>
  </si>
  <si>
    <t>砂浆</t>
  </si>
  <si>
    <t>钢筋砼管</t>
  </si>
  <si>
    <t>DN400钢筋砼管</t>
  </si>
  <si>
    <t>DN600钢筋砼管</t>
  </si>
  <si>
    <t>建筑工程估算表</t>
  </si>
  <si>
    <t>土地平整工程</t>
  </si>
  <si>
    <t>亩</t>
  </si>
  <si>
    <t>东塔镇高速公路以东片区</t>
  </si>
  <si>
    <t>土方开挖及外运2-3km</t>
  </si>
  <si>
    <t>推土机推土20-40m</t>
  </si>
  <si>
    <t>激光平地仪 平地</t>
  </si>
  <si>
    <t>东塔镇高速公路以西片区</t>
  </si>
  <si>
    <t>崇兴镇高速公路以东片区</t>
  </si>
  <si>
    <t>土方开挖及外运3-6km</t>
  </si>
  <si>
    <t>崇兴镇高速公路以西片区</t>
  </si>
  <si>
    <t>沟道土方外运</t>
  </si>
  <si>
    <t>弃土场推土平整</t>
  </si>
  <si>
    <t>土方回填压实</t>
  </si>
  <si>
    <t>灌溉工程</t>
  </si>
  <si>
    <t>水源工程（打机井）</t>
  </si>
  <si>
    <t>眼</t>
  </si>
  <si>
    <t>无砂砼管</t>
  </si>
  <si>
    <t>泵站工程</t>
  </si>
  <si>
    <t>泵房</t>
  </si>
  <si>
    <t>㎡</t>
  </si>
  <si>
    <t>（三）</t>
  </si>
  <si>
    <t>渠道工程</t>
  </si>
  <si>
    <t>km</t>
  </si>
  <si>
    <t>支、斗砌护工程</t>
  </si>
  <si>
    <t>汉渠清淤及翻建工程</t>
  </si>
  <si>
    <t>土方开挖及拉运(10km)</t>
  </si>
  <si>
    <r>
      <t>m</t>
    </r>
    <r>
      <rPr>
        <vertAlign val="superscript"/>
        <sz val="10.5"/>
        <color indexed="8"/>
        <rFont val="宋体"/>
        <family val="0"/>
      </rPr>
      <t>3</t>
    </r>
  </si>
  <si>
    <t>C20砼渠板预制、安装及运输(运距20km)</t>
  </si>
  <si>
    <t>C20砼渠道板拆除及外运</t>
  </si>
  <si>
    <t>铺设碎石路面（150mm）</t>
  </si>
  <si>
    <t>新渠</t>
  </si>
  <si>
    <t>新渠清淤及翻建工程（D=1.2m）</t>
  </si>
  <si>
    <t>土方开挖及拉运(6km)</t>
  </si>
  <si>
    <t>人工清淤</t>
  </si>
  <si>
    <t>新渠1斗渠及砌护（D=0.8m）</t>
  </si>
  <si>
    <t>新渠2斗渠及砌护（D=0.6m）</t>
  </si>
  <si>
    <t>六支渠</t>
  </si>
  <si>
    <t>六支渠清淤及翻建工程（D=1.2m）</t>
  </si>
  <si>
    <t>6支2斗渠及砌护（D=0.8m）</t>
  </si>
  <si>
    <t>6支1斗渠及砌护（D=0.8m）</t>
  </si>
  <si>
    <t>农渠砌护工程</t>
  </si>
  <si>
    <t>农渠砌护（D=0.4m）</t>
  </si>
  <si>
    <t>农渠维修（D=0.4m）</t>
  </si>
  <si>
    <t>（四）</t>
  </si>
  <si>
    <t>带路农口（0.4m）</t>
  </si>
  <si>
    <t>C15砼现浇</t>
  </si>
  <si>
    <t>C20砼现浇</t>
  </si>
  <si>
    <t>不带路农口（0.4m）</t>
  </si>
  <si>
    <t>C25砼现浇</t>
  </si>
  <si>
    <t>生产桥（1.8*4m）</t>
  </si>
  <si>
    <t>C25砼桥板预制、安装及运输（9km）</t>
  </si>
  <si>
    <t>生产桥（2*4m）</t>
  </si>
  <si>
    <t>斗口(1.0m)</t>
  </si>
  <si>
    <t>DN1000钢筋砼管</t>
  </si>
  <si>
    <t>斗口(0.8m)</t>
  </si>
  <si>
    <t>DN800钢筋砼管</t>
  </si>
  <si>
    <t>节制闸(1.5m)</t>
  </si>
  <si>
    <t>现浇C20砼</t>
  </si>
  <si>
    <t>节制闸(1.0m)</t>
  </si>
  <si>
    <t>农渠退水</t>
  </si>
  <si>
    <t>畦田口</t>
  </si>
  <si>
    <t>DN200素砼管</t>
  </si>
  <si>
    <t>C20砼畦田口预制、安装及运输（9km）</t>
  </si>
  <si>
    <t>农田排水工程</t>
  </si>
  <si>
    <t>沟道工程</t>
  </si>
  <si>
    <t>座山沟开挖及砌护工程</t>
  </si>
  <si>
    <t>沟拜土方回填(人机配合)</t>
  </si>
  <si>
    <t>土方开挖及拉运(3-6km)</t>
  </si>
  <si>
    <t>人工修整边坡</t>
  </si>
  <si>
    <r>
      <t>m</t>
    </r>
    <r>
      <rPr>
        <vertAlign val="superscript"/>
        <sz val="10"/>
        <rFont val="宋体"/>
        <family val="0"/>
      </rPr>
      <t>2</t>
    </r>
  </si>
  <si>
    <r>
      <t>无纺土工布（200g/m</t>
    </r>
    <r>
      <rPr>
        <vertAlign val="superscript"/>
        <sz val="10.5"/>
        <rFont val="宋体"/>
        <family val="0"/>
      </rPr>
      <t>2</t>
    </r>
    <r>
      <rPr>
        <sz val="10.5"/>
        <rFont val="宋体"/>
        <family val="0"/>
      </rPr>
      <t>)</t>
    </r>
  </si>
  <si>
    <t>机制铅丝笼块石护脚</t>
  </si>
  <si>
    <t>机制铅丝笼块石护坡</t>
  </si>
  <si>
    <t>黑二沟清淤及砌护工程</t>
  </si>
  <si>
    <t>土方外运10km</t>
  </si>
  <si>
    <t>人工清淤涵洞</t>
  </si>
  <si>
    <t>汉渠退水沟清淤砌护工程</t>
  </si>
  <si>
    <t>纪家大湖沟清淤砌护工程</t>
  </si>
  <si>
    <t>沟拜土方回填</t>
  </si>
  <si>
    <t>沟道清淤及外运3-6km</t>
  </si>
  <si>
    <t>下游</t>
  </si>
  <si>
    <t>胜利沟清淤工程</t>
  </si>
  <si>
    <t>沟道清淤及外运10km</t>
  </si>
  <si>
    <t>高速路边沟</t>
  </si>
  <si>
    <t>淤泥开挖</t>
  </si>
  <si>
    <t>土方外运3-6km</t>
  </si>
  <si>
    <t>六支沟清淤</t>
  </si>
  <si>
    <t>土方外运2-3km</t>
  </si>
  <si>
    <t>新建农沟</t>
  </si>
  <si>
    <t>农沟清淤</t>
  </si>
  <si>
    <t>沟道建筑物工程</t>
  </si>
  <si>
    <t>D=0.6m尾水</t>
  </si>
  <si>
    <t>跨沟生产桥（3*4m）</t>
  </si>
  <si>
    <t>C25砼桥面铺装</t>
  </si>
  <si>
    <t>方涵（1.8*1.5m）</t>
  </si>
  <si>
    <t>干砌石基础</t>
  </si>
  <si>
    <t>硬化路恢复</t>
  </si>
  <si>
    <t>土方回填碾压找平300mm</t>
  </si>
  <si>
    <t>铺设砂砾石150mm</t>
  </si>
  <si>
    <t>C25砼现浇150mm</t>
  </si>
  <si>
    <t>C25砼切缝</t>
  </si>
  <si>
    <t>生态防护林工程</t>
  </si>
  <si>
    <t>株</t>
  </si>
  <si>
    <t>种植新疆杨（D:4.1-5cm)</t>
  </si>
  <si>
    <t>种植垂柳（D:3-4cm)</t>
  </si>
  <si>
    <t>其他工程</t>
  </si>
  <si>
    <t>临时道路</t>
  </si>
  <si>
    <t>砂砾石回填（运距15km）</t>
  </si>
  <si>
    <t>土方开挖及外运（运距3-6km）</t>
  </si>
  <si>
    <t>管道维修</t>
  </si>
  <si>
    <t>Φ125UPVC管 1.0Map</t>
  </si>
  <si>
    <t>Φ280UPVC管 1.0Map</t>
  </si>
  <si>
    <t>临时抢险工程</t>
  </si>
  <si>
    <t>挖掘机抢险</t>
  </si>
</sst>
</file>

<file path=xl/styles.xml><?xml version="1.0" encoding="utf-8"?>
<styleSheet xmlns="http://schemas.openxmlformats.org/spreadsheetml/2006/main">
  <numFmts count="2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0_);\(0\)"/>
    <numFmt numFmtId="179" formatCode="0_ "/>
    <numFmt numFmtId="180" formatCode="0.00_ "/>
    <numFmt numFmtId="181" formatCode="0.0_ "/>
    <numFmt numFmtId="182" formatCode="0.000_ "/>
    <numFmt numFmtId="183" formatCode="0.00_);\(0.00\)"/>
    <numFmt numFmtId="184" formatCode="0.0%"/>
    <numFmt numFmtId="185" formatCode="0_);[Red]\(0\)"/>
    <numFmt numFmtId="186" formatCode="0.00_);[Red]\(0.00\)"/>
    <numFmt numFmtId="187" formatCode="0;_尀"/>
    <numFmt numFmtId="188" formatCode="0;_ "/>
    <numFmt numFmtId="189" formatCode="0.000_);[Red]\(0.000\)"/>
  </numFmts>
  <fonts count="60">
    <font>
      <sz val="12"/>
      <name val="宋体"/>
      <family val="0"/>
    </font>
    <font>
      <sz val="10.5"/>
      <color indexed="10"/>
      <name val="宋体"/>
      <family val="0"/>
    </font>
    <font>
      <sz val="10.5"/>
      <name val="宋体"/>
      <family val="0"/>
    </font>
    <font>
      <b/>
      <sz val="10.5"/>
      <name val="宋体"/>
      <family val="0"/>
    </font>
    <font>
      <b/>
      <sz val="12"/>
      <name val="宋体"/>
      <family val="0"/>
    </font>
    <font>
      <sz val="10"/>
      <name val="Arial"/>
      <family val="2"/>
    </font>
    <font>
      <b/>
      <sz val="10.5"/>
      <color indexed="10"/>
      <name val="宋体"/>
      <family val="0"/>
    </font>
    <font>
      <b/>
      <sz val="14"/>
      <color indexed="8"/>
      <name val="宋体"/>
      <family val="0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0.5"/>
      <name val="Times New Roman"/>
      <family val="1"/>
    </font>
    <font>
      <b/>
      <sz val="14"/>
      <name val="宋体"/>
      <family val="0"/>
    </font>
    <font>
      <b/>
      <sz val="10.5"/>
      <name val="新宋体"/>
      <family val="3"/>
    </font>
    <font>
      <sz val="10.5"/>
      <name val="新宋体"/>
      <family val="3"/>
    </font>
    <font>
      <sz val="11"/>
      <color indexed="8"/>
      <name val="宋体"/>
      <family val="0"/>
    </font>
    <font>
      <sz val="11"/>
      <color indexed="10"/>
      <name val="宋体"/>
      <family val="0"/>
    </font>
    <font>
      <u val="single"/>
      <sz val="20"/>
      <name val="黑体"/>
      <family val="3"/>
    </font>
    <font>
      <b/>
      <sz val="10"/>
      <name val="宋体"/>
      <family val="0"/>
    </font>
    <font>
      <sz val="10"/>
      <color indexed="8"/>
      <name val="宋体"/>
      <family val="0"/>
    </font>
    <font>
      <sz val="10"/>
      <name val="Helv"/>
      <family val="2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2"/>
      <name val="Times New Roman"/>
      <family val="1"/>
    </font>
    <font>
      <sz val="11"/>
      <color indexed="17"/>
      <name val="宋体"/>
      <family val="0"/>
    </font>
    <font>
      <sz val="10"/>
      <name val="Geneva"/>
      <family val="2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sz val="16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3"/>
      <color indexed="56"/>
      <name val="宋体"/>
      <family val="0"/>
    </font>
    <font>
      <b/>
      <sz val="12"/>
      <name val="Arial"/>
      <family val="2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9"/>
      <color indexed="8"/>
      <name val="宋体"/>
      <family val="0"/>
    </font>
    <font>
      <sz val="10"/>
      <color indexed="63"/>
      <name val="Arial"/>
      <family val="2"/>
    </font>
    <font>
      <sz val="18"/>
      <name val="方正美黑简体"/>
      <family val="0"/>
    </font>
    <font>
      <vertAlign val="superscript"/>
      <sz val="10.5"/>
      <name val="宋体"/>
      <family val="0"/>
    </font>
    <font>
      <vertAlign val="superscript"/>
      <sz val="10.5"/>
      <color indexed="8"/>
      <name val="宋体"/>
      <family val="0"/>
    </font>
    <font>
      <vertAlign val="superscript"/>
      <sz val="10"/>
      <name val="宋体"/>
      <family val="0"/>
    </font>
    <font>
      <vertAlign val="subscript"/>
      <sz val="10.5"/>
      <name val="宋体"/>
      <family val="0"/>
    </font>
    <font>
      <vertAlign val="superscript"/>
      <sz val="10.5"/>
      <name val="新宋体"/>
      <family val="3"/>
    </font>
    <font>
      <sz val="11"/>
      <name val="Arial Unicode MS"/>
      <family val="2"/>
    </font>
    <font>
      <vertAlign val="superscript"/>
      <sz val="9"/>
      <name val="Times New Roman"/>
      <family val="1"/>
    </font>
    <font>
      <vertAlign val="superscript"/>
      <sz val="12"/>
      <name val="宋体"/>
      <family val="0"/>
    </font>
    <font>
      <b/>
      <vertAlign val="superscript"/>
      <sz val="10"/>
      <name val="宋体"/>
      <family val="0"/>
    </font>
    <font>
      <vertAlign val="superscript"/>
      <sz val="10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>
        <color indexed="8"/>
      </right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4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0">
      <alignment/>
      <protection/>
    </xf>
    <xf numFmtId="42" fontId="0" fillId="0" borderId="0" applyFont="0" applyFill="0" applyBorder="0" applyAlignment="0" applyProtection="0"/>
    <xf numFmtId="0" fontId="17" fillId="2" borderId="0" applyNumberFormat="0" applyBorder="0" applyAlignment="0" applyProtection="0"/>
    <xf numFmtId="0" fontId="29" fillId="3" borderId="1" applyNumberFormat="0" applyAlignment="0" applyProtection="0"/>
    <xf numFmtId="0" fontId="26" fillId="4" borderId="0" applyNumberFormat="0" applyBorder="0" applyAlignment="0" applyProtection="0"/>
    <xf numFmtId="0" fontId="0" fillId="0" borderId="0">
      <alignment/>
      <protection/>
    </xf>
    <xf numFmtId="0" fontId="17" fillId="4" borderId="0" applyNumberFormat="0" applyBorder="0" applyAlignment="0" applyProtection="0"/>
    <xf numFmtId="0" fontId="23" fillId="5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0" fontId="33" fillId="3" borderId="2" applyNumberFormat="0" applyAlignment="0" applyProtection="0"/>
    <xf numFmtId="0" fontId="17" fillId="6" borderId="0" applyNumberFormat="0" applyBorder="0" applyAlignment="0" applyProtection="0"/>
    <xf numFmtId="0" fontId="30" fillId="7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5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30" fillId="7" borderId="0" applyNumberFormat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59" fillId="0" borderId="0" applyNumberFormat="0" applyFill="0" applyBorder="0" applyAlignment="0" applyProtection="0"/>
    <xf numFmtId="0" fontId="0" fillId="0" borderId="0">
      <alignment/>
      <protection/>
    </xf>
    <xf numFmtId="0" fontId="24" fillId="8" borderId="0" applyNumberFormat="0" applyBorder="0" applyAlignment="0" applyProtection="0"/>
    <xf numFmtId="0" fontId="0" fillId="9" borderId="3" applyNumberFormat="0" applyFont="0" applyAlignment="0" applyProtection="0"/>
    <xf numFmtId="0" fontId="0" fillId="0" borderId="0">
      <alignment/>
      <protection/>
    </xf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0" fillId="0" borderId="0">
      <alignment/>
      <protection/>
    </xf>
    <xf numFmtId="0" fontId="38" fillId="0" borderId="5" applyNumberFormat="0" applyFill="0" applyAlignment="0" applyProtection="0"/>
    <xf numFmtId="0" fontId="27" fillId="0" borderId="0">
      <alignment/>
      <protection/>
    </xf>
    <xf numFmtId="0" fontId="30" fillId="7" borderId="0" applyNumberFormat="0" applyBorder="0" applyAlignment="0" applyProtection="0"/>
    <xf numFmtId="0" fontId="24" fillId="10" borderId="0" applyNumberFormat="0" applyBorder="0" applyAlignment="0" applyProtection="0"/>
    <xf numFmtId="0" fontId="28" fillId="0" borderId="6" applyNumberFormat="0" applyFill="0" applyAlignment="0" applyProtection="0"/>
    <xf numFmtId="0" fontId="24" fillId="11" borderId="0" applyNumberFormat="0" applyBorder="0" applyAlignment="0" applyProtection="0"/>
    <xf numFmtId="0" fontId="29" fillId="3" borderId="1" applyNumberFormat="0" applyAlignment="0" applyProtection="0"/>
    <xf numFmtId="0" fontId="33" fillId="3" borderId="2" applyNumberFormat="0" applyAlignment="0" applyProtection="0"/>
    <xf numFmtId="0" fontId="26" fillId="4" borderId="0" applyNumberFormat="0" applyBorder="0" applyAlignment="0" applyProtection="0"/>
    <xf numFmtId="0" fontId="17" fillId="12" borderId="0" applyNumberFormat="0" applyBorder="0" applyAlignment="0" applyProtection="0"/>
    <xf numFmtId="0" fontId="36" fillId="13" borderId="7" applyNumberFormat="0" applyAlignment="0" applyProtection="0"/>
    <xf numFmtId="0" fontId="17" fillId="5" borderId="0" applyNumberFormat="0" applyBorder="0" applyAlignment="0" applyProtection="0"/>
    <xf numFmtId="0" fontId="24" fillId="14" borderId="0" applyNumberFormat="0" applyBorder="0" applyAlignment="0" applyProtection="0"/>
    <xf numFmtId="0" fontId="30" fillId="7" borderId="0" applyNumberFormat="0" applyBorder="0" applyAlignment="0" applyProtection="0"/>
    <xf numFmtId="0" fontId="35" fillId="0" borderId="8" applyNumberFormat="0" applyFill="0" applyAlignment="0" applyProtection="0"/>
    <xf numFmtId="0" fontId="32" fillId="0" borderId="9" applyNumberFormat="0" applyFill="0" applyAlignment="0" applyProtection="0"/>
    <xf numFmtId="0" fontId="26" fillId="4" borderId="0" applyNumberFormat="0" applyBorder="0" applyAlignment="0" applyProtection="0"/>
    <xf numFmtId="0" fontId="0" fillId="0" borderId="0">
      <alignment vertical="center"/>
      <protection/>
    </xf>
    <xf numFmtId="0" fontId="17" fillId="4" borderId="0" applyNumberFormat="0" applyBorder="0" applyAlignment="0" applyProtection="0"/>
    <xf numFmtId="0" fontId="41" fillId="15" borderId="0" applyNumberFormat="0" applyBorder="0" applyAlignment="0" applyProtection="0"/>
    <xf numFmtId="0" fontId="0" fillId="0" borderId="0">
      <alignment/>
      <protection/>
    </xf>
    <xf numFmtId="0" fontId="17" fillId="16" borderId="0" applyNumberFormat="0" applyBorder="0" applyAlignment="0" applyProtection="0"/>
    <xf numFmtId="0" fontId="24" fillId="17" borderId="0" applyNumberFormat="0" applyBorder="0" applyAlignment="0" applyProtection="0"/>
    <xf numFmtId="0" fontId="35" fillId="0" borderId="8" applyNumberFormat="0" applyFill="0" applyAlignment="0" applyProtection="0"/>
    <xf numFmtId="0" fontId="0" fillId="0" borderId="0">
      <alignment/>
      <protection/>
    </xf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29" fillId="3" borderId="1" applyNumberFormat="0" applyAlignment="0" applyProtection="0"/>
    <xf numFmtId="0" fontId="26" fillId="4" borderId="0" applyNumberFormat="0" applyBorder="0" applyAlignment="0" applyProtection="0"/>
    <xf numFmtId="0" fontId="0" fillId="0" borderId="0">
      <alignment/>
      <protection/>
    </xf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24" fillId="19" borderId="0" applyNumberFormat="0" applyBorder="0" applyAlignment="0" applyProtection="0"/>
    <xf numFmtId="0" fontId="24" fillId="11" borderId="0" applyNumberFormat="0" applyBorder="0" applyAlignment="0" applyProtection="0"/>
    <xf numFmtId="0" fontId="17" fillId="2" borderId="0" applyNumberFormat="0" applyBorder="0" applyAlignment="0" applyProtection="0"/>
    <xf numFmtId="0" fontId="26" fillId="4" borderId="0" applyNumberFormat="0" applyBorder="0" applyAlignment="0" applyProtection="0"/>
    <xf numFmtId="0" fontId="0" fillId="0" borderId="0">
      <alignment/>
      <protection/>
    </xf>
    <xf numFmtId="0" fontId="17" fillId="12" borderId="0" applyNumberFormat="0" applyBorder="0" applyAlignment="0" applyProtection="0"/>
    <xf numFmtId="0" fontId="33" fillId="3" borderId="2" applyNumberFormat="0" applyAlignment="0" applyProtection="0"/>
    <xf numFmtId="0" fontId="17" fillId="12" borderId="0" applyNumberFormat="0" applyBorder="0" applyAlignment="0" applyProtection="0"/>
    <xf numFmtId="0" fontId="24" fillId="20" borderId="0" applyNumberFormat="0" applyBorder="0" applyAlignment="0" applyProtection="0"/>
    <xf numFmtId="0" fontId="17" fillId="18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41" fillId="15" borderId="0" applyNumberFormat="0" applyBorder="0" applyAlignment="0" applyProtection="0"/>
    <xf numFmtId="0" fontId="17" fillId="22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4" fillId="23" borderId="0" applyNumberFormat="0" applyBorder="0" applyAlignment="0" applyProtection="0"/>
    <xf numFmtId="0" fontId="22" fillId="0" borderId="0">
      <alignment/>
      <protection/>
    </xf>
    <xf numFmtId="0" fontId="25" fillId="0" borderId="0">
      <alignment/>
      <protection/>
    </xf>
    <xf numFmtId="0" fontId="30" fillId="7" borderId="0" applyNumberFormat="0" applyBorder="0" applyAlignment="0" applyProtection="0"/>
    <xf numFmtId="0" fontId="25" fillId="0" borderId="0">
      <alignment/>
      <protection/>
    </xf>
    <xf numFmtId="0" fontId="26" fillId="4" borderId="0" applyNumberFormat="0" applyBorder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6" fillId="4" borderId="0" applyNumberFormat="0" applyBorder="0" applyAlignment="0" applyProtection="0"/>
    <xf numFmtId="0" fontId="27" fillId="0" borderId="0">
      <alignment/>
      <protection/>
    </xf>
    <xf numFmtId="0" fontId="30" fillId="7" borderId="0" applyNumberFormat="0" applyBorder="0" applyAlignment="0" applyProtection="0"/>
    <xf numFmtId="0" fontId="17" fillId="7" borderId="0" applyNumberFormat="0" applyBorder="0" applyAlignment="0" applyProtection="0"/>
    <xf numFmtId="0" fontId="27" fillId="0" borderId="0">
      <alignment/>
      <protection/>
    </xf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0" fillId="0" borderId="0">
      <alignment/>
      <protection/>
    </xf>
    <xf numFmtId="0" fontId="17" fillId="12" borderId="0" applyNumberFormat="0" applyBorder="0" applyAlignment="0" applyProtection="0"/>
    <xf numFmtId="0" fontId="17" fillId="0" borderId="0">
      <alignment vertical="center"/>
      <protection/>
    </xf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5" borderId="0" applyNumberFormat="0" applyBorder="0" applyAlignment="0" applyProtection="0"/>
    <xf numFmtId="0" fontId="30" fillId="7" borderId="0" applyNumberFormat="0" applyBorder="0" applyAlignment="0" applyProtection="0"/>
    <xf numFmtId="0" fontId="17" fillId="5" borderId="0" applyNumberFormat="0" applyBorder="0" applyAlignment="0" applyProtection="0"/>
    <xf numFmtId="0" fontId="17" fillId="18" borderId="0" applyNumberFormat="0" applyBorder="0" applyAlignment="0" applyProtection="0"/>
    <xf numFmtId="0" fontId="26" fillId="4" borderId="0" applyNumberFormat="0" applyBorder="0" applyAlignment="0" applyProtection="0"/>
    <xf numFmtId="0" fontId="0" fillId="0" borderId="0">
      <alignment/>
      <protection/>
    </xf>
    <xf numFmtId="0" fontId="17" fillId="18" borderId="0" applyNumberFormat="0" applyBorder="0" applyAlignment="0" applyProtection="0"/>
    <xf numFmtId="0" fontId="0" fillId="0" borderId="0">
      <alignment/>
      <protection/>
    </xf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0" fillId="0" borderId="0">
      <alignment/>
      <protection/>
    </xf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0" fillId="0" borderId="0">
      <alignment/>
      <protection/>
    </xf>
    <xf numFmtId="0" fontId="17" fillId="18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0" fillId="0" borderId="0">
      <alignment/>
      <protection/>
    </xf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0" fillId="0" borderId="0">
      <alignment/>
      <protection/>
    </xf>
    <xf numFmtId="0" fontId="24" fillId="6" borderId="0" applyNumberFormat="0" applyBorder="0" applyAlignment="0" applyProtection="0"/>
    <xf numFmtId="0" fontId="24" fillId="11" borderId="0" applyNumberFormat="0" applyBorder="0" applyAlignment="0" applyProtection="0"/>
    <xf numFmtId="0" fontId="30" fillId="7" borderId="0" applyNumberFormat="0" applyBorder="0" applyAlignment="0" applyProtection="0"/>
    <xf numFmtId="0" fontId="24" fillId="11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3" borderId="0" applyNumberFormat="0" applyBorder="0" applyAlignment="0" applyProtection="0"/>
    <xf numFmtId="0" fontId="30" fillId="7" borderId="0" applyNumberFormat="0" applyBorder="0" applyAlignment="0" applyProtection="0"/>
    <xf numFmtId="0" fontId="24" fillId="23" borderId="0" applyNumberFormat="0" applyBorder="0" applyAlignment="0" applyProtection="0"/>
    <xf numFmtId="0" fontId="0" fillId="0" borderId="0" applyNumberFormat="0" applyFill="0" applyBorder="0" applyAlignment="0" applyProtection="0"/>
    <xf numFmtId="0" fontId="46" fillId="0" borderId="0" applyFill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26" fillId="4" borderId="0" applyNumberFormat="0" applyBorder="0" applyAlignment="0" applyProtection="0"/>
    <xf numFmtId="0" fontId="39" fillId="0" borderId="10" applyNumberFormat="0" applyAlignment="0" applyProtection="0"/>
    <xf numFmtId="0" fontId="39" fillId="0" borderId="11">
      <alignment horizontal="left" vertical="center"/>
      <protection/>
    </xf>
    <xf numFmtId="0" fontId="26" fillId="4" borderId="0" applyNumberFormat="0" applyBorder="0" applyAlignment="0" applyProtection="0"/>
    <xf numFmtId="0" fontId="45" fillId="0" borderId="0">
      <alignment/>
      <protection/>
    </xf>
    <xf numFmtId="0" fontId="0" fillId="0" borderId="0" applyNumberFormat="0" applyFill="0" applyBorder="0" applyAlignment="0" applyProtection="0"/>
    <xf numFmtId="0" fontId="30" fillId="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40" fillId="0" borderId="4" applyNumberFormat="0" applyFill="0" applyAlignment="0" applyProtection="0"/>
    <xf numFmtId="0" fontId="0" fillId="0" borderId="0">
      <alignment/>
      <protection/>
    </xf>
    <xf numFmtId="0" fontId="40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176" fontId="5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30" fillId="7" borderId="0" applyNumberFormat="0" applyBorder="0" applyAlignment="0" applyProtection="0"/>
    <xf numFmtId="0" fontId="0" fillId="0" borderId="0">
      <alignment/>
      <protection/>
    </xf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26" fillId="4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0" fillId="0" borderId="0">
      <alignment/>
      <protection/>
    </xf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176" fontId="5" fillId="0" borderId="0" applyFont="0" applyFill="0" applyBorder="0" applyAlignment="0" applyProtection="0"/>
    <xf numFmtId="0" fontId="30" fillId="7" borderId="0" applyNumberFormat="0" applyBorder="0" applyAlignment="0" applyProtection="0"/>
    <xf numFmtId="0" fontId="0" fillId="0" borderId="0">
      <alignment/>
      <protection/>
    </xf>
    <xf numFmtId="0" fontId="30" fillId="7" borderId="0" applyNumberFormat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30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7" borderId="0" applyNumberFormat="0" applyBorder="0" applyAlignment="0" applyProtection="0"/>
    <xf numFmtId="0" fontId="24" fillId="21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0" fillId="0" borderId="0">
      <alignment/>
      <protection/>
    </xf>
    <xf numFmtId="0" fontId="30" fillId="7" borderId="0" applyNumberFormat="0" applyBorder="0" applyAlignment="0" applyProtection="0"/>
    <xf numFmtId="0" fontId="26" fillId="16" borderId="0" applyNumberFormat="0" applyBorder="0" applyAlignment="0" applyProtection="0"/>
    <xf numFmtId="0" fontId="37" fillId="7" borderId="0" applyNumberFormat="0" applyBorder="0" applyAlignment="0" applyProtection="0"/>
    <xf numFmtId="0" fontId="30" fillId="7" borderId="0" applyNumberFormat="0" applyBorder="0" applyAlignment="0" applyProtection="0"/>
    <xf numFmtId="0" fontId="24" fillId="14" borderId="0" applyNumberFormat="0" applyBorder="0" applyAlignment="0" applyProtection="0"/>
    <xf numFmtId="0" fontId="0" fillId="0" borderId="0">
      <alignment/>
      <protection/>
    </xf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0" fillId="0" borderId="0">
      <alignment/>
      <protection/>
    </xf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5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6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7" fillId="0" borderId="0">
      <alignment vertical="center"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4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8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20" borderId="0" applyNumberFormat="0" applyBorder="0" applyAlignment="0" applyProtection="0"/>
    <xf numFmtId="0" fontId="0" fillId="0" borderId="0">
      <alignment/>
      <protection/>
    </xf>
    <xf numFmtId="0" fontId="24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5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 horizontal="center" vertical="center"/>
      <protection/>
    </xf>
    <xf numFmtId="0" fontId="0" fillId="0" borderId="0">
      <alignment/>
      <protection/>
    </xf>
    <xf numFmtId="0" fontId="24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9" borderId="3" applyNumberFormat="0" applyFont="0" applyAlignment="0" applyProtection="0"/>
    <xf numFmtId="0" fontId="26" fillId="4" borderId="0" applyNumberFormat="0" applyBorder="0" applyAlignment="0" applyProtection="0"/>
    <xf numFmtId="0" fontId="0" fillId="0" borderId="0">
      <alignment/>
      <protection/>
    </xf>
    <xf numFmtId="0" fontId="0" fillId="9" borderId="3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15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4" fillId="1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177" fontId="5" fillId="0" borderId="0" applyFont="0" applyFill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6" fillId="13" borderId="7" applyNumberFormat="0" applyAlignment="0" applyProtection="0"/>
    <xf numFmtId="0" fontId="36" fillId="13" borderId="7" applyNumberFormat="0" applyAlignment="0" applyProtection="0"/>
    <xf numFmtId="0" fontId="36" fillId="13" borderId="7" applyNumberFormat="0" applyAlignment="0" applyProtection="0"/>
    <xf numFmtId="0" fontId="36" fillId="13" borderId="7" applyNumberFormat="0" applyAlignment="0" applyProtection="0"/>
    <xf numFmtId="0" fontId="36" fillId="13" borderId="7" applyNumberFormat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7" fontId="5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5" fillId="0" borderId="0">
      <alignment/>
      <protection/>
    </xf>
    <xf numFmtId="43" fontId="0" fillId="0" borderId="0" applyFont="0" applyFill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9" borderId="0" applyNumberFormat="0" applyBorder="0" applyAlignment="0" applyProtection="0"/>
    <xf numFmtId="0" fontId="24" fillId="21" borderId="0" applyNumberFormat="0" applyBorder="0" applyAlignment="0" applyProtection="0"/>
    <xf numFmtId="0" fontId="27" fillId="0" borderId="0">
      <alignment/>
      <protection/>
    </xf>
  </cellStyleXfs>
  <cellXfs count="594">
    <xf numFmtId="0" fontId="0" fillId="0" borderId="0" xfId="0" applyAlignment="1">
      <alignment/>
    </xf>
    <xf numFmtId="0" fontId="1" fillId="0" borderId="0" xfId="163" applyFont="1" applyFill="1" applyAlignment="1">
      <alignment/>
      <protection/>
    </xf>
    <xf numFmtId="0" fontId="2" fillId="24" borderId="0" xfId="163" applyFont="1" applyFill="1" applyAlignment="1">
      <alignment/>
      <protection/>
    </xf>
    <xf numFmtId="0" fontId="3" fillId="0" borderId="0" xfId="165" applyFont="1" applyFill="1" applyBorder="1" applyAlignment="1">
      <alignment/>
      <protection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2" fillId="0" borderId="0" xfId="165" applyFont="1" applyFill="1" applyAlignment="1">
      <alignment/>
      <protection/>
    </xf>
    <xf numFmtId="0" fontId="2" fillId="0" borderId="0" xfId="0" applyFont="1" applyFill="1" applyBorder="1" applyAlignment="1">
      <alignment/>
    </xf>
    <xf numFmtId="0" fontId="2" fillId="0" borderId="0" xfId="165" applyFont="1" applyFill="1" applyBorder="1" applyAlignment="1">
      <alignment/>
      <protection/>
    </xf>
    <xf numFmtId="0" fontId="5" fillId="0" borderId="0" xfId="163" applyFont="1" applyFill="1" applyAlignment="1">
      <alignment/>
      <protection/>
    </xf>
    <xf numFmtId="0" fontId="5" fillId="24" borderId="0" xfId="163" applyFont="1" applyFill="1" applyAlignment="1">
      <alignment/>
      <protection/>
    </xf>
    <xf numFmtId="0" fontId="6" fillId="0" borderId="0" xfId="163" applyFont="1" applyFill="1" applyAlignment="1">
      <alignment/>
      <protection/>
    </xf>
    <xf numFmtId="0" fontId="2" fillId="0" borderId="0" xfId="163" applyFont="1" applyFill="1" applyAlignment="1">
      <alignment horizontal="center"/>
      <protection/>
    </xf>
    <xf numFmtId="0" fontId="2" fillId="0" borderId="0" xfId="163" applyFont="1" applyFill="1" applyAlignment="1">
      <alignment/>
      <protection/>
    </xf>
    <xf numFmtId="178" fontId="2" fillId="0" borderId="0" xfId="163" applyNumberFormat="1" applyFont="1" applyFill="1" applyAlignment="1">
      <alignment/>
      <protection/>
    </xf>
    <xf numFmtId="0" fontId="7" fillId="0" borderId="0" xfId="163" applyFont="1" applyFill="1" applyAlignment="1">
      <alignment horizontal="center"/>
      <protection/>
    </xf>
    <xf numFmtId="178" fontId="7" fillId="0" borderId="0" xfId="163" applyNumberFormat="1" applyFont="1" applyFill="1" applyAlignment="1">
      <alignment horizontal="center"/>
      <protection/>
    </xf>
    <xf numFmtId="0" fontId="8" fillId="0" borderId="12" xfId="163" applyFont="1" applyFill="1" applyBorder="1" applyAlignment="1">
      <alignment horizontal="center" wrapText="1"/>
      <protection/>
    </xf>
    <xf numFmtId="0" fontId="8" fillId="0" borderId="12" xfId="163" applyFont="1" applyFill="1" applyBorder="1" applyAlignment="1">
      <alignment wrapText="1"/>
      <protection/>
    </xf>
    <xf numFmtId="0" fontId="8" fillId="0" borderId="12" xfId="163" applyFont="1" applyFill="1" applyBorder="1" applyAlignment="1">
      <alignment horizontal="left" wrapText="1"/>
      <protection/>
    </xf>
    <xf numFmtId="0" fontId="8" fillId="0" borderId="0" xfId="163" applyFont="1" applyFill="1" applyAlignment="1">
      <alignment wrapText="1"/>
      <protection/>
    </xf>
    <xf numFmtId="178" fontId="8" fillId="0" borderId="12" xfId="163" applyNumberFormat="1" applyFont="1" applyFill="1" applyBorder="1" applyAlignment="1">
      <alignment horizontal="right" wrapText="1"/>
      <protection/>
    </xf>
    <xf numFmtId="0" fontId="8" fillId="0" borderId="12" xfId="163" applyFont="1" applyFill="1" applyBorder="1" applyAlignment="1">
      <alignment horizontal="right" wrapText="1"/>
      <protection/>
    </xf>
    <xf numFmtId="0" fontId="8" fillId="0" borderId="13" xfId="163" applyFont="1" applyFill="1" applyBorder="1" applyAlignment="1">
      <alignment horizontal="center" wrapText="1"/>
      <protection/>
    </xf>
    <xf numFmtId="178" fontId="8" fillId="0" borderId="13" xfId="163" applyNumberFormat="1" applyFont="1" applyFill="1" applyBorder="1" applyAlignment="1">
      <alignment horizontal="center" wrapText="1"/>
      <protection/>
    </xf>
    <xf numFmtId="0" fontId="9" fillId="0" borderId="13" xfId="163" applyFont="1" applyFill="1" applyBorder="1" applyAlignment="1">
      <alignment horizontal="center" wrapText="1"/>
      <protection/>
    </xf>
    <xf numFmtId="0" fontId="3" fillId="0" borderId="13" xfId="352" applyFont="1" applyFill="1" applyBorder="1" applyAlignment="1">
      <alignment horizontal="left" wrapText="1"/>
      <protection/>
    </xf>
    <xf numFmtId="0" fontId="3" fillId="0" borderId="13" xfId="352" applyFont="1" applyFill="1" applyBorder="1" applyAlignment="1">
      <alignment horizontal="center" wrapText="1"/>
      <protection/>
    </xf>
    <xf numFmtId="179" fontId="3" fillId="0" borderId="13" xfId="352" applyNumberFormat="1" applyFont="1" applyFill="1" applyBorder="1" applyAlignment="1">
      <alignment horizontal="center" wrapText="1"/>
      <protection/>
    </xf>
    <xf numFmtId="0" fontId="3" fillId="0" borderId="13" xfId="163" applyFont="1" applyFill="1" applyBorder="1" applyAlignment="1">
      <alignment horizontal="center" wrapText="1"/>
      <protection/>
    </xf>
    <xf numFmtId="178" fontId="3" fillId="0" borderId="13" xfId="163" applyNumberFormat="1" applyFont="1" applyFill="1" applyBorder="1" applyAlignment="1">
      <alignment horizontal="center" wrapText="1"/>
      <protection/>
    </xf>
    <xf numFmtId="0" fontId="2" fillId="0" borderId="13" xfId="0" applyFont="1" applyFill="1" applyBorder="1" applyAlignment="1">
      <alignment horizontal="center"/>
    </xf>
    <xf numFmtId="0" fontId="2" fillId="0" borderId="13" xfId="352" applyFont="1" applyFill="1" applyBorder="1" applyAlignment="1">
      <alignment horizontal="left" wrapText="1"/>
      <protection/>
    </xf>
    <xf numFmtId="0" fontId="2" fillId="0" borderId="13" xfId="163" applyFont="1" applyFill="1" applyBorder="1" applyAlignment="1">
      <alignment horizontal="center"/>
      <protection/>
    </xf>
    <xf numFmtId="0" fontId="2" fillId="0" borderId="13" xfId="163" applyFont="1" applyFill="1" applyBorder="1" applyAlignment="1">
      <alignment horizontal="center" wrapText="1"/>
      <protection/>
    </xf>
    <xf numFmtId="178" fontId="2" fillId="0" borderId="13" xfId="163" applyNumberFormat="1" applyFont="1" applyFill="1" applyBorder="1" applyAlignment="1">
      <alignment horizontal="center" wrapText="1"/>
      <protection/>
    </xf>
    <xf numFmtId="0" fontId="2" fillId="0" borderId="13" xfId="163" applyFont="1" applyFill="1" applyBorder="1" applyAlignment="1">
      <alignment/>
      <protection/>
    </xf>
    <xf numFmtId="0" fontId="2" fillId="0" borderId="13" xfId="325" applyFont="1" applyFill="1" applyBorder="1" applyAlignment="1">
      <alignment horizontal="center" wrapText="1"/>
      <protection/>
    </xf>
    <xf numFmtId="180" fontId="2" fillId="0" borderId="13" xfId="163" applyNumberFormat="1" applyFont="1" applyFill="1" applyBorder="1" applyAlignment="1">
      <alignment horizontal="center"/>
      <protection/>
    </xf>
    <xf numFmtId="180" fontId="2" fillId="0" borderId="13" xfId="0" applyNumberFormat="1" applyFont="1" applyFill="1" applyBorder="1" applyAlignment="1">
      <alignment horizontal="center" wrapText="1"/>
    </xf>
    <xf numFmtId="179" fontId="2" fillId="0" borderId="13" xfId="0" applyNumberFormat="1" applyFont="1" applyFill="1" applyBorder="1" applyAlignment="1">
      <alignment horizontal="center" wrapText="1"/>
    </xf>
    <xf numFmtId="0" fontId="2" fillId="24" borderId="13" xfId="163" applyFont="1" applyFill="1" applyBorder="1" applyAlignment="1">
      <alignment horizontal="center"/>
      <protection/>
    </xf>
    <xf numFmtId="0" fontId="2" fillId="24" borderId="13" xfId="163" applyFont="1" applyFill="1" applyBorder="1" applyAlignment="1">
      <alignment/>
      <protection/>
    </xf>
    <xf numFmtId="0" fontId="2" fillId="24" borderId="13" xfId="325" applyFont="1" applyFill="1" applyBorder="1" applyAlignment="1">
      <alignment horizontal="center" wrapText="1"/>
      <protection/>
    </xf>
    <xf numFmtId="180" fontId="2" fillId="24" borderId="13" xfId="0" applyNumberFormat="1" applyFont="1" applyFill="1" applyBorder="1" applyAlignment="1">
      <alignment horizontal="center" wrapText="1"/>
    </xf>
    <xf numFmtId="178" fontId="2" fillId="24" borderId="13" xfId="163" applyNumberFormat="1" applyFont="1" applyFill="1" applyBorder="1" applyAlignment="1">
      <alignment horizontal="center" wrapText="1"/>
      <protection/>
    </xf>
    <xf numFmtId="0" fontId="2" fillId="24" borderId="13" xfId="163" applyFont="1" applyFill="1" applyBorder="1" applyAlignment="1">
      <alignment horizontal="center" wrapText="1"/>
      <protection/>
    </xf>
    <xf numFmtId="0" fontId="3" fillId="0" borderId="13" xfId="163" applyFont="1" applyFill="1" applyBorder="1" applyAlignment="1">
      <alignment horizontal="center"/>
      <protection/>
    </xf>
    <xf numFmtId="0" fontId="3" fillId="0" borderId="13" xfId="163" applyFont="1" applyFill="1" applyBorder="1" applyAlignment="1">
      <alignment/>
      <protection/>
    </xf>
    <xf numFmtId="179" fontId="3" fillId="0" borderId="13" xfId="0" applyNumberFormat="1" applyFont="1" applyFill="1" applyBorder="1" applyAlignment="1">
      <alignment horizontal="center" wrapText="1"/>
    </xf>
    <xf numFmtId="0" fontId="9" fillId="0" borderId="13" xfId="163" applyFont="1" applyFill="1" applyBorder="1" applyAlignment="1">
      <alignment horizontal="left" wrapText="1"/>
      <protection/>
    </xf>
    <xf numFmtId="178" fontId="9" fillId="0" borderId="13" xfId="163" applyNumberFormat="1" applyFont="1" applyFill="1" applyBorder="1" applyAlignment="1">
      <alignment horizontal="center" wrapText="1"/>
      <protection/>
    </xf>
    <xf numFmtId="0" fontId="8" fillId="0" borderId="13" xfId="163" applyFont="1" applyFill="1" applyBorder="1" applyAlignment="1">
      <alignment horizontal="left" wrapText="1"/>
      <protection/>
    </xf>
    <xf numFmtId="0" fontId="9" fillId="0" borderId="13" xfId="0" applyFont="1" applyFill="1" applyBorder="1" applyAlignment="1">
      <alignment horizontal="center" wrapText="1"/>
    </xf>
    <xf numFmtId="0" fontId="9" fillId="0" borderId="13" xfId="0" applyFont="1" applyFill="1" applyBorder="1" applyAlignment="1">
      <alignment wrapText="1"/>
    </xf>
    <xf numFmtId="180" fontId="9" fillId="0" borderId="13" xfId="0" applyNumberFormat="1" applyFont="1" applyFill="1" applyBorder="1" applyAlignment="1">
      <alignment horizontal="center" wrapText="1"/>
    </xf>
    <xf numFmtId="178" fontId="9" fillId="0" borderId="13" xfId="0" applyNumberFormat="1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wrapText="1"/>
    </xf>
    <xf numFmtId="0" fontId="8" fillId="0" borderId="13" xfId="349" applyFont="1" applyFill="1" applyBorder="1" applyAlignment="1">
      <alignment horizontal="center" wrapText="1"/>
      <protection/>
    </xf>
    <xf numFmtId="180" fontId="8" fillId="0" borderId="13" xfId="0" applyNumberFormat="1" applyFont="1" applyFill="1" applyBorder="1" applyAlignment="1">
      <alignment horizontal="center" wrapText="1"/>
    </xf>
    <xf numFmtId="179" fontId="8" fillId="0" borderId="13" xfId="0" applyNumberFormat="1" applyFont="1" applyFill="1" applyBorder="1" applyAlignment="1">
      <alignment horizontal="center" wrapText="1"/>
    </xf>
    <xf numFmtId="180" fontId="8" fillId="0" borderId="13" xfId="325" applyNumberFormat="1" applyFont="1" applyFill="1" applyBorder="1" applyAlignment="1">
      <alignment horizontal="center" wrapText="1"/>
      <protection/>
    </xf>
    <xf numFmtId="0" fontId="0" fillId="0" borderId="0" xfId="0" applyFont="1" applyFill="1" applyBorder="1" applyAlignment="1">
      <alignment wrapText="1"/>
    </xf>
    <xf numFmtId="178" fontId="8" fillId="0" borderId="13" xfId="0" applyNumberFormat="1" applyFont="1" applyFill="1" applyBorder="1" applyAlignment="1">
      <alignment horizontal="center" wrapText="1"/>
    </xf>
    <xf numFmtId="0" fontId="3" fillId="0" borderId="0" xfId="165" applyFont="1" applyFill="1" applyAlignment="1">
      <alignment/>
      <protection/>
    </xf>
    <xf numFmtId="0" fontId="8" fillId="0" borderId="13" xfId="325" applyFont="1" applyFill="1" applyBorder="1" applyAlignment="1">
      <alignment horizontal="left" wrapText="1"/>
      <protection/>
    </xf>
    <xf numFmtId="0" fontId="8" fillId="0" borderId="13" xfId="325" applyFont="1" applyFill="1" applyBorder="1" applyAlignment="1">
      <alignment horizontal="center" wrapText="1"/>
      <protection/>
    </xf>
    <xf numFmtId="0" fontId="2" fillId="0" borderId="13" xfId="0" applyFont="1" applyFill="1" applyBorder="1" applyAlignment="1">
      <alignment horizontal="center" wrapText="1"/>
    </xf>
    <xf numFmtId="178" fontId="2" fillId="0" borderId="13" xfId="0" applyNumberFormat="1" applyFont="1" applyFill="1" applyBorder="1" applyAlignment="1">
      <alignment horizontal="center" wrapText="1"/>
    </xf>
    <xf numFmtId="0" fontId="2" fillId="0" borderId="13" xfId="0" applyFont="1" applyFill="1" applyBorder="1" applyAlignment="1">
      <alignment wrapText="1"/>
    </xf>
    <xf numFmtId="0" fontId="8" fillId="0" borderId="13" xfId="325" applyNumberFormat="1" applyFont="1" applyFill="1" applyBorder="1" applyAlignment="1">
      <alignment horizontal="left" wrapText="1"/>
      <protection/>
    </xf>
    <xf numFmtId="0" fontId="2" fillId="0" borderId="13" xfId="325" applyFont="1" applyFill="1" applyBorder="1" applyAlignment="1">
      <alignment horizontal="left" wrapText="1"/>
      <protection/>
    </xf>
    <xf numFmtId="180" fontId="2" fillId="0" borderId="13" xfId="325" applyNumberFormat="1" applyFont="1" applyFill="1" applyBorder="1" applyAlignment="1">
      <alignment horizontal="center" wrapText="1"/>
      <protection/>
    </xf>
    <xf numFmtId="0" fontId="2" fillId="0" borderId="13" xfId="348" applyFont="1" applyFill="1" applyBorder="1" applyAlignment="1">
      <alignment horizontal="center" wrapText="1"/>
      <protection/>
    </xf>
    <xf numFmtId="0" fontId="2" fillId="0" borderId="13" xfId="0" applyFont="1" applyFill="1" applyBorder="1" applyAlignment="1">
      <alignment horizontal="left" wrapText="1"/>
    </xf>
    <xf numFmtId="0" fontId="8" fillId="0" borderId="13" xfId="348" applyFont="1" applyFill="1" applyBorder="1" applyAlignment="1">
      <alignment horizontal="center" wrapText="1"/>
      <protection/>
    </xf>
    <xf numFmtId="0" fontId="8" fillId="0" borderId="13" xfId="0" applyFont="1" applyFill="1" applyBorder="1" applyAlignment="1">
      <alignment horizontal="left" wrapText="1"/>
    </xf>
    <xf numFmtId="180" fontId="2" fillId="0" borderId="0" xfId="163" applyNumberFormat="1" applyFont="1" applyFill="1" applyAlignment="1">
      <alignment horizontal="center"/>
      <protection/>
    </xf>
    <xf numFmtId="0" fontId="1" fillId="0" borderId="0" xfId="163" applyFont="1" applyFill="1" applyAlignment="1">
      <alignment horizontal="center"/>
      <protection/>
    </xf>
    <xf numFmtId="180" fontId="1" fillId="0" borderId="0" xfId="163" applyNumberFormat="1" applyFont="1" applyFill="1" applyAlignment="1">
      <alignment horizontal="center"/>
      <protection/>
    </xf>
    <xf numFmtId="0" fontId="2" fillId="24" borderId="0" xfId="163" applyFont="1" applyFill="1" applyAlignment="1">
      <alignment horizontal="center"/>
      <protection/>
    </xf>
    <xf numFmtId="180" fontId="2" fillId="24" borderId="0" xfId="163" applyNumberFormat="1" applyFont="1" applyFill="1" applyAlignment="1">
      <alignment horizontal="center"/>
      <protection/>
    </xf>
    <xf numFmtId="179" fontId="9" fillId="0" borderId="13" xfId="0" applyNumberFormat="1" applyFont="1" applyFill="1" applyBorder="1" applyAlignment="1">
      <alignment horizontal="center" wrapText="1"/>
    </xf>
    <xf numFmtId="0" fontId="2" fillId="0" borderId="13" xfId="347" applyFont="1" applyFill="1" applyBorder="1" applyAlignment="1">
      <alignment horizontal="left" wrapText="1"/>
      <protection/>
    </xf>
    <xf numFmtId="179" fontId="2" fillId="0" borderId="13" xfId="347" applyNumberFormat="1" applyFont="1" applyFill="1" applyBorder="1" applyAlignment="1">
      <alignment horizontal="center" wrapText="1"/>
      <protection/>
    </xf>
    <xf numFmtId="0" fontId="2" fillId="0" borderId="13" xfId="347" applyFont="1" applyFill="1" applyBorder="1" applyAlignment="1">
      <alignment horizontal="center" wrapText="1"/>
      <protection/>
    </xf>
    <xf numFmtId="0" fontId="8" fillId="0" borderId="13" xfId="347" applyFont="1" applyFill="1" applyBorder="1" applyAlignment="1">
      <alignment horizontal="left" wrapText="1"/>
      <protection/>
    </xf>
    <xf numFmtId="2" fontId="8" fillId="0" borderId="13" xfId="347" applyNumberFormat="1" applyFont="1" applyFill="1" applyBorder="1" applyAlignment="1">
      <alignment horizontal="center" wrapText="1"/>
      <protection/>
    </xf>
    <xf numFmtId="0" fontId="8" fillId="0" borderId="13" xfId="349" applyFont="1" applyFill="1" applyBorder="1" applyAlignment="1">
      <alignment horizontal="left" wrapText="1"/>
      <protection/>
    </xf>
    <xf numFmtId="0" fontId="8" fillId="0" borderId="13" xfId="347" applyFont="1" applyFill="1" applyBorder="1" applyAlignment="1">
      <alignment horizontal="center" wrapText="1"/>
      <protection/>
    </xf>
    <xf numFmtId="180" fontId="8" fillId="0" borderId="13" xfId="347" applyNumberFormat="1" applyFont="1" applyFill="1" applyBorder="1" applyAlignment="1">
      <alignment horizontal="center" wrapText="1"/>
      <protection/>
    </xf>
    <xf numFmtId="1" fontId="8" fillId="0" borderId="13" xfId="347" applyNumberFormat="1" applyFont="1" applyFill="1" applyBorder="1" applyAlignment="1">
      <alignment horizontal="center" wrapText="1"/>
      <protection/>
    </xf>
    <xf numFmtId="2" fontId="2" fillId="0" borderId="13" xfId="347" applyNumberFormat="1" applyFont="1" applyFill="1" applyBorder="1" applyAlignment="1">
      <alignment horizontal="center" wrapText="1"/>
      <protection/>
    </xf>
    <xf numFmtId="1" fontId="2" fillId="0" borderId="13" xfId="347" applyNumberFormat="1" applyFont="1" applyFill="1" applyBorder="1" applyAlignment="1">
      <alignment horizontal="center" wrapText="1"/>
      <protection/>
    </xf>
    <xf numFmtId="180" fontId="2" fillId="0" borderId="13" xfId="348" applyNumberFormat="1" applyFont="1" applyFill="1" applyBorder="1" applyAlignment="1">
      <alignment horizontal="center" wrapText="1"/>
      <protection/>
    </xf>
    <xf numFmtId="180" fontId="2" fillId="0" borderId="13" xfId="345" applyNumberFormat="1" applyFont="1" applyFill="1" applyBorder="1" applyAlignment="1">
      <alignment horizontal="center" wrapText="1"/>
      <protection/>
    </xf>
    <xf numFmtId="179" fontId="2" fillId="0" borderId="13" xfId="348" applyNumberFormat="1" applyFont="1" applyFill="1" applyBorder="1" applyAlignment="1">
      <alignment horizontal="center" wrapText="1"/>
      <protection/>
    </xf>
    <xf numFmtId="180" fontId="8" fillId="0" borderId="13" xfId="345" applyNumberFormat="1" applyFont="1" applyFill="1" applyBorder="1" applyAlignment="1">
      <alignment horizontal="center" wrapText="1"/>
      <protection/>
    </xf>
    <xf numFmtId="180" fontId="8" fillId="0" borderId="13" xfId="348" applyNumberFormat="1" applyFont="1" applyFill="1" applyBorder="1" applyAlignment="1">
      <alignment horizontal="center" wrapText="1"/>
      <protection/>
    </xf>
    <xf numFmtId="0" fontId="9" fillId="0" borderId="13" xfId="0" applyFont="1" applyFill="1" applyBorder="1" applyAlignment="1">
      <alignment horizontal="left" wrapText="1"/>
    </xf>
    <xf numFmtId="180" fontId="9" fillId="0" borderId="13" xfId="345" applyNumberFormat="1" applyFont="1" applyFill="1" applyBorder="1" applyAlignment="1">
      <alignment horizontal="center" wrapText="1"/>
      <protection/>
    </xf>
    <xf numFmtId="180" fontId="9" fillId="0" borderId="13" xfId="348" applyNumberFormat="1" applyFont="1" applyFill="1" applyBorder="1" applyAlignment="1">
      <alignment horizontal="center" wrapText="1"/>
      <protection/>
    </xf>
    <xf numFmtId="0" fontId="6" fillId="0" borderId="13" xfId="0" applyFont="1" applyFill="1" applyBorder="1" applyAlignment="1">
      <alignment horizontal="left" wrapText="1"/>
    </xf>
    <xf numFmtId="49" fontId="10" fillId="0" borderId="13" xfId="348" applyNumberFormat="1" applyFont="1" applyFill="1" applyBorder="1" applyAlignment="1">
      <alignment horizontal="center" wrapText="1"/>
      <protection/>
    </xf>
    <xf numFmtId="0" fontId="10" fillId="0" borderId="13" xfId="348" applyFont="1" applyFill="1" applyBorder="1" applyAlignment="1">
      <alignment horizontal="center" wrapText="1"/>
      <protection/>
    </xf>
    <xf numFmtId="49" fontId="10" fillId="24" borderId="13" xfId="348" applyNumberFormat="1" applyFont="1" applyFill="1" applyBorder="1" applyAlignment="1">
      <alignment horizontal="center" wrapText="1"/>
      <protection/>
    </xf>
    <xf numFmtId="0" fontId="2" fillId="24" borderId="13" xfId="0" applyFont="1" applyFill="1" applyBorder="1" applyAlignment="1">
      <alignment horizontal="left" wrapText="1"/>
    </xf>
    <xf numFmtId="0" fontId="2" fillId="24" borderId="13" xfId="0" applyFont="1" applyFill="1" applyBorder="1" applyAlignment="1">
      <alignment horizontal="center" wrapText="1"/>
    </xf>
    <xf numFmtId="180" fontId="8" fillId="24" borderId="13" xfId="348" applyNumberFormat="1" applyFont="1" applyFill="1" applyBorder="1" applyAlignment="1">
      <alignment horizontal="center" wrapText="1"/>
      <protection/>
    </xf>
    <xf numFmtId="178" fontId="8" fillId="24" borderId="13" xfId="0" applyNumberFormat="1" applyFont="1" applyFill="1" applyBorder="1" applyAlignment="1">
      <alignment horizontal="center" wrapText="1"/>
    </xf>
    <xf numFmtId="0" fontId="10" fillId="24" borderId="13" xfId="348" applyFont="1" applyFill="1" applyBorder="1" applyAlignment="1">
      <alignment horizontal="center" wrapText="1"/>
      <protection/>
    </xf>
    <xf numFmtId="0" fontId="9" fillId="0" borderId="13" xfId="325" applyFont="1" applyFill="1" applyBorder="1" applyAlignment="1">
      <alignment horizontal="center" wrapText="1"/>
      <protection/>
    </xf>
    <xf numFmtId="0" fontId="1" fillId="0" borderId="13" xfId="347" applyFont="1" applyFill="1" applyBorder="1" applyAlignment="1">
      <alignment horizontal="left" wrapText="1"/>
      <protection/>
    </xf>
    <xf numFmtId="0" fontId="8" fillId="0" borderId="13" xfId="0" applyFont="1" applyFill="1" applyBorder="1" applyAlignment="1">
      <alignment horizontal="justify" wrapText="1"/>
    </xf>
    <xf numFmtId="180" fontId="3" fillId="0" borderId="13" xfId="163" applyNumberFormat="1" applyFont="1" applyFill="1" applyBorder="1" applyAlignment="1">
      <alignment horizontal="center"/>
      <protection/>
    </xf>
    <xf numFmtId="180" fontId="3" fillId="0" borderId="13" xfId="348" applyNumberFormat="1" applyFont="1" applyFill="1" applyBorder="1" applyAlignment="1">
      <alignment horizontal="center" wrapText="1"/>
      <protection/>
    </xf>
    <xf numFmtId="178" fontId="3" fillId="0" borderId="13" xfId="0" applyNumberFormat="1" applyFont="1" applyFill="1" applyBorder="1" applyAlignment="1">
      <alignment horizontal="center" wrapText="1"/>
    </xf>
    <xf numFmtId="0" fontId="3" fillId="0" borderId="13" xfId="0" applyFont="1" applyFill="1" applyBorder="1" applyAlignment="1">
      <alignment wrapText="1"/>
    </xf>
    <xf numFmtId="0" fontId="11" fillId="0" borderId="13" xfId="0" applyFont="1" applyFill="1" applyBorder="1" applyAlignment="1">
      <alignment horizontal="center"/>
    </xf>
    <xf numFmtId="0" fontId="9" fillId="0" borderId="13" xfId="352" applyFont="1" applyFill="1" applyBorder="1" applyAlignment="1">
      <alignment horizontal="left" wrapText="1"/>
      <protection/>
    </xf>
    <xf numFmtId="0" fontId="9" fillId="0" borderId="13" xfId="352" applyFont="1" applyFill="1" applyBorder="1" applyAlignment="1">
      <alignment horizontal="center" wrapText="1"/>
      <protection/>
    </xf>
    <xf numFmtId="179" fontId="9" fillId="0" borderId="13" xfId="352" applyNumberFormat="1" applyFont="1" applyFill="1" applyBorder="1" applyAlignment="1">
      <alignment horizontal="center" wrapText="1"/>
      <protection/>
    </xf>
    <xf numFmtId="0" fontId="6" fillId="0" borderId="13" xfId="0" applyFont="1" applyFill="1" applyBorder="1" applyAlignment="1">
      <alignment wrapText="1"/>
    </xf>
    <xf numFmtId="0" fontId="8" fillId="0" borderId="13" xfId="352" applyFont="1" applyFill="1" applyBorder="1" applyAlignment="1">
      <alignment horizontal="left" wrapText="1"/>
      <protection/>
    </xf>
    <xf numFmtId="0" fontId="8" fillId="0" borderId="13" xfId="352" applyFont="1" applyFill="1" applyBorder="1" applyAlignment="1">
      <alignment horizontal="center" wrapText="1"/>
      <protection/>
    </xf>
    <xf numFmtId="181" fontId="8" fillId="0" borderId="13" xfId="352" applyNumberFormat="1" applyFont="1" applyFill="1" applyBorder="1" applyAlignment="1">
      <alignment horizontal="center" wrapText="1"/>
      <protection/>
    </xf>
    <xf numFmtId="0" fontId="1" fillId="0" borderId="13" xfId="0" applyFont="1" applyFill="1" applyBorder="1" applyAlignment="1">
      <alignment wrapText="1"/>
    </xf>
    <xf numFmtId="179" fontId="8" fillId="0" borderId="13" xfId="352" applyNumberFormat="1" applyFont="1" applyFill="1" applyBorder="1" applyAlignment="1">
      <alignment horizontal="center" wrapText="1"/>
      <protection/>
    </xf>
    <xf numFmtId="0" fontId="8" fillId="0" borderId="13" xfId="163" applyFont="1" applyFill="1" applyBorder="1" applyAlignment="1">
      <alignment wrapText="1"/>
      <protection/>
    </xf>
    <xf numFmtId="0" fontId="2" fillId="0" borderId="13" xfId="163" applyFont="1" applyFill="1" applyBorder="1" applyAlignment="1">
      <alignment wrapText="1"/>
      <protection/>
    </xf>
    <xf numFmtId="178" fontId="2" fillId="0" borderId="13" xfId="163" applyNumberFormat="1" applyFont="1" applyFill="1" applyBorder="1" applyAlignment="1">
      <alignment wrapText="1"/>
      <protection/>
    </xf>
    <xf numFmtId="180" fontId="2" fillId="0" borderId="0" xfId="163" applyNumberFormat="1" applyFont="1" applyFill="1" applyAlignment="1">
      <alignment/>
      <protection/>
    </xf>
    <xf numFmtId="182" fontId="2" fillId="0" borderId="0" xfId="163" applyNumberFormat="1" applyFont="1" applyFill="1" applyAlignment="1">
      <alignment/>
      <protection/>
    </xf>
    <xf numFmtId="0" fontId="2" fillId="0" borderId="0" xfId="163" applyFont="1" applyFill="1">
      <alignment/>
      <protection/>
    </xf>
    <xf numFmtId="0" fontId="0" fillId="0" borderId="0" xfId="0" applyFont="1" applyFill="1" applyAlignment="1">
      <alignment/>
    </xf>
    <xf numFmtId="183" fontId="2" fillId="0" borderId="0" xfId="163" applyNumberFormat="1" applyFont="1" applyFill="1">
      <alignment/>
      <protection/>
    </xf>
    <xf numFmtId="0" fontId="12" fillId="0" borderId="0" xfId="163" applyFont="1" applyFill="1" applyAlignment="1">
      <alignment horizontal="center"/>
      <protection/>
    </xf>
    <xf numFmtId="0" fontId="2" fillId="0" borderId="0" xfId="163" applyFont="1" applyFill="1" applyAlignment="1">
      <alignment horizontal="left"/>
      <protection/>
    </xf>
    <xf numFmtId="0" fontId="2" fillId="0" borderId="12" xfId="163" applyFont="1" applyFill="1" applyBorder="1" applyAlignment="1">
      <alignment horizontal="left"/>
      <protection/>
    </xf>
    <xf numFmtId="0" fontId="2" fillId="0" borderId="12" xfId="163" applyNumberFormat="1" applyFont="1" applyFill="1" applyBorder="1" applyAlignment="1">
      <alignment horizontal="center"/>
      <protection/>
    </xf>
    <xf numFmtId="0" fontId="2" fillId="0" borderId="14" xfId="163" applyFont="1" applyFill="1" applyBorder="1" applyAlignment="1">
      <alignment horizontal="left"/>
      <protection/>
    </xf>
    <xf numFmtId="0" fontId="2" fillId="0" borderId="11" xfId="163" applyFont="1" applyFill="1" applyBorder="1" applyAlignment="1">
      <alignment horizontal="left"/>
      <protection/>
    </xf>
    <xf numFmtId="0" fontId="2" fillId="0" borderId="15" xfId="163" applyFont="1" applyFill="1" applyBorder="1" applyAlignment="1">
      <alignment horizontal="left"/>
      <protection/>
    </xf>
    <xf numFmtId="0" fontId="2" fillId="0" borderId="16" xfId="163" applyFont="1" applyFill="1" applyBorder="1" applyAlignment="1">
      <alignment horizontal="center"/>
      <protection/>
    </xf>
    <xf numFmtId="0" fontId="2" fillId="0" borderId="17" xfId="163" applyFont="1" applyFill="1" applyBorder="1" applyAlignment="1">
      <alignment horizontal="center"/>
      <protection/>
    </xf>
    <xf numFmtId="183" fontId="2" fillId="0" borderId="17" xfId="163" applyNumberFormat="1" applyFont="1" applyFill="1" applyBorder="1" applyAlignment="1">
      <alignment horizontal="center"/>
      <protection/>
    </xf>
    <xf numFmtId="183" fontId="2" fillId="0" borderId="17" xfId="163" applyNumberFormat="1" applyFont="1" applyFill="1" applyBorder="1" applyAlignment="1">
      <alignment horizontal="center" vertical="center" wrapText="1"/>
      <protection/>
    </xf>
    <xf numFmtId="0" fontId="2" fillId="0" borderId="17" xfId="163" applyFont="1" applyFill="1" applyBorder="1" applyAlignment="1">
      <alignment horizontal="center" wrapText="1" shrinkToFit="1"/>
      <protection/>
    </xf>
    <xf numFmtId="184" fontId="11" fillId="0" borderId="17" xfId="163" applyNumberFormat="1" applyFont="1" applyFill="1" applyBorder="1" applyAlignment="1">
      <alignment horizontal="center" vertical="center"/>
      <protection/>
    </xf>
    <xf numFmtId="10" fontId="11" fillId="0" borderId="17" xfId="163" applyNumberFormat="1" applyFont="1" applyFill="1" applyBorder="1" applyAlignment="1">
      <alignment horizontal="center" vertical="center"/>
      <protection/>
    </xf>
    <xf numFmtId="10" fontId="2" fillId="0" borderId="17" xfId="163" applyNumberFormat="1" applyFont="1" applyFill="1" applyBorder="1" applyAlignment="1">
      <alignment horizontal="center"/>
      <protection/>
    </xf>
    <xf numFmtId="9" fontId="2" fillId="0" borderId="17" xfId="0" applyNumberFormat="1" applyFont="1" applyFill="1" applyBorder="1" applyAlignment="1">
      <alignment horizontal="center"/>
    </xf>
    <xf numFmtId="10" fontId="2" fillId="0" borderId="0" xfId="163" applyNumberFormat="1" applyFont="1" applyFill="1" applyAlignment="1">
      <alignment horizontal="center"/>
      <protection/>
    </xf>
    <xf numFmtId="183" fontId="2" fillId="0" borderId="0" xfId="163" applyNumberFormat="1" applyFont="1" applyFill="1" applyAlignment="1">
      <alignment horizontal="center"/>
      <protection/>
    </xf>
    <xf numFmtId="0" fontId="2" fillId="0" borderId="0" xfId="163" applyNumberFormat="1" applyFont="1" applyFill="1">
      <alignment/>
      <protection/>
    </xf>
    <xf numFmtId="183" fontId="2" fillId="0" borderId="0" xfId="163" applyNumberFormat="1" applyFont="1" applyFill="1" applyAlignment="1">
      <alignment horizontal="left"/>
      <protection/>
    </xf>
    <xf numFmtId="183" fontId="2" fillId="0" borderId="12" xfId="163" applyNumberFormat="1" applyFont="1" applyFill="1" applyBorder="1" applyAlignment="1">
      <alignment horizontal="center"/>
      <protection/>
    </xf>
    <xf numFmtId="0" fontId="2" fillId="0" borderId="12" xfId="163" applyFont="1" applyFill="1" applyBorder="1" applyAlignment="1">
      <alignment horizontal="center"/>
      <protection/>
    </xf>
    <xf numFmtId="0" fontId="2" fillId="0" borderId="18" xfId="163" applyFont="1" applyFill="1" applyBorder="1" applyAlignment="1">
      <alignment horizontal="left"/>
      <protection/>
    </xf>
    <xf numFmtId="183" fontId="2" fillId="0" borderId="17" xfId="163" applyNumberFormat="1" applyFont="1" applyFill="1" applyBorder="1" applyAlignment="1">
      <alignment horizontal="center" wrapText="1"/>
      <protection/>
    </xf>
    <xf numFmtId="184" fontId="2" fillId="0" borderId="17" xfId="163" applyNumberFormat="1" applyFont="1" applyFill="1" applyBorder="1" applyAlignment="1">
      <alignment horizontal="center"/>
      <protection/>
    </xf>
    <xf numFmtId="182" fontId="2" fillId="0" borderId="0" xfId="163" applyNumberFormat="1" applyFont="1" applyFill="1">
      <alignment/>
      <protection/>
    </xf>
    <xf numFmtId="0" fontId="3" fillId="0" borderId="0" xfId="112" applyFont="1" applyFill="1" applyBorder="1" applyAlignment="1">
      <alignment horizontal="left" vertical="center"/>
      <protection/>
    </xf>
    <xf numFmtId="0" fontId="2" fillId="0" borderId="0" xfId="112" applyFont="1" applyFill="1" applyBorder="1" applyAlignment="1">
      <alignment horizontal="left" vertical="center"/>
      <protection/>
    </xf>
    <xf numFmtId="0" fontId="2" fillId="0" borderId="0" xfId="112" applyFont="1" applyFill="1" applyBorder="1" applyAlignment="1">
      <alignment horizontal="left"/>
      <protection/>
    </xf>
    <xf numFmtId="0" fontId="2" fillId="0" borderId="0" xfId="112" applyFont="1" applyFill="1" applyBorder="1">
      <alignment/>
      <protection/>
    </xf>
    <xf numFmtId="0" fontId="2" fillId="0" borderId="0" xfId="112" applyFont="1" applyFill="1" applyBorder="1" applyAlignment="1">
      <alignment horizontal="center"/>
      <protection/>
    </xf>
    <xf numFmtId="185" fontId="2" fillId="0" borderId="0" xfId="401" applyNumberFormat="1" applyFont="1" applyFill="1" applyBorder="1" applyAlignment="1">
      <alignment horizontal="center" vertical="center"/>
      <protection/>
    </xf>
    <xf numFmtId="185" fontId="2" fillId="0" borderId="0" xfId="401" applyNumberFormat="1" applyFont="1" applyFill="1" applyBorder="1" applyAlignment="1">
      <alignment horizontal="center" vertical="center" wrapText="1"/>
      <protection/>
    </xf>
    <xf numFmtId="0" fontId="2" fillId="0" borderId="0" xfId="112" applyFont="1" applyFill="1" applyBorder="1" applyAlignment="1">
      <alignment horizontal="center" vertical="center"/>
      <protection/>
    </xf>
    <xf numFmtId="0" fontId="2" fillId="0" borderId="0" xfId="112" applyFont="1" applyFill="1" applyBorder="1" applyAlignment="1">
      <alignment horizontal="center" vertical="center" wrapText="1"/>
      <protection/>
    </xf>
    <xf numFmtId="186" fontId="2" fillId="0" borderId="0" xfId="401" applyNumberFormat="1" applyFont="1" applyFill="1" applyBorder="1" applyAlignment="1">
      <alignment horizontal="center" vertical="center" wrapText="1"/>
      <protection/>
    </xf>
    <xf numFmtId="2" fontId="2" fillId="0" borderId="0" xfId="112" applyNumberFormat="1" applyFont="1" applyFill="1" applyBorder="1" applyAlignment="1">
      <alignment horizontal="center" vertical="center"/>
      <protection/>
    </xf>
    <xf numFmtId="0" fontId="2" fillId="0" borderId="0" xfId="112" applyFont="1" applyFill="1" applyBorder="1" applyAlignment="1">
      <alignment horizontal="center" vertical="distributed" wrapText="1" shrinkToFit="1"/>
      <protection/>
    </xf>
    <xf numFmtId="0" fontId="2" fillId="0" borderId="0" xfId="163" applyFont="1" applyFill="1" applyBorder="1" applyAlignment="1">
      <alignment horizontal="center" wrapText="1" shrinkToFit="1"/>
      <protection/>
    </xf>
    <xf numFmtId="180" fontId="2" fillId="0" borderId="0" xfId="112" applyNumberFormat="1" applyFont="1" applyFill="1" applyBorder="1" applyAlignment="1">
      <alignment horizontal="center" vertical="center"/>
      <protection/>
    </xf>
    <xf numFmtId="0" fontId="2" fillId="0" borderId="0" xfId="73" applyFont="1" applyFill="1" applyBorder="1" applyAlignment="1">
      <alignment horizontal="center" vertical="center"/>
      <protection/>
    </xf>
    <xf numFmtId="0" fontId="2" fillId="0" borderId="0" xfId="73" applyFont="1" applyFill="1" applyBorder="1" applyAlignment="1">
      <alignment horizontal="center"/>
      <protection/>
    </xf>
    <xf numFmtId="0" fontId="13" fillId="0" borderId="0" xfId="73" applyFont="1" applyFill="1" applyBorder="1" applyAlignment="1">
      <alignment horizontal="center"/>
      <protection/>
    </xf>
    <xf numFmtId="2" fontId="2" fillId="0" borderId="0" xfId="73" applyNumberFormat="1" applyFont="1" applyFill="1" applyBorder="1" applyAlignment="1">
      <alignment horizontal="center"/>
      <protection/>
    </xf>
    <xf numFmtId="186" fontId="2" fillId="0" borderId="0" xfId="73" applyNumberFormat="1" applyFont="1" applyFill="1" applyBorder="1" applyAlignment="1">
      <alignment horizontal="center"/>
      <protection/>
    </xf>
    <xf numFmtId="0" fontId="2" fillId="0" borderId="0" xfId="0" applyFont="1" applyFill="1" applyBorder="1" applyAlignment="1">
      <alignment horizontal="center" vertical="center"/>
    </xf>
    <xf numFmtId="183" fontId="2" fillId="0" borderId="0" xfId="163" applyNumberFormat="1" applyFont="1" applyFill="1" applyBorder="1" applyAlignment="1">
      <alignment horizontal="center"/>
      <protection/>
    </xf>
    <xf numFmtId="0" fontId="2" fillId="0" borderId="0" xfId="23" applyFont="1" applyFill="1" applyBorder="1" applyAlignment="1">
      <alignment horizontal="center" vertical="center"/>
      <protection/>
    </xf>
    <xf numFmtId="0" fontId="2" fillId="0" borderId="0" xfId="401" applyFont="1" applyFill="1" applyBorder="1" applyAlignment="1">
      <alignment horizontal="center" vertical="center"/>
      <protection/>
    </xf>
    <xf numFmtId="0" fontId="2" fillId="0" borderId="0" xfId="163" applyFont="1" applyFill="1" applyBorder="1" applyAlignment="1">
      <alignment horizontal="center"/>
      <protection/>
    </xf>
    <xf numFmtId="10" fontId="2" fillId="0" borderId="0" xfId="401" applyNumberFormat="1" applyFont="1" applyFill="1" applyBorder="1" applyAlignment="1">
      <alignment horizontal="center" vertical="center"/>
      <protection/>
    </xf>
    <xf numFmtId="180" fontId="2" fillId="0" borderId="0" xfId="401" applyNumberFormat="1" applyFont="1" applyFill="1" applyBorder="1" applyAlignment="1">
      <alignment horizontal="center" vertical="center"/>
      <protection/>
    </xf>
    <xf numFmtId="184" fontId="11" fillId="0" borderId="0" xfId="163" applyNumberFormat="1" applyFont="1" applyFill="1" applyBorder="1" applyAlignment="1">
      <alignment horizontal="center" vertical="center"/>
      <protection/>
    </xf>
    <xf numFmtId="10" fontId="2" fillId="0" borderId="0" xfId="163" applyNumberFormat="1" applyFont="1" applyFill="1" applyBorder="1" applyAlignment="1">
      <alignment horizontal="center"/>
      <protection/>
    </xf>
    <xf numFmtId="183" fontId="2" fillId="0" borderId="12" xfId="163" applyNumberFormat="1" applyFont="1" applyFill="1" applyBorder="1">
      <alignment/>
      <protection/>
    </xf>
    <xf numFmtId="0" fontId="2" fillId="0" borderId="15" xfId="163" applyFont="1" applyFill="1" applyBorder="1" applyAlignment="1">
      <alignment horizontal="center"/>
      <protection/>
    </xf>
    <xf numFmtId="0" fontId="2" fillId="0" borderId="17" xfId="163" applyFont="1" applyFill="1" applyBorder="1">
      <alignment/>
      <protection/>
    </xf>
    <xf numFmtId="0" fontId="2" fillId="0" borderId="16" xfId="163" applyFont="1" applyFill="1" applyBorder="1">
      <alignment/>
      <protection/>
    </xf>
    <xf numFmtId="183" fontId="2" fillId="0" borderId="17" xfId="163" applyNumberFormat="1" applyFont="1" applyFill="1" applyBorder="1">
      <alignment/>
      <protection/>
    </xf>
    <xf numFmtId="0" fontId="2" fillId="0" borderId="17" xfId="163" applyFont="1" applyFill="1" applyBorder="1" applyAlignment="1">
      <alignment horizontal="center" wrapText="1"/>
      <protection/>
    </xf>
    <xf numFmtId="184" fontId="2" fillId="0" borderId="17" xfId="163" applyNumberFormat="1" applyFont="1" applyFill="1" applyBorder="1" applyAlignment="1">
      <alignment horizontal="center" vertical="center"/>
      <protection/>
    </xf>
    <xf numFmtId="10" fontId="2" fillId="0" borderId="17" xfId="163" applyNumberFormat="1" applyFont="1" applyFill="1" applyBorder="1" applyAlignment="1">
      <alignment horizontal="center" vertical="center"/>
      <protection/>
    </xf>
    <xf numFmtId="0" fontId="2" fillId="0" borderId="16" xfId="163" applyFont="1" applyFill="1" applyBorder="1" applyAlignment="1">
      <alignment horizontal="right"/>
      <protection/>
    </xf>
    <xf numFmtId="0" fontId="2" fillId="0" borderId="0" xfId="163" applyFont="1" applyFill="1" applyAlignment="1">
      <alignment horizontal="left" vertical="center"/>
      <protection/>
    </xf>
    <xf numFmtId="0" fontId="2" fillId="0" borderId="14" xfId="163" applyFont="1" applyFill="1" applyBorder="1" applyAlignment="1">
      <alignment horizontal="left" vertical="center"/>
      <protection/>
    </xf>
    <xf numFmtId="0" fontId="2" fillId="0" borderId="11" xfId="163" applyFont="1" applyFill="1" applyBorder="1" applyAlignment="1">
      <alignment horizontal="left" vertical="center"/>
      <protection/>
    </xf>
    <xf numFmtId="0" fontId="2" fillId="0" borderId="18" xfId="163" applyFont="1" applyFill="1" applyBorder="1" applyAlignment="1">
      <alignment horizontal="left" vertical="center"/>
      <protection/>
    </xf>
    <xf numFmtId="0" fontId="2" fillId="0" borderId="16" xfId="163" applyFont="1" applyFill="1" applyBorder="1" applyAlignment="1">
      <alignment horizontal="center" vertical="center"/>
      <protection/>
    </xf>
    <xf numFmtId="0" fontId="2" fillId="0" borderId="17" xfId="163" applyFont="1" applyFill="1" applyBorder="1" applyAlignment="1">
      <alignment horizontal="center" vertical="center"/>
      <protection/>
    </xf>
    <xf numFmtId="183" fontId="2" fillId="0" borderId="17" xfId="163" applyNumberFormat="1" applyFont="1" applyFill="1" applyBorder="1" applyAlignment="1">
      <alignment horizontal="center" vertical="center"/>
      <protection/>
    </xf>
    <xf numFmtId="0" fontId="2" fillId="0" borderId="17" xfId="163" applyFont="1" applyFill="1" applyBorder="1" applyAlignment="1">
      <alignment vertical="center"/>
      <protection/>
    </xf>
    <xf numFmtId="0" fontId="2" fillId="0" borderId="16" xfId="163" applyFont="1" applyFill="1" applyBorder="1" applyAlignment="1">
      <alignment horizontal="right" vertical="center"/>
      <protection/>
    </xf>
    <xf numFmtId="183" fontId="2" fillId="0" borderId="17" xfId="163" applyNumberFormat="1" applyFont="1" applyFill="1" applyBorder="1" applyAlignment="1">
      <alignment vertical="center"/>
      <protection/>
    </xf>
    <xf numFmtId="0" fontId="2" fillId="0" borderId="16" xfId="163" applyFont="1" applyFill="1" applyBorder="1" applyAlignment="1">
      <alignment vertical="center"/>
      <protection/>
    </xf>
    <xf numFmtId="0" fontId="12" fillId="0" borderId="19" xfId="163" applyFont="1" applyFill="1" applyBorder="1" applyAlignment="1">
      <alignment horizontal="center"/>
      <protection/>
    </xf>
    <xf numFmtId="0" fontId="2" fillId="0" borderId="17" xfId="163" applyFont="1" applyFill="1" applyBorder="1" applyAlignment="1">
      <alignment horizontal="center" vertical="distributed" wrapText="1" shrinkToFit="1"/>
      <protection/>
    </xf>
    <xf numFmtId="9" fontId="2" fillId="0" borderId="17" xfId="163" applyNumberFormat="1" applyFont="1" applyFill="1" applyBorder="1" applyAlignment="1">
      <alignment horizontal="center" vertical="center"/>
      <protection/>
    </xf>
    <xf numFmtId="0" fontId="2" fillId="0" borderId="0" xfId="163" applyFont="1" applyFill="1" applyAlignment="1">
      <alignment horizontal="center" vertical="center"/>
      <protection/>
    </xf>
    <xf numFmtId="9" fontId="2" fillId="0" borderId="0" xfId="163" applyNumberFormat="1" applyFont="1" applyFill="1" applyAlignment="1">
      <alignment horizontal="center" vertical="center"/>
      <protection/>
    </xf>
    <xf numFmtId="183" fontId="2" fillId="0" borderId="0" xfId="163" applyNumberFormat="1" applyFont="1" applyFill="1" applyAlignment="1">
      <alignment horizontal="center" vertical="center"/>
      <protection/>
    </xf>
    <xf numFmtId="0" fontId="2" fillId="0" borderId="0" xfId="163" applyFont="1" applyFill="1" applyAlignment="1">
      <alignment vertical="center"/>
      <protection/>
    </xf>
    <xf numFmtId="0" fontId="2" fillId="0" borderId="12" xfId="163" applyNumberFormat="1" applyFont="1" applyFill="1" applyBorder="1" applyAlignment="1">
      <alignment horizontal="left"/>
      <protection/>
    </xf>
    <xf numFmtId="0" fontId="3" fillId="0" borderId="0" xfId="163" applyFont="1" applyFill="1" applyAlignment="1">
      <alignment horizontal="center"/>
      <protection/>
    </xf>
    <xf numFmtId="0" fontId="12" fillId="0" borderId="0" xfId="163" applyFont="1" applyFill="1" applyBorder="1" applyAlignment="1">
      <alignment horizontal="center"/>
      <protection/>
    </xf>
    <xf numFmtId="0" fontId="2" fillId="0" borderId="0" xfId="163" applyFont="1" applyFill="1" applyBorder="1" applyAlignment="1">
      <alignment horizontal="left"/>
      <protection/>
    </xf>
    <xf numFmtId="183" fontId="2" fillId="0" borderId="0" xfId="163" applyNumberFormat="1" applyFont="1" applyFill="1" applyBorder="1">
      <alignment/>
      <protection/>
    </xf>
    <xf numFmtId="0" fontId="2" fillId="0" borderId="0" xfId="163" applyNumberFormat="1" applyFont="1" applyFill="1" applyBorder="1" applyAlignment="1">
      <alignment horizontal="center"/>
      <protection/>
    </xf>
    <xf numFmtId="183" fontId="2" fillId="0" borderId="0" xfId="163" applyNumberFormat="1" applyFont="1" applyFill="1" applyBorder="1" applyAlignment="1">
      <alignment horizontal="center" vertical="center" wrapText="1"/>
      <protection/>
    </xf>
    <xf numFmtId="0" fontId="2" fillId="0" borderId="0" xfId="163" applyFont="1" applyFill="1" applyBorder="1">
      <alignment/>
      <protection/>
    </xf>
    <xf numFmtId="184" fontId="2" fillId="0" borderId="0" xfId="163" applyNumberFormat="1" applyFont="1" applyFill="1" applyBorder="1" applyAlignment="1">
      <alignment horizontal="center"/>
      <protection/>
    </xf>
    <xf numFmtId="9" fontId="2" fillId="0" borderId="0" xfId="163" applyNumberFormat="1" applyFont="1" applyFill="1" applyBorder="1" applyAlignment="1">
      <alignment horizontal="center"/>
      <protection/>
    </xf>
    <xf numFmtId="0" fontId="2" fillId="0" borderId="0" xfId="163" applyFont="1" applyFill="1" applyBorder="1" applyAlignment="1">
      <alignment horizontal="right"/>
      <protection/>
    </xf>
    <xf numFmtId="9" fontId="2" fillId="0" borderId="17" xfId="163" applyNumberFormat="1" applyFont="1" applyFill="1" applyBorder="1" applyAlignment="1">
      <alignment horizontal="center"/>
      <protection/>
    </xf>
    <xf numFmtId="180" fontId="10" fillId="0" borderId="0" xfId="319" applyNumberFormat="1" applyFont="1" applyFill="1" applyBorder="1" applyAlignment="1">
      <alignment horizontal="center" vertical="center"/>
      <protection/>
    </xf>
    <xf numFmtId="186" fontId="10" fillId="0" borderId="0" xfId="319" applyNumberFormat="1" applyFont="1" applyFill="1" applyBorder="1" applyAlignment="1">
      <alignment horizontal="center" vertical="center"/>
      <protection/>
    </xf>
    <xf numFmtId="0" fontId="10" fillId="0" borderId="0" xfId="319" applyFont="1" applyFill="1" applyBorder="1" applyAlignment="1">
      <alignment horizontal="center" vertical="center" wrapText="1"/>
      <protection/>
    </xf>
    <xf numFmtId="0" fontId="10" fillId="0" borderId="0" xfId="319" applyFont="1" applyFill="1" applyBorder="1" applyAlignment="1">
      <alignment horizontal="center" vertical="center"/>
      <protection/>
    </xf>
    <xf numFmtId="0" fontId="2" fillId="0" borderId="17" xfId="163" applyNumberFormat="1" applyFont="1" applyFill="1" applyBorder="1">
      <alignment/>
      <protection/>
    </xf>
    <xf numFmtId="0" fontId="2" fillId="0" borderId="17" xfId="163" applyNumberFormat="1" applyFont="1" applyFill="1" applyBorder="1" applyAlignment="1">
      <alignment horizontal="center"/>
      <protection/>
    </xf>
    <xf numFmtId="0" fontId="2" fillId="0" borderId="17" xfId="163" applyNumberFormat="1" applyFont="1" applyFill="1" applyBorder="1" applyAlignment="1">
      <alignment horizontal="center" wrapText="1" shrinkToFit="1"/>
      <protection/>
    </xf>
    <xf numFmtId="0" fontId="14" fillId="0" borderId="0" xfId="163" applyFont="1" applyFill="1" applyAlignment="1">
      <alignment horizontal="center" vertical="center"/>
      <protection/>
    </xf>
    <xf numFmtId="0" fontId="2" fillId="0" borderId="17" xfId="163" applyNumberFormat="1" applyFont="1" applyFill="1" applyBorder="1" applyAlignment="1">
      <alignment horizontal="center" wrapText="1"/>
      <protection/>
    </xf>
    <xf numFmtId="178" fontId="2" fillId="0" borderId="17" xfId="163" applyNumberFormat="1" applyFont="1" applyFill="1" applyBorder="1" applyAlignment="1">
      <alignment horizontal="center" wrapText="1"/>
      <protection/>
    </xf>
    <xf numFmtId="178" fontId="2" fillId="0" borderId="17" xfId="163" applyNumberFormat="1" applyFont="1" applyFill="1" applyBorder="1" applyAlignment="1">
      <alignment horizontal="center"/>
      <protection/>
    </xf>
    <xf numFmtId="2" fontId="2" fillId="0" borderId="17" xfId="163" applyNumberFormat="1" applyFont="1" applyFill="1" applyBorder="1" applyAlignment="1">
      <alignment horizontal="center"/>
      <protection/>
    </xf>
    <xf numFmtId="185" fontId="2" fillId="0" borderId="17" xfId="163" applyNumberFormat="1" applyFont="1" applyFill="1" applyBorder="1" applyAlignment="1">
      <alignment horizontal="center"/>
      <protection/>
    </xf>
    <xf numFmtId="180" fontId="2" fillId="0" borderId="17" xfId="163" applyNumberFormat="1" applyFont="1" applyFill="1" applyBorder="1" applyAlignment="1">
      <alignment horizontal="center"/>
      <protection/>
    </xf>
    <xf numFmtId="186" fontId="2" fillId="0" borderId="17" xfId="163" applyNumberFormat="1" applyFont="1" applyFill="1" applyBorder="1" applyAlignment="1">
      <alignment horizontal="center"/>
      <protection/>
    </xf>
    <xf numFmtId="0" fontId="2" fillId="0" borderId="17" xfId="163" applyNumberFormat="1" applyFont="1" applyFill="1" applyBorder="1" applyAlignment="1">
      <alignment horizontal="center" vertical="center"/>
      <protection/>
    </xf>
    <xf numFmtId="180" fontId="2" fillId="0" borderId="17" xfId="163" applyNumberFormat="1" applyFont="1" applyFill="1" applyBorder="1" applyAlignment="1">
      <alignment horizontal="center" vertical="center"/>
      <protection/>
    </xf>
    <xf numFmtId="2" fontId="2" fillId="0" borderId="17" xfId="163" applyNumberFormat="1" applyFont="1" applyFill="1" applyBorder="1" applyAlignment="1">
      <alignment horizontal="center" vertical="center"/>
      <protection/>
    </xf>
    <xf numFmtId="186" fontId="2" fillId="0" borderId="17" xfId="163" applyNumberFormat="1" applyFont="1" applyFill="1" applyBorder="1" applyAlignment="1">
      <alignment horizontal="center" vertical="center"/>
      <protection/>
    </xf>
    <xf numFmtId="0" fontId="11" fillId="0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10" fontId="11" fillId="0" borderId="17" xfId="0" applyNumberFormat="1" applyFont="1" applyFill="1" applyBorder="1" applyAlignment="1">
      <alignment horizontal="center" vertical="center"/>
    </xf>
    <xf numFmtId="0" fontId="12" fillId="24" borderId="0" xfId="163" applyFont="1" applyFill="1" applyAlignment="1">
      <alignment horizontal="center"/>
      <protection/>
    </xf>
    <xf numFmtId="0" fontId="2" fillId="24" borderId="0" xfId="163" applyFont="1" applyFill="1" applyAlignment="1">
      <alignment horizontal="left"/>
      <protection/>
    </xf>
    <xf numFmtId="0" fontId="2" fillId="24" borderId="12" xfId="163" applyFont="1" applyFill="1" applyBorder="1" applyAlignment="1">
      <alignment horizontal="left"/>
      <protection/>
    </xf>
    <xf numFmtId="183" fontId="2" fillId="24" borderId="0" xfId="163" applyNumberFormat="1" applyFont="1" applyFill="1">
      <alignment/>
      <protection/>
    </xf>
    <xf numFmtId="0" fontId="2" fillId="24" borderId="12" xfId="163" applyNumberFormat="1" applyFont="1" applyFill="1" applyBorder="1" applyAlignment="1">
      <alignment horizontal="center"/>
      <protection/>
    </xf>
    <xf numFmtId="0" fontId="2" fillId="24" borderId="14" xfId="163" applyFont="1" applyFill="1" applyBorder="1" applyAlignment="1">
      <alignment horizontal="left"/>
      <protection/>
    </xf>
    <xf numFmtId="0" fontId="2" fillId="24" borderId="11" xfId="163" applyFont="1" applyFill="1" applyBorder="1" applyAlignment="1">
      <alignment horizontal="left"/>
      <protection/>
    </xf>
    <xf numFmtId="0" fontId="2" fillId="24" borderId="15" xfId="163" applyFont="1" applyFill="1" applyBorder="1" applyAlignment="1">
      <alignment horizontal="left"/>
      <protection/>
    </xf>
    <xf numFmtId="0" fontId="2" fillId="24" borderId="16" xfId="163" applyFont="1" applyFill="1" applyBorder="1" applyAlignment="1">
      <alignment horizontal="center"/>
      <protection/>
    </xf>
    <xf numFmtId="0" fontId="2" fillId="24" borderId="17" xfId="163" applyFont="1" applyFill="1" applyBorder="1" applyAlignment="1">
      <alignment horizontal="center"/>
      <protection/>
    </xf>
    <xf numFmtId="183" fontId="2" fillId="24" borderId="17" xfId="163" applyNumberFormat="1" applyFont="1" applyFill="1" applyBorder="1" applyAlignment="1">
      <alignment horizontal="center"/>
      <protection/>
    </xf>
    <xf numFmtId="183" fontId="2" fillId="24" borderId="17" xfId="163" applyNumberFormat="1" applyFont="1" applyFill="1" applyBorder="1" applyAlignment="1">
      <alignment horizontal="center" vertical="center" wrapText="1"/>
      <protection/>
    </xf>
    <xf numFmtId="0" fontId="2" fillId="24" borderId="17" xfId="163" applyFont="1" applyFill="1" applyBorder="1">
      <alignment/>
      <protection/>
    </xf>
    <xf numFmtId="0" fontId="2" fillId="24" borderId="17" xfId="163" applyFont="1" applyFill="1" applyBorder="1" applyAlignment="1">
      <alignment horizontal="center" wrapText="1" shrinkToFit="1"/>
      <protection/>
    </xf>
    <xf numFmtId="0" fontId="15" fillId="0" borderId="0" xfId="142" applyFont="1" applyFill="1" applyBorder="1" applyAlignment="1">
      <alignment horizontal="center" vertical="center"/>
      <protection/>
    </xf>
    <xf numFmtId="0" fontId="16" fillId="0" borderId="0" xfId="142" applyFont="1" applyFill="1" applyBorder="1" applyAlignment="1">
      <alignment horizontal="left" vertical="center"/>
      <protection/>
    </xf>
    <xf numFmtId="0" fontId="16" fillId="0" borderId="0" xfId="142" applyFont="1" applyFill="1" applyBorder="1" applyAlignment="1">
      <alignment horizontal="left"/>
      <protection/>
    </xf>
    <xf numFmtId="0" fontId="16" fillId="0" borderId="0" xfId="142" applyFont="1" applyFill="1" applyBorder="1" applyAlignment="1">
      <alignment/>
      <protection/>
    </xf>
    <xf numFmtId="0" fontId="16" fillId="0" borderId="12" xfId="142" applyFont="1" applyFill="1" applyBorder="1" applyAlignment="1">
      <alignment horizontal="right"/>
      <protection/>
    </xf>
    <xf numFmtId="0" fontId="16" fillId="0" borderId="13" xfId="142" applyFont="1" applyFill="1" applyBorder="1" applyAlignment="1">
      <alignment horizontal="left" vertical="center"/>
      <protection/>
    </xf>
    <xf numFmtId="0" fontId="16" fillId="0" borderId="20" xfId="142" applyFont="1" applyFill="1" applyBorder="1" applyAlignment="1">
      <alignment horizontal="left" vertical="center"/>
      <protection/>
    </xf>
    <xf numFmtId="0" fontId="16" fillId="0" borderId="13" xfId="142" applyFont="1" applyFill="1" applyBorder="1" applyAlignment="1">
      <alignment horizontal="center" vertical="center"/>
      <protection/>
    </xf>
    <xf numFmtId="2" fontId="2" fillId="0" borderId="13" xfId="165" applyNumberFormat="1" applyFont="1" applyFill="1" applyBorder="1" applyAlignment="1">
      <alignment horizontal="center" vertical="center"/>
      <protection/>
    </xf>
    <xf numFmtId="0" fontId="16" fillId="0" borderId="13" xfId="142" applyFont="1" applyFill="1" applyBorder="1" applyAlignment="1">
      <alignment vertical="center"/>
      <protection/>
    </xf>
    <xf numFmtId="185" fontId="16" fillId="0" borderId="13" xfId="142" applyNumberFormat="1" applyFont="1" applyFill="1" applyBorder="1" applyAlignment="1">
      <alignment horizontal="center" vertical="center"/>
      <protection/>
    </xf>
    <xf numFmtId="0" fontId="16" fillId="0" borderId="13" xfId="142" applyFont="1" applyFill="1" applyBorder="1" applyAlignment="1">
      <alignment horizontal="center" vertical="distributed" wrapText="1" shrinkToFit="1"/>
      <protection/>
    </xf>
    <xf numFmtId="2" fontId="16" fillId="0" borderId="13" xfId="142" applyNumberFormat="1" applyFont="1" applyFill="1" applyBorder="1" applyAlignment="1">
      <alignment horizontal="center" vertical="center"/>
      <protection/>
    </xf>
    <xf numFmtId="180" fontId="16" fillId="0" borderId="13" xfId="142" applyNumberFormat="1" applyFont="1" applyFill="1" applyBorder="1" applyAlignment="1">
      <alignment horizontal="center" vertical="center"/>
      <protection/>
    </xf>
    <xf numFmtId="0" fontId="16" fillId="0" borderId="13" xfId="142" applyFont="1" applyFill="1" applyBorder="1" applyAlignment="1">
      <alignment horizontal="right" vertical="center"/>
      <protection/>
    </xf>
    <xf numFmtId="0" fontId="16" fillId="0" borderId="13" xfId="142" applyNumberFormat="1" applyFont="1" applyFill="1" applyBorder="1" applyAlignment="1">
      <alignment horizontal="center" vertical="center"/>
      <protection/>
    </xf>
    <xf numFmtId="10" fontId="16" fillId="0" borderId="13" xfId="142" applyNumberFormat="1" applyFont="1" applyFill="1" applyBorder="1" applyAlignment="1">
      <alignment horizontal="center" vertical="center"/>
      <protection/>
    </xf>
    <xf numFmtId="184" fontId="16" fillId="0" borderId="13" xfId="0" applyNumberFormat="1" applyFont="1" applyFill="1" applyBorder="1" applyAlignment="1">
      <alignment horizontal="center"/>
    </xf>
    <xf numFmtId="0" fontId="0" fillId="0" borderId="13" xfId="0" applyFill="1" applyBorder="1" applyAlignment="1">
      <alignment vertical="center"/>
    </xf>
    <xf numFmtId="184" fontId="16" fillId="0" borderId="13" xfId="142" applyNumberFormat="1" applyFont="1" applyFill="1" applyBorder="1" applyAlignment="1">
      <alignment horizontal="center" vertical="center"/>
      <protection/>
    </xf>
    <xf numFmtId="186" fontId="16" fillId="0" borderId="13" xfId="142" applyNumberFormat="1" applyFont="1" applyFill="1" applyBorder="1" applyAlignment="1">
      <alignment horizontal="center" vertical="center"/>
      <protection/>
    </xf>
    <xf numFmtId="10" fontId="10" fillId="0" borderId="13" xfId="0" applyNumberFormat="1" applyFont="1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185" fontId="16" fillId="0" borderId="17" xfId="0" applyNumberFormat="1" applyFont="1" applyFill="1" applyBorder="1" applyAlignment="1">
      <alignment horizontal="center" vertical="center"/>
    </xf>
    <xf numFmtId="1" fontId="16" fillId="0" borderId="17" xfId="0" applyNumberFormat="1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vertical="center"/>
    </xf>
    <xf numFmtId="0" fontId="16" fillId="0" borderId="16" xfId="0" applyFont="1" applyFill="1" applyBorder="1" applyAlignment="1">
      <alignment vertical="center"/>
    </xf>
    <xf numFmtId="0" fontId="16" fillId="0" borderId="17" xfId="0" applyFont="1" applyFill="1" applyBorder="1" applyAlignment="1">
      <alignment horizontal="center"/>
    </xf>
    <xf numFmtId="1" fontId="16" fillId="0" borderId="17" xfId="0" applyNumberFormat="1" applyFont="1" applyFill="1" applyBorder="1" applyAlignment="1">
      <alignment horizontal="center"/>
    </xf>
    <xf numFmtId="0" fontId="16" fillId="0" borderId="13" xfId="0" applyFont="1" applyFill="1" applyBorder="1" applyAlignment="1">
      <alignment vertical="center"/>
    </xf>
    <xf numFmtId="0" fontId="16" fillId="0" borderId="13" xfId="0" applyFont="1" applyFill="1" applyBorder="1" applyAlignment="1">
      <alignment horizontal="center"/>
    </xf>
    <xf numFmtId="186" fontId="16" fillId="0" borderId="13" xfId="0" applyNumberFormat="1" applyFont="1" applyFill="1" applyBorder="1" applyAlignment="1">
      <alignment horizontal="center"/>
    </xf>
    <xf numFmtId="0" fontId="0" fillId="0" borderId="0" xfId="0" applyFill="1" applyAlignment="1">
      <alignment vertical="center"/>
    </xf>
    <xf numFmtId="0" fontId="16" fillId="0" borderId="12" xfId="142" applyFont="1" applyFill="1" applyBorder="1" applyAlignment="1">
      <alignment horizontal="center"/>
      <protection/>
    </xf>
    <xf numFmtId="0" fontId="16" fillId="0" borderId="17" xfId="350" applyFont="1" applyFill="1" applyBorder="1" applyAlignment="1">
      <alignment horizontal="center" vertical="center"/>
      <protection/>
    </xf>
    <xf numFmtId="0" fontId="16" fillId="0" borderId="17" xfId="142" applyFont="1" applyFill="1" applyBorder="1" applyAlignment="1">
      <alignment horizontal="center" vertical="center"/>
      <protection/>
    </xf>
    <xf numFmtId="180" fontId="16" fillId="0" borderId="17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186" fontId="16" fillId="0" borderId="17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left"/>
    </xf>
    <xf numFmtId="183" fontId="16" fillId="0" borderId="0" xfId="0" applyNumberFormat="1" applyFont="1" applyFill="1" applyBorder="1" applyAlignment="1">
      <alignment/>
    </xf>
    <xf numFmtId="0" fontId="16" fillId="0" borderId="12" xfId="0" applyFont="1" applyFill="1" applyBorder="1" applyAlignment="1">
      <alignment horizontal="right"/>
    </xf>
    <xf numFmtId="0" fontId="16" fillId="0" borderId="13" xfId="0" applyFont="1" applyFill="1" applyBorder="1" applyAlignment="1">
      <alignment horizontal="left"/>
    </xf>
    <xf numFmtId="0" fontId="16" fillId="0" borderId="20" xfId="0" applyFont="1" applyFill="1" applyBorder="1" applyAlignment="1">
      <alignment horizontal="left"/>
    </xf>
    <xf numFmtId="49" fontId="2" fillId="0" borderId="13" xfId="165" applyNumberFormat="1" applyFont="1" applyFill="1" applyBorder="1" applyAlignment="1">
      <alignment horizontal="center" vertical="center"/>
      <protection/>
    </xf>
    <xf numFmtId="0" fontId="2" fillId="0" borderId="13" xfId="165" applyFont="1" applyFill="1" applyBorder="1" applyAlignment="1">
      <alignment horizontal="center" vertical="center"/>
      <protection/>
    </xf>
    <xf numFmtId="0" fontId="16" fillId="0" borderId="13" xfId="0" applyFont="1" applyFill="1" applyBorder="1" applyAlignment="1">
      <alignment/>
    </xf>
    <xf numFmtId="183" fontId="16" fillId="0" borderId="13" xfId="0" applyNumberFormat="1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 wrapText="1" shrinkToFit="1"/>
    </xf>
    <xf numFmtId="0" fontId="16" fillId="0" borderId="13" xfId="0" applyFont="1" applyFill="1" applyBorder="1" applyAlignment="1">
      <alignment horizontal="right"/>
    </xf>
    <xf numFmtId="10" fontId="16" fillId="0" borderId="13" xfId="0" applyNumberFormat="1" applyFont="1" applyFill="1" applyBorder="1" applyAlignment="1">
      <alignment horizontal="center"/>
    </xf>
    <xf numFmtId="183" fontId="16" fillId="0" borderId="13" xfId="0" applyNumberFormat="1" applyFont="1" applyFill="1" applyBorder="1" applyAlignment="1">
      <alignment/>
    </xf>
    <xf numFmtId="0" fontId="17" fillId="0" borderId="0" xfId="0" applyFont="1" applyFill="1" applyBorder="1" applyAlignment="1">
      <alignment horizontal="left" vertical="center"/>
    </xf>
    <xf numFmtId="180" fontId="17" fillId="0" borderId="0" xfId="0" applyNumberFormat="1" applyFont="1" applyFill="1" applyBorder="1" applyAlignment="1">
      <alignment horizontal="left" vertical="center"/>
    </xf>
    <xf numFmtId="180" fontId="17" fillId="0" borderId="0" xfId="0" applyNumberFormat="1" applyFont="1" applyFill="1" applyBorder="1" applyAlignment="1">
      <alignment horizontal="right" vertical="center"/>
    </xf>
    <xf numFmtId="0" fontId="17" fillId="0" borderId="12" xfId="0" applyFont="1" applyFill="1" applyBorder="1" applyAlignment="1">
      <alignment horizontal="left" vertical="center"/>
    </xf>
    <xf numFmtId="180" fontId="17" fillId="0" borderId="12" xfId="0" applyNumberFormat="1" applyFont="1" applyFill="1" applyBorder="1" applyAlignment="1">
      <alignment horizontal="left" vertical="center"/>
    </xf>
    <xf numFmtId="0" fontId="17" fillId="0" borderId="13" xfId="0" applyFont="1" applyFill="1" applyBorder="1" applyAlignment="1">
      <alignment horizontal="center" vertical="center"/>
    </xf>
    <xf numFmtId="180" fontId="17" fillId="0" borderId="13" xfId="0" applyNumberFormat="1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/>
    </xf>
    <xf numFmtId="184" fontId="17" fillId="0" borderId="13" xfId="0" applyNumberFormat="1" applyFont="1" applyFill="1" applyBorder="1" applyAlignment="1">
      <alignment horizontal="center" vertical="center"/>
    </xf>
    <xf numFmtId="10" fontId="17" fillId="0" borderId="13" xfId="0" applyNumberFormat="1" applyFont="1" applyFill="1" applyBorder="1" applyAlignment="1">
      <alignment horizontal="center" vertical="center"/>
    </xf>
    <xf numFmtId="180" fontId="18" fillId="0" borderId="13" xfId="0" applyNumberFormat="1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 vertical="center"/>
    </xf>
    <xf numFmtId="180" fontId="17" fillId="0" borderId="0" xfId="0" applyNumberFormat="1" applyFont="1" applyFill="1" applyBorder="1" applyAlignment="1">
      <alignment horizontal="center" vertical="center"/>
    </xf>
    <xf numFmtId="180" fontId="18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180" fontId="11" fillId="0" borderId="0" xfId="0" applyNumberFormat="1" applyFont="1" applyFill="1" applyBorder="1" applyAlignment="1">
      <alignment horizontal="left" vertical="center"/>
    </xf>
    <xf numFmtId="180" fontId="11" fillId="0" borderId="0" xfId="0" applyNumberFormat="1" applyFont="1" applyFill="1" applyBorder="1" applyAlignment="1">
      <alignment horizontal="right" vertical="center"/>
    </xf>
    <xf numFmtId="180" fontId="11" fillId="0" borderId="13" xfId="0" applyNumberFormat="1" applyFont="1" applyFill="1" applyBorder="1" applyAlignment="1">
      <alignment horizontal="center" vertical="center"/>
    </xf>
    <xf numFmtId="180" fontId="18" fillId="2" borderId="13" xfId="0" applyNumberFormat="1" applyFont="1" applyFill="1" applyBorder="1" applyAlignment="1">
      <alignment horizontal="center" vertical="center"/>
    </xf>
    <xf numFmtId="184" fontId="11" fillId="0" borderId="13" xfId="0" applyNumberFormat="1" applyFont="1" applyFill="1" applyBorder="1" applyAlignment="1">
      <alignment horizontal="center" vertical="center"/>
    </xf>
    <xf numFmtId="0" fontId="11" fillId="25" borderId="13" xfId="0" applyFont="1" applyFill="1" applyBorder="1" applyAlignment="1">
      <alignment horizontal="center" vertical="center"/>
    </xf>
    <xf numFmtId="180" fontId="11" fillId="25" borderId="13" xfId="0" applyNumberFormat="1" applyFont="1" applyFill="1" applyBorder="1" applyAlignment="1">
      <alignment horizontal="center" vertical="center"/>
    </xf>
    <xf numFmtId="10" fontId="11" fillId="0" borderId="13" xfId="0" applyNumberFormat="1" applyFont="1" applyFill="1" applyBorder="1" applyAlignment="1">
      <alignment horizontal="center" vertical="center"/>
    </xf>
    <xf numFmtId="0" fontId="2" fillId="0" borderId="0" xfId="163" applyFont="1" applyAlignment="1">
      <alignment horizontal="left"/>
      <protection/>
    </xf>
    <xf numFmtId="0" fontId="2" fillId="0" borderId="12" xfId="163" applyFont="1" applyBorder="1" applyAlignment="1">
      <alignment horizontal="left"/>
      <protection/>
    </xf>
    <xf numFmtId="183" fontId="2" fillId="0" borderId="0" xfId="163" applyNumberFormat="1" applyFont="1">
      <alignment/>
      <protection/>
    </xf>
    <xf numFmtId="0" fontId="2" fillId="0" borderId="12" xfId="163" applyNumberFormat="1" applyFont="1" applyBorder="1" applyAlignment="1">
      <alignment horizontal="center"/>
      <protection/>
    </xf>
    <xf numFmtId="0" fontId="2" fillId="0" borderId="14" xfId="163" applyFont="1" applyBorder="1" applyAlignment="1">
      <alignment horizontal="left"/>
      <protection/>
    </xf>
    <xf numFmtId="0" fontId="2" fillId="0" borderId="11" xfId="163" applyFont="1" applyBorder="1" applyAlignment="1">
      <alignment horizontal="left"/>
      <protection/>
    </xf>
    <xf numFmtId="0" fontId="2" fillId="0" borderId="15" xfId="163" applyFont="1" applyBorder="1" applyAlignment="1">
      <alignment horizontal="left"/>
      <protection/>
    </xf>
    <xf numFmtId="0" fontId="2" fillId="0" borderId="16" xfId="163" applyFont="1" applyBorder="1" applyAlignment="1">
      <alignment horizontal="center"/>
      <protection/>
    </xf>
    <xf numFmtId="0" fontId="2" fillId="0" borderId="17" xfId="163" applyFont="1" applyBorder="1" applyAlignment="1">
      <alignment horizontal="center"/>
      <protection/>
    </xf>
    <xf numFmtId="183" fontId="2" fillId="0" borderId="17" xfId="163" applyNumberFormat="1" applyFont="1" applyBorder="1" applyAlignment="1">
      <alignment horizontal="center"/>
      <protection/>
    </xf>
    <xf numFmtId="183" fontId="8" fillId="0" borderId="17" xfId="163" applyNumberFormat="1" applyFont="1" applyBorder="1" applyAlignment="1">
      <alignment horizontal="center" vertical="center" wrapText="1"/>
      <protection/>
    </xf>
    <xf numFmtId="0" fontId="2" fillId="0" borderId="17" xfId="163" applyFont="1" applyBorder="1">
      <alignment/>
      <protection/>
    </xf>
    <xf numFmtId="0" fontId="2" fillId="0" borderId="17" xfId="163" applyFont="1" applyBorder="1" applyAlignment="1">
      <alignment horizontal="center" wrapText="1" shrinkToFit="1"/>
      <protection/>
    </xf>
    <xf numFmtId="183" fontId="2" fillId="23" borderId="17" xfId="163" applyNumberFormat="1" applyFont="1" applyFill="1" applyBorder="1" applyAlignment="1">
      <alignment horizontal="center"/>
      <protection/>
    </xf>
    <xf numFmtId="184" fontId="2" fillId="0" borderId="17" xfId="163" applyNumberFormat="1" applyFont="1" applyBorder="1" applyAlignment="1">
      <alignment horizontal="center"/>
      <protection/>
    </xf>
    <xf numFmtId="184" fontId="8" fillId="23" borderId="17" xfId="163" applyNumberFormat="1" applyFont="1" applyFill="1" applyBorder="1" applyAlignment="1">
      <alignment horizontal="center" vertical="center"/>
      <protection/>
    </xf>
    <xf numFmtId="10" fontId="2" fillId="0" borderId="17" xfId="163" applyNumberFormat="1" applyFont="1" applyBorder="1" applyAlignment="1">
      <alignment horizontal="center"/>
      <protection/>
    </xf>
    <xf numFmtId="0" fontId="2" fillId="0" borderId="16" xfId="163" applyFont="1" applyBorder="1">
      <alignment/>
      <protection/>
    </xf>
    <xf numFmtId="183" fontId="2" fillId="0" borderId="17" xfId="163" applyNumberFormat="1" applyFont="1" applyBorder="1">
      <alignment/>
      <protection/>
    </xf>
    <xf numFmtId="0" fontId="16" fillId="0" borderId="12" xfId="0" applyFont="1" applyFill="1" applyBorder="1" applyAlignment="1">
      <alignment horizontal="left"/>
    </xf>
    <xf numFmtId="0" fontId="16" fillId="0" borderId="14" xfId="0" applyFont="1" applyFill="1" applyBorder="1" applyAlignment="1">
      <alignment horizontal="left"/>
    </xf>
    <xf numFmtId="0" fontId="16" fillId="0" borderId="11" xfId="0" applyFont="1" applyFill="1" applyBorder="1" applyAlignment="1">
      <alignment horizontal="left"/>
    </xf>
    <xf numFmtId="0" fontId="16" fillId="0" borderId="15" xfId="0" applyFont="1" applyFill="1" applyBorder="1" applyAlignment="1">
      <alignment horizontal="left"/>
    </xf>
    <xf numFmtId="49" fontId="2" fillId="0" borderId="16" xfId="165" applyNumberFormat="1" applyFont="1" applyFill="1" applyBorder="1" applyAlignment="1">
      <alignment horizontal="center" vertical="center"/>
      <protection/>
    </xf>
    <xf numFmtId="0" fontId="2" fillId="0" borderId="17" xfId="165" applyFont="1" applyFill="1" applyBorder="1" applyAlignment="1">
      <alignment horizontal="center" vertical="center"/>
      <protection/>
    </xf>
    <xf numFmtId="2" fontId="2" fillId="0" borderId="17" xfId="165" applyNumberFormat="1" applyFont="1" applyFill="1" applyBorder="1" applyAlignment="1">
      <alignment horizontal="center" vertical="center"/>
      <protection/>
    </xf>
    <xf numFmtId="0" fontId="16" fillId="0" borderId="16" xfId="0" applyFont="1" applyFill="1" applyBorder="1" applyAlignment="1">
      <alignment horizontal="center"/>
    </xf>
    <xf numFmtId="183" fontId="16" fillId="0" borderId="17" xfId="0" applyNumberFormat="1" applyFont="1" applyFill="1" applyBorder="1" applyAlignment="1">
      <alignment horizontal="center"/>
    </xf>
    <xf numFmtId="0" fontId="2" fillId="25" borderId="17" xfId="165" applyFont="1" applyFill="1" applyBorder="1" applyAlignment="1">
      <alignment horizontal="center" vertical="center"/>
      <protection/>
    </xf>
    <xf numFmtId="0" fontId="2" fillId="0" borderId="17" xfId="165" applyFont="1" applyFill="1" applyBorder="1" applyAlignment="1">
      <alignment horizontal="center"/>
      <protection/>
    </xf>
    <xf numFmtId="0" fontId="16" fillId="0" borderId="17" xfId="0" applyFont="1" applyFill="1" applyBorder="1" applyAlignment="1">
      <alignment/>
    </xf>
    <xf numFmtId="183" fontId="16" fillId="0" borderId="17" xfId="0" applyNumberFormat="1" applyFont="1" applyFill="1" applyBorder="1" applyAlignment="1">
      <alignment/>
    </xf>
    <xf numFmtId="49" fontId="2" fillId="0" borderId="17" xfId="165" applyNumberFormat="1" applyFont="1" applyFill="1" applyBorder="1" applyAlignment="1">
      <alignment horizontal="center" vertical="center"/>
      <protection/>
    </xf>
    <xf numFmtId="0" fontId="2" fillId="0" borderId="17" xfId="0" applyFont="1" applyFill="1" applyBorder="1" applyAlignment="1">
      <alignment vertical="center"/>
    </xf>
    <xf numFmtId="10" fontId="16" fillId="0" borderId="17" xfId="0" applyNumberFormat="1" applyFont="1" applyFill="1" applyBorder="1" applyAlignment="1">
      <alignment horizontal="center"/>
    </xf>
    <xf numFmtId="0" fontId="16" fillId="0" borderId="16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183" fontId="16" fillId="0" borderId="16" xfId="0" applyNumberFormat="1" applyFont="1" applyFill="1" applyBorder="1" applyAlignment="1">
      <alignment horizontal="center"/>
    </xf>
    <xf numFmtId="183" fontId="16" fillId="0" borderId="15" xfId="0" applyNumberFormat="1" applyFont="1" applyFill="1" applyBorder="1" applyAlignment="1">
      <alignment/>
    </xf>
    <xf numFmtId="0" fontId="14" fillId="0" borderId="19" xfId="0" applyFont="1" applyFill="1" applyBorder="1" applyAlignment="1">
      <alignment horizontal="center"/>
    </xf>
    <xf numFmtId="0" fontId="2" fillId="12" borderId="0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/>
    </xf>
    <xf numFmtId="186" fontId="2" fillId="0" borderId="17" xfId="0" applyNumberFormat="1" applyFont="1" applyFill="1" applyBorder="1" applyAlignment="1">
      <alignment horizontal="center"/>
    </xf>
    <xf numFmtId="185" fontId="2" fillId="0" borderId="12" xfId="0" applyNumberFormat="1" applyFont="1" applyFill="1" applyBorder="1" applyAlignment="1">
      <alignment horizontal="center"/>
    </xf>
    <xf numFmtId="2" fontId="2" fillId="0" borderId="17" xfId="0" applyNumberFormat="1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 wrapText="1" shrinkToFit="1"/>
    </xf>
    <xf numFmtId="0" fontId="2" fillId="24" borderId="17" xfId="0" applyFont="1" applyFill="1" applyBorder="1" applyAlignment="1">
      <alignment horizontal="center"/>
    </xf>
    <xf numFmtId="184" fontId="2" fillId="0" borderId="17" xfId="0" applyNumberFormat="1" applyFont="1" applyFill="1" applyBorder="1" applyAlignment="1">
      <alignment horizontal="center"/>
    </xf>
    <xf numFmtId="10" fontId="2" fillId="0" borderId="17" xfId="0" applyNumberFormat="1" applyFont="1" applyFill="1" applyBorder="1" applyAlignment="1">
      <alignment horizontal="center"/>
    </xf>
    <xf numFmtId="2" fontId="1" fillId="0" borderId="17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185" fontId="2" fillId="24" borderId="12" xfId="0" applyNumberFormat="1" applyFont="1" applyFill="1" applyBorder="1" applyAlignment="1">
      <alignment horizontal="center"/>
    </xf>
    <xf numFmtId="0" fontId="2" fillId="0" borderId="18" xfId="0" applyFont="1" applyFill="1" applyBorder="1" applyAlignment="1">
      <alignment horizontal="left"/>
    </xf>
    <xf numFmtId="185" fontId="2" fillId="0" borderId="17" xfId="0" applyNumberFormat="1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 vertical="center"/>
    </xf>
    <xf numFmtId="186" fontId="1" fillId="0" borderId="17" xfId="0" applyNumberFormat="1" applyFont="1" applyFill="1" applyBorder="1" applyAlignment="1">
      <alignment horizontal="center"/>
    </xf>
    <xf numFmtId="185" fontId="2" fillId="24" borderId="17" xfId="0" applyNumberFormat="1" applyFont="1" applyFill="1" applyBorder="1" applyAlignment="1">
      <alignment horizontal="center"/>
    </xf>
    <xf numFmtId="0" fontId="2" fillId="0" borderId="12" xfId="163" applyNumberFormat="1" applyFont="1" applyFill="1" applyBorder="1" applyAlignment="1">
      <alignment horizontal="right"/>
      <protection/>
    </xf>
    <xf numFmtId="0" fontId="19" fillId="0" borderId="0" xfId="163" applyFont="1" applyFill="1" applyAlignment="1">
      <alignment horizontal="center" vertical="center"/>
      <protection/>
    </xf>
    <xf numFmtId="0" fontId="0" fillId="0" borderId="14" xfId="163" applyFont="1" applyFill="1" applyBorder="1" applyAlignment="1">
      <alignment horizontal="center" vertical="center"/>
      <protection/>
    </xf>
    <xf numFmtId="0" fontId="0" fillId="0" borderId="15" xfId="163" applyFont="1" applyFill="1" applyBorder="1" applyAlignment="1">
      <alignment horizontal="center" vertical="center"/>
      <protection/>
    </xf>
    <xf numFmtId="0" fontId="0" fillId="0" borderId="17" xfId="163" applyFont="1" applyFill="1" applyBorder="1" applyAlignment="1">
      <alignment horizontal="center" vertical="center"/>
      <protection/>
    </xf>
    <xf numFmtId="0" fontId="0" fillId="0" borderId="17" xfId="163" applyFont="1" applyFill="1" applyBorder="1" applyAlignment="1">
      <alignment horizontal="center" vertical="center" wrapText="1"/>
      <protection/>
    </xf>
    <xf numFmtId="0" fontId="0" fillId="0" borderId="20" xfId="163" applyFont="1" applyFill="1" applyBorder="1" applyAlignment="1">
      <alignment horizontal="center" vertical="center" wrapText="1"/>
      <protection/>
    </xf>
    <xf numFmtId="2" fontId="0" fillId="0" borderId="17" xfId="163" applyNumberFormat="1" applyFont="1" applyFill="1" applyBorder="1" applyAlignment="1">
      <alignment horizontal="center" vertical="center"/>
      <protection/>
    </xf>
    <xf numFmtId="0" fontId="0" fillId="0" borderId="21" xfId="163" applyFont="1" applyFill="1" applyBorder="1" applyAlignment="1">
      <alignment horizontal="center" vertical="center" wrapText="1"/>
      <protection/>
    </xf>
    <xf numFmtId="0" fontId="0" fillId="0" borderId="16" xfId="163" applyFont="1" applyFill="1" applyBorder="1" applyAlignment="1">
      <alignment horizontal="center" vertical="center" wrapText="1"/>
      <protection/>
    </xf>
    <xf numFmtId="0" fontId="0" fillId="0" borderId="22" xfId="163" applyFont="1" applyFill="1" applyBorder="1" applyAlignment="1">
      <alignment horizontal="center" vertical="center" wrapText="1"/>
      <protection/>
    </xf>
    <xf numFmtId="0" fontId="0" fillId="0" borderId="15" xfId="163" applyFont="1" applyFill="1" applyBorder="1" applyAlignment="1">
      <alignment horizontal="center" vertical="center" wrapText="1"/>
      <protection/>
    </xf>
    <xf numFmtId="2" fontId="0" fillId="0" borderId="15" xfId="163" applyNumberFormat="1" applyFont="1" applyFill="1" applyBorder="1" applyAlignment="1">
      <alignment horizontal="center" vertical="center" wrapText="1"/>
      <protection/>
    </xf>
    <xf numFmtId="180" fontId="0" fillId="0" borderId="0" xfId="0" applyNumberFormat="1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2" fillId="0" borderId="17" xfId="346" applyFont="1" applyFill="1" applyBorder="1" applyAlignment="1">
      <alignment horizontal="justify"/>
      <protection/>
    </xf>
    <xf numFmtId="0" fontId="2" fillId="0" borderId="17" xfId="346" applyFont="1" applyFill="1" applyBorder="1" applyAlignment="1">
      <alignment horizontal="center"/>
      <protection/>
    </xf>
    <xf numFmtId="180" fontId="2" fillId="0" borderId="17" xfId="346" applyNumberFormat="1" applyFont="1" applyFill="1" applyBorder="1" applyAlignment="1">
      <alignment horizontal="center"/>
      <protection/>
    </xf>
    <xf numFmtId="180" fontId="2" fillId="0" borderId="17" xfId="346" applyNumberFormat="1" applyFont="1" applyFill="1" applyBorder="1" applyAlignment="1">
      <alignment horizontal="center" wrapText="1" shrinkToFit="1"/>
      <protection/>
    </xf>
    <xf numFmtId="180" fontId="2" fillId="0" borderId="17" xfId="351" applyNumberFormat="1" applyFont="1" applyFill="1" applyBorder="1" applyAlignment="1">
      <alignment horizontal="center"/>
      <protection/>
    </xf>
    <xf numFmtId="0" fontId="2" fillId="0" borderId="17" xfId="346" applyFont="1" applyFill="1" applyBorder="1">
      <alignment/>
      <protection/>
    </xf>
    <xf numFmtId="180" fontId="0" fillId="0" borderId="17" xfId="163" applyNumberFormat="1" applyFont="1" applyFill="1" applyBorder="1" applyAlignment="1">
      <alignment horizontal="center" vertical="center"/>
      <protection/>
    </xf>
    <xf numFmtId="183" fontId="0" fillId="0" borderId="17" xfId="163" applyNumberFormat="1" applyFont="1" applyFill="1" applyBorder="1" applyAlignment="1">
      <alignment horizontal="center" vertical="center"/>
      <protection/>
    </xf>
    <xf numFmtId="2" fontId="0" fillId="0" borderId="17" xfId="163" applyNumberFormat="1" applyFont="1" applyFill="1" applyBorder="1" applyAlignment="1">
      <alignment horizontal="center" vertical="center" wrapText="1"/>
      <protection/>
    </xf>
    <xf numFmtId="0" fontId="0" fillId="0" borderId="17" xfId="163" applyFont="1" applyFill="1" applyBorder="1" applyAlignment="1">
      <alignment vertical="center" wrapText="1"/>
      <protection/>
    </xf>
    <xf numFmtId="0" fontId="0" fillId="0" borderId="17" xfId="163" applyFont="1" applyFill="1" applyBorder="1" applyAlignment="1">
      <alignment horizontal="center"/>
      <protection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2" fillId="0" borderId="0" xfId="163" applyFont="1" applyAlignment="1">
      <alignment horizontal="center" vertical="center"/>
      <protection/>
    </xf>
    <xf numFmtId="0" fontId="10" fillId="0" borderId="12" xfId="163" applyFont="1" applyBorder="1" applyAlignment="1">
      <alignment horizontal="right"/>
      <protection/>
    </xf>
    <xf numFmtId="180" fontId="20" fillId="0" borderId="20" xfId="163" applyNumberFormat="1" applyFont="1" applyBorder="1" applyAlignment="1">
      <alignment horizontal="center" vertical="center"/>
      <protection/>
    </xf>
    <xf numFmtId="180" fontId="20" fillId="0" borderId="23" xfId="163" applyNumberFormat="1" applyFont="1" applyBorder="1" applyAlignment="1">
      <alignment horizontal="center" vertical="center"/>
      <protection/>
    </xf>
    <xf numFmtId="180" fontId="20" fillId="0" borderId="24" xfId="163" applyNumberFormat="1" applyFont="1" applyBorder="1" applyAlignment="1">
      <alignment horizontal="center" vertical="center"/>
      <protection/>
    </xf>
    <xf numFmtId="180" fontId="20" fillId="0" borderId="14" xfId="163" applyNumberFormat="1" applyFont="1" applyBorder="1" applyAlignment="1">
      <alignment horizontal="center" vertical="center"/>
      <protection/>
    </xf>
    <xf numFmtId="180" fontId="20" fillId="0" borderId="15" xfId="163" applyNumberFormat="1" applyFont="1" applyBorder="1" applyAlignment="1">
      <alignment horizontal="center" vertical="center"/>
      <protection/>
    </xf>
    <xf numFmtId="180" fontId="20" fillId="0" borderId="16" xfId="163" applyNumberFormat="1" applyFont="1" applyBorder="1" applyAlignment="1">
      <alignment horizontal="center" vertical="center"/>
      <protection/>
    </xf>
    <xf numFmtId="180" fontId="20" fillId="0" borderId="25" xfId="163" applyNumberFormat="1" applyFont="1" applyBorder="1" applyAlignment="1">
      <alignment horizontal="center" vertical="center"/>
      <protection/>
    </xf>
    <xf numFmtId="180" fontId="20" fillId="0" borderId="17" xfId="163" applyNumberFormat="1" applyFont="1" applyBorder="1" applyAlignment="1">
      <alignment horizontal="center" vertical="center"/>
      <protection/>
    </xf>
    <xf numFmtId="0" fontId="10" fillId="0" borderId="16" xfId="163" applyFont="1" applyBorder="1" applyAlignment="1">
      <alignment horizontal="center"/>
      <protection/>
    </xf>
    <xf numFmtId="0" fontId="10" fillId="0" borderId="14" xfId="163" applyFont="1" applyBorder="1" applyAlignment="1">
      <alignment horizontal="left"/>
      <protection/>
    </xf>
    <xf numFmtId="0" fontId="10" fillId="0" borderId="18" xfId="163" applyFont="1" applyBorder="1" applyAlignment="1">
      <alignment horizontal="left"/>
      <protection/>
    </xf>
    <xf numFmtId="183" fontId="10" fillId="0" borderId="17" xfId="163" applyNumberFormat="1" applyFont="1" applyBorder="1" applyAlignment="1">
      <alignment horizontal="center"/>
      <protection/>
    </xf>
    <xf numFmtId="0" fontId="10" fillId="0" borderId="16" xfId="163" applyFont="1" applyFill="1" applyBorder="1" applyAlignment="1">
      <alignment horizontal="center"/>
      <protection/>
    </xf>
    <xf numFmtId="0" fontId="10" fillId="0" borderId="14" xfId="163" applyFont="1" applyFill="1" applyBorder="1" applyAlignment="1">
      <alignment horizontal="left"/>
      <protection/>
    </xf>
    <xf numFmtId="0" fontId="10" fillId="0" borderId="18" xfId="163" applyFont="1" applyFill="1" applyBorder="1" applyAlignment="1">
      <alignment horizontal="left"/>
      <protection/>
    </xf>
    <xf numFmtId="0" fontId="10" fillId="0" borderId="15" xfId="163" applyFont="1" applyBorder="1" applyAlignment="1">
      <alignment horizontal="left"/>
      <protection/>
    </xf>
    <xf numFmtId="0" fontId="2" fillId="0" borderId="18" xfId="163" applyFont="1" applyBorder="1" applyAlignment="1">
      <alignment horizontal="left"/>
      <protection/>
    </xf>
    <xf numFmtId="0" fontId="2" fillId="0" borderId="0" xfId="163" applyFont="1">
      <alignment/>
      <protection/>
    </xf>
    <xf numFmtId="0" fontId="10" fillId="0" borderId="0" xfId="0" applyFont="1" applyAlignment="1">
      <alignment horizontal="center" vertical="center"/>
    </xf>
    <xf numFmtId="0" fontId="12" fillId="0" borderId="0" xfId="112" applyFont="1" applyBorder="1" applyAlignment="1">
      <alignment horizontal="center" vertical="center"/>
      <protection/>
    </xf>
    <xf numFmtId="0" fontId="12" fillId="0" borderId="12" xfId="112" applyFont="1" applyBorder="1" applyAlignment="1">
      <alignment horizontal="center" vertical="center"/>
      <protection/>
    </xf>
    <xf numFmtId="0" fontId="20" fillId="0" borderId="20" xfId="112" applyFont="1" applyBorder="1" applyAlignment="1">
      <alignment horizontal="center" vertical="center"/>
      <protection/>
    </xf>
    <xf numFmtId="0" fontId="20" fillId="0" borderId="14" xfId="112" applyFont="1" applyBorder="1" applyAlignment="1">
      <alignment horizontal="center" vertical="center"/>
      <protection/>
    </xf>
    <xf numFmtId="0" fontId="20" fillId="0" borderId="11" xfId="112" applyFont="1" applyBorder="1" applyAlignment="1">
      <alignment horizontal="center" vertical="center"/>
      <protection/>
    </xf>
    <xf numFmtId="0" fontId="20" fillId="0" borderId="15" xfId="112" applyFont="1" applyBorder="1" applyAlignment="1">
      <alignment horizontal="center" vertical="center"/>
      <protection/>
    </xf>
    <xf numFmtId="0" fontId="20" fillId="0" borderId="26" xfId="112" applyFont="1" applyBorder="1" applyAlignment="1">
      <alignment horizontal="center" vertical="center"/>
      <protection/>
    </xf>
    <xf numFmtId="0" fontId="20" fillId="0" borderId="17" xfId="112" applyFont="1" applyBorder="1" applyAlignment="1">
      <alignment horizontal="center" vertical="center"/>
      <protection/>
    </xf>
    <xf numFmtId="0" fontId="10" fillId="0" borderId="16" xfId="112" applyFont="1" applyBorder="1" applyAlignment="1">
      <alignment horizontal="center"/>
      <protection/>
    </xf>
    <xf numFmtId="0" fontId="10" fillId="0" borderId="17" xfId="112" applyFont="1" applyBorder="1" applyAlignment="1">
      <alignment horizontal="center"/>
      <protection/>
    </xf>
    <xf numFmtId="187" fontId="10" fillId="0" borderId="17" xfId="112" applyNumberFormat="1" applyFont="1" applyBorder="1" applyAlignment="1">
      <alignment horizontal="center"/>
      <protection/>
    </xf>
    <xf numFmtId="180" fontId="10" fillId="0" borderId="17" xfId="112" applyNumberFormat="1" applyFont="1" applyBorder="1" applyAlignment="1">
      <alignment horizontal="center"/>
      <protection/>
    </xf>
    <xf numFmtId="182" fontId="10" fillId="0" borderId="17" xfId="112" applyNumberFormat="1" applyFont="1" applyBorder="1" applyAlignment="1">
      <alignment horizontal="center"/>
      <protection/>
    </xf>
    <xf numFmtId="0" fontId="10" fillId="0" borderId="17" xfId="163" applyFont="1" applyBorder="1" applyAlignment="1">
      <alignment horizontal="center"/>
      <protection/>
    </xf>
    <xf numFmtId="187" fontId="10" fillId="0" borderId="17" xfId="163" applyNumberFormat="1" applyFont="1" applyBorder="1" applyAlignment="1">
      <alignment horizontal="center"/>
      <protection/>
    </xf>
    <xf numFmtId="180" fontId="10" fillId="0" borderId="17" xfId="163" applyNumberFormat="1" applyFont="1" applyBorder="1" applyAlignment="1">
      <alignment horizontal="center"/>
      <protection/>
    </xf>
    <xf numFmtId="182" fontId="10" fillId="0" borderId="17" xfId="163" applyNumberFormat="1" applyFont="1" applyBorder="1" applyAlignment="1">
      <alignment horizontal="center"/>
      <protection/>
    </xf>
    <xf numFmtId="179" fontId="10" fillId="0" borderId="17" xfId="163" applyNumberFormat="1" applyFont="1" applyBorder="1" applyAlignment="1">
      <alignment horizontal="center"/>
      <protection/>
    </xf>
    <xf numFmtId="0" fontId="20" fillId="0" borderId="16" xfId="163" applyFont="1" applyBorder="1" applyAlignment="1">
      <alignment horizontal="center" vertical="center"/>
      <protection/>
    </xf>
    <xf numFmtId="0" fontId="20" fillId="0" borderId="17" xfId="163" applyFont="1" applyBorder="1" applyAlignment="1">
      <alignment horizontal="center" vertical="center"/>
      <protection/>
    </xf>
    <xf numFmtId="0" fontId="20" fillId="0" borderId="12" xfId="112" applyFont="1" applyBorder="1" applyAlignment="1">
      <alignment horizontal="center" vertical="center"/>
      <protection/>
    </xf>
    <xf numFmtId="0" fontId="10" fillId="0" borderId="16" xfId="163" applyFont="1" applyBorder="1" applyAlignment="1">
      <alignment horizontal="center" vertical="center"/>
      <protection/>
    </xf>
    <xf numFmtId="188" fontId="10" fillId="0" borderId="17" xfId="163" applyNumberFormat="1" applyFont="1" applyBorder="1" applyAlignment="1">
      <alignment horizontal="center"/>
      <protection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12" fillId="0" borderId="0" xfId="163" applyFont="1" applyFill="1" applyBorder="1" applyAlignment="1">
      <alignment horizontal="center" vertical="center"/>
      <protection/>
    </xf>
    <xf numFmtId="0" fontId="20" fillId="0" borderId="20" xfId="163" applyFont="1" applyFill="1" applyBorder="1" applyAlignment="1">
      <alignment horizontal="center" vertical="center" wrapText="1" shrinkToFit="1"/>
      <protection/>
    </xf>
    <xf numFmtId="0" fontId="20" fillId="0" borderId="20" xfId="163" applyFont="1" applyFill="1" applyBorder="1" applyAlignment="1">
      <alignment horizontal="center" vertical="distributed" wrapText="1" shrinkToFit="1"/>
      <protection/>
    </xf>
    <xf numFmtId="0" fontId="20" fillId="0" borderId="26" xfId="163" applyFont="1" applyFill="1" applyBorder="1" applyAlignment="1">
      <alignment horizontal="center" vertical="center" wrapText="1" shrinkToFit="1"/>
      <protection/>
    </xf>
    <xf numFmtId="0" fontId="20" fillId="0" borderId="16" xfId="163" applyFont="1" applyFill="1" applyBorder="1" applyAlignment="1">
      <alignment horizontal="center" vertical="distributed" wrapText="1" shrinkToFit="1"/>
      <protection/>
    </xf>
    <xf numFmtId="0" fontId="20" fillId="0" borderId="16" xfId="163" applyFont="1" applyFill="1" applyBorder="1" applyAlignment="1">
      <alignment horizontal="center" vertical="center" wrapText="1" shrinkToFit="1"/>
      <protection/>
    </xf>
    <xf numFmtId="0" fontId="10" fillId="0" borderId="16" xfId="163" applyFont="1" applyFill="1" applyBorder="1" applyAlignment="1">
      <alignment horizontal="center" wrapText="1" shrinkToFit="1"/>
      <protection/>
    </xf>
    <xf numFmtId="0" fontId="10" fillId="0" borderId="17" xfId="163" applyFont="1" applyFill="1" applyBorder="1" applyAlignment="1">
      <alignment horizontal="center" wrapText="1" shrinkToFit="1"/>
      <protection/>
    </xf>
    <xf numFmtId="0" fontId="10" fillId="0" borderId="13" xfId="0" applyFont="1" applyBorder="1" applyAlignment="1">
      <alignment horizontal="center" wrapText="1" shrinkToFit="1"/>
    </xf>
    <xf numFmtId="180" fontId="10" fillId="0" borderId="17" xfId="163" applyNumberFormat="1" applyFont="1" applyFill="1" applyBorder="1" applyAlignment="1">
      <alignment horizontal="center" wrapText="1" shrinkToFit="1"/>
      <protection/>
    </xf>
    <xf numFmtId="0" fontId="10" fillId="0" borderId="13" xfId="0" applyFont="1" applyFill="1" applyBorder="1" applyAlignment="1">
      <alignment horizontal="center"/>
    </xf>
    <xf numFmtId="0" fontId="21" fillId="0" borderId="27" xfId="163" applyFont="1" applyFill="1" applyBorder="1" applyAlignment="1">
      <alignment horizontal="center"/>
      <protection/>
    </xf>
    <xf numFmtId="0" fontId="10" fillId="0" borderId="17" xfId="163" applyFont="1" applyFill="1" applyBorder="1" applyAlignment="1">
      <alignment horizontal="center"/>
      <protection/>
    </xf>
    <xf numFmtId="186" fontId="21" fillId="0" borderId="13" xfId="0" applyNumberFormat="1" applyFont="1" applyFill="1" applyBorder="1" applyAlignment="1">
      <alignment horizontal="center"/>
    </xf>
    <xf numFmtId="180" fontId="10" fillId="0" borderId="17" xfId="0" applyNumberFormat="1" applyFont="1" applyFill="1" applyBorder="1" applyAlignment="1">
      <alignment horizontal="center" wrapText="1" shrinkToFit="1"/>
    </xf>
    <xf numFmtId="0" fontId="21" fillId="0" borderId="13" xfId="0" applyFont="1" applyFill="1" applyBorder="1" applyAlignment="1">
      <alignment horizontal="center"/>
    </xf>
    <xf numFmtId="180" fontId="21" fillId="0" borderId="13" xfId="0" applyNumberFormat="1" applyFont="1" applyFill="1" applyBorder="1" applyAlignment="1">
      <alignment horizontal="center"/>
    </xf>
    <xf numFmtId="0" fontId="10" fillId="0" borderId="0" xfId="163" applyFont="1" applyFill="1">
      <alignment/>
      <protection/>
    </xf>
    <xf numFmtId="2" fontId="10" fillId="0" borderId="17" xfId="163" applyNumberFormat="1" applyFont="1" applyFill="1" applyBorder="1" applyAlignment="1">
      <alignment horizontal="center" wrapText="1" shrinkToFit="1"/>
      <protection/>
    </xf>
    <xf numFmtId="0" fontId="10" fillId="0" borderId="0" xfId="163" applyFont="1" applyFill="1" applyAlignment="1">
      <alignment horizontal="center"/>
      <protection/>
    </xf>
    <xf numFmtId="0" fontId="10" fillId="0" borderId="0" xfId="0" applyFont="1" applyFill="1" applyBorder="1" applyAlignment="1">
      <alignment horizontal="center"/>
    </xf>
    <xf numFmtId="0" fontId="20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12" fillId="0" borderId="12" xfId="163" applyFont="1" applyFill="1" applyBorder="1" applyAlignment="1">
      <alignment horizontal="center" vertical="center" wrapText="1"/>
      <protection/>
    </xf>
    <xf numFmtId="0" fontId="20" fillId="0" borderId="13" xfId="163" applyFont="1" applyFill="1" applyBorder="1" applyAlignment="1">
      <alignment horizontal="center" vertical="center" wrapText="1"/>
      <protection/>
    </xf>
    <xf numFmtId="0" fontId="10" fillId="0" borderId="13" xfId="163" applyFont="1" applyFill="1" applyBorder="1" applyAlignment="1">
      <alignment horizontal="center" wrapText="1"/>
      <protection/>
    </xf>
    <xf numFmtId="0" fontId="10" fillId="0" borderId="13" xfId="163" applyFont="1" applyFill="1" applyBorder="1" applyAlignment="1">
      <alignment wrapText="1"/>
      <protection/>
    </xf>
    <xf numFmtId="178" fontId="10" fillId="0" borderId="13" xfId="163" applyNumberFormat="1" applyFont="1" applyFill="1" applyBorder="1" applyAlignment="1">
      <alignment horizontal="center" wrapText="1"/>
      <protection/>
    </xf>
    <xf numFmtId="0" fontId="10" fillId="0" borderId="13" xfId="163" applyFont="1" applyFill="1" applyBorder="1" applyAlignment="1">
      <alignment horizontal="left" wrapText="1"/>
      <protection/>
    </xf>
    <xf numFmtId="0" fontId="10" fillId="0" borderId="13" xfId="0" applyFont="1" applyFill="1" applyBorder="1" applyAlignment="1">
      <alignment wrapText="1"/>
    </xf>
    <xf numFmtId="0" fontId="10" fillId="0" borderId="17" xfId="163" applyFont="1" applyFill="1" applyBorder="1" applyAlignment="1">
      <alignment horizontal="left" wrapText="1"/>
      <protection/>
    </xf>
    <xf numFmtId="0" fontId="10" fillId="0" borderId="17" xfId="163" applyFont="1" applyFill="1" applyBorder="1" applyAlignment="1">
      <alignment horizontal="center" wrapText="1"/>
      <protection/>
    </xf>
    <xf numFmtId="0" fontId="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2" fillId="0" borderId="0" xfId="0" applyFont="1" applyFill="1" applyAlignment="1">
      <alignment/>
    </xf>
    <xf numFmtId="0" fontId="0" fillId="0" borderId="0" xfId="0" applyAlignment="1">
      <alignment vertical="center"/>
    </xf>
    <xf numFmtId="0" fontId="12" fillId="0" borderId="0" xfId="0" applyFont="1" applyAlignment="1">
      <alignment horizontal="center" vertical="center"/>
    </xf>
    <xf numFmtId="0" fontId="10" fillId="0" borderId="12" xfId="0" applyFont="1" applyBorder="1" applyAlignment="1">
      <alignment horizontal="left"/>
    </xf>
    <xf numFmtId="0" fontId="10" fillId="0" borderId="12" xfId="0" applyFont="1" applyBorder="1" applyAlignment="1">
      <alignment horizontal="right" vertical="center"/>
    </xf>
    <xf numFmtId="0" fontId="20" fillId="0" borderId="13" xfId="0" applyFont="1" applyBorder="1" applyAlignment="1">
      <alignment horizontal="center" vertical="center"/>
    </xf>
    <xf numFmtId="186" fontId="20" fillId="0" borderId="13" xfId="0" applyNumberFormat="1" applyFont="1" applyBorder="1" applyAlignment="1">
      <alignment horizontal="center" vertical="center"/>
    </xf>
    <xf numFmtId="185" fontId="20" fillId="0" borderId="13" xfId="0" applyNumberFormat="1" applyFont="1" applyBorder="1" applyAlignment="1">
      <alignment horizontal="center" vertical="center"/>
    </xf>
    <xf numFmtId="0" fontId="20" fillId="0" borderId="13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left"/>
    </xf>
    <xf numFmtId="186" fontId="20" fillId="0" borderId="13" xfId="0" applyNumberFormat="1" applyFont="1" applyFill="1" applyBorder="1" applyAlignment="1">
      <alignment horizontal="center"/>
    </xf>
    <xf numFmtId="185" fontId="20" fillId="0" borderId="13" xfId="0" applyNumberFormat="1" applyFont="1" applyFill="1" applyBorder="1" applyAlignment="1">
      <alignment horizontal="center"/>
    </xf>
    <xf numFmtId="0" fontId="10" fillId="0" borderId="13" xfId="0" applyFont="1" applyFill="1" applyBorder="1" applyAlignment="1">
      <alignment horizontal="left"/>
    </xf>
    <xf numFmtId="181" fontId="10" fillId="0" borderId="13" xfId="0" applyNumberFormat="1" applyFont="1" applyFill="1" applyBorder="1" applyAlignment="1">
      <alignment horizontal="center"/>
    </xf>
    <xf numFmtId="186" fontId="10" fillId="0" borderId="13" xfId="0" applyNumberFormat="1" applyFont="1" applyFill="1" applyBorder="1" applyAlignment="1">
      <alignment horizontal="center"/>
    </xf>
    <xf numFmtId="185" fontId="10" fillId="0" borderId="13" xfId="0" applyNumberFormat="1" applyFont="1" applyFill="1" applyBorder="1" applyAlignment="1">
      <alignment horizontal="center"/>
    </xf>
    <xf numFmtId="180" fontId="10" fillId="0" borderId="13" xfId="0" applyNumberFormat="1" applyFont="1" applyFill="1" applyBorder="1" applyAlignment="1">
      <alignment horizontal="center"/>
    </xf>
    <xf numFmtId="182" fontId="10" fillId="0" borderId="13" xfId="0" applyNumberFormat="1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left"/>
    </xf>
    <xf numFmtId="0" fontId="21" fillId="0" borderId="13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186" fontId="0" fillId="0" borderId="0" xfId="0" applyNumberFormat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12" fillId="0" borderId="0" xfId="270" applyFont="1" applyBorder="1" applyAlignment="1">
      <alignment horizontal="center" vertical="center" wrapText="1"/>
      <protection/>
    </xf>
    <xf numFmtId="0" fontId="10" fillId="0" borderId="12" xfId="270" applyFont="1" applyBorder="1" applyAlignment="1">
      <alignment horizontal="left" wrapText="1"/>
      <protection/>
    </xf>
    <xf numFmtId="0" fontId="2" fillId="0" borderId="12" xfId="270" applyFont="1" applyBorder="1" applyAlignment="1">
      <alignment horizontal="left" wrapText="1"/>
      <protection/>
    </xf>
    <xf numFmtId="0" fontId="10" fillId="0" borderId="12" xfId="270" applyFont="1" applyBorder="1" applyAlignment="1">
      <alignment horizontal="right" wrapText="1"/>
      <protection/>
    </xf>
    <xf numFmtId="0" fontId="3" fillId="0" borderId="13" xfId="270" applyFont="1" applyFill="1" applyBorder="1" applyAlignment="1">
      <alignment horizontal="center" vertical="center" wrapText="1"/>
      <protection/>
    </xf>
    <xf numFmtId="186" fontId="3" fillId="0" borderId="13" xfId="270" applyNumberFormat="1" applyFont="1" applyFill="1" applyBorder="1" applyAlignment="1">
      <alignment horizontal="center" vertical="center" wrapText="1"/>
      <protection/>
    </xf>
    <xf numFmtId="185" fontId="3" fillId="0" borderId="13" xfId="270" applyNumberFormat="1" applyFont="1" applyFill="1" applyBorder="1" applyAlignment="1">
      <alignment horizontal="center" vertical="center" wrapText="1"/>
      <protection/>
    </xf>
    <xf numFmtId="0" fontId="20" fillId="15" borderId="13" xfId="270" applyFont="1" applyFill="1" applyBorder="1" applyAlignment="1">
      <alignment horizontal="center" wrapText="1"/>
      <protection/>
    </xf>
    <xf numFmtId="0" fontId="20" fillId="15" borderId="13" xfId="270" applyFont="1" applyFill="1" applyBorder="1" applyAlignment="1">
      <alignment horizontal="left" wrapText="1"/>
      <protection/>
    </xf>
    <xf numFmtId="186" fontId="20" fillId="15" borderId="13" xfId="270" applyNumberFormat="1" applyFont="1" applyFill="1" applyBorder="1" applyAlignment="1">
      <alignment horizontal="center" wrapText="1"/>
      <protection/>
    </xf>
    <xf numFmtId="1" fontId="20" fillId="15" borderId="13" xfId="270" applyNumberFormat="1" applyFont="1" applyFill="1" applyBorder="1" applyAlignment="1">
      <alignment horizontal="center" wrapText="1"/>
      <protection/>
    </xf>
    <xf numFmtId="0" fontId="20" fillId="15" borderId="13" xfId="270" applyFont="1" applyFill="1" applyBorder="1" applyAlignment="1">
      <alignment horizontal="center" vertical="center" wrapText="1"/>
      <protection/>
    </xf>
    <xf numFmtId="0" fontId="20" fillId="0" borderId="13" xfId="270" applyFont="1" applyFill="1" applyBorder="1" applyAlignment="1">
      <alignment horizontal="center" wrapText="1"/>
      <protection/>
    </xf>
    <xf numFmtId="0" fontId="20" fillId="0" borderId="13" xfId="270" applyFont="1" applyFill="1" applyBorder="1" applyAlignment="1">
      <alignment horizontal="left" wrapText="1"/>
      <protection/>
    </xf>
    <xf numFmtId="186" fontId="20" fillId="0" borderId="13" xfId="270" applyNumberFormat="1" applyFont="1" applyFill="1" applyBorder="1" applyAlignment="1">
      <alignment horizontal="center" wrapText="1"/>
      <protection/>
    </xf>
    <xf numFmtId="1" fontId="20" fillId="0" borderId="13" xfId="270" applyNumberFormat="1" applyFont="1" applyFill="1" applyBorder="1" applyAlignment="1">
      <alignment horizontal="center" wrapText="1"/>
      <protection/>
    </xf>
    <xf numFmtId="0" fontId="10" fillId="0" borderId="13" xfId="270" applyFont="1" applyFill="1" applyBorder="1" applyAlignment="1">
      <alignment horizontal="center" vertical="center" wrapText="1"/>
      <protection/>
    </xf>
    <xf numFmtId="49" fontId="10" fillId="0" borderId="13" xfId="270" applyNumberFormat="1" applyFont="1" applyFill="1" applyBorder="1" applyAlignment="1">
      <alignment horizontal="center" wrapText="1"/>
      <protection/>
    </xf>
    <xf numFmtId="0" fontId="10" fillId="0" borderId="13" xfId="270" applyFont="1" applyFill="1" applyBorder="1" applyAlignment="1">
      <alignment horizontal="left" wrapText="1"/>
      <protection/>
    </xf>
    <xf numFmtId="0" fontId="10" fillId="0" borderId="13" xfId="270" applyFont="1" applyFill="1" applyBorder="1" applyAlignment="1">
      <alignment horizontal="center" wrapText="1"/>
      <protection/>
    </xf>
    <xf numFmtId="185" fontId="10" fillId="0" borderId="13" xfId="270" applyNumberFormat="1" applyFont="1" applyFill="1" applyBorder="1" applyAlignment="1">
      <alignment horizontal="center" wrapText="1"/>
      <protection/>
    </xf>
    <xf numFmtId="186" fontId="10" fillId="0" borderId="13" xfId="270" applyNumberFormat="1" applyFont="1" applyFill="1" applyBorder="1" applyAlignment="1">
      <alignment horizontal="center" wrapText="1"/>
      <protection/>
    </xf>
    <xf numFmtId="1" fontId="10" fillId="0" borderId="13" xfId="270" applyNumberFormat="1" applyFont="1" applyFill="1" applyBorder="1" applyAlignment="1">
      <alignment horizontal="center" wrapText="1"/>
      <protection/>
    </xf>
    <xf numFmtId="189" fontId="10" fillId="0" borderId="13" xfId="270" applyNumberFormat="1" applyFont="1" applyFill="1" applyBorder="1" applyAlignment="1">
      <alignment horizontal="center" wrapText="1"/>
      <protection/>
    </xf>
    <xf numFmtId="185" fontId="20" fillId="0" borderId="13" xfId="270" applyNumberFormat="1" applyFont="1" applyFill="1" applyBorder="1" applyAlignment="1">
      <alignment horizontal="center" wrapText="1"/>
      <protection/>
    </xf>
    <xf numFmtId="0" fontId="20" fillId="0" borderId="13" xfId="270" applyFont="1" applyFill="1" applyBorder="1" applyAlignment="1">
      <alignment horizontal="center" vertical="center" wrapText="1"/>
      <protection/>
    </xf>
    <xf numFmtId="0" fontId="10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2" fillId="0" borderId="0" xfId="211" applyFont="1" applyAlignment="1">
      <alignment horizontal="center" vertical="center" wrapText="1"/>
      <protection/>
    </xf>
    <xf numFmtId="0" fontId="10" fillId="0" borderId="12" xfId="211" applyFont="1" applyBorder="1" applyAlignment="1">
      <alignment horizontal="left" wrapText="1"/>
      <protection/>
    </xf>
    <xf numFmtId="0" fontId="12" fillId="0" borderId="12" xfId="211" applyFont="1" applyBorder="1" applyAlignment="1">
      <alignment horizontal="left" wrapText="1"/>
      <protection/>
    </xf>
    <xf numFmtId="0" fontId="10" fillId="0" borderId="12" xfId="211" applyFont="1" applyBorder="1" applyAlignment="1">
      <alignment horizontal="right" wrapText="1"/>
      <protection/>
    </xf>
    <xf numFmtId="0" fontId="3" fillId="0" borderId="13" xfId="211" applyFont="1" applyFill="1" applyBorder="1" applyAlignment="1">
      <alignment horizontal="center" vertical="center" wrapText="1"/>
      <protection/>
    </xf>
    <xf numFmtId="186" fontId="3" fillId="0" borderId="13" xfId="211" applyNumberFormat="1" applyFont="1" applyFill="1" applyBorder="1" applyAlignment="1">
      <alignment horizontal="center" vertical="center" wrapText="1"/>
      <protection/>
    </xf>
    <xf numFmtId="0" fontId="20" fillId="0" borderId="13" xfId="211" applyFont="1" applyFill="1" applyBorder="1" applyAlignment="1">
      <alignment horizontal="center" vertical="center"/>
      <protection/>
    </xf>
    <xf numFmtId="180" fontId="20" fillId="0" borderId="13" xfId="211" applyNumberFormat="1" applyFont="1" applyFill="1" applyBorder="1" applyAlignment="1">
      <alignment horizontal="center" vertical="center"/>
      <protection/>
    </xf>
    <xf numFmtId="186" fontId="20" fillId="0" borderId="13" xfId="211" applyNumberFormat="1" applyFont="1" applyFill="1" applyBorder="1" applyAlignment="1">
      <alignment horizontal="center" vertical="center"/>
      <protection/>
    </xf>
    <xf numFmtId="180" fontId="10" fillId="0" borderId="13" xfId="211" applyNumberFormat="1" applyFont="1" applyFill="1" applyBorder="1" applyAlignment="1">
      <alignment horizontal="center" vertical="center"/>
      <protection/>
    </xf>
    <xf numFmtId="0" fontId="10" fillId="0" borderId="13" xfId="211" applyFont="1" applyFill="1" applyBorder="1" applyAlignment="1">
      <alignment horizontal="left" vertical="center"/>
      <protection/>
    </xf>
    <xf numFmtId="186" fontId="10" fillId="0" borderId="13" xfId="211" applyNumberFormat="1" applyFont="1" applyFill="1" applyBorder="1" applyAlignment="1">
      <alignment horizontal="center" vertical="center"/>
      <protection/>
    </xf>
    <xf numFmtId="179" fontId="10" fillId="0" borderId="13" xfId="211" applyNumberFormat="1" applyFont="1" applyFill="1" applyBorder="1" applyAlignment="1">
      <alignment horizontal="center" vertical="center"/>
      <protection/>
    </xf>
    <xf numFmtId="180" fontId="10" fillId="0" borderId="13" xfId="211" applyNumberFormat="1" applyFont="1" applyFill="1" applyBorder="1" applyAlignment="1">
      <alignment horizontal="left" vertical="center"/>
      <protection/>
    </xf>
    <xf numFmtId="2" fontId="20" fillId="0" borderId="13" xfId="211" applyNumberFormat="1" applyFont="1" applyFill="1" applyBorder="1" applyAlignment="1">
      <alignment horizontal="center" vertical="center"/>
      <protection/>
    </xf>
    <xf numFmtId="0" fontId="10" fillId="0" borderId="13" xfId="211" applyFont="1" applyFill="1" applyBorder="1" applyAlignment="1">
      <alignment horizontal="center" vertical="center"/>
      <protection/>
    </xf>
  </cellXfs>
  <cellStyles count="388">
    <cellStyle name="Normal" xfId="0"/>
    <cellStyle name="_ET_STYLE_NoName_00__表2-3" xfId="15"/>
    <cellStyle name="Currency [0]" xfId="16"/>
    <cellStyle name="20% - 强调文字颜色 1 2" xfId="17"/>
    <cellStyle name="输出 3" xfId="18"/>
    <cellStyle name="好_23-宁夏 2" xfId="19"/>
    <cellStyle name="常规 2 3 2 2 7" xfId="20"/>
    <cellStyle name="20% - 强调文字颜色 3" xfId="21"/>
    <cellStyle name="输入" xfId="22"/>
    <cellStyle name="常规_新庄集四支干渠(低口)10支渠预算0307" xfId="23"/>
    <cellStyle name="常规 2 2 4" xfId="24"/>
    <cellStyle name="Currency" xfId="25"/>
    <cellStyle name="常规 3_（071011利水一标段）黄河宁夏段二期防洪工程银灵吴青段堤防建设项目" xfId="26"/>
    <cellStyle name="Comma [0]" xfId="27"/>
    <cellStyle name="计算 2" xfId="28"/>
    <cellStyle name="40% - 强调文字颜色 3" xfId="29"/>
    <cellStyle name="差" xfId="30"/>
    <cellStyle name="常规 7 3" xfId="31"/>
    <cellStyle name="Comma" xfId="32"/>
    <cellStyle name="60% - 强调文字颜色 3" xfId="33"/>
    <cellStyle name="Hyperlink" xfId="34"/>
    <cellStyle name="Percent" xfId="35"/>
    <cellStyle name="好_黄羊滩（116）预算定额（最终）2010.03.28" xfId="36"/>
    <cellStyle name="差_黄羊滩（116）预算定额（最终）2010.03.28 3" xfId="37"/>
    <cellStyle name="_单价" xfId="38"/>
    <cellStyle name="常规 2 3 2 2 11" xfId="39"/>
    <cellStyle name="Followed Hyperlink" xfId="40"/>
    <cellStyle name="常规 6" xfId="41"/>
    <cellStyle name="60% - 强调文字颜色 2 3" xfId="42"/>
    <cellStyle name="注释" xfId="43"/>
    <cellStyle name="常规 12 2 2" xfId="44"/>
    <cellStyle name="60% - 强调文字颜色 2" xfId="45"/>
    <cellStyle name="标题 4" xfId="46"/>
    <cellStyle name="警告文本" xfId="47"/>
    <cellStyle name="_ET_STYLE_NoName_00_" xfId="48"/>
    <cellStyle name="_南山台子概算116号文 徐改" xfId="49"/>
    <cellStyle name="常规 5 2" xfId="50"/>
    <cellStyle name="标题" xfId="51"/>
    <cellStyle name="解释性文本" xfId="52"/>
    <cellStyle name="百分比 4" xfId="53"/>
    <cellStyle name="标题 1" xfId="54"/>
    <cellStyle name="常规 5 2 2" xfId="55"/>
    <cellStyle name="标题 2" xfId="56"/>
    <cellStyle name="_永宁2011年重点县初设估算-定" xfId="57"/>
    <cellStyle name="差_23-宁夏 3" xfId="58"/>
    <cellStyle name="60% - 强调文字颜色 1" xfId="59"/>
    <cellStyle name="标题 3" xfId="60"/>
    <cellStyle name="60% - 强调文字颜色 4" xfId="61"/>
    <cellStyle name="输出" xfId="62"/>
    <cellStyle name="计算" xfId="63"/>
    <cellStyle name="好_黄土梁灌区 3" xfId="64"/>
    <cellStyle name="40% - 强调文字颜色 4 2" xfId="65"/>
    <cellStyle name="检查单元格" xfId="66"/>
    <cellStyle name="20% - 强调文字颜色 6" xfId="67"/>
    <cellStyle name="强调文字颜色 2" xfId="68"/>
    <cellStyle name="差_黄土梁灌区_中宁红柳沟概算最终2013.4.17" xfId="69"/>
    <cellStyle name="链接单元格" xfId="70"/>
    <cellStyle name="汇总" xfId="71"/>
    <cellStyle name="好" xfId="72"/>
    <cellStyle name="常规_柳桩草土护坡预算" xfId="73"/>
    <cellStyle name="20% - 强调文字颜色 3 3" xfId="74"/>
    <cellStyle name="适中" xfId="75"/>
    <cellStyle name="常规 2 3 2 2 9" xfId="76"/>
    <cellStyle name="20% - 强调文字颜色 5" xfId="77"/>
    <cellStyle name="强调文字颜色 1" xfId="78"/>
    <cellStyle name="链接单元格 3" xfId="79"/>
    <cellStyle name="常规 2 3 2 2 5" xfId="80"/>
    <cellStyle name="20% - 强调文字颜色 1" xfId="81"/>
    <cellStyle name="40% - 强调文字颜色 1" xfId="82"/>
    <cellStyle name="输出 2" xfId="83"/>
    <cellStyle name="好_黄土梁灌区_吴忠市利通区扁担沟镇五里坡片区综合开发工程" xfId="84"/>
    <cellStyle name="常规 2 3 2 2 6" xfId="85"/>
    <cellStyle name="20% - 强调文字颜色 2" xfId="86"/>
    <cellStyle name="40% - 强调文字颜色 2" xfId="87"/>
    <cellStyle name="强调文字颜色 3" xfId="88"/>
    <cellStyle name="强调文字颜色 4" xfId="89"/>
    <cellStyle name="20% - 强调文字颜色 1 3" xfId="90"/>
    <cellStyle name="好_23-宁夏 3" xfId="91"/>
    <cellStyle name="常规 2 3 2 2 8" xfId="92"/>
    <cellStyle name="20% - 强调文字颜色 4" xfId="93"/>
    <cellStyle name="计算 3" xfId="94"/>
    <cellStyle name="40% - 强调文字颜色 4" xfId="95"/>
    <cellStyle name="强调文字颜色 5" xfId="96"/>
    <cellStyle name="40% - 强调文字颜色 5" xfId="97"/>
    <cellStyle name="60% - 强调文字颜色 5" xfId="98"/>
    <cellStyle name="强调文字颜色 6" xfId="99"/>
    <cellStyle name="适中 2" xfId="100"/>
    <cellStyle name="40% - 强调文字颜色 6" xfId="101"/>
    <cellStyle name="0,0&#13;&#10;NA&#13;&#10;" xfId="102"/>
    <cellStyle name="_ET_STYLE_NoName_00__2014年吴忠市利通区金积镇土地整理2014.2.25（出新）" xfId="103"/>
    <cellStyle name="60% - 强调文字颜色 6" xfId="104"/>
    <cellStyle name="_ET_STYLE_NoName_00__表1" xfId="105"/>
    <cellStyle name="_贺兰沙井子沟道治理（宁夏定额）2010.8.2" xfId="106"/>
    <cellStyle name="差_批复黄羊滩（116）预算定额（最终）2010.9.3_利通区抗旱规划报告（修编）暨2012-2016年实施方案" xfId="107"/>
    <cellStyle name="_高家闸概算116号文概算（核）" xfId="108"/>
    <cellStyle name="好_国土新定额 吴忠高闸（1） 2013.5.8" xfId="109"/>
    <cellStyle name="常规 7_（071011利水一标段）黄河宁夏段二期防洪工程银灵吴青段堤防建设项目" xfId="110"/>
    <cellStyle name="_高湾概算表2010-10-18（张旭）审" xfId="111"/>
    <cellStyle name="常规_扁担沟土地整理项目0507" xfId="112"/>
    <cellStyle name="_固海灌区 116号文概算2009.7.10" xfId="113"/>
    <cellStyle name="好_单价_反帝沟上段2012.12.25" xfId="114"/>
    <cellStyle name="_勘察设计费计算" xfId="115"/>
    <cellStyle name="差_单价" xfId="116"/>
    <cellStyle name="20% - 强调文字颜色 2 2" xfId="117"/>
    <cellStyle name="_西吉县葫芦河治理工程概算表（116号）-核" xfId="118"/>
    <cellStyle name="20% - 强调文字颜色 2 3" xfId="119"/>
    <cellStyle name="20% - 强调文字颜色 3 2" xfId="120"/>
    <cellStyle name="常规 3" xfId="121"/>
    <cellStyle name="20% - 强调文字颜色 4 2" xfId="122"/>
    <cellStyle name="常规 4" xfId="123"/>
    <cellStyle name="20% - 强调文字颜色 4 3" xfId="124"/>
    <cellStyle name="20% - 强调文字颜色 5 2" xfId="125"/>
    <cellStyle name="20% - 强调文字颜色 5 3" xfId="126"/>
    <cellStyle name="20% - 强调文字颜色 6 2" xfId="127"/>
    <cellStyle name="差_黄羊滩（116）预算定额（最终）2010.03.28_反帝沟上段2012.12.25" xfId="128"/>
    <cellStyle name="20% - 强调文字颜色 6 3" xfId="129"/>
    <cellStyle name="40% - 强调文字颜色 1 2" xfId="130"/>
    <cellStyle name="好_西吉县葫芦河治理工程概算表（116号）-核_吴忠市利通区扁担沟镇五里坡片区综合开发工程" xfId="131"/>
    <cellStyle name="常规 9 2" xfId="132"/>
    <cellStyle name="40% - 强调文字颜色 1 3" xfId="133"/>
    <cellStyle name="常规 2 3 2 4" xfId="134"/>
    <cellStyle name="40% - 强调文字颜色 2 2" xfId="135"/>
    <cellStyle name="40% - 强调文字颜色 2 3" xfId="136"/>
    <cellStyle name="40% - 强调文字颜色 3 2" xfId="137"/>
    <cellStyle name="40% - 强调文字颜色 3 3" xfId="138"/>
    <cellStyle name="常规 2 8 2 2" xfId="139"/>
    <cellStyle name="40% - 强调文字颜色 4 3" xfId="140"/>
    <cellStyle name="40% - 强调文字颜色 5 2" xfId="141"/>
    <cellStyle name="常规_黄河吴忠市防洪堤东岸拓宽工程(宁夏定额发水利厅)" xfId="142"/>
    <cellStyle name="40% - 强调文字颜色 5 3" xfId="143"/>
    <cellStyle name="40% - 强调文字颜色 6 2" xfId="144"/>
    <cellStyle name="40% - 强调文字颜色 6 3" xfId="145"/>
    <cellStyle name="60% - 强调文字颜色 1 2" xfId="146"/>
    <cellStyle name="60% - 强调文字颜色 1 3" xfId="147"/>
    <cellStyle name="常规 5" xfId="148"/>
    <cellStyle name="60% - 强调文字颜色 2 2" xfId="149"/>
    <cellStyle name="60% - 强调文字颜色 3 2" xfId="150"/>
    <cellStyle name="常规 5 2_（(20070927)兴水报价）吴忠市区四支渠续建配套节水改造工程" xfId="151"/>
    <cellStyle name="60% - 强调文字颜色 3 3" xfId="152"/>
    <cellStyle name="60% - 强调文字颜色 4 2" xfId="153"/>
    <cellStyle name="差_黄土梁灌区_吴忠市利通区扁担沟镇五里坡片区综合开发工程" xfId="154"/>
    <cellStyle name="60% - 强调文字颜色 4 3" xfId="155"/>
    <cellStyle name="60% - 强调文字颜色 5 2" xfId="156"/>
    <cellStyle name="60% - 强调文字颜色 5 3" xfId="157"/>
    <cellStyle name="60% - 强调文字颜色 6 2" xfId="158"/>
    <cellStyle name="差_黄羊滩（116）预算定额（最终）2010.03.28_陈木闸硬化路破损恢复概算表2014.2.28" xfId="159"/>
    <cellStyle name="60% - 强调文字颜色 6 3" xfId="160"/>
    <cellStyle name="ColLevel_0" xfId="161"/>
    <cellStyle name="e鯪9Y" xfId="162"/>
    <cellStyle name="e鯪9Y_x000B_" xfId="163"/>
    <cellStyle name="常规 14" xfId="164"/>
    <cellStyle name="e鯪9Y_x000B_" xfId="165"/>
    <cellStyle name="好_西吉县葫芦河治理工程概算表（116号）-核_中宁红柳沟概算最终2013.4.17" xfId="166"/>
    <cellStyle name="Header1" xfId="167"/>
    <cellStyle name="Header2" xfId="168"/>
    <cellStyle name="好_批复黄羊滩（116）预算定额（最终）2010.9.3_利通区抗旱规划报告（修编）暨2012-2016年实施方案" xfId="169"/>
    <cellStyle name="Normal" xfId="170"/>
    <cellStyle name="RowLevel_0" xfId="171"/>
    <cellStyle name="差_单价_吴忠市利通区扁担沟镇五里坡片区综合开发工程" xfId="172"/>
    <cellStyle name="百分比 2" xfId="173"/>
    <cellStyle name="百分比 2 2" xfId="174"/>
    <cellStyle name="百分比 2 3" xfId="175"/>
    <cellStyle name="百分比 3" xfId="176"/>
    <cellStyle name="差_单价_中宁红柳沟概算最终2013.4.17" xfId="177"/>
    <cellStyle name="差_扁担沟扬水站统计表（改）" xfId="178"/>
    <cellStyle name="百分比 3 2" xfId="179"/>
    <cellStyle name="百分比 3 3" xfId="180"/>
    <cellStyle name="常规 2 2 6" xfId="181"/>
    <cellStyle name="标题 1 2" xfId="182"/>
    <cellStyle name="常规 2 2 7" xfId="183"/>
    <cellStyle name="标题 1 3" xfId="184"/>
    <cellStyle name="标题 2 2" xfId="185"/>
    <cellStyle name="标题 2 3" xfId="186"/>
    <cellStyle name="标题 3 2" xfId="187"/>
    <cellStyle name="标题 3 3" xfId="188"/>
    <cellStyle name="千位_GetDateDialog" xfId="189"/>
    <cellStyle name="标题 4 2" xfId="190"/>
    <cellStyle name="标题 4 3" xfId="191"/>
    <cellStyle name="标题 5" xfId="192"/>
    <cellStyle name="标题 6" xfId="193"/>
    <cellStyle name="好_西吉县葫芦河治理工程概算表（116号）-核_反帝沟上段2012.12.25" xfId="194"/>
    <cellStyle name="差 2" xfId="195"/>
    <cellStyle name="常规 5_（(20070927)兴水报价）吴忠市区四支渠续建配套节水改造工程" xfId="196"/>
    <cellStyle name="差 3" xfId="197"/>
    <cellStyle name="差_23-宁夏" xfId="198"/>
    <cellStyle name="差_23-宁夏 2" xfId="199"/>
    <cellStyle name="好_批复黄羊滩（116）预算定额（最终）2010.9.3 3" xfId="200"/>
    <cellStyle name="差_单价 2" xfId="201"/>
    <cellStyle name="差_单价 3" xfId="202"/>
    <cellStyle name="差_单价_陈木闸硬化路破损恢复概算表2014.2.28" xfId="203"/>
    <cellStyle name="常规 2 3 2 2 15" xfId="204"/>
    <cellStyle name="差_批复黄羊滩（116）预算定额（最终）2010.9.3 2" xfId="205"/>
    <cellStyle name="差_单价_反帝沟上段2012.12.25" xfId="206"/>
    <cellStyle name="千分位_bj22" xfId="207"/>
    <cellStyle name="差_国土新定额 吴忠高闸（1） 2013.5.8" xfId="208"/>
    <cellStyle name="常规 2 3 2 2 2" xfId="209"/>
    <cellStyle name="差_黄土梁灌区" xfId="210"/>
    <cellStyle name="常规 23" xfId="211"/>
    <cellStyle name="常规 18" xfId="212"/>
    <cellStyle name="差_黄土梁灌区 2" xfId="213"/>
    <cellStyle name="常规 24" xfId="214"/>
    <cellStyle name="常规 19" xfId="215"/>
    <cellStyle name="差_黄土梁灌区 3" xfId="216"/>
    <cellStyle name="强调文字颜色 6 2" xfId="217"/>
    <cellStyle name="差_黄土梁灌区_陈木闸硬化路破损恢复概算表2014.2.28" xfId="218"/>
    <cellStyle name="差_黄土梁灌区_反帝沟上段2012.12.25" xfId="219"/>
    <cellStyle name="差_黄羊滩（116）预算定额（最终）2010.03.28" xfId="220"/>
    <cellStyle name="差_黄羊滩（116）预算定额（最终）2010.03.28 2" xfId="221"/>
    <cellStyle name="差_黄羊滩（116）预算定额（最终）2010.03.28_吴忠市利通区扁担沟镇五里坡片区综合开发工程" xfId="222"/>
    <cellStyle name="常规 2 3 2 2 12" xfId="223"/>
    <cellStyle name="差_黄羊滩（116）预算定额（最终）2010.03.28_中宁红柳沟概算最终2013.4.17" xfId="224"/>
    <cellStyle name="好_中卫市南山台泵站1 2" xfId="225"/>
    <cellStyle name="差_立新工程量" xfId="226"/>
    <cellStyle name="差_宁夏易捷枸杞庄园科技有限公司恩和枸杞示范基地滴灌项目2012.3.23（1f）" xfId="227"/>
    <cellStyle name="强调文字颜色 2 2" xfId="228"/>
    <cellStyle name="常规 4_（利水三标段）黄河宁夏段二期防洪工程2006年建设项目河道整治工程3标段-吴忠市罗家湖险工治理工程" xfId="229"/>
    <cellStyle name="差_批复黄羊滩（116）预算定额（最终）2010.9.3" xfId="230"/>
    <cellStyle name="差_批复黄羊滩（116）预算定额（最终）2010.9.3 3" xfId="231"/>
    <cellStyle name="差_人工湖工程预算2011.3.25(存）" xfId="232"/>
    <cellStyle name="差_西吉县葫芦河治理工程概算表（116号）-核_中宁红柳沟概算最终2013.4.17" xfId="233"/>
    <cellStyle name="差_吴忠市孙家牧草高效节水灌溉工程总概算表2012.12.7（马玲）" xfId="234"/>
    <cellStyle name="差_吴忠市孙家滩项目2011.12.16-批复概算" xfId="235"/>
    <cellStyle name="差_西吉县葫芦河治理工程概算表（116号）-核" xfId="236"/>
    <cellStyle name="常规 9" xfId="237"/>
    <cellStyle name="差_西吉县葫芦河治理工程概算表（116号）-核 2" xfId="238"/>
    <cellStyle name="差_西吉县葫芦河治理工程概算表（116号）-核 3" xfId="239"/>
    <cellStyle name="差_西吉县葫芦河治理工程概算表（116号）-核_陈木闸硬化路破损恢复概算表2014.2.28" xfId="240"/>
    <cellStyle name="差_西吉县葫芦河治理工程概算表（116号）-核_反帝沟上段2012.12.25" xfId="241"/>
    <cellStyle name="差_西吉县葫芦河治理工程概算表（116号）-核_吴忠市利通区扁担沟镇五里坡片区综合开发工程" xfId="242"/>
    <cellStyle name="差_盐池县红山沟河道整治工程110303" xfId="243"/>
    <cellStyle name="差_中卫市南山台泵站1" xfId="244"/>
    <cellStyle name="差_中卫市南山台泵站1 2" xfId="245"/>
    <cellStyle name="差_中卫市南山台泵站1 3" xfId="246"/>
    <cellStyle name="常规 10" xfId="247"/>
    <cellStyle name="常规 10 2" xfId="248"/>
    <cellStyle name="常规 2 7" xfId="249"/>
    <cellStyle name="常规 10 2 2" xfId="250"/>
    <cellStyle name="输入 2" xfId="251"/>
    <cellStyle name="常规 2 8" xfId="252"/>
    <cellStyle name="常规 10 2 3" xfId="253"/>
    <cellStyle name="常规 10_20090729  单价表(新录入)" xfId="254"/>
    <cellStyle name="常规 11" xfId="255"/>
    <cellStyle name="常规 12" xfId="256"/>
    <cellStyle name="常规 12 2" xfId="257"/>
    <cellStyle name="常规 12 3" xfId="258"/>
    <cellStyle name="常规 12_20090729  单价表(新录入)" xfId="259"/>
    <cellStyle name="常规 13" xfId="260"/>
    <cellStyle name="常规 13 2" xfId="261"/>
    <cellStyle name="常规 13 3" xfId="262"/>
    <cellStyle name="好_黄土梁灌区 2" xfId="263"/>
    <cellStyle name="常规 13 4" xfId="264"/>
    <cellStyle name="常规 20" xfId="265"/>
    <cellStyle name="常规 15" xfId="266"/>
    <cellStyle name="常规 15 2" xfId="267"/>
    <cellStyle name="常规 21" xfId="268"/>
    <cellStyle name="常规 16" xfId="269"/>
    <cellStyle name="常规 22" xfId="270"/>
    <cellStyle name="常规 17" xfId="271"/>
    <cellStyle name="常规 2" xfId="272"/>
    <cellStyle name="强调文字颜色 3 3" xfId="273"/>
    <cellStyle name="常规 2 10" xfId="274"/>
    <cellStyle name="常规 2 11" xfId="275"/>
    <cellStyle name="常规 2 2" xfId="276"/>
    <cellStyle name="好_单价_陈木闸硬化路破损恢复概算表2014.2.28" xfId="277"/>
    <cellStyle name="常规 2 2 2" xfId="278"/>
    <cellStyle name="常规 2 2 2 2" xfId="279"/>
    <cellStyle name="常规 2 2 3" xfId="280"/>
    <cellStyle name="常规 2 2 3 2" xfId="281"/>
    <cellStyle name="常规 2 2 3 3" xfId="282"/>
    <cellStyle name="常规 2 2 3_20090729  单价表(新录入)" xfId="283"/>
    <cellStyle name="货币 2" xfId="284"/>
    <cellStyle name="常规 2 2 4 2" xfId="285"/>
    <cellStyle name="常规 2 2 5" xfId="286"/>
    <cellStyle name="常规 2 2 8" xfId="287"/>
    <cellStyle name="常规 7 2" xfId="288"/>
    <cellStyle name="常规 2 2_（071011利水一标段）黄河宁夏段二期防洪工程银灵吴青段堤防建设项目" xfId="289"/>
    <cellStyle name="常规 2 3" xfId="290"/>
    <cellStyle name="常规 2 3 2" xfId="291"/>
    <cellStyle name="常规 2 3 2 2" xfId="292"/>
    <cellStyle name="常规 2 3 2 2 10" xfId="293"/>
    <cellStyle name="常规 2 3 2 2 13" xfId="294"/>
    <cellStyle name="常规 2 3 2 2 14" xfId="295"/>
    <cellStyle name="常规 2 3 2 2 3" xfId="296"/>
    <cellStyle name="链接单元格 2" xfId="297"/>
    <cellStyle name="常规 2 3 2 2 4" xfId="298"/>
    <cellStyle name="常规 2 3 2 3" xfId="299"/>
    <cellStyle name="常规 2 3 2_20090729  单价表(新录入)" xfId="300"/>
    <cellStyle name="常规 2 4" xfId="301"/>
    <cellStyle name="好_批复黄羊滩（116）预算定额（最终）2010.9.3" xfId="302"/>
    <cellStyle name="常规 2 4 2" xfId="303"/>
    <cellStyle name="常规 2 4 3" xfId="304"/>
    <cellStyle name="强调文字颜色 5 3" xfId="305"/>
    <cellStyle name="常规 2 4_20090729  单价表(新录入)" xfId="306"/>
    <cellStyle name="强调文字颜色 4 2" xfId="307"/>
    <cellStyle name="常规 2 5" xfId="308"/>
    <cellStyle name="常规 2 5 2" xfId="309"/>
    <cellStyle name="常规 2 5_20090729  单价表(新录入)" xfId="310"/>
    <cellStyle name="强调文字颜色 4 3" xfId="311"/>
    <cellStyle name="常规 2 6" xfId="312"/>
    <cellStyle name="常规 2 8 2" xfId="313"/>
    <cellStyle name="输入 3" xfId="314"/>
    <cellStyle name="常规 2 9" xfId="315"/>
    <cellStyle name="常规 2_（(20070927)兴水报价）吴忠市区四支渠续建配套节水改造工程" xfId="316"/>
    <cellStyle name="常规 3 2" xfId="317"/>
    <cellStyle name="常规 3 3" xfId="318"/>
    <cellStyle name="常规_国土新定额 吴忠高闸（玲姐） 2013.5.8" xfId="319"/>
    <cellStyle name="常规 3 3 2" xfId="320"/>
    <cellStyle name="建筑工程单价表" xfId="321"/>
    <cellStyle name="常规 3 4" xfId="322"/>
    <cellStyle name="强调文字颜色 5 2" xfId="323"/>
    <cellStyle name="常规 3 5" xfId="324"/>
    <cellStyle name="常规 36" xfId="325"/>
    <cellStyle name="常规 4 2" xfId="326"/>
    <cellStyle name="常规 4 3" xfId="327"/>
    <cellStyle name="常规 5 3" xfId="328"/>
    <cellStyle name="常规 5 3 2" xfId="329"/>
    <cellStyle name="好_单价_吴忠市利通区扁担沟镇五里坡片区综合开发工程" xfId="330"/>
    <cellStyle name="常规 5 4" xfId="331"/>
    <cellStyle name="常规 5 5" xfId="332"/>
    <cellStyle name="注释 2" xfId="333"/>
    <cellStyle name="好_黄土梁灌区_反帝沟上段2012.12.25" xfId="334"/>
    <cellStyle name="常规 6 2" xfId="335"/>
    <cellStyle name="注释 3" xfId="336"/>
    <cellStyle name="常规 6 3" xfId="337"/>
    <cellStyle name="常规 6_（(20070927)兴水报价）吴忠市区四支渠续建配套节水改造工程" xfId="338"/>
    <cellStyle name="常规 7" xfId="339"/>
    <cellStyle name="常规 8" xfId="340"/>
    <cellStyle name="好_黄土梁灌区_陈木闸硬化路破损恢复概算表2014.2.28" xfId="341"/>
    <cellStyle name="常规 9 3" xfId="342"/>
    <cellStyle name="常规 9_20090729  单价表(新录入)" xfId="343"/>
    <cellStyle name="适中 3" xfId="344"/>
    <cellStyle name="常规_（杨涛）新建村（1队、4队）渠道砌护工程总概算2013.6.8" xfId="345"/>
    <cellStyle name="常规_2014年吴忠市利通区金积镇土地整理2014.2.25（出新）" xfId="346"/>
    <cellStyle name="常规_Sheet1" xfId="347"/>
    <cellStyle name="常规_Sheet2" xfId="348"/>
    <cellStyle name="常规_德隆116号文概算2012.11.21" xfId="349"/>
    <cellStyle name="常规_黄土梁灌区" xfId="350"/>
    <cellStyle name="常规_某部队生态供水泵站工程（宁夏定额）2010.10.21" xfId="351"/>
    <cellStyle name="常规_太阳山《预应力混凝土枕制造项目》和《宁夏泰富能源油品仓储项目》供水工程 投" xfId="352"/>
    <cellStyle name="好 2" xfId="353"/>
    <cellStyle name="好 3" xfId="354"/>
    <cellStyle name="好_23-宁夏" xfId="355"/>
    <cellStyle name="好_扁担沟扬水站统计表（改）" xfId="356"/>
    <cellStyle name="好_单价" xfId="357"/>
    <cellStyle name="强调文字颜色 2 3" xfId="358"/>
    <cellStyle name="好_单价 2" xfId="359"/>
    <cellStyle name="好_单价 3" xfId="360"/>
    <cellStyle name="好_单价_中宁红柳沟概算最终2013.4.17" xfId="361"/>
    <cellStyle name="好_黄土梁灌区" xfId="362"/>
    <cellStyle name="好_黄土梁灌区_中宁红柳沟概算最终2013.4.17" xfId="363"/>
    <cellStyle name="好_黄羊滩（116）预算定额（最终）2010.03.28 2" xfId="364"/>
    <cellStyle name="好_黄羊滩（116）预算定额（最终）2010.03.28 3" xfId="365"/>
    <cellStyle name="好_黄羊滩（116）预算定额（最终）2010.03.28_陈木闸硬化路破损恢复概算表2014.2.28" xfId="366"/>
    <cellStyle name="千分位[0]_bj22" xfId="367"/>
    <cellStyle name="好_黄羊滩（116）预算定额（最终）2010.03.28_反帝沟上段2012.12.25" xfId="368"/>
    <cellStyle name="好_西吉县葫芦河治理工程概算表（116号）-核_陈木闸硬化路破损恢复概算表2014.2.28" xfId="369"/>
    <cellStyle name="好_黄羊滩（116）预算定额（最终）2010.03.28_吴忠市利通区扁担沟镇五里坡片区综合开发工程" xfId="370"/>
    <cellStyle name="好_黄羊滩（116）预算定额（最终）2010.03.28_中宁红柳沟概算最终2013.4.17" xfId="371"/>
    <cellStyle name="好_宁夏易捷枸杞庄园科技有限公司恩和枸杞示范基地滴灌项目2012.3.23（1f）" xfId="372"/>
    <cellStyle name="好_批复黄羊滩（116）预算定额（最终）2010.9.3 2" xfId="373"/>
    <cellStyle name="好_人工湖工程预算2011.3.25(存）" xfId="374"/>
    <cellStyle name="好_吴忠市孙家牧草高效节水灌溉工程总概算表2012.12.7（马玲）" xfId="375"/>
    <cellStyle name="好_吴忠市孙家滩项目2011.12.16-批复概算" xfId="376"/>
    <cellStyle name="好_西吉县葫芦河治理工程概算表（116号）-核" xfId="377"/>
    <cellStyle name="好_西吉县葫芦河治理工程概算表（116号）-核 2" xfId="378"/>
    <cellStyle name="好_西吉县葫芦河治理工程概算表（116号）-核 3" xfId="379"/>
    <cellStyle name="警告文本 3" xfId="380"/>
    <cellStyle name="好_盐池县红山沟河道整治工程110303" xfId="381"/>
    <cellStyle name="好_中卫市南山台泵站1" xfId="382"/>
    <cellStyle name="好_中卫市南山台泵站1 3" xfId="383"/>
    <cellStyle name="汇总 2" xfId="384"/>
    <cellStyle name="汇总 3" xfId="385"/>
    <cellStyle name="检查单元格 2" xfId="386"/>
    <cellStyle name="检查单元格 2 2" xfId="387"/>
    <cellStyle name="检查单元格 2 3" xfId="388"/>
    <cellStyle name="检查单元格 3" xfId="389"/>
    <cellStyle name="检查单元格 4" xfId="390"/>
    <cellStyle name="解释性文本 2" xfId="391"/>
    <cellStyle name="解释性文本 3" xfId="392"/>
    <cellStyle name="千位[0]_GetDateDialog" xfId="393"/>
    <cellStyle name="警告文本 2" xfId="394"/>
    <cellStyle name="普通_ANALYSE" xfId="395"/>
    <cellStyle name="千位分隔 2" xfId="396"/>
    <cellStyle name="强调文字颜色 1 2" xfId="397"/>
    <cellStyle name="强调文字颜色 1 3" xfId="398"/>
    <cellStyle name="强调文字颜色 3 2" xfId="399"/>
    <cellStyle name="强调文字颜色 6 3" xfId="400"/>
    <cellStyle name="样式 1" xfId="4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externalLink" Target="externalLinks/externalLink9.xml" /><Relationship Id="rId22" Type="http://schemas.openxmlformats.org/officeDocument/2006/relationships/externalLink" Target="externalLinks/externalLink10.xml" /><Relationship Id="rId23" Type="http://schemas.openxmlformats.org/officeDocument/2006/relationships/externalLink" Target="externalLinks/externalLink11.xml" /><Relationship Id="rId24" Type="http://schemas.openxmlformats.org/officeDocument/2006/relationships/externalLink" Target="externalLinks/externalLink12.xml" /><Relationship Id="rId25" Type="http://schemas.openxmlformats.org/officeDocument/2006/relationships/externalLink" Target="externalLinks/externalLink13.xml" /><Relationship Id="rId26" Type="http://schemas.openxmlformats.org/officeDocument/2006/relationships/externalLink" Target="externalLinks/externalLink14.xml" /><Relationship Id="rId27" Type="http://schemas.openxmlformats.org/officeDocument/2006/relationships/externalLink" Target="externalLinks/externalLink15.xml" /><Relationship Id="rId28" Type="http://schemas.openxmlformats.org/officeDocument/2006/relationships/externalLink" Target="externalLinks/externalLink16.xml" /><Relationship Id="rId29" Type="http://schemas.openxmlformats.org/officeDocument/2006/relationships/externalLink" Target="externalLinks/externalLink17.xml" /><Relationship Id="rId30" Type="http://schemas.openxmlformats.org/officeDocument/2006/relationships/externalLink" Target="externalLinks/externalLink18.xml" /><Relationship Id="rId31" Type="http://schemas.openxmlformats.org/officeDocument/2006/relationships/externalLink" Target="externalLinks/externalLink19.xml" /><Relationship Id="rId32" Type="http://schemas.openxmlformats.org/officeDocument/2006/relationships/externalLink" Target="externalLinks/externalLink20.xml" /><Relationship Id="rId33" Type="http://schemas.openxmlformats.org/officeDocument/2006/relationships/externalLink" Target="externalLinks/externalLink21.xml" /><Relationship Id="rId34" Type="http://schemas.openxmlformats.org/officeDocument/2006/relationships/externalLink" Target="externalLinks/externalLink22.xml" /><Relationship Id="rId35" Type="http://schemas.openxmlformats.org/officeDocument/2006/relationships/externalLink" Target="externalLinks/externalLink23.xml" /><Relationship Id="rId36" Type="http://schemas.openxmlformats.org/officeDocument/2006/relationships/externalLink" Target="externalLinks/externalLink24.xml" /><Relationship Id="rId37" Type="http://schemas.openxmlformats.org/officeDocument/2006/relationships/externalLink" Target="externalLinks/externalLink25.xml" /><Relationship Id="rId38" Type="http://schemas.openxmlformats.org/officeDocument/2006/relationships/externalLink" Target="externalLinks/externalLink26.xml" /><Relationship Id="rId39" Type="http://schemas.openxmlformats.org/officeDocument/2006/relationships/externalLink" Target="externalLinks/externalLink27.xml" /><Relationship Id="rId40" Type="http://schemas.openxmlformats.org/officeDocument/2006/relationships/externalLink" Target="externalLinks/externalLink28.xml" /><Relationship Id="rId41" Type="http://schemas.openxmlformats.org/officeDocument/2006/relationships/externalLink" Target="externalLinks/externalLink29.xml" /><Relationship Id="rId42" Type="http://schemas.openxmlformats.org/officeDocument/2006/relationships/externalLink" Target="externalLinks/externalLink30.xml" /><Relationship Id="rId43" Type="http://schemas.openxmlformats.org/officeDocument/2006/relationships/externalLink" Target="externalLinks/externalLink31.xml" /><Relationship Id="rId44" Type="http://schemas.openxmlformats.org/officeDocument/2006/relationships/externalLink" Target="externalLinks/externalLink32.xml" /><Relationship Id="rId45" Type="http://schemas.openxmlformats.org/officeDocument/2006/relationships/externalLink" Target="externalLinks/externalLink33.xml" /><Relationship Id="rId46" Type="http://schemas.openxmlformats.org/officeDocument/2006/relationships/externalLink" Target="externalLinks/externalLink34.xml" /><Relationship Id="rId47" Type="http://schemas.openxmlformats.org/officeDocument/2006/relationships/externalLink" Target="externalLinks/externalLink35.xml" /><Relationship Id="rId48" Type="http://schemas.openxmlformats.org/officeDocument/2006/relationships/externalLink" Target="externalLinks/externalLink36.xml" /><Relationship Id="rId49" Type="http://schemas.openxmlformats.org/officeDocument/2006/relationships/externalLink" Target="externalLinks/externalLink37.xml" /><Relationship Id="rId50" Type="http://schemas.openxmlformats.org/officeDocument/2006/relationships/externalLink" Target="externalLinks/externalLink38.xml" /><Relationship Id="rId51" Type="http://schemas.openxmlformats.org/officeDocument/2006/relationships/externalLink" Target="externalLinks/externalLink39.xml" /><Relationship Id="rId52" Type="http://schemas.openxmlformats.org/officeDocument/2006/relationships/externalLink" Target="externalLinks/externalLink40.xml" /><Relationship Id="rId53" Type="http://schemas.openxmlformats.org/officeDocument/2006/relationships/externalLink" Target="externalLinks/externalLink41.xml" /><Relationship Id="rId54" Type="http://schemas.openxmlformats.org/officeDocument/2006/relationships/externalLink" Target="externalLinks/externalLink42.xml" /><Relationship Id="rId55" Type="http://schemas.openxmlformats.org/officeDocument/2006/relationships/externalLink" Target="externalLinks/externalLink43.xml" /><Relationship Id="rId56" Type="http://schemas.openxmlformats.org/officeDocument/2006/relationships/externalLink" Target="externalLinks/externalLink44.xml" /><Relationship Id="rId57" Type="http://schemas.openxmlformats.org/officeDocument/2006/relationships/externalLink" Target="externalLinks/externalLink45.xml" /><Relationship Id="rId58" Type="http://schemas.openxmlformats.org/officeDocument/2006/relationships/externalLink" Target="externalLinks/externalLink46.xml" /><Relationship Id="rId59" Type="http://schemas.openxmlformats.org/officeDocument/2006/relationships/externalLink" Target="externalLinks/externalLink47.xml" /><Relationship Id="rId60" Type="http://schemas.openxmlformats.org/officeDocument/2006/relationships/externalLink" Target="externalLinks/externalLink48.xml" /><Relationship Id="rId61" Type="http://schemas.openxmlformats.org/officeDocument/2006/relationships/externalLink" Target="externalLinks/externalLink49.xml" /><Relationship Id="rId6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GP_Ph1\SBB-OIs\Hel-OIs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&#25105;&#30340;&#25991;&#26723;\9&#26376;4&#26085;\&#23425;&#22799;&#39547;&#20140;&#21150;2&#20154;\&#23425;&#22799;&#39547;&#20140;&#21150;&#24037;&#20316;&#35777;2&#20154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&#39038;&#29141;&#38451;\2017&#24180;&#25991;&#20214;\&#19990;&#34892;&#20915;&#31639;\&#20915;&#31639;\&#28023;&#21407;&#21439;&#22303;&#22320;&#24179;&#25972;&#39044;&#31639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Backup%20of%20Backup%20of%20LINDA%20LISTONE.xlk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&#25105;&#30340;&#25991;&#26723;\Documents%20and%20Settings\&#20399;&#32768;&#26149;\My%20Documents\&#37995;&#36798;&#38209;&#19994;&#27010;&#31639;&#20070;X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\GOLDPYR4\ARENTO\TOOLBOX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fnl-gp2\ToolboxGP\Kor\OSP_Becht_Fin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25805;&#20316;&#24179;&#21488;\2015&#24180;&#39640;&#25928;&#33410;&#27700;&#28748;&#28297;&#39033;&#30446;&#31532;&#22235;&#25209;\&#27704;&#23425;&#21439;&#24052;&#26684;&#26031;&#37202;&#24196;&#33889;&#33796;&#28404;&#28748;&#24037;&#31243;&#23454;&#26045;&#26041;&#26696;\POWER%20ASSUMPTION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DOS\TEMP\GPTLBX90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&#25105;&#30340;&#25991;&#26723;\2008&#24180;&#24037;&#20316;\&#26607;&#22378;&#39033;&#30446;\2&#24178;&#31649;&#25237;&#36164;&#21644;&#32463;&#27982;&#35780;&#20215;\2006&#24180;&#24037;&#20316;\100&#19975;&#20137;6.13\38&#22242;&#25104;&#26524;\Documents%20and%20Settings\USER\My%20Documents\&#35838;&#31243;&#34920;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&#34081;&#21033;&#25991;&#26412;&#30424;&#19979;&#20840;&#37096;&#25991;&#20214;\&#34081;&#21033;&#25991;\&#39044;&#31639;\&#30005;&#27668;&#39044;&#31639;\&#30333;&#33448;&#28393;&#30005;&#27668;\&#30333;&#33448;&#28393;&#25193;&#24314;\&#30333;&#33448;&#28393;&#20027;&#21464;&#25193;&#24314;&#24037;&#31243;&#39044;&#31639;\01-&#30333;&#33448;&#28393;1#&#20027;&#21464;110KV&#27010;&#31639;(&#22303;&#24314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25105;&#30340;&#25991;&#26723;\&#21033;&#27700;&#20844;&#21496;\2012&#24180;&#23567;&#20892;&#27700;\&#26446;&#20908;&#21326;\&#25307;&#25237;&#26631;&#21450;&#27010;&#39044;&#31639;\&#27010;&#39044;&#31639;&#25991;&#20214;\&#22303;&#22320;&#25972;&#29702;&#30456;&#20851;&#36164;&#26009;\1165585773427\&#22303;&#22320;&#25972;&#29702;&#39033;&#30446;&#39044;&#31639;\&#24191;&#35199;&#24179;&#26524;&#39033;&#30446;&#39044;&#31639;11-8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&#24037;&#31243;&#27719;&#24635;&#22270;\2008&#24180;&#24037;&#31243;\&#31995;&#32479;\B015S-&#30333;&#33448;&#28393;1#&#20027;&#21464;&#25193;&#24314;&#24037;&#31243;\B015C-A-&#21021;&#35774;\01-&#30333;&#33448;&#28393;1#&#20027;&#21464;110KV&#27010;&#31639;(&#22303;&#24314;)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\&#26032;&#24314;&#25991;&#20214;&#22841;%20(4)\&#26032;&#24314;&#25991;&#20214;&#22841;\&#26032;&#24314;&#25991;&#20214;&#22841;\&#25991;\m\&#21556;&#24544;\&#26032;&#24314;&#25991;&#20214;&#22841;\&#39044;&#31639;&#65288;&#20013;&#23425;&#20462;&#25913;&#65289;9.24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\&#39038;&#29141;&#38451;\2017&#24180;&#25991;&#20214;\&#19990;&#34892;&#20915;&#31639;\&#20915;&#31639;\&#29579;&#24037;2009.12.25\2009&#24180;3&#26376;&#26032;&#30086;08&#24180;&#39033;&#30446;&#25104;&#26524;&#22791;&#20221;\&#24067;&#23572;&#27941;&#21439;&#26460;&#26469;&#25552;&#20065;&#21035;&#24320;&#29305;&#28748;&#21306;&#22303;&#22320;&#25972;&#29702;&#39033;&#30446;&#65288;15&#22871;&#23457;&#26597;&#20013;&#65289;\&#39044;&#31639;\&#24067;&#23572;&#27941;&#39044;&#31639;&#65288;&#32456;&#31295;090313&#65289;.xlsx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\&#39038;&#29141;&#38451;\2017&#24180;&#25991;&#20214;\&#19990;&#34892;&#20915;&#31639;\&#20915;&#31639;\&#29579;&#24037;2009.12.25\13&#26631;&#39044;&#31639;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\&#25105;&#30340;&#25991;&#26723;\&#27494;&#29141;\&#26607;&#22378;\&#26607;&#22378;\&#21021;&#35774;\2006&#24180;&#24037;&#20316;\100&#19975;&#20137;6.13\38&#22242;&#25104;&#26524;\Documents%20and%20Settings\USER\My%20Documents\&#35838;&#31243;&#34920;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\&#25105;&#30340;&#25991;&#26723;\Documents%20and%20Settings\Administrator\My%20Documents\&#22303;&#22320;&#24320;&#21457;&#25972;&#29702;\2014.5.10\Users\Administrator\Desktop\2012.2.15&#22823;&#25112;&#22330;&#39044;&#31639;&#34920;&#26684;(&#21439;&#32423;&#35780;&#23457;&#31295;)%20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\&#39038;&#29141;&#38451;\2017&#24180;&#25991;&#20214;\&#19990;&#34892;&#20915;&#31639;\&#20915;&#31639;\&#28023;&#21407;&#22303;&#22320;\&#28023;&#21407;&#21439;&#22303;&#22320;&#24179;&#25972;&#39044;&#31639;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\&#25105;&#30340;&#25991;&#26723;\&#21271;&#20140;&#39033;&#30446;\&#24191;&#35199;\&#24191;&#35199;&#35268;&#21010;&#35774;&#35745;\&#24191;&#35199;&#30000;&#38451;&#21439;&#39033;&#30446;&#39044;&#31639;&#20070;&#21450;&#38468;&#20214;\&#24191;&#35199;&#30000;&#38451;&#39033;&#30446;&#39044;&#31639;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\&#25105;&#30340;&#25991;&#26723;\&#21033;&#27700;&#20844;&#21496;\2012&#24180;&#23567;&#20892;&#27700;\&#26446;&#20908;&#21326;\&#25307;&#25237;&#26631;&#21450;&#27010;&#39044;&#31639;\&#27010;&#39044;&#31639;&#25991;&#20214;\&#22303;&#22320;&#25972;&#29702;&#30456;&#20851;&#36164;&#26009;\1165585773427\&#22303;&#22320;&#25972;&#29702;&#39033;&#30446;&#39044;&#31639;\84&#22242;&#39033;&#30446;&#39044;&#31639;&#35797;&#31639;\&#39033;&#30446;&#24211;\&#39033;&#30446;&#35268;&#21010;&#35774;&#35745;&#19982;&#39044;&#31639;\&#22235;&#24029;&#12289;&#37325;&#24198;&#39033;&#30446;\&#37325;&#24198;&#29863;&#23665;&#39033;&#30446;\412&#25104;&#26524;\&#39044;&#31639;&#34920;2004&#12290;04&#12290;06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2009&#24180;&#25991;&#20214;\09&#24180;&#35199;&#22799;&#21306;&#20892;&#21457;\&#35199;&#22799;&#21306;&#20892;&#21457;&#39033;&#30446;&#27010;&#31639;&#34920;.xls(&#23457;&#26597;&#21518;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\&#39038;&#29141;&#38451;\2017&#24180;&#25991;&#20214;\&#19990;&#34892;&#20915;&#31639;\&#20915;&#31639;\Documents%20and%20Settings\qq\Local%20Settings\Temporary%20Internet%20Files\Content.IE5\QF0XINAT\&#25991;&#26723;\&#22303;&#22320;&#25972;&#29702;&#39033;&#30446;\&#38738;&#38108;&#23777;&#37045;&#23703;\Documents%20and%20Settings\xianlong\Local%20Settings\Temp\&#21315;&#38451;&#21439;&#21271;&#29255;&#32456;&#39044;&#31639;&#34920;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\&#25105;&#30340;&#25991;&#26723;\&#35745;&#21010;&#22788;&#39033;&#30446;\2009&#24180;1236&#25307;&#26631;&#65288;&#24352;&#65289;\&#21313;&#19968;&#27893;&#31449;\Documents%20and%20Settings\LXP\Local%20Settings\Temporary%20Internet%20Files\Content.IE5\UP70P0ZU\&#38738;&#39044;&#31639;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\&#39038;&#29141;&#38451;\2017&#24180;&#25991;&#20214;\&#19990;&#34892;&#20915;&#31639;\&#20915;&#31639;\Documents%20and%20Settings\LXP\Local%20Settings\Temporary%20Internet%20Files\Content.IE5\UP70P0ZU\&#38738;&#39044;&#31639;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\&#25105;&#30340;&#25991;&#26723;\&#24037;&#20316;&#22841;\&#22269;&#22320;&#38498;\&#21888;&#20160;&#33678;&#36710;&#38463;&#26031;&#20848;\&#38463;&#26031;&#20848;&#24052;&#26684;&#39044;&#31639;&#65288;&#26472;&#21355;&#32418;&#65289;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&#39033;&#30446;&#24037;&#31243;\2010\&#32493;&#24314;&#37197;&#22871;\&#21776;&#24469;&#28192;\&#21776;&#24469;&#28192;&#65288;101108&#65289;\&#20854;&#20182;&#19987;&#19994;\&#21776;&#24469;&#28192;&#34924;&#30732;&#65288;&#26032;&#23450;&#39069;&#65289;2010.7.6&#20272;&#31639;&#25913;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\&#39038;&#29141;&#38451;\2017&#24180;&#25991;&#20214;\&#19990;&#34892;&#20915;&#31639;\&#20915;&#31639;\Documents%20and%20Settings\123\&#26700;&#38754;\&#21307;&#20445;\1\nxbatch\&#22823;&#23398;&#29983;&#21442;&#20445;&#30331;&#35760;&#25253;&#30424;&#27169;&#26495;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\&#39038;&#29141;&#38451;\2017&#24180;&#25991;&#20214;\&#19990;&#34892;&#20915;&#31639;\&#20915;&#31639;\Documents%20and%20Settings\qq\Local%20Settings\Temporary%20Internet%20Files\Content.IE5\QF0XINAT\&#25991;&#26723;\&#22303;&#22320;&#25972;&#29702;&#39033;&#30446;\&#38738;&#38108;&#23777;&#37045;&#23703;\2003&#24180;&#24037;&#20316;&#30446;&#24405;\&#28246;&#21271;&#40548;&#23792;&#29141;&#23376;&#20065;(&#21051;&#24405;)\&#39044;&#31639;\&#28246;&#21271;&#40548;&#23792;&#39044;&#31639;&#34920;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\&#25105;&#30340;&#25991;&#26723;\&#21033;&#27700;&#20844;&#21496;\2012&#24180;&#23567;&#20892;&#27700;\&#26446;&#20908;&#21326;\&#25307;&#25237;&#26631;&#21450;&#27010;&#39044;&#31639;\&#27010;&#39044;&#31639;&#25991;&#20214;\&#22303;&#22320;&#25972;&#29702;&#30456;&#20851;&#36164;&#26009;\1165585773427\&#22303;&#22320;&#25972;&#29702;&#39033;&#30446;&#39044;&#31639;\&#23450;&#39069;&#20869;&#23481;2005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\&#39038;&#29141;&#38451;\2017&#24180;&#25991;&#20214;\&#19990;&#34892;&#20915;&#31639;\&#20915;&#31639;\&#32418;&#26791;&#23665;&#20892;&#28192;&#30732;&#25252;&#39044;&#31639;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\&#25105;&#30340;&#25991;&#26723;\Documents%20and%20Settings\Administrator\My%20Documents\&#22303;&#22320;&#24320;&#21457;&#25972;&#29702;\2014.5.10\&#28023;&#21407;&#37325;&#22823;&#24037;&#31243;&#39033;&#30446;\&#28023;&#21407;&#36164;&#26009;2009-2013\2012&#24180;&#24230;&#28023;&#21407;&#21439;&#19971;&#33829;&#38215;&#39033;&#30446;\2012&#24180;&#24230;&#28023;&#21407;&#19971;&#33829;&#39033;&#30446;&#25104;&#26524;\2012&#24180;&#19971;&#33829;&#39033;&#30446;&#21381;&#32423;&#35780;&#23457;&#31532;&#20108;&#27425;&#20462;&#25913;\&#25991;&#26412;&#12289;&#39044;&#31639;\2012&#24180;&#19971;&#33829;&#39044;&#31639;&#21381;&#32423;&#35780;&#23457;&#20462;&#25913;&#65288;0220&#32456;&#29256;&#6528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25105;&#30340;&#25991;&#26723;\Documents%20and%20Settings\Administrator\My%20Documents\&#22303;&#22320;&#24320;&#21457;&#25972;&#29702;\2014.5.10\2014.1.6&#65288;&#26368;&#32456;&#36865;&#23457;&#65289;&#21033;&#36890;&#21306;2013&#24180;&#22303;&#22320;&#25972;&#29702;2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\&#25105;&#30340;&#25991;&#26723;\&#21271;&#20140;&#39033;&#30446;\&#20869;&#33945;&#20016;&#38215;&#21021;&#35774;&#25104;&#26524;\&#35268;&#21010;&#39044;&#31639;\&#20016;&#38215;&#39033;&#30446;&#39044;&#31639;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\&#25105;&#30340;&#25991;&#26723;\&#22269;&#22320;&#38498;&#39033;&#30446;\&#20869;&#33945;&#21476;&#39033;&#30446;\&#20016;&#38215;&#24066;\&#20016;&#38215;&#35268;&#21010;&#25104;&#26524;\&#35268;&#21010;&#39044;&#31639;\&#20016;&#38215;&#39033;&#30446;&#39044;&#31639;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bc-45\&#38271;&#20914;&#27827;&#30005;&#31449;&#36164;&#26009;\&#20852;&#20161;&#39532;&#23478;&#23663;&#27700;&#24211;\&#21153;&#24029;&#24037;&#31243;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\&#39038;&#29141;&#38451;\2017&#24180;&#25991;&#20214;\&#19990;&#34892;&#20915;&#31639;\&#20915;&#31639;\&#28023;&#21407;&#22303;&#22320;&#25972;&#29702;&#25253;&#20215;&#34920;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\&#39038;&#29141;&#38451;\2017&#24180;&#25991;&#20214;\&#19990;&#34892;&#20915;&#31639;\&#20915;&#31639;\&#29420;&#21697;2\&#35774;&#35745;&#20869;&#23481;\&#19990;&#34892;&#36151;&#27454;&#39033;&#30446;\2014&#24180;&#24230;&#39033;&#30446;\Documents%20and%20Settings\dt\&#26700;&#38754;\9&#26376;4&#26085;\&#23425;&#22799;&#39547;&#20140;&#21150;2&#20154;\&#23425;&#22799;&#39547;&#20140;&#21150;&#24037;&#20316;&#35777;2&#20154;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\&#39038;&#29141;&#38451;\2017&#24180;&#25991;&#20214;\&#19990;&#34892;&#20915;&#31639;\&#20915;&#31639;\d\&#25105;&#30340;&#25991;&#26723;\&#29983;&#24577;&#31227;&#27665;\&#22826;&#38451;&#26753;\&#22826;&#38451;&#26753;&#31227;&#27665;&#20108;&#26399;\&#26032;&#24314;&#25991;&#20214;&#22841;\&#22303;&#22320;&#25972;&#29702;\&#38271;&#23665;&#22836;&#22303;&#22320;&#25972;&#29702;2.23\&#39044;&#31639;\&#26032;&#24314;&#25991;&#20214;&#22841;\&#39044;&#31639;&#65288;&#20013;&#23425;&#20462;&#25913;&#65289;9.24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\&#25105;&#30340;&#25991;&#26723;\&#24037;&#20316;&#22841;\&#22269;&#22320;&#38498;\&#22522;&#26412;&#36164;&#26009;\&#24191;&#35199;&#30000;&#38451;&#39033;&#30446;&#39044;&#31639;&#65288;&#26472;&#21355;&#32418;&#65289;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\&#25105;&#30340;&#25991;&#26723;\2008&#24180;&#24037;&#20316;\&#26607;&#22378;&#39033;&#30446;\2&#24178;&#31649;&#25237;&#36164;&#21644;&#32463;&#27982;&#35780;&#20215;\2006&#24180;&#24037;&#20316;\128&#22242;\128&#22242;&#39044;&#31639;\128&#22242;&#39044;&#31639;07&#24180;8&#26376;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\&#25105;&#30340;&#25991;&#26723;\&#24352;&#26195;&#29141;\&#35199;&#22799;&#27700;&#24211;\2012.5\&#21516;&#24515;&#20154;&#39278;&#20272;&#31639;&#65288;&#20462;&#25913;&#26041;&#26696;8.15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\&#26417;&#28165;\&#25237;&#36164;&#23457;&#26680;\&#39640;&#26631;&#20934;&#20892;&#30000;\2019\2019.8.22\2019.01.22&#28789;&#27494;&#24066;&#22823;&#28023;&#23376;\&#28789;&#27494;&#24066;&#19996;&#22612;&#38215;&#12289;&#23815;&#20852;&#38215;&#27700;&#27585;&#20892;&#30000;&#27700;&#21033;&#24037;&#31243;&#20272;&#31639;%20(2019.01.20&#24196;&#31435;&#26126;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WINDOWS\GP_AT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23553;&#38754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&#25105;&#30340;&#25991;&#26723;\2008&#24180;&#24037;&#20316;\&#26607;&#22378;&#39033;&#30446;\2&#24178;&#31649;&#25237;&#36164;&#21644;&#32463;&#27982;&#35780;&#20215;\Szy5\&#38463;&#21345;&#23572;djb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CHR\ARBEJDE\Q4DK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&#25105;&#30340;&#25991;&#26723;\9.10\&#22806;&#21150;&#26032;&#22686;4&#65288;&#39532;&#65289;&#65288;42&#20154;\&#24037;&#20316;&#35777;(42&#20154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W-TEO"/>
      <sheetName val="eqpmad2"/>
      <sheetName val="Main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数据字典"/>
      <sheetName val="单位估价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表1项目总预算及分年度预算表"/>
      <sheetName val="表2预算汇总表"/>
      <sheetName val="表3-1直接费预算表达式1"/>
      <sheetName val="表3-1-1直接工程费预算表"/>
      <sheetName val="表3工程施工费预算表"/>
      <sheetName val="单位工程量"/>
      <sheetName val="表3工程施工费用"/>
      <sheetName val="表3-1"/>
      <sheetName val="表3-2"/>
      <sheetName val="表3-3"/>
      <sheetName val="表3-4"/>
      <sheetName val="表3-5"/>
      <sheetName val="表3-6"/>
      <sheetName val="表3-7"/>
      <sheetName val="表3-8"/>
      <sheetName val="表3-9"/>
      <sheetName val="表3-10"/>
      <sheetName val="表4设备购置费"/>
      <sheetName val="表3-2间接费预算表"/>
      <sheetName val="表5其它费用预算表"/>
      <sheetName val="表5-1前期工作费"/>
      <sheetName val="表5-2工程监理费"/>
      <sheetName val="表5-3竣工验收费"/>
      <sheetName val="表5-4业主管理费"/>
      <sheetName val="表6不可预见费"/>
      <sheetName val="表7分月用款计划"/>
      <sheetName val="附表1人工单价计算表"/>
      <sheetName val="附表2材料价格计算表"/>
      <sheetName val="附表2-1主要材料价格计算表"/>
      <sheetName val="附表2-2风水电"/>
      <sheetName val="附表3机械台班计算表"/>
      <sheetName val="附表3-1补充机械台班"/>
      <sheetName val="附表4直接工程费单价表"/>
      <sheetName val="附表5主材用量汇总表"/>
      <sheetName val="附表6砼配比表"/>
      <sheetName val="附表7砂浆配比表"/>
      <sheetName val="Sheet1"/>
      <sheetName val="Sheet2"/>
      <sheetName val="Sheet3"/>
      <sheetName val="Main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Open"/>
      <sheetName val="数据字典"/>
      <sheetName val="表5-2工程监理费南"/>
      <sheetName val="附表4直接工程费单价表"/>
      <sheetName val="附表2材料价格计算表"/>
      <sheetName val="表3工程施工费用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定额"/>
      <sheetName val="材料表"/>
      <sheetName val="数据字典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  <sheetName val="数据字典"/>
      <sheetName val="定额"/>
      <sheetName val="材料表"/>
      <sheetName val="直接工程费"/>
      <sheetName val="附表4工程费单价表"/>
      <sheetName val="附表2 材料价格表"/>
      <sheetName val="Open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  <sheetName val="附表4直接工程费单价表"/>
      <sheetName val="附表2材料价格计算表"/>
      <sheetName val="表3工程施工费用"/>
      <sheetName val="数据字典"/>
      <sheetName val="DE"/>
      <sheetName val="附表4工程费单价表"/>
      <sheetName val="附表2 材料价格表"/>
      <sheetName val="#REF"/>
      <sheetName val="二级代码"/>
      <sheetName val="定额"/>
      <sheetName val="材料表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  <sheetName val="设备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  <sheetName val="定额"/>
      <sheetName val="材料表"/>
      <sheetName val="数据字典"/>
      <sheetName val="G.1R-Shou COP Gf"/>
      <sheetName val="机械汇总"/>
      <sheetName val="材价汇"/>
      <sheetName val="表2预算汇总表"/>
      <sheetName val="表3-1直接费预算表达式1"/>
      <sheetName val="汇总"/>
      <sheetName val="表3-8"/>
      <sheetName val="材料费"/>
      <sheetName val="附表2人工预算单价"/>
      <sheetName val="直接工程费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#REF"/>
      <sheetName val="Open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定额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附表2材料价格表"/>
      <sheetName val="附表3机械台班"/>
      <sheetName val="附表5直接工程费单价表"/>
      <sheetName val="表3工程施工费表"/>
      <sheetName val="附表2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定额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附表2-1主要材料价格计算表"/>
      <sheetName val="表1总预算及分年南"/>
      <sheetName val="表2预算总表 南"/>
      <sheetName val="表3工程施工费南 "/>
      <sheetName val="表3-1直接费南"/>
      <sheetName val="表3-1-1直接工程费南"/>
      <sheetName val="表3-2间接费南"/>
      <sheetName val="表4设备费南 "/>
      <sheetName val="表5其他费用南 "/>
      <sheetName val="表5-1前期工作费南"/>
      <sheetName val="表5-2工程监理费南"/>
      <sheetName val="表5-3竣工验收费南 "/>
      <sheetName val="表5-4业主管理费南 "/>
      <sheetName val="表6不可预见费南 "/>
      <sheetName val="表7分月用款计划南 "/>
      <sheetName val="附表1 人工单价表"/>
      <sheetName val="附表2 材料价格表"/>
      <sheetName val="附表3机械台班使用费"/>
      <sheetName val="附表3-1补充机械定额"/>
      <sheetName val="附表4风、水、电计算表"/>
      <sheetName val="附表4直接工程费单价表"/>
      <sheetName val="附表5砼、沙浆费计算表"/>
      <sheetName val="工程量"/>
      <sheetName val="附表2"/>
      <sheetName val="附表4单价"/>
      <sheetName val="附表2材料价格表"/>
      <sheetName val="附表3机械台班"/>
      <sheetName val="附表5直接工程费单价表"/>
      <sheetName val="表3工程施工费表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总预算分年"/>
      <sheetName val="总预算表2"/>
      <sheetName val="施工费总表3"/>
      <sheetName val="设备分总表4"/>
      <sheetName val="其他费用总表5"/>
      <sheetName val="总5-1、5-5"/>
      <sheetName val="不可预见费总表6"/>
      <sheetName val="分月总表7"/>
      <sheetName val="分年度预算表1片区1"/>
      <sheetName val="预算表2片区1"/>
      <sheetName val="施工费表3片区1"/>
      <sheetName val="直接费3-1片区1"/>
      <sheetName val="直接工程费3-1-1片区1"/>
      <sheetName val="间接费3-2片区1"/>
      <sheetName val="设备费4片区1"/>
      <sheetName val="其他费用5片区1"/>
      <sheetName val="5-1、5-5片区1"/>
      <sheetName val="不可预见费6片区1"/>
      <sheetName val="分月预算表7片区1"/>
      <sheetName val="分年度预算表1片区2"/>
      <sheetName val="预算表2片区2"/>
      <sheetName val="施工费表3片区2"/>
      <sheetName val="直接费3-1片区2"/>
      <sheetName val="直接工程费3-1-1片区2"/>
      <sheetName val="间接费3-2片区2"/>
      <sheetName val="设备费4片区2"/>
      <sheetName val="其他费用5片区1 (2)"/>
      <sheetName val="5-1、5-5片区2"/>
      <sheetName val="不可预见费6片区2"/>
      <sheetName val="分月预算表7片区2"/>
      <sheetName val="人工预算"/>
      <sheetName val="主材价格"/>
      <sheetName val="主材运杂费"/>
      <sheetName val="次要材料"/>
      <sheetName val="砼单价"/>
      <sheetName val="风水电"/>
      <sheetName val="机械台班"/>
      <sheetName val="直接工程费"/>
      <sheetName val="工程量统计"/>
      <sheetName val="排水沟"/>
      <sheetName val="G.1R-Shou COP Gf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表1总预算及分年"/>
      <sheetName val="表2预算总表 "/>
      <sheetName val="13标施工费改"/>
      <sheetName val="表7分月用款计划 "/>
      <sheetName val="表4设备费 "/>
      <sheetName val="表5其他费用"/>
      <sheetName val="表5-1前期工作费"/>
      <sheetName val="表5-2工程监理费"/>
      <sheetName val="表5-3竣工验收费 "/>
      <sheetName val="表5-4业主管理费 "/>
      <sheetName val="表6不可预见费 "/>
      <sheetName val="附表1 人工单价表"/>
      <sheetName val="附表2 材料价格表"/>
      <sheetName val="附表2-1主要材料价格计算表"/>
      <sheetName val="附表2-2风、水、电计算表"/>
      <sheetName val="附表3机械台班使用费"/>
      <sheetName val="附表3-1补充机械定额"/>
      <sheetName val="附表4工程费单价表"/>
      <sheetName val="附表5主要材料汇总表"/>
      <sheetName val="附表6砼、沙浆费计算表"/>
      <sheetName val="工程量"/>
      <sheetName val="POWER ASSUMPTIONS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#REF"/>
      <sheetName val="POWER ASSUMPTIONS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附表3机械"/>
      <sheetName val="附表2材料"/>
      <sheetName val="附表1人工"/>
      <sheetName val="附表6砼配"/>
      <sheetName val="Toolbox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汇总"/>
      <sheetName val="分表"/>
      <sheetName val="工程单价"/>
      <sheetName val="材价汇"/>
      <sheetName val="主材价表"/>
      <sheetName val="砼配比"/>
      <sheetName val="机械"/>
      <sheetName val="机械汇总"/>
      <sheetName val="人工单价"/>
      <sheetName val="报价汇总表"/>
      <sheetName val="分项工程量报价表"/>
      <sheetName val="机总"/>
      <sheetName val="主要材料用量表"/>
      <sheetName val="主要材料预算表"/>
      <sheetName val="单价汇总表"/>
      <sheetName val="附表3机械台班计算表"/>
      <sheetName val="表3-1直接费预算表达式1"/>
      <sheetName val="表3-6"/>
      <sheetName val="表2预算汇总表"/>
      <sheetName val="附表4直接工程费单价表"/>
      <sheetName val="单位工程量"/>
      <sheetName val="表3-3"/>
      <sheetName val="表3-2"/>
      <sheetName val="附表2-1主要材料价格计算表"/>
      <sheetName val="表3-5"/>
      <sheetName val="表3工程施工费用"/>
      <sheetName val="表1项目总预算及分年度预算表"/>
      <sheetName val="表3-1-1直接工程费预算表"/>
      <sheetName val="表3-7"/>
      <sheetName val="附表2材料价格计算表"/>
      <sheetName val="表3工程施工费预算表"/>
      <sheetName val="表3-4"/>
      <sheetName val="附表6砼配比表"/>
      <sheetName val="表3-1"/>
      <sheetName val="表3-8"/>
      <sheetName val="表3-9"/>
      <sheetName val="表3-10"/>
      <sheetName val="表4设备购置费"/>
      <sheetName val="表3-2间接费预算表"/>
      <sheetName val="#REF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表3工程施工费表"/>
      <sheetName val="定额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材料费"/>
      <sheetName val="定额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单价表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  <sheetName val="附表2材料价格表"/>
      <sheetName val="附表3机械台班"/>
      <sheetName val="附表5直接工程费单价表"/>
      <sheetName val="表2总预算"/>
      <sheetName val="表3工程施工费表"/>
      <sheetName val="表4设备购置费"/>
      <sheetName val="定额"/>
      <sheetName val="材料表"/>
      <sheetName val="砼、砂浆半成品预算表"/>
      <sheetName val="附表2"/>
      <sheetName val="附表4单价"/>
      <sheetName val="二级代码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分年度预算"/>
      <sheetName val="总预算"/>
      <sheetName val="工程施工费"/>
      <sheetName val="直接费"/>
      <sheetName val="人工费"/>
      <sheetName val="材料费"/>
      <sheetName val="施工机械额"/>
      <sheetName val="其他直接费"/>
      <sheetName val="间接费"/>
      <sheetName val="设备购置"/>
      <sheetName val="前期"/>
      <sheetName val="竣工"/>
      <sheetName val="不可预见费"/>
      <sheetName val="业主"/>
      <sheetName val="季度分月用款表"/>
      <sheetName val="材料调差"/>
      <sheetName val="单位估价"/>
      <sheetName val="人工单价"/>
      <sheetName val="机械调差"/>
      <sheetName val="费率计算"/>
      <sheetName val="Sheet1"/>
      <sheetName val="安装工程调差"/>
      <sheetName val="定额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单位估价"/>
      <sheetName val="附表4工程费单价表"/>
      <sheetName val="附表2 材料价格表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年度计划表"/>
      <sheetName val="总预算"/>
      <sheetName val="工程施工费"/>
      <sheetName val="直接费"/>
      <sheetName val="人工费"/>
      <sheetName val="材料费"/>
      <sheetName val="机械费"/>
      <sheetName val="其他直接费"/>
      <sheetName val="现场经费"/>
      <sheetName val="间接费"/>
      <sheetName val="拆迁补偿"/>
      <sheetName val="前期工作费"/>
      <sheetName val="竣工验收费"/>
      <sheetName val="不可预见费"/>
      <sheetName val="业主管理费"/>
      <sheetName val="分月计划表"/>
      <sheetName val="设备购置费"/>
      <sheetName val="人工单价"/>
      <sheetName val="主材价格"/>
      <sheetName val="机械调差 "/>
      <sheetName val="单位估价"/>
      <sheetName val="#REF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附表1人工单价表"/>
      <sheetName val="表5-3竣工"/>
      <sheetName val="附表3机械"/>
      <sheetName val="附表2材料"/>
      <sheetName val="附表1人工"/>
      <sheetName val="附表6砼配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新定额单价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大学生信息"/>
      <sheetName val="填报说明"/>
      <sheetName val="二级代码"/>
      <sheetName val="单位估价"/>
      <sheetName val="表3工程施工费表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分年度预算"/>
      <sheetName val="总预算"/>
      <sheetName val="工程施工费"/>
      <sheetName val="直接费"/>
      <sheetName val="人、材、机费"/>
      <sheetName val="其他直接费"/>
      <sheetName val="现场经费"/>
      <sheetName val="间接费"/>
      <sheetName val="设备购置费"/>
      <sheetName val="前期"/>
      <sheetName val="竣工"/>
      <sheetName val="业主"/>
      <sheetName val="不可预见"/>
      <sheetName val="季度分月用款"/>
      <sheetName val="单位估价表"/>
      <sheetName val="材料调差"/>
      <sheetName val="机械调差"/>
      <sheetName val="工程量总计"/>
      <sheetName val="人工单价"/>
      <sheetName val="坡式梯田设计"/>
      <sheetName val="新定额单价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机械定额"/>
      <sheetName val="材料费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降价系数"/>
      <sheetName val="道总"/>
      <sheetName val="道路 (2)"/>
      <sheetName val="总表"/>
      <sheetName val="分表"/>
      <sheetName val="结算潘"/>
      <sheetName val="结算封面潘"/>
      <sheetName val="材料预算价"/>
      <sheetName val="结算李"/>
      <sheetName val="结算封面李"/>
      <sheetName val="单价表总"/>
      <sheetName val="6"/>
      <sheetName val="7"/>
      <sheetName val="8"/>
      <sheetName val="总统"/>
      <sheetName val="配合比"/>
      <sheetName val="单价汇总"/>
      <sheetName val="沙化土地治理工程总概算表"/>
      <sheetName val="分部工程概算表"/>
      <sheetName val="独立费用概算表"/>
      <sheetName val="材料预算价格汇总表"/>
      <sheetName val="进入工程单价材料计算价格表(材料库)"/>
      <sheetName val="附表2人工预算单价"/>
      <sheetName val="Sheet1"/>
      <sheetName val="单价表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附表3机械台班计算表"/>
      <sheetName val="附表7砂浆配比表"/>
      <sheetName val="附表6砼配比表"/>
      <sheetName val="单位估价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附表2"/>
      <sheetName val="附表4单价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附表4砼、沙浆费计算表"/>
      <sheetName val="附表1人工单价表"/>
      <sheetName val="表5-3竣工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附表4砼、沙浆费计算表"/>
      <sheetName val="新定额单价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砼、砂浆半成品预算表"/>
      <sheetName val="4.2报价汇总表"/>
      <sheetName val="4.3工程量清单"/>
      <sheetName val="5.6单价分析表"/>
      <sheetName val="5.1人工费计算表"/>
      <sheetName val="5.2主要材料预算单价"/>
      <sheetName val="5.3砂浆配合比表"/>
      <sheetName val="5.4施工机械台班费"/>
      <sheetName val="5.5单价汇总表"/>
      <sheetName val="5.7总价工程"/>
      <sheetName val="5.8分组工程组成表"/>
      <sheetName val="材料预算表"/>
      <sheetName val="机械台班费计算表"/>
      <sheetName val="5.13资金流"/>
      <sheetName val="降价系数"/>
      <sheetName val="工程量汇总"/>
      <sheetName val="王单价"/>
      <sheetName val="临时工程单价汇总表"/>
      <sheetName val="取费"/>
      <sheetName val="土建单价测试表"/>
      <sheetName val="综合单价测试表"/>
      <sheetName val="主材定价"/>
      <sheetName val="风水电价"/>
      <sheetName val="SW-TEO"/>
      <sheetName val="附表4直接工程费单价表"/>
      <sheetName val="附表2材料价格计算表"/>
      <sheetName val="表3工程施工费用"/>
      <sheetName val="附表2人工预算单价"/>
      <sheetName val="材料调差"/>
      <sheetName val="人工单价"/>
      <sheetName val="定额"/>
      <sheetName val="附表4砼、沙浆费计算表"/>
      <sheetName val="eqpmad2"/>
      <sheetName val="单位估价"/>
      <sheetName val="前期"/>
      <sheetName val="业主"/>
      <sheetName val="附表4工程费单价表"/>
      <sheetName val="附表2 材料价格表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汇总"/>
      <sheetName val="分表"/>
      <sheetName val="设备"/>
      <sheetName val="工程单价"/>
      <sheetName val="主材价表"/>
      <sheetName val="砼配比"/>
      <sheetName val="材料用量"/>
      <sheetName val="材价汇"/>
      <sheetName val="机械"/>
      <sheetName val="单价汇总"/>
      <sheetName val="机械汇总"/>
      <sheetName val="人工单价"/>
      <sheetName val="机总"/>
      <sheetName val="报价汇总表"/>
      <sheetName val="分项工程量报价表"/>
      <sheetName val="主要材料用量表"/>
      <sheetName val="主要材料预算表"/>
      <sheetName val="单价汇总表"/>
      <sheetName val="国民经济效益费用流量表（全部投资）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工作证"/>
      <sheetName val="配置参数"/>
      <sheetName val="数据字典"/>
      <sheetName val="二级代码"/>
    </sheetNames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附表2-1主要材料价格计算表"/>
      <sheetName val="表1总预算及分年南"/>
      <sheetName val="表2预算总表 南"/>
      <sheetName val="表3工程施工费南 "/>
      <sheetName val="表3-1直接费南"/>
      <sheetName val="表3-1-1直接工程费南"/>
      <sheetName val="表3-2间接费南"/>
      <sheetName val="表4设备费南 "/>
      <sheetName val="表5其他费用南 "/>
      <sheetName val="表5-1前期工作费南"/>
      <sheetName val="表5-2工程监理费南"/>
      <sheetName val="表5-3竣工验收费南 "/>
      <sheetName val="表5-4业主管理费南 "/>
      <sheetName val="表6不可预见费南 "/>
      <sheetName val="表7分月用款计划南 "/>
      <sheetName val="附表1 人工单价表"/>
      <sheetName val="附表2 材料价格表"/>
      <sheetName val="附表3机械台班使用费"/>
      <sheetName val="附表3-1补充机械定额"/>
      <sheetName val="附表4风、水、电计算表"/>
      <sheetName val="附表4直接工程费单价表"/>
      <sheetName val="附表5砼、沙浆费计算表"/>
      <sheetName val="工程量"/>
      <sheetName val="附表2人工预算单价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附表4砼、沙浆费计算表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附表2"/>
      <sheetName val="砼、砂浆半成品预算表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新定额单价"/>
      <sheetName val="现金流量表"/>
      <sheetName val="成本表"/>
      <sheetName val="损益表"/>
      <sheetName val="资金运用表"/>
    </sheet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总表 "/>
      <sheetName val="概算"/>
      <sheetName val="机电设备"/>
      <sheetName val="金属结构"/>
      <sheetName val="单价汇总"/>
      <sheetName val="单价分析"/>
      <sheetName val="台班总"/>
      <sheetName val="机械台班"/>
      <sheetName val="单价表"/>
      <sheetName val="配合"/>
      <sheetName val="PVC管材价格"/>
    </sheetNames>
    <sheetDataSet>
      <sheetData sheetId="4">
        <row r="4">
          <cell r="D4">
            <v>310.631092993258</v>
          </cell>
        </row>
        <row r="11">
          <cell r="D11">
            <v>2569.67170962588</v>
          </cell>
        </row>
        <row r="12">
          <cell r="D12">
            <v>3291.4018099096</v>
          </cell>
        </row>
      </sheetData>
      <sheetData sheetId="8">
        <row r="25">
          <cell r="O25">
            <v>79.7286671265315</v>
          </cell>
        </row>
        <row r="1620">
          <cell r="G1620">
            <v>184.700803734434</v>
          </cell>
        </row>
      </sheetData>
      <sheetData sheetId="10">
        <row r="13">
          <cell r="M13">
            <v>26.96</v>
          </cell>
        </row>
        <row r="20">
          <cell r="M20">
            <v>140.62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  <sheetName val="附表2 材料价格表"/>
      <sheetName val="附表4直接工程费单价表"/>
      <sheetName val="SW-TEO"/>
      <sheetName val="定额"/>
      <sheetName val="数据字典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封皮 (2)"/>
      <sheetName val="封皮 ()"/>
      <sheetName val="00000ppy"/>
      <sheetName val="表5-2工程监理费南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5"/>
      <sheetName val="#REF!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5"/>
      <sheetName val="附表4直接工程费单价表"/>
      <sheetName val="附表2材料价格计算表"/>
      <sheetName val="表3工程施工费用"/>
      <sheetName val="eqpmad2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数据字典"/>
      <sheetName val="附表4砼、沙浆费计算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F20"/>
  <sheetViews>
    <sheetView tabSelected="1" workbookViewId="0" topLeftCell="A13">
      <selection activeCell="J20" sqref="J20"/>
    </sheetView>
  </sheetViews>
  <sheetFormatPr defaultColWidth="9.00390625" defaultRowHeight="14.25"/>
  <cols>
    <col min="1" max="1" width="8.625" style="577" customWidth="1"/>
    <col min="2" max="2" width="25.625" style="522" customWidth="1"/>
    <col min="3" max="6" width="10.625" style="522" customWidth="1"/>
    <col min="7" max="16384" width="9.00390625" style="522" customWidth="1"/>
  </cols>
  <sheetData>
    <row r="1" spans="1:6" ht="30" customHeight="1">
      <c r="A1" s="578" t="s">
        <v>0</v>
      </c>
      <c r="B1" s="578"/>
      <c r="C1" s="578"/>
      <c r="D1" s="578"/>
      <c r="E1" s="578"/>
      <c r="F1" s="578"/>
    </row>
    <row r="2" spans="1:6" ht="19.5" customHeight="1">
      <c r="A2" s="579" t="s">
        <v>1</v>
      </c>
      <c r="B2" s="580"/>
      <c r="C2" s="580"/>
      <c r="D2" s="580"/>
      <c r="E2" s="581" t="s">
        <v>2</v>
      </c>
      <c r="F2" s="581"/>
    </row>
    <row r="3" spans="1:6" s="545" customFormat="1" ht="34.5" customHeight="1">
      <c r="A3" s="582" t="s">
        <v>3</v>
      </c>
      <c r="B3" s="582" t="s">
        <v>4</v>
      </c>
      <c r="C3" s="582" t="s">
        <v>5</v>
      </c>
      <c r="D3" s="582" t="s">
        <v>6</v>
      </c>
      <c r="E3" s="583" t="s">
        <v>7</v>
      </c>
      <c r="F3" s="582" t="s">
        <v>8</v>
      </c>
    </row>
    <row r="4" spans="1:6" s="576" customFormat="1" ht="34.5" customHeight="1">
      <c r="A4" s="584" t="s">
        <v>9</v>
      </c>
      <c r="B4" s="584"/>
      <c r="C4" s="585">
        <f>SUM(C5:C7)</f>
        <v>177.88083401742884</v>
      </c>
      <c r="D4" s="585"/>
      <c r="E4" s="586"/>
      <c r="F4" s="585">
        <f aca="true" t="shared" si="0" ref="F4:F9">SUM(C4:E4)</f>
        <v>177.88083401742884</v>
      </c>
    </row>
    <row r="5" spans="1:6" s="576" customFormat="1" ht="34.5" customHeight="1">
      <c r="A5" s="587" t="str">
        <f>'建筑概算表'!A4</f>
        <v>一</v>
      </c>
      <c r="B5" s="588" t="str">
        <f>'建筑概算表'!B4</f>
        <v>黄羊滩村灌区工程</v>
      </c>
      <c r="C5" s="587">
        <f>'建筑概算表'!F4/10000</f>
        <v>107.06913744237137</v>
      </c>
      <c r="D5" s="587"/>
      <c r="E5" s="589"/>
      <c r="F5" s="587">
        <f t="shared" si="0"/>
        <v>107.06913744237137</v>
      </c>
    </row>
    <row r="6" spans="1:6" s="576" customFormat="1" ht="34.5" customHeight="1">
      <c r="A6" s="590" t="str">
        <f>'建筑概算表'!A45</f>
        <v>二</v>
      </c>
      <c r="B6" s="588" t="str">
        <f>'建筑概算表'!B45</f>
        <v>水套村灌区工程</v>
      </c>
      <c r="C6" s="587">
        <f>'建筑概算表'!F45/10000</f>
        <v>63.32355138574054</v>
      </c>
      <c r="D6" s="587"/>
      <c r="E6" s="589"/>
      <c r="F6" s="587">
        <f t="shared" si="0"/>
        <v>63.32355138574054</v>
      </c>
    </row>
    <row r="7" spans="1:6" s="576" customFormat="1" ht="34.5" customHeight="1">
      <c r="A7" s="590" t="str">
        <f>'建筑概算表'!A76</f>
        <v>三</v>
      </c>
      <c r="B7" s="591" t="str">
        <f>'建筑概算表'!B76</f>
        <v>红塔村灌区工程</v>
      </c>
      <c r="C7" s="587">
        <f>'建筑概算表'!F76/10000</f>
        <v>7.488145189316931</v>
      </c>
      <c r="D7" s="587"/>
      <c r="E7" s="589"/>
      <c r="F7" s="587">
        <f t="shared" si="0"/>
        <v>7.488145189316931</v>
      </c>
    </row>
    <row r="8" spans="1:6" s="576" customFormat="1" ht="34.5" customHeight="1">
      <c r="A8" s="584" t="s">
        <v>10</v>
      </c>
      <c r="B8" s="584"/>
      <c r="C8" s="592"/>
      <c r="D8" s="585"/>
      <c r="E8" s="586"/>
      <c r="F8" s="585">
        <f t="shared" si="0"/>
        <v>0</v>
      </c>
    </row>
    <row r="9" spans="1:6" s="576" customFormat="1" ht="34.5" customHeight="1">
      <c r="A9" s="584" t="s">
        <v>11</v>
      </c>
      <c r="B9" s="584"/>
      <c r="C9" s="592"/>
      <c r="D9" s="585"/>
      <c r="E9" s="586"/>
      <c r="F9" s="585">
        <f t="shared" si="0"/>
        <v>0</v>
      </c>
    </row>
    <row r="10" spans="1:6" s="576" customFormat="1" ht="34.5" customHeight="1">
      <c r="A10" s="584" t="s">
        <v>12</v>
      </c>
      <c r="B10" s="584"/>
      <c r="C10" s="592">
        <f>C4+C8+C9</f>
        <v>177.88083401742884</v>
      </c>
      <c r="D10" s="592"/>
      <c r="E10" s="592"/>
      <c r="F10" s="585">
        <f aca="true" t="shared" si="1" ref="F10:F19">SUM(C10:E10)</f>
        <v>177.88083401742884</v>
      </c>
    </row>
    <row r="11" spans="1:6" s="576" customFormat="1" ht="34.5" customHeight="1">
      <c r="A11" s="584" t="s">
        <v>13</v>
      </c>
      <c r="B11" s="584"/>
      <c r="C11" s="592">
        <f>C10*1/100</f>
        <v>1.7788083401742885</v>
      </c>
      <c r="D11" s="585"/>
      <c r="E11" s="586"/>
      <c r="F11" s="585">
        <f t="shared" si="1"/>
        <v>1.7788083401742885</v>
      </c>
    </row>
    <row r="12" spans="1:6" s="576" customFormat="1" ht="34.5" customHeight="1">
      <c r="A12" s="584" t="s">
        <v>14</v>
      </c>
      <c r="B12" s="584"/>
      <c r="C12" s="592">
        <f>C10+C11</f>
        <v>179.65964235760313</v>
      </c>
      <c r="D12" s="592"/>
      <c r="E12" s="592"/>
      <c r="F12" s="585">
        <f t="shared" si="1"/>
        <v>179.65964235760313</v>
      </c>
    </row>
    <row r="13" spans="1:6" s="576" customFormat="1" ht="34.5" customHeight="1">
      <c r="A13" s="584" t="s">
        <v>15</v>
      </c>
      <c r="B13" s="584"/>
      <c r="C13" s="584"/>
      <c r="D13" s="585"/>
      <c r="E13" s="586">
        <f>SUM(E14:E18)</f>
        <v>12.576174965032218</v>
      </c>
      <c r="F13" s="585">
        <f t="shared" si="1"/>
        <v>12.576174965032218</v>
      </c>
    </row>
    <row r="14" spans="1:6" s="576" customFormat="1" ht="34.5" customHeight="1">
      <c r="A14" s="584" t="s">
        <v>16</v>
      </c>
      <c r="B14" s="588" t="s">
        <v>17</v>
      </c>
      <c r="C14" s="593"/>
      <c r="D14" s="587"/>
      <c r="E14" s="589">
        <f>F12*1.5%</f>
        <v>2.694894635364047</v>
      </c>
      <c r="F14" s="585">
        <f t="shared" si="1"/>
        <v>2.694894635364047</v>
      </c>
    </row>
    <row r="15" spans="1:6" s="576" customFormat="1" ht="34.5" customHeight="1">
      <c r="A15" s="593" t="s">
        <v>18</v>
      </c>
      <c r="B15" s="588" t="s">
        <v>19</v>
      </c>
      <c r="C15" s="593"/>
      <c r="D15" s="593"/>
      <c r="E15" s="589">
        <f>F12*1.5%</f>
        <v>2.694894635364047</v>
      </c>
      <c r="F15" s="585">
        <f t="shared" si="1"/>
        <v>2.694894635364047</v>
      </c>
    </row>
    <row r="16" spans="1:6" s="576" customFormat="1" ht="34.5" customHeight="1">
      <c r="A16" s="593" t="s">
        <v>20</v>
      </c>
      <c r="B16" s="588" t="s">
        <v>21</v>
      </c>
      <c r="C16" s="593"/>
      <c r="D16" s="593"/>
      <c r="E16" s="589">
        <f>F12*3%</f>
        <v>5.389789270728094</v>
      </c>
      <c r="F16" s="585">
        <f t="shared" si="1"/>
        <v>5.389789270728094</v>
      </c>
    </row>
    <row r="17" spans="1:6" s="576" customFormat="1" ht="34.5" customHeight="1">
      <c r="A17" s="593" t="s">
        <v>22</v>
      </c>
      <c r="B17" s="588" t="s">
        <v>23</v>
      </c>
      <c r="C17" s="593"/>
      <c r="D17" s="593"/>
      <c r="E17" s="589">
        <f>F12*0.5%</f>
        <v>0.8982982117880157</v>
      </c>
      <c r="F17" s="585">
        <f t="shared" si="1"/>
        <v>0.8982982117880157</v>
      </c>
    </row>
    <row r="18" spans="1:6" s="576" customFormat="1" ht="34.5" customHeight="1">
      <c r="A18" s="593" t="s">
        <v>24</v>
      </c>
      <c r="B18" s="588" t="s">
        <v>25</v>
      </c>
      <c r="C18" s="593"/>
      <c r="D18" s="593"/>
      <c r="E18" s="589">
        <f>F12*0.5%</f>
        <v>0.8982982117880157</v>
      </c>
      <c r="F18" s="585">
        <f t="shared" si="1"/>
        <v>0.8982982117880157</v>
      </c>
    </row>
    <row r="19" spans="1:6" s="576" customFormat="1" ht="34.5" customHeight="1">
      <c r="A19" s="584" t="s">
        <v>26</v>
      </c>
      <c r="B19" s="584"/>
      <c r="C19" s="585">
        <f>C12+C13</f>
        <v>179.65964235760313</v>
      </c>
      <c r="D19" s="585"/>
      <c r="E19" s="585">
        <f>E12+E13</f>
        <v>12.576174965032218</v>
      </c>
      <c r="F19" s="585">
        <f t="shared" si="1"/>
        <v>192.23581732263534</v>
      </c>
    </row>
    <row r="20" spans="1:6" s="576" customFormat="1" ht="34.5" customHeight="1">
      <c r="A20" s="584" t="s">
        <v>27</v>
      </c>
      <c r="B20" s="584"/>
      <c r="C20" s="592"/>
      <c r="D20" s="585"/>
      <c r="E20" s="586"/>
      <c r="F20" s="585">
        <f>F19</f>
        <v>192.23581732263534</v>
      </c>
    </row>
  </sheetData>
  <sheetProtection/>
  <mergeCells count="12">
    <mergeCell ref="A1:F1"/>
    <mergeCell ref="A2:D2"/>
    <mergeCell ref="E2:F2"/>
    <mergeCell ref="A4:B4"/>
    <mergeCell ref="A8:B8"/>
    <mergeCell ref="A9:B9"/>
    <mergeCell ref="A10:B10"/>
    <mergeCell ref="A11:B11"/>
    <mergeCell ref="A12:B12"/>
    <mergeCell ref="A13:B13"/>
    <mergeCell ref="A19:B19"/>
    <mergeCell ref="A20:B20"/>
  </mergeCells>
  <printOptions/>
  <pageMargins left="0.9842519685039371" right="0.7874015748031497" top="0.7874015748031497" bottom="0.7874015748031497" header="0.3937007874015748" footer="0.3937007874015748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4"/>
  </sheetPr>
  <dimension ref="A1:HZ263"/>
  <sheetViews>
    <sheetView zoomScaleSheetLayoutView="100" workbookViewId="0" topLeftCell="A225">
      <selection activeCell="A240" sqref="A240:IV240"/>
    </sheetView>
  </sheetViews>
  <sheetFormatPr defaultColWidth="9.00390625" defaultRowHeight="14.25"/>
  <cols>
    <col min="1" max="1" width="6.50390625" style="13" customWidth="1"/>
    <col min="2" max="2" width="42.875" style="14" customWidth="1"/>
    <col min="3" max="3" width="6.625" style="14" customWidth="1"/>
    <col min="4" max="4" width="9.50390625" style="14" customWidth="1"/>
    <col min="5" max="5" width="9.25390625" style="14" customWidth="1"/>
    <col min="6" max="6" width="9.375" style="15" customWidth="1"/>
    <col min="7" max="7" width="8.875" style="14" customWidth="1"/>
    <col min="8" max="8" width="9.00390625" style="14" customWidth="1"/>
    <col min="9" max="9" width="11.50390625" style="14" bestFit="1" customWidth="1"/>
    <col min="10" max="10" width="9.00390625" style="14" customWidth="1"/>
    <col min="11" max="11" width="9.25390625" style="14" bestFit="1" customWidth="1"/>
    <col min="12" max="12" width="9.00390625" style="14" customWidth="1"/>
    <col min="13" max="13" width="9.625" style="14" bestFit="1" customWidth="1"/>
    <col min="14" max="16384" width="9.00390625" style="14" customWidth="1"/>
  </cols>
  <sheetData>
    <row r="1" spans="1:7" ht="18.75">
      <c r="A1" s="16" t="s">
        <v>613</v>
      </c>
      <c r="B1" s="16"/>
      <c r="C1" s="16"/>
      <c r="D1" s="16"/>
      <c r="E1" s="16"/>
      <c r="F1" s="17"/>
      <c r="G1" s="16"/>
    </row>
    <row r="2" spans="1:7" ht="15" customHeight="1">
      <c r="A2" s="18"/>
      <c r="B2" s="19"/>
      <c r="C2" s="19"/>
      <c r="D2" s="20"/>
      <c r="E2" s="21"/>
      <c r="F2" s="22" t="s">
        <v>30</v>
      </c>
      <c r="G2" s="23"/>
    </row>
    <row r="3" spans="1:14" ht="15" customHeight="1">
      <c r="A3" s="24" t="s">
        <v>31</v>
      </c>
      <c r="B3" s="24" t="s">
        <v>32</v>
      </c>
      <c r="C3" s="24" t="s">
        <v>33</v>
      </c>
      <c r="D3" s="24" t="s">
        <v>34</v>
      </c>
      <c r="E3" s="24" t="s">
        <v>35</v>
      </c>
      <c r="F3" s="25" t="s">
        <v>36</v>
      </c>
      <c r="G3" s="24" t="s">
        <v>37</v>
      </c>
      <c r="L3" s="13"/>
      <c r="M3" s="79"/>
      <c r="N3" s="79"/>
    </row>
    <row r="4" spans="1:14" ht="15" customHeight="1">
      <c r="A4" s="26" t="s">
        <v>16</v>
      </c>
      <c r="B4" s="27" t="s">
        <v>614</v>
      </c>
      <c r="C4" s="28" t="s">
        <v>615</v>
      </c>
      <c r="D4" s="29">
        <f>D5+D9+D13+D17</f>
        <v>1580</v>
      </c>
      <c r="E4" s="30"/>
      <c r="F4" s="31">
        <f>F5+F9+F13+F17+F21</f>
        <v>30880083.149334237</v>
      </c>
      <c r="G4" s="30"/>
      <c r="L4" s="13"/>
      <c r="M4" s="79"/>
      <c r="N4" s="79"/>
    </row>
    <row r="5" spans="1:14" s="1" customFormat="1" ht="15" customHeight="1">
      <c r="A5" s="32">
        <v>1</v>
      </c>
      <c r="B5" s="33" t="s">
        <v>616</v>
      </c>
      <c r="C5" s="34" t="s">
        <v>615</v>
      </c>
      <c r="D5" s="34">
        <v>380</v>
      </c>
      <c r="E5" s="35"/>
      <c r="F5" s="36">
        <f>SUM(F6:F8)</f>
        <v>6565208.932434167</v>
      </c>
      <c r="G5" s="35"/>
      <c r="I5" s="1">
        <f>D6+D10+D14+D18</f>
        <v>1379601.6</v>
      </c>
      <c r="L5" s="80"/>
      <c r="M5" s="81"/>
      <c r="N5" s="81"/>
    </row>
    <row r="6" spans="1:14" s="1" customFormat="1" ht="15" customHeight="1">
      <c r="A6" s="34"/>
      <c r="B6" s="37" t="s">
        <v>617</v>
      </c>
      <c r="C6" s="38" t="s">
        <v>365</v>
      </c>
      <c r="D6" s="39">
        <f>(77575+280914)*1.2</f>
        <v>430186.8</v>
      </c>
      <c r="E6" s="40">
        <f>'单价汇总'!D12/100</f>
        <v>14.761972369318114</v>
      </c>
      <c r="F6" s="36">
        <f>D6*E6</f>
        <v>6350405.655245378</v>
      </c>
      <c r="G6" s="35"/>
      <c r="I6" s="1">
        <f>D7+D11+D15+D19</f>
        <v>220978.80000000002</v>
      </c>
      <c r="L6" s="80"/>
      <c r="M6" s="81"/>
      <c r="N6" s="81"/>
    </row>
    <row r="7" spans="1:14" s="1" customFormat="1" ht="15" customHeight="1">
      <c r="A7" s="34"/>
      <c r="B7" s="37" t="s">
        <v>618</v>
      </c>
      <c r="C7" s="38" t="s">
        <v>365</v>
      </c>
      <c r="D7" s="39">
        <f>380*666*0.2*1.05</f>
        <v>53146.8</v>
      </c>
      <c r="E7" s="40">
        <f>'单价汇总'!D5/100</f>
        <v>3.4339466757883654</v>
      </c>
      <c r="F7" s="36">
        <f>D7*E7</f>
        <v>182503.2771887891</v>
      </c>
      <c r="G7" s="35"/>
      <c r="I7" s="1">
        <f>D8+D12+D16+D20</f>
        <v>1580</v>
      </c>
      <c r="L7" s="80"/>
      <c r="M7" s="81"/>
      <c r="N7" s="81"/>
    </row>
    <row r="8" spans="1:14" s="1" customFormat="1" ht="15" customHeight="1">
      <c r="A8" s="34"/>
      <c r="B8" s="37" t="s">
        <v>619</v>
      </c>
      <c r="C8" s="34" t="s">
        <v>615</v>
      </c>
      <c r="D8" s="34">
        <v>380</v>
      </c>
      <c r="E8" s="41">
        <v>85</v>
      </c>
      <c r="F8" s="36">
        <f>D8*E8</f>
        <v>32300</v>
      </c>
      <c r="G8" s="35"/>
      <c r="L8" s="80"/>
      <c r="M8" s="81"/>
      <c r="N8" s="81"/>
    </row>
    <row r="9" spans="1:14" ht="15" customHeight="1">
      <c r="A9" s="34">
        <v>2</v>
      </c>
      <c r="B9" s="33" t="s">
        <v>620</v>
      </c>
      <c r="C9" s="34" t="s">
        <v>615</v>
      </c>
      <c r="D9" s="34">
        <v>460</v>
      </c>
      <c r="E9" s="40"/>
      <c r="F9" s="36">
        <f>SUM(F10:F12)</f>
        <v>2676122.9422300933</v>
      </c>
      <c r="G9" s="35"/>
      <c r="L9" s="13"/>
      <c r="M9" s="79"/>
      <c r="N9" s="79"/>
    </row>
    <row r="10" spans="1:14" ht="15" customHeight="1">
      <c r="A10" s="34"/>
      <c r="B10" s="37" t="s">
        <v>617</v>
      </c>
      <c r="C10" s="38" t="s">
        <v>365</v>
      </c>
      <c r="D10" s="39">
        <f>136392*1.2</f>
        <v>163670.4</v>
      </c>
      <c r="E10" s="40">
        <f>E6</f>
        <v>14.761972369318114</v>
      </c>
      <c r="F10" s="36">
        <f>D10*E10</f>
        <v>2416097.9224752435</v>
      </c>
      <c r="G10" s="35"/>
      <c r="L10" s="13"/>
      <c r="M10" s="79"/>
      <c r="N10" s="79"/>
    </row>
    <row r="11" spans="1:14" ht="15" customHeight="1">
      <c r="A11" s="34"/>
      <c r="B11" s="37" t="s">
        <v>618</v>
      </c>
      <c r="C11" s="38" t="s">
        <v>365</v>
      </c>
      <c r="D11" s="39">
        <f>460*666*0.2*1.05</f>
        <v>64335.600000000006</v>
      </c>
      <c r="E11" s="40">
        <f>E7</f>
        <v>3.4339466757883654</v>
      </c>
      <c r="F11" s="36">
        <f>D11*E11</f>
        <v>220925.01975485</v>
      </c>
      <c r="G11" s="35"/>
      <c r="I11" s="14">
        <f>D6+D10</f>
        <v>593857.2</v>
      </c>
      <c r="L11" s="13"/>
      <c r="M11" s="79"/>
      <c r="N11" s="79"/>
    </row>
    <row r="12" spans="1:14" ht="15" customHeight="1">
      <c r="A12" s="34"/>
      <c r="B12" s="37" t="s">
        <v>619</v>
      </c>
      <c r="C12" s="34" t="s">
        <v>615</v>
      </c>
      <c r="D12" s="34">
        <v>460</v>
      </c>
      <c r="E12" s="41">
        <f>E8</f>
        <v>85</v>
      </c>
      <c r="F12" s="36">
        <f>D12*E12</f>
        <v>39100</v>
      </c>
      <c r="G12" s="35"/>
      <c r="L12" s="13"/>
      <c r="M12" s="79"/>
      <c r="N12" s="79"/>
    </row>
    <row r="13" spans="1:14" s="1" customFormat="1" ht="15" customHeight="1">
      <c r="A13" s="34">
        <v>3</v>
      </c>
      <c r="B13" s="33" t="s">
        <v>621</v>
      </c>
      <c r="C13" s="34" t="s">
        <v>615</v>
      </c>
      <c r="D13" s="34">
        <v>290</v>
      </c>
      <c r="E13" s="40"/>
      <c r="F13" s="36">
        <f>SUM(F14:F16)</f>
        <v>13286143.70610943</v>
      </c>
      <c r="G13" s="35"/>
      <c r="L13" s="80"/>
      <c r="M13" s="81"/>
      <c r="N13" s="81"/>
    </row>
    <row r="14" spans="1:14" s="1" customFormat="1" ht="15" customHeight="1">
      <c r="A14" s="34"/>
      <c r="B14" s="37" t="s">
        <v>622</v>
      </c>
      <c r="C14" s="38" t="s">
        <v>365</v>
      </c>
      <c r="D14" s="39">
        <f>524289*1.2</f>
        <v>629146.7999999999</v>
      </c>
      <c r="E14" s="40">
        <f>'单价汇总'!D13/100</f>
        <v>20.8571590752865</v>
      </c>
      <c r="F14" s="36">
        <f>D14*E14</f>
        <v>13122214.88930746</v>
      </c>
      <c r="G14" s="35"/>
      <c r="I14" s="1">
        <f>D14+D18</f>
        <v>785744.3999999999</v>
      </c>
      <c r="L14" s="80"/>
      <c r="M14" s="81"/>
      <c r="N14" s="81"/>
    </row>
    <row r="15" spans="1:14" s="1" customFormat="1" ht="15" customHeight="1">
      <c r="A15" s="34"/>
      <c r="B15" s="37" t="s">
        <v>618</v>
      </c>
      <c r="C15" s="38" t="s">
        <v>365</v>
      </c>
      <c r="D15" s="39">
        <f>290*666*0.2*1.05</f>
        <v>40559.4</v>
      </c>
      <c r="E15" s="40">
        <f>E11</f>
        <v>3.4339466757883654</v>
      </c>
      <c r="F15" s="36">
        <f>D15*E15</f>
        <v>139278.81680197062</v>
      </c>
      <c r="G15" s="35"/>
      <c r="L15" s="80"/>
      <c r="M15" s="81"/>
      <c r="N15" s="81"/>
    </row>
    <row r="16" spans="1:14" s="1" customFormat="1" ht="15" customHeight="1">
      <c r="A16" s="34"/>
      <c r="B16" s="37" t="s">
        <v>619</v>
      </c>
      <c r="C16" s="34" t="s">
        <v>615</v>
      </c>
      <c r="D16" s="34">
        <v>290</v>
      </c>
      <c r="E16" s="41">
        <f>E12</f>
        <v>85</v>
      </c>
      <c r="F16" s="36">
        <f>D16*E16</f>
        <v>24650</v>
      </c>
      <c r="G16" s="35"/>
      <c r="L16" s="80"/>
      <c r="M16" s="81"/>
      <c r="N16" s="81"/>
    </row>
    <row r="17" spans="1:14" ht="15" customHeight="1">
      <c r="A17" s="34">
        <v>4</v>
      </c>
      <c r="B17" s="33" t="s">
        <v>623</v>
      </c>
      <c r="C17" s="34" t="s">
        <v>615</v>
      </c>
      <c r="D17" s="34">
        <v>450</v>
      </c>
      <c r="E17" s="40"/>
      <c r="F17" s="36">
        <f>SUM(F18:F20)</f>
        <v>3520553.3559421776</v>
      </c>
      <c r="G17" s="35"/>
      <c r="L17" s="13"/>
      <c r="M17" s="79"/>
      <c r="N17" s="79"/>
    </row>
    <row r="18" spans="1:14" ht="15" customHeight="1">
      <c r="A18" s="34"/>
      <c r="B18" s="37" t="s">
        <v>622</v>
      </c>
      <c r="C18" s="38" t="s">
        <v>365</v>
      </c>
      <c r="D18" s="39">
        <f>130498*1.2</f>
        <v>156597.6</v>
      </c>
      <c r="E18" s="40">
        <f>E14</f>
        <v>20.8571590752865</v>
      </c>
      <c r="F18" s="36">
        <f>D18*E18</f>
        <v>3266181.0540080853</v>
      </c>
      <c r="G18" s="35"/>
      <c r="L18" s="13"/>
      <c r="M18" s="79"/>
      <c r="N18" s="79"/>
    </row>
    <row r="19" spans="1:14" ht="15" customHeight="1">
      <c r="A19" s="34"/>
      <c r="B19" s="37" t="s">
        <v>618</v>
      </c>
      <c r="C19" s="38" t="s">
        <v>365</v>
      </c>
      <c r="D19" s="39">
        <f>450*666*0.2*1.05</f>
        <v>62937</v>
      </c>
      <c r="E19" s="40">
        <f>E15</f>
        <v>3.4339466757883654</v>
      </c>
      <c r="F19" s="36">
        <f>D19*E19</f>
        <v>216122.30193409236</v>
      </c>
      <c r="G19" s="35"/>
      <c r="I19" s="14" t="s">
        <v>624</v>
      </c>
      <c r="J19" s="14">
        <f>D32+D41+D59+D158+D167+D176+D185+D193+D197+D202+D207+D210+D247</f>
        <v>349447.8</v>
      </c>
      <c r="L19" s="13"/>
      <c r="M19" s="79"/>
      <c r="N19" s="79"/>
    </row>
    <row r="20" spans="1:14" ht="15" customHeight="1">
      <c r="A20" s="34"/>
      <c r="B20" s="37" t="s">
        <v>619</v>
      </c>
      <c r="C20" s="34" t="s">
        <v>615</v>
      </c>
      <c r="D20" s="34">
        <v>450</v>
      </c>
      <c r="E20" s="41">
        <f>E16</f>
        <v>85</v>
      </c>
      <c r="F20" s="36">
        <f>D20*E20</f>
        <v>38250</v>
      </c>
      <c r="G20" s="35"/>
      <c r="L20" s="13"/>
      <c r="M20" s="79"/>
      <c r="N20" s="79"/>
    </row>
    <row r="21" spans="1:14" ht="15" customHeight="1">
      <c r="A21" s="34">
        <v>5</v>
      </c>
      <c r="B21" s="37" t="s">
        <v>625</v>
      </c>
      <c r="C21" s="37"/>
      <c r="D21" s="37"/>
      <c r="E21" s="41"/>
      <c r="F21" s="36">
        <f>F22+F23</f>
        <v>4832054.21261837</v>
      </c>
      <c r="G21" s="35"/>
      <c r="L21" s="13"/>
      <c r="M21" s="79"/>
      <c r="N21" s="79"/>
    </row>
    <row r="22" spans="1:14" ht="15" customHeight="1">
      <c r="A22" s="34"/>
      <c r="B22" s="37" t="s">
        <v>618</v>
      </c>
      <c r="C22" s="38" t="s">
        <v>365</v>
      </c>
      <c r="D22" s="34">
        <f>(D6+D10+D14+D18)*0.65</f>
        <v>896741.04</v>
      </c>
      <c r="E22" s="40">
        <f>'单价汇总'!D5/100</f>
        <v>3.4339466757883654</v>
      </c>
      <c r="F22" s="36">
        <f>D22*E22</f>
        <v>3079360.9133510017</v>
      </c>
      <c r="G22" s="35"/>
      <c r="L22" s="13"/>
      <c r="M22" s="79"/>
      <c r="N22" s="79"/>
    </row>
    <row r="23" spans="1:14" s="2" customFormat="1" ht="15" customHeight="1">
      <c r="A23" s="42"/>
      <c r="B23" s="43" t="s">
        <v>626</v>
      </c>
      <c r="C23" s="44" t="s">
        <v>365</v>
      </c>
      <c r="D23" s="42">
        <f>40*12*50*12</f>
        <v>288000</v>
      </c>
      <c r="E23" s="45">
        <f>'单价汇总'!D6/100</f>
        <v>6.0857406224561394</v>
      </c>
      <c r="F23" s="46">
        <f>D23*E23</f>
        <v>1752693.2992673682</v>
      </c>
      <c r="G23" s="47"/>
      <c r="L23" s="82"/>
      <c r="M23" s="83"/>
      <c r="N23" s="83"/>
    </row>
    <row r="24" spans="1:14" ht="15" customHeight="1">
      <c r="A24" s="48" t="s">
        <v>18</v>
      </c>
      <c r="B24" s="49" t="s">
        <v>627</v>
      </c>
      <c r="C24" s="48"/>
      <c r="D24" s="48"/>
      <c r="E24" s="50"/>
      <c r="F24" s="31" t="e">
        <f>F25+F27+F29+F85</f>
        <v>#REF!</v>
      </c>
      <c r="G24" s="30"/>
      <c r="L24" s="13"/>
      <c r="M24" s="79"/>
      <c r="N24" s="79"/>
    </row>
    <row r="25" spans="1:14" ht="15" customHeight="1">
      <c r="A25" s="48" t="s">
        <v>560</v>
      </c>
      <c r="B25" s="51" t="s">
        <v>628</v>
      </c>
      <c r="C25" s="26" t="s">
        <v>629</v>
      </c>
      <c r="D25" s="26">
        <v>6</v>
      </c>
      <c r="E25" s="26"/>
      <c r="F25" s="52">
        <f>F26</f>
        <v>105000</v>
      </c>
      <c r="G25" s="26"/>
      <c r="L25" s="13"/>
      <c r="M25" s="79"/>
      <c r="N25" s="79"/>
    </row>
    <row r="26" spans="1:14" ht="15" customHeight="1">
      <c r="A26" s="34"/>
      <c r="B26" s="53" t="s">
        <v>630</v>
      </c>
      <c r="C26" s="24" t="s">
        <v>44</v>
      </c>
      <c r="D26" s="24">
        <f>50*D25</f>
        <v>300</v>
      </c>
      <c r="E26" s="24">
        <f>350</f>
        <v>350</v>
      </c>
      <c r="F26" s="25">
        <f>D26*E26</f>
        <v>105000</v>
      </c>
      <c r="G26" s="24"/>
      <c r="L26" s="13"/>
      <c r="M26" s="79"/>
      <c r="N26" s="79"/>
    </row>
    <row r="27" spans="1:14" ht="15" customHeight="1">
      <c r="A27" s="48" t="s">
        <v>568</v>
      </c>
      <c r="B27" s="51" t="s">
        <v>631</v>
      </c>
      <c r="C27" s="26" t="s">
        <v>65</v>
      </c>
      <c r="D27" s="26">
        <f>6</f>
        <v>6</v>
      </c>
      <c r="E27" s="26"/>
      <c r="F27" s="52">
        <f>F28</f>
        <v>432000</v>
      </c>
      <c r="G27" s="26"/>
      <c r="L27" s="13"/>
      <c r="M27" s="79"/>
      <c r="N27" s="79"/>
    </row>
    <row r="28" spans="1:14" ht="15" customHeight="1">
      <c r="A28" s="34"/>
      <c r="B28" s="53" t="s">
        <v>632</v>
      </c>
      <c r="C28" s="24" t="s">
        <v>633</v>
      </c>
      <c r="D28" s="24">
        <f>36*D27</f>
        <v>216</v>
      </c>
      <c r="E28" s="24">
        <f>2000</f>
        <v>2000</v>
      </c>
      <c r="F28" s="25">
        <f>D28*E28</f>
        <v>432000</v>
      </c>
      <c r="G28" s="24"/>
      <c r="L28" s="13"/>
      <c r="M28" s="79"/>
      <c r="N28" s="79"/>
    </row>
    <row r="29" spans="1:7" s="3" customFormat="1" ht="15" customHeight="1">
      <c r="A29" s="54" t="s">
        <v>634</v>
      </c>
      <c r="B29" s="55" t="s">
        <v>635</v>
      </c>
      <c r="C29" s="54" t="s">
        <v>636</v>
      </c>
      <c r="D29" s="56">
        <f>D30+D74</f>
        <v>27.452</v>
      </c>
      <c r="E29" s="55"/>
      <c r="F29" s="57" t="e">
        <f>F30+F39+F57+F74</f>
        <v>#REF!</v>
      </c>
      <c r="G29" s="55"/>
    </row>
    <row r="30" spans="1:226" s="4" customFormat="1" ht="15" customHeight="1">
      <c r="A30" s="58">
        <v>1</v>
      </c>
      <c r="B30" s="59" t="s">
        <v>637</v>
      </c>
      <c r="C30" s="60" t="s">
        <v>636</v>
      </c>
      <c r="D30" s="61">
        <f>D31+D39+D57</f>
        <v>3.652</v>
      </c>
      <c r="E30" s="59"/>
      <c r="F30" s="62" t="e">
        <f>F31</f>
        <v>#REF!</v>
      </c>
      <c r="G30" s="59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</row>
    <row r="31" spans="1:226" s="5" customFormat="1" ht="15" customHeight="1">
      <c r="A31" s="58">
        <v>1.1</v>
      </c>
      <c r="B31" s="59" t="s">
        <v>638</v>
      </c>
      <c r="C31" s="60" t="s">
        <v>636</v>
      </c>
      <c r="D31" s="63">
        <v>0.85</v>
      </c>
      <c r="E31" s="64"/>
      <c r="F31" s="65" t="e">
        <f>SUM(F32:F38)</f>
        <v>#REF!</v>
      </c>
      <c r="G31" s="59"/>
      <c r="H31" s="66"/>
      <c r="I31" s="66">
        <f>D31+D40</f>
        <v>1.28</v>
      </c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66"/>
      <c r="CG31" s="66"/>
      <c r="CH31" s="66"/>
      <c r="CI31" s="66"/>
      <c r="CJ31" s="66"/>
      <c r="CK31" s="66"/>
      <c r="CL31" s="66"/>
      <c r="CM31" s="66"/>
      <c r="CN31" s="66"/>
      <c r="CO31" s="66"/>
      <c r="CP31" s="66"/>
      <c r="CQ31" s="66"/>
      <c r="CR31" s="66"/>
      <c r="CS31" s="66"/>
      <c r="CT31" s="66"/>
      <c r="CU31" s="66"/>
      <c r="CV31" s="66"/>
      <c r="CW31" s="66"/>
      <c r="CX31" s="66"/>
      <c r="CY31" s="66"/>
      <c r="CZ31" s="66"/>
      <c r="DA31" s="66"/>
      <c r="DB31" s="66"/>
      <c r="DC31" s="66"/>
      <c r="DD31" s="66"/>
      <c r="DE31" s="66"/>
      <c r="DF31" s="66"/>
      <c r="DG31" s="66"/>
      <c r="DH31" s="66"/>
      <c r="DI31" s="66"/>
      <c r="DJ31" s="66"/>
      <c r="DK31" s="66"/>
      <c r="DL31" s="66"/>
      <c r="DM31" s="66"/>
      <c r="DN31" s="66"/>
      <c r="DO31" s="66"/>
      <c r="DP31" s="66"/>
      <c r="DQ31" s="66"/>
      <c r="DR31" s="66"/>
      <c r="DS31" s="66"/>
      <c r="DT31" s="66"/>
      <c r="DU31" s="66"/>
      <c r="DV31" s="66"/>
      <c r="DW31" s="66"/>
      <c r="DX31" s="66"/>
      <c r="DY31" s="66"/>
      <c r="DZ31" s="66"/>
      <c r="EA31" s="66"/>
      <c r="EB31" s="66"/>
      <c r="EC31" s="66"/>
      <c r="ED31" s="66"/>
      <c r="EE31" s="66"/>
      <c r="EF31" s="66"/>
      <c r="EG31" s="66"/>
      <c r="EH31" s="66"/>
      <c r="EI31" s="66"/>
      <c r="EJ31" s="66"/>
      <c r="EK31" s="66"/>
      <c r="EL31" s="66"/>
      <c r="EM31" s="66"/>
      <c r="EN31" s="66"/>
      <c r="EO31" s="66"/>
      <c r="EP31" s="66"/>
      <c r="EQ31" s="66"/>
      <c r="ER31" s="66"/>
      <c r="ES31" s="66"/>
      <c r="ET31" s="66"/>
      <c r="EU31" s="66"/>
      <c r="EV31" s="66"/>
      <c r="EW31" s="66"/>
      <c r="EX31" s="66"/>
      <c r="EY31" s="66"/>
      <c r="EZ31" s="66"/>
      <c r="FA31" s="66"/>
      <c r="FB31" s="66"/>
      <c r="FC31" s="66"/>
      <c r="FD31" s="66"/>
      <c r="FE31" s="66"/>
      <c r="FF31" s="66"/>
      <c r="FG31" s="66"/>
      <c r="FH31" s="66"/>
      <c r="FI31" s="66"/>
      <c r="FJ31" s="66"/>
      <c r="FK31" s="66"/>
      <c r="FL31" s="66"/>
      <c r="FM31" s="66"/>
      <c r="FN31" s="66"/>
      <c r="FO31" s="66"/>
      <c r="FP31" s="66"/>
      <c r="FQ31" s="66"/>
      <c r="FR31" s="66"/>
      <c r="FS31" s="66"/>
      <c r="FT31" s="66"/>
      <c r="FU31" s="66"/>
      <c r="FV31" s="66"/>
      <c r="FW31" s="66"/>
      <c r="FX31" s="66"/>
      <c r="FY31" s="66"/>
      <c r="FZ31" s="66"/>
      <c r="GA31" s="66"/>
      <c r="GB31" s="66"/>
      <c r="GC31" s="66"/>
      <c r="GD31" s="66"/>
      <c r="GE31" s="66"/>
      <c r="GF31" s="66"/>
      <c r="GG31" s="66"/>
      <c r="GH31" s="66"/>
      <c r="GI31" s="66"/>
      <c r="GJ31" s="66"/>
      <c r="GK31" s="66"/>
      <c r="GL31" s="66"/>
      <c r="GM31" s="66"/>
      <c r="GN31" s="66"/>
      <c r="GO31" s="66"/>
      <c r="GP31" s="66"/>
      <c r="GQ31" s="66"/>
      <c r="GR31" s="66"/>
      <c r="GS31" s="66"/>
      <c r="GT31" s="66"/>
      <c r="GU31" s="66"/>
      <c r="GV31" s="66"/>
      <c r="GW31" s="66"/>
      <c r="GX31" s="66"/>
      <c r="GY31" s="66"/>
      <c r="GZ31" s="66"/>
      <c r="HA31" s="66"/>
      <c r="HB31" s="66"/>
      <c r="HC31" s="66"/>
      <c r="HD31" s="66"/>
      <c r="HE31" s="66"/>
      <c r="HF31" s="66"/>
      <c r="HG31" s="66"/>
      <c r="HH31" s="66"/>
      <c r="HI31" s="66"/>
      <c r="HJ31" s="66"/>
      <c r="HK31" s="66"/>
      <c r="HL31" s="66"/>
      <c r="HM31" s="66"/>
      <c r="HN31" s="66"/>
      <c r="HO31" s="66"/>
      <c r="HP31" s="66"/>
      <c r="HQ31" s="66"/>
      <c r="HR31" s="66"/>
    </row>
    <row r="32" spans="1:226" s="6" customFormat="1" ht="15" customHeight="1">
      <c r="A32" s="58"/>
      <c r="B32" s="67" t="s">
        <v>639</v>
      </c>
      <c r="C32" s="68" t="s">
        <v>640</v>
      </c>
      <c r="D32" s="63">
        <f>D31*1000*2.6*2.1</f>
        <v>4641</v>
      </c>
      <c r="E32" s="61" t="e">
        <f>单价汇总!#REF!/100</f>
        <v>#REF!</v>
      </c>
      <c r="F32" s="65" t="e">
        <f>D32*E32</f>
        <v>#REF!</v>
      </c>
      <c r="G32" s="5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9"/>
      <c r="GM32" s="9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9"/>
      <c r="HB32" s="9"/>
      <c r="HC32" s="9"/>
      <c r="HD32" s="9"/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9"/>
      <c r="HP32" s="9"/>
      <c r="HQ32" s="9"/>
      <c r="HR32" s="9"/>
    </row>
    <row r="33" spans="1:226" s="6" customFormat="1" ht="15" customHeight="1">
      <c r="A33" s="69"/>
      <c r="B33" s="67" t="s">
        <v>48</v>
      </c>
      <c r="C33" s="68" t="s">
        <v>640</v>
      </c>
      <c r="D33" s="63">
        <f>D31*2.2*1000</f>
        <v>1870</v>
      </c>
      <c r="E33" s="40">
        <f>'单价汇总'!D6/100</f>
        <v>6.0857406224561394</v>
      </c>
      <c r="F33" s="70">
        <f aca="true" t="shared" si="0" ref="F33:F63">D33*E33</f>
        <v>11380.33496399298</v>
      </c>
      <c r="G33" s="71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9"/>
      <c r="FX33" s="9"/>
      <c r="FY33" s="9"/>
      <c r="FZ33" s="9"/>
      <c r="GA33" s="9"/>
      <c r="GB33" s="9"/>
      <c r="GC33" s="9"/>
      <c r="GD33" s="9"/>
      <c r="GE33" s="9"/>
      <c r="GF33" s="9"/>
      <c r="GG33" s="9"/>
      <c r="GH33" s="9"/>
      <c r="GI33" s="9"/>
      <c r="GJ33" s="9"/>
      <c r="GK33" s="9"/>
      <c r="GL33" s="9"/>
      <c r="GM33" s="9"/>
      <c r="GN33" s="9"/>
      <c r="GO33" s="9"/>
      <c r="GP33" s="9"/>
      <c r="GQ33" s="9"/>
      <c r="GR33" s="9"/>
      <c r="GS33" s="9"/>
      <c r="GT33" s="9"/>
      <c r="GU33" s="9"/>
      <c r="GV33" s="9"/>
      <c r="GW33" s="9"/>
      <c r="GX33" s="9"/>
      <c r="GY33" s="9"/>
      <c r="GZ33" s="9"/>
      <c r="HA33" s="9"/>
      <c r="HB33" s="9"/>
      <c r="HC33" s="9"/>
      <c r="HD33" s="9"/>
      <c r="HE33" s="9"/>
      <c r="HF33" s="9"/>
      <c r="HG33" s="9"/>
      <c r="HH33" s="9"/>
      <c r="HI33" s="9"/>
      <c r="HJ33" s="9"/>
      <c r="HK33" s="9"/>
      <c r="HL33" s="9"/>
      <c r="HM33" s="9"/>
      <c r="HN33" s="9"/>
      <c r="HO33" s="9"/>
      <c r="HP33" s="9"/>
      <c r="HQ33" s="9"/>
      <c r="HR33" s="9"/>
    </row>
    <row r="34" spans="1:226" s="6" customFormat="1" ht="15" customHeight="1">
      <c r="A34" s="69"/>
      <c r="B34" s="72" t="s">
        <v>641</v>
      </c>
      <c r="C34" s="68" t="s">
        <v>640</v>
      </c>
      <c r="D34" s="63">
        <v>799</v>
      </c>
      <c r="E34" s="40" t="e">
        <f>单价汇总!#REF!/100</f>
        <v>#REF!</v>
      </c>
      <c r="F34" s="70" t="e">
        <f t="shared" si="0"/>
        <v>#REF!</v>
      </c>
      <c r="G34" s="71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9"/>
      <c r="FX34" s="9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9"/>
      <c r="GM34" s="9"/>
      <c r="GN34" s="9"/>
      <c r="GO34" s="9"/>
      <c r="GP34" s="9"/>
      <c r="GQ34" s="9"/>
      <c r="GR34" s="9"/>
      <c r="GS34" s="9"/>
      <c r="GT34" s="9"/>
      <c r="GU34" s="9"/>
      <c r="GV34" s="9"/>
      <c r="GW34" s="9"/>
      <c r="GX34" s="9"/>
      <c r="GY34" s="9"/>
      <c r="GZ34" s="9"/>
      <c r="HA34" s="9"/>
      <c r="HB34" s="9"/>
      <c r="HC34" s="9"/>
      <c r="HD34" s="9"/>
      <c r="HE34" s="9"/>
      <c r="HF34" s="9"/>
      <c r="HG34" s="9"/>
      <c r="HH34" s="9"/>
      <c r="HI34" s="9"/>
      <c r="HJ34" s="9"/>
      <c r="HK34" s="9"/>
      <c r="HL34" s="9"/>
      <c r="HM34" s="9"/>
      <c r="HN34" s="9"/>
      <c r="HO34" s="9"/>
      <c r="HP34" s="9"/>
      <c r="HQ34" s="9"/>
      <c r="HR34" s="9"/>
    </row>
    <row r="35" spans="1:226" s="6" customFormat="1" ht="15" customHeight="1">
      <c r="A35" s="69"/>
      <c r="B35" s="72" t="s">
        <v>124</v>
      </c>
      <c r="C35" s="68" t="s">
        <v>640</v>
      </c>
      <c r="D35" s="63">
        <f>D34*0.19</f>
        <v>151.81</v>
      </c>
      <c r="E35" s="40">
        <f>'单价汇总'!D23/100</f>
        <v>404.5455735201907</v>
      </c>
      <c r="F35" s="70">
        <f t="shared" si="0"/>
        <v>61414.063516100156</v>
      </c>
      <c r="G35" s="71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9"/>
      <c r="FX35" s="9"/>
      <c r="FY35" s="9"/>
      <c r="FZ35" s="9"/>
      <c r="GA35" s="9"/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9"/>
      <c r="GM35" s="9"/>
      <c r="GN35" s="9"/>
      <c r="GO35" s="9"/>
      <c r="GP35" s="9"/>
      <c r="GQ35" s="9"/>
      <c r="GR35" s="9"/>
      <c r="GS35" s="9"/>
      <c r="GT35" s="9"/>
      <c r="GU35" s="9"/>
      <c r="GV35" s="9"/>
      <c r="GW35" s="9"/>
      <c r="GX35" s="9"/>
      <c r="GY35" s="9"/>
      <c r="GZ35" s="9"/>
      <c r="HA35" s="9"/>
      <c r="HB35" s="9"/>
      <c r="HC35" s="9"/>
      <c r="HD35" s="9"/>
      <c r="HE35" s="9"/>
      <c r="HF35" s="9"/>
      <c r="HG35" s="9"/>
      <c r="HH35" s="9"/>
      <c r="HI35" s="9"/>
      <c r="HJ35" s="9"/>
      <c r="HK35" s="9"/>
      <c r="HL35" s="9"/>
      <c r="HM35" s="9"/>
      <c r="HN35" s="9"/>
      <c r="HO35" s="9"/>
      <c r="HP35" s="9"/>
      <c r="HQ35" s="9"/>
      <c r="HR35" s="9"/>
    </row>
    <row r="36" spans="1:226" s="6" customFormat="1" ht="15" customHeight="1">
      <c r="A36" s="69"/>
      <c r="B36" s="73" t="s">
        <v>50</v>
      </c>
      <c r="C36" s="38" t="s">
        <v>365</v>
      </c>
      <c r="D36" s="74">
        <f>D31*1000*0.02/7.48</f>
        <v>2.2727272727272725</v>
      </c>
      <c r="E36" s="69">
        <f>6500</f>
        <v>6500</v>
      </c>
      <c r="F36" s="70">
        <f t="shared" si="0"/>
        <v>14772.72727272727</v>
      </c>
      <c r="G36" s="75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9"/>
      <c r="GM36" s="9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9"/>
      <c r="HB36" s="9"/>
      <c r="HC36" s="9"/>
      <c r="HD36" s="9"/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  <c r="HP36" s="9"/>
      <c r="HQ36" s="9"/>
      <c r="HR36" s="9"/>
    </row>
    <row r="37" spans="1:226" s="6" customFormat="1" ht="15" customHeight="1">
      <c r="A37" s="69"/>
      <c r="B37" s="76" t="s">
        <v>642</v>
      </c>
      <c r="C37" s="69" t="s">
        <v>365</v>
      </c>
      <c r="D37" s="40">
        <f>850*0.53</f>
        <v>450.5</v>
      </c>
      <c r="E37" s="40">
        <f>'单价汇总'!D28/100+'单价汇总'!D27/100</f>
        <v>67.93489914800325</v>
      </c>
      <c r="F37" s="70">
        <f t="shared" si="0"/>
        <v>30604.672066175466</v>
      </c>
      <c r="G37" s="75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9"/>
      <c r="FX37" s="9"/>
      <c r="FY37" s="9"/>
      <c r="FZ37" s="9"/>
      <c r="GA37" s="9"/>
      <c r="GB37" s="9"/>
      <c r="GC37" s="9"/>
      <c r="GD37" s="9"/>
      <c r="GE37" s="9"/>
      <c r="GF37" s="9"/>
      <c r="GG37" s="9"/>
      <c r="GH37" s="9"/>
      <c r="GI37" s="9"/>
      <c r="GJ37" s="9"/>
      <c r="GK37" s="9"/>
      <c r="GL37" s="9"/>
      <c r="GM37" s="9"/>
      <c r="GN37" s="9"/>
      <c r="GO37" s="9"/>
      <c r="GP37" s="9"/>
      <c r="GQ37" s="9"/>
      <c r="GR37" s="9"/>
      <c r="GS37" s="9"/>
      <c r="GT37" s="9"/>
      <c r="GU37" s="9"/>
      <c r="GV37" s="9"/>
      <c r="GW37" s="9"/>
      <c r="GX37" s="9"/>
      <c r="GY37" s="9"/>
      <c r="GZ37" s="9"/>
      <c r="HA37" s="9"/>
      <c r="HB37" s="9"/>
      <c r="HC37" s="9"/>
      <c r="HD37" s="9"/>
      <c r="HE37" s="9"/>
      <c r="HF37" s="9"/>
      <c r="HG37" s="9"/>
      <c r="HH37" s="9"/>
      <c r="HI37" s="9"/>
      <c r="HJ37" s="9"/>
      <c r="HK37" s="9"/>
      <c r="HL37" s="9"/>
      <c r="HM37" s="9"/>
      <c r="HN37" s="9"/>
      <c r="HO37" s="9"/>
      <c r="HP37" s="9"/>
      <c r="HQ37" s="9"/>
      <c r="HR37" s="9"/>
    </row>
    <row r="38" spans="1:7" s="7" customFormat="1" ht="15" customHeight="1">
      <c r="A38" s="69"/>
      <c r="B38" s="76" t="s">
        <v>643</v>
      </c>
      <c r="C38" s="69" t="s">
        <v>478</v>
      </c>
      <c r="D38" s="69">
        <f>3.5*D31*1000</f>
        <v>2975</v>
      </c>
      <c r="E38" s="40">
        <f>'单价汇总'!D29/1000</f>
        <v>12.308742893143396</v>
      </c>
      <c r="F38" s="70">
        <f t="shared" si="0"/>
        <v>36618.5101071016</v>
      </c>
      <c r="G38" s="69"/>
    </row>
    <row r="39" spans="1:226" s="5" customFormat="1" ht="15" customHeight="1">
      <c r="A39" s="58">
        <v>2</v>
      </c>
      <c r="B39" s="59" t="s">
        <v>644</v>
      </c>
      <c r="C39" s="60" t="s">
        <v>636</v>
      </c>
      <c r="D39" s="58">
        <f>D40+D47+D52</f>
        <v>1.46</v>
      </c>
      <c r="E39" s="59"/>
      <c r="F39" s="65" t="e">
        <f>F40+F47+F52</f>
        <v>#REF!</v>
      </c>
      <c r="G39" s="59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6"/>
      <c r="CA39" s="66"/>
      <c r="CB39" s="66"/>
      <c r="CC39" s="66"/>
      <c r="CD39" s="66"/>
      <c r="CE39" s="66"/>
      <c r="CF39" s="66"/>
      <c r="CG39" s="66"/>
      <c r="CH39" s="66"/>
      <c r="CI39" s="66"/>
      <c r="CJ39" s="66"/>
      <c r="CK39" s="66"/>
      <c r="CL39" s="66"/>
      <c r="CM39" s="66"/>
      <c r="CN39" s="66"/>
      <c r="CO39" s="66"/>
      <c r="CP39" s="66"/>
      <c r="CQ39" s="66"/>
      <c r="CR39" s="66"/>
      <c r="CS39" s="66"/>
      <c r="CT39" s="66"/>
      <c r="CU39" s="66"/>
      <c r="CV39" s="66"/>
      <c r="CW39" s="66"/>
      <c r="CX39" s="66"/>
      <c r="CY39" s="66"/>
      <c r="CZ39" s="66"/>
      <c r="DA39" s="66"/>
      <c r="DB39" s="66"/>
      <c r="DC39" s="66"/>
      <c r="DD39" s="66"/>
      <c r="DE39" s="66"/>
      <c r="DF39" s="66"/>
      <c r="DG39" s="66"/>
      <c r="DH39" s="66"/>
      <c r="DI39" s="66"/>
      <c r="DJ39" s="66"/>
      <c r="DK39" s="66"/>
      <c r="DL39" s="66"/>
      <c r="DM39" s="66"/>
      <c r="DN39" s="66"/>
      <c r="DO39" s="66"/>
      <c r="DP39" s="66"/>
      <c r="DQ39" s="66"/>
      <c r="DR39" s="66"/>
      <c r="DS39" s="66"/>
      <c r="DT39" s="66"/>
      <c r="DU39" s="66"/>
      <c r="DV39" s="66"/>
      <c r="DW39" s="66"/>
      <c r="DX39" s="66"/>
      <c r="DY39" s="66"/>
      <c r="DZ39" s="66"/>
      <c r="EA39" s="66"/>
      <c r="EB39" s="66"/>
      <c r="EC39" s="66"/>
      <c r="ED39" s="66"/>
      <c r="EE39" s="66"/>
      <c r="EF39" s="66"/>
      <c r="EG39" s="66"/>
      <c r="EH39" s="66"/>
      <c r="EI39" s="66"/>
      <c r="EJ39" s="66"/>
      <c r="EK39" s="66"/>
      <c r="EL39" s="66"/>
      <c r="EM39" s="66"/>
      <c r="EN39" s="66"/>
      <c r="EO39" s="66"/>
      <c r="EP39" s="66"/>
      <c r="EQ39" s="66"/>
      <c r="ER39" s="66"/>
      <c r="ES39" s="66"/>
      <c r="ET39" s="66"/>
      <c r="EU39" s="66"/>
      <c r="EV39" s="66"/>
      <c r="EW39" s="66"/>
      <c r="EX39" s="66"/>
      <c r="EY39" s="66"/>
      <c r="EZ39" s="66"/>
      <c r="FA39" s="66"/>
      <c r="FB39" s="66"/>
      <c r="FC39" s="66"/>
      <c r="FD39" s="66"/>
      <c r="FE39" s="66"/>
      <c r="FF39" s="66"/>
      <c r="FG39" s="66"/>
      <c r="FH39" s="66"/>
      <c r="FI39" s="66"/>
      <c r="FJ39" s="66"/>
      <c r="FK39" s="66"/>
      <c r="FL39" s="66"/>
      <c r="FM39" s="66"/>
      <c r="FN39" s="66"/>
      <c r="FO39" s="66"/>
      <c r="FP39" s="66"/>
      <c r="FQ39" s="66"/>
      <c r="FR39" s="66"/>
      <c r="FS39" s="66"/>
      <c r="FT39" s="66"/>
      <c r="FU39" s="66"/>
      <c r="FV39" s="66"/>
      <c r="FW39" s="66"/>
      <c r="FX39" s="66"/>
      <c r="FY39" s="66"/>
      <c r="FZ39" s="66"/>
      <c r="GA39" s="66"/>
      <c r="GB39" s="66"/>
      <c r="GC39" s="66"/>
      <c r="GD39" s="66"/>
      <c r="GE39" s="66"/>
      <c r="GF39" s="66"/>
      <c r="GG39" s="66"/>
      <c r="GH39" s="66"/>
      <c r="GI39" s="66"/>
      <c r="GJ39" s="66"/>
      <c r="GK39" s="66"/>
      <c r="GL39" s="66"/>
      <c r="GM39" s="66"/>
      <c r="GN39" s="66"/>
      <c r="GO39" s="66"/>
      <c r="GP39" s="66"/>
      <c r="GQ39" s="66"/>
      <c r="GR39" s="66"/>
      <c r="GS39" s="66"/>
      <c r="GT39" s="66"/>
      <c r="GU39" s="66"/>
      <c r="GV39" s="66"/>
      <c r="GW39" s="66"/>
      <c r="GX39" s="66"/>
      <c r="GY39" s="66"/>
      <c r="GZ39" s="66"/>
      <c r="HA39" s="66"/>
      <c r="HB39" s="66"/>
      <c r="HC39" s="66"/>
      <c r="HD39" s="66"/>
      <c r="HE39" s="66"/>
      <c r="HF39" s="66"/>
      <c r="HG39" s="66"/>
      <c r="HH39" s="66"/>
      <c r="HI39" s="66"/>
      <c r="HJ39" s="66"/>
      <c r="HK39" s="66"/>
      <c r="HL39" s="66"/>
      <c r="HM39" s="66"/>
      <c r="HN39" s="66"/>
      <c r="HO39" s="66"/>
      <c r="HP39" s="66"/>
      <c r="HQ39" s="66"/>
      <c r="HR39" s="66"/>
    </row>
    <row r="40" spans="1:226" s="6" customFormat="1" ht="15" customHeight="1">
      <c r="A40" s="58">
        <v>2.1</v>
      </c>
      <c r="B40" s="59" t="s">
        <v>645</v>
      </c>
      <c r="C40" s="60" t="s">
        <v>636</v>
      </c>
      <c r="D40" s="63">
        <v>0.43</v>
      </c>
      <c r="E40" s="59"/>
      <c r="F40" s="65">
        <f>SUM(F41:F46)</f>
        <v>147753.25206093435</v>
      </c>
      <c r="G40" s="59"/>
      <c r="H40" s="9"/>
      <c r="I40" s="9">
        <f>D40+D58</f>
        <v>0.76</v>
      </c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9"/>
      <c r="FX40" s="9"/>
      <c r="FY40" s="9"/>
      <c r="FZ40" s="9"/>
      <c r="GA40" s="9"/>
      <c r="GB40" s="9"/>
      <c r="GC40" s="9"/>
      <c r="GD40" s="9"/>
      <c r="GE40" s="9"/>
      <c r="GF40" s="9"/>
      <c r="GG40" s="9"/>
      <c r="GH40" s="9"/>
      <c r="GI40" s="9"/>
      <c r="GJ40" s="9"/>
      <c r="GK40" s="9"/>
      <c r="GL40" s="9"/>
      <c r="GM40" s="9"/>
      <c r="GN40" s="9"/>
      <c r="GO40" s="9"/>
      <c r="GP40" s="9"/>
      <c r="GQ40" s="9"/>
      <c r="GR40" s="9"/>
      <c r="GS40" s="9"/>
      <c r="GT40" s="9"/>
      <c r="GU40" s="9"/>
      <c r="GV40" s="9"/>
      <c r="GW40" s="9"/>
      <c r="GX40" s="9"/>
      <c r="GY40" s="9"/>
      <c r="GZ40" s="9"/>
      <c r="HA40" s="9"/>
      <c r="HB40" s="9"/>
      <c r="HC40" s="9"/>
      <c r="HD40" s="9"/>
      <c r="HE40" s="9"/>
      <c r="HF40" s="9"/>
      <c r="HG40" s="9"/>
      <c r="HH40" s="9"/>
      <c r="HI40" s="9"/>
      <c r="HJ40" s="9"/>
      <c r="HK40" s="9"/>
      <c r="HL40" s="9"/>
      <c r="HM40" s="9"/>
      <c r="HN40" s="9"/>
      <c r="HO40" s="9"/>
      <c r="HP40" s="9"/>
      <c r="HQ40" s="9"/>
      <c r="HR40" s="9"/>
    </row>
    <row r="41" spans="1:226" s="6" customFormat="1" ht="15" customHeight="1">
      <c r="A41" s="54"/>
      <c r="B41" s="67" t="s">
        <v>646</v>
      </c>
      <c r="C41" s="68" t="s">
        <v>640</v>
      </c>
      <c r="D41" s="63">
        <f>D40*1000*3*2.1</f>
        <v>2709</v>
      </c>
      <c r="E41" s="61">
        <f>E18</f>
        <v>20.8571590752865</v>
      </c>
      <c r="F41" s="65">
        <f t="shared" si="0"/>
        <v>56502.04393495113</v>
      </c>
      <c r="G41" s="5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  <c r="FK41" s="9"/>
      <c r="FL41" s="9"/>
      <c r="FM41" s="9"/>
      <c r="FN41" s="9"/>
      <c r="FO41" s="9"/>
      <c r="FP41" s="9"/>
      <c r="FQ41" s="9"/>
      <c r="FR41" s="9"/>
      <c r="FS41" s="9"/>
      <c r="FT41" s="9"/>
      <c r="FU41" s="9"/>
      <c r="FV41" s="9"/>
      <c r="FW41" s="9"/>
      <c r="FX41" s="9"/>
      <c r="FY41" s="9"/>
      <c r="FZ41" s="9"/>
      <c r="GA41" s="9"/>
      <c r="GB41" s="9"/>
      <c r="GC41" s="9"/>
      <c r="GD41" s="9"/>
      <c r="GE41" s="9"/>
      <c r="GF41" s="9"/>
      <c r="GG41" s="9"/>
      <c r="GH41" s="9"/>
      <c r="GI41" s="9"/>
      <c r="GJ41" s="9"/>
      <c r="GK41" s="9"/>
      <c r="GL41" s="9"/>
      <c r="GM41" s="9"/>
      <c r="GN41" s="9"/>
      <c r="GO41" s="9"/>
      <c r="GP41" s="9"/>
      <c r="GQ41" s="9"/>
      <c r="GR41" s="9"/>
      <c r="GS41" s="9"/>
      <c r="GT41" s="9"/>
      <c r="GU41" s="9"/>
      <c r="GV41" s="9"/>
      <c r="GW41" s="9"/>
      <c r="GX41" s="9"/>
      <c r="GY41" s="9"/>
      <c r="GZ41" s="9"/>
      <c r="HA41" s="9"/>
      <c r="HB41" s="9"/>
      <c r="HC41" s="9"/>
      <c r="HD41" s="9"/>
      <c r="HE41" s="9"/>
      <c r="HF41" s="9"/>
      <c r="HG41" s="9"/>
      <c r="HH41" s="9"/>
      <c r="HI41" s="9"/>
      <c r="HJ41" s="9"/>
      <c r="HK41" s="9"/>
      <c r="HL41" s="9"/>
      <c r="HM41" s="9"/>
      <c r="HN41" s="9"/>
      <c r="HO41" s="9"/>
      <c r="HP41" s="9"/>
      <c r="HQ41" s="9"/>
      <c r="HR41" s="9"/>
    </row>
    <row r="42" spans="1:226" s="6" customFormat="1" ht="15" customHeight="1">
      <c r="A42" s="54"/>
      <c r="B42" s="67" t="s">
        <v>647</v>
      </c>
      <c r="C42" s="68" t="s">
        <v>640</v>
      </c>
      <c r="D42" s="63">
        <v>315</v>
      </c>
      <c r="E42" s="61">
        <f>'单价汇总'!D11/100</f>
        <v>23.148282342910804</v>
      </c>
      <c r="F42" s="65">
        <f t="shared" si="0"/>
        <v>7291.708938016904</v>
      </c>
      <c r="G42" s="5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9"/>
      <c r="FX42" s="9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9"/>
      <c r="GM42" s="9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9"/>
      <c r="HB42" s="9"/>
      <c r="HC42" s="9"/>
      <c r="HD42" s="9"/>
      <c r="HE42" s="9"/>
      <c r="HF42" s="9"/>
      <c r="HG42" s="9"/>
      <c r="HH42" s="9"/>
      <c r="HI42" s="9"/>
      <c r="HJ42" s="9"/>
      <c r="HK42" s="9"/>
      <c r="HL42" s="9"/>
      <c r="HM42" s="9"/>
      <c r="HN42" s="9"/>
      <c r="HO42" s="9"/>
      <c r="HP42" s="9"/>
      <c r="HQ42" s="9"/>
      <c r="HR42" s="9"/>
    </row>
    <row r="43" spans="1:226" s="6" customFormat="1" ht="15" customHeight="1">
      <c r="A43" s="54"/>
      <c r="B43" s="67" t="s">
        <v>48</v>
      </c>
      <c r="C43" s="68" t="s">
        <v>640</v>
      </c>
      <c r="D43" s="63">
        <f>D40*1.5*1000</f>
        <v>645</v>
      </c>
      <c r="E43" s="61">
        <f>E33</f>
        <v>6.0857406224561394</v>
      </c>
      <c r="F43" s="65">
        <f t="shared" si="0"/>
        <v>3925.30270148421</v>
      </c>
      <c r="G43" s="5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9"/>
      <c r="HQ43" s="9"/>
      <c r="HR43" s="9"/>
    </row>
    <row r="44" spans="1:226" s="6" customFormat="1" ht="15" customHeight="1">
      <c r="A44" s="54"/>
      <c r="B44" s="72" t="s">
        <v>641</v>
      </c>
      <c r="C44" s="68" t="s">
        <v>640</v>
      </c>
      <c r="D44" s="63">
        <f>D40*1000*1.482/7.48</f>
        <v>85.1951871657754</v>
      </c>
      <c r="E44" s="61">
        <f>'单价汇总'!D25/100</f>
        <v>859.0739762266555</v>
      </c>
      <c r="F44" s="65">
        <f t="shared" si="0"/>
        <v>73188.9681938768</v>
      </c>
      <c r="G44" s="5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</row>
    <row r="45" spans="1:226" s="6" customFormat="1" ht="15" customHeight="1">
      <c r="A45" s="58"/>
      <c r="B45" s="67" t="s">
        <v>50</v>
      </c>
      <c r="C45" s="68" t="s">
        <v>640</v>
      </c>
      <c r="D45" s="63">
        <f>D40*1000*0.0063/7.48</f>
        <v>0.36216577540106953</v>
      </c>
      <c r="E45" s="58">
        <f>E36</f>
        <v>6500</v>
      </c>
      <c r="F45" s="65">
        <f t="shared" si="0"/>
        <v>2354.077540106952</v>
      </c>
      <c r="G45" s="77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  <c r="HQ45" s="9"/>
      <c r="HR45" s="9"/>
    </row>
    <row r="46" spans="1:226" s="6" customFormat="1" ht="15" customHeight="1">
      <c r="A46" s="58"/>
      <c r="B46" s="78" t="s">
        <v>642</v>
      </c>
      <c r="C46" s="58" t="s">
        <v>640</v>
      </c>
      <c r="D46" s="61">
        <f>430*1.15/7.48</f>
        <v>66.10962566844918</v>
      </c>
      <c r="E46" s="61">
        <f>E37</f>
        <v>67.93489914800325</v>
      </c>
      <c r="F46" s="65">
        <f t="shared" si="0"/>
        <v>4491.150752498343</v>
      </c>
      <c r="G46" s="77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9"/>
      <c r="HQ46" s="9"/>
      <c r="HR46" s="9"/>
    </row>
    <row r="47" spans="1:218" s="6" customFormat="1" ht="15" customHeight="1">
      <c r="A47" s="58">
        <v>2.2</v>
      </c>
      <c r="B47" s="59" t="s">
        <v>648</v>
      </c>
      <c r="C47" s="60" t="s">
        <v>636</v>
      </c>
      <c r="D47" s="63">
        <v>0.538</v>
      </c>
      <c r="E47" s="58"/>
      <c r="F47" s="65" t="e">
        <f>SUM(F48:F51)</f>
        <v>#REF!</v>
      </c>
      <c r="G47" s="59"/>
      <c r="H47" s="9"/>
      <c r="I47" s="9">
        <f>D47+D52+D64+D69</f>
        <v>2.042</v>
      </c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9"/>
      <c r="HB47" s="9"/>
      <c r="HC47" s="9"/>
      <c r="HD47" s="9"/>
      <c r="HE47" s="9"/>
      <c r="HF47" s="9"/>
      <c r="HG47" s="9"/>
      <c r="HH47" s="9"/>
      <c r="HI47" s="9"/>
      <c r="HJ47" s="9"/>
    </row>
    <row r="48" spans="1:218" s="6" customFormat="1" ht="15" customHeight="1">
      <c r="A48" s="58"/>
      <c r="B48" s="67" t="s">
        <v>46</v>
      </c>
      <c r="C48" s="68" t="s">
        <v>640</v>
      </c>
      <c r="D48" s="63">
        <f>D47*1000*1.2</f>
        <v>645.6</v>
      </c>
      <c r="E48" s="61">
        <f>'单价汇总'!D4/100+'单价汇总'!D5/100*0.8</f>
        <v>5.433370516961509</v>
      </c>
      <c r="F48" s="65">
        <f t="shared" si="0"/>
        <v>3507.7840057503504</v>
      </c>
      <c r="G48" s="58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9"/>
      <c r="GM48" s="9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9"/>
      <c r="HB48" s="9"/>
      <c r="HC48" s="9"/>
      <c r="HD48" s="9"/>
      <c r="HE48" s="9"/>
      <c r="HF48" s="9"/>
      <c r="HG48" s="9"/>
      <c r="HH48" s="9"/>
      <c r="HI48" s="9"/>
      <c r="HJ48" s="9"/>
    </row>
    <row r="49" spans="1:218" s="6" customFormat="1" ht="15" customHeight="1">
      <c r="A49" s="58"/>
      <c r="B49" s="67" t="s">
        <v>48</v>
      </c>
      <c r="C49" s="68" t="s">
        <v>640</v>
      </c>
      <c r="D49" s="63">
        <f>D48*0.85</f>
        <v>548.76</v>
      </c>
      <c r="E49" s="61">
        <f>E43</f>
        <v>6.0857406224561394</v>
      </c>
      <c r="F49" s="65">
        <f t="shared" si="0"/>
        <v>3339.611023979031</v>
      </c>
      <c r="G49" s="58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9"/>
      <c r="FX49" s="9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9"/>
      <c r="GM49" s="9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9"/>
      <c r="HB49" s="9"/>
      <c r="HC49" s="9"/>
      <c r="HD49" s="9"/>
      <c r="HE49" s="9"/>
      <c r="HF49" s="9"/>
      <c r="HG49" s="9"/>
      <c r="HH49" s="9"/>
      <c r="HI49" s="9"/>
      <c r="HJ49" s="9"/>
    </row>
    <row r="50" spans="1:218" s="6" customFormat="1" ht="15" customHeight="1">
      <c r="A50" s="58"/>
      <c r="B50" s="67" t="s">
        <v>641</v>
      </c>
      <c r="C50" s="68" t="s">
        <v>640</v>
      </c>
      <c r="D50" s="63">
        <f>D47*1000*1.009/7.79</f>
        <v>69.68446726572529</v>
      </c>
      <c r="E50" s="61" t="e">
        <f>单价汇总!#REF!/100</f>
        <v>#REF!</v>
      </c>
      <c r="F50" s="65" t="e">
        <f t="shared" si="0"/>
        <v>#REF!</v>
      </c>
      <c r="G50" s="5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9"/>
      <c r="GM50" s="9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9"/>
      <c r="HB50" s="9"/>
      <c r="HC50" s="9"/>
      <c r="HD50" s="9"/>
      <c r="HE50" s="9"/>
      <c r="HF50" s="9"/>
      <c r="HG50" s="9"/>
      <c r="HH50" s="9"/>
      <c r="HI50" s="9"/>
      <c r="HJ50" s="9"/>
    </row>
    <row r="51" spans="1:218" s="6" customFormat="1" ht="15" customHeight="1">
      <c r="A51" s="58"/>
      <c r="B51" s="67" t="s">
        <v>50</v>
      </c>
      <c r="C51" s="68" t="s">
        <v>640</v>
      </c>
      <c r="D51" s="63">
        <f>D47*1000*0.0041/7.79</f>
        <v>0.2831578947368421</v>
      </c>
      <c r="E51" s="58">
        <f>E45</f>
        <v>6500</v>
      </c>
      <c r="F51" s="65">
        <f t="shared" si="0"/>
        <v>1840.5263157894738</v>
      </c>
      <c r="G51" s="5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  <c r="FL51" s="9"/>
      <c r="FM51" s="9"/>
      <c r="FN51" s="9"/>
      <c r="FO51" s="9"/>
      <c r="FP51" s="9"/>
      <c r="FQ51" s="9"/>
      <c r="FR51" s="9"/>
      <c r="FS51" s="9"/>
      <c r="FT51" s="9"/>
      <c r="FU51" s="9"/>
      <c r="FV51" s="9"/>
      <c r="FW51" s="9"/>
      <c r="FX51" s="9"/>
      <c r="FY51" s="9"/>
      <c r="FZ51" s="9"/>
      <c r="GA51" s="9"/>
      <c r="GB51" s="9"/>
      <c r="GC51" s="9"/>
      <c r="GD51" s="9"/>
      <c r="GE51" s="9"/>
      <c r="GF51" s="9"/>
      <c r="GG51" s="9"/>
      <c r="GH51" s="9"/>
      <c r="GI51" s="9"/>
      <c r="GJ51" s="9"/>
      <c r="GK51" s="9"/>
      <c r="GL51" s="9"/>
      <c r="GM51" s="9"/>
      <c r="GN51" s="9"/>
      <c r="GO51" s="9"/>
      <c r="GP51" s="9"/>
      <c r="GQ51" s="9"/>
      <c r="GR51" s="9"/>
      <c r="GS51" s="9"/>
      <c r="GT51" s="9"/>
      <c r="GU51" s="9"/>
      <c r="GV51" s="9"/>
      <c r="GW51" s="9"/>
      <c r="GX51" s="9"/>
      <c r="GY51" s="9"/>
      <c r="GZ51" s="9"/>
      <c r="HA51" s="9"/>
      <c r="HB51" s="9"/>
      <c r="HC51" s="9"/>
      <c r="HD51" s="9"/>
      <c r="HE51" s="9"/>
      <c r="HF51" s="9"/>
      <c r="HG51" s="9"/>
      <c r="HH51" s="9"/>
      <c r="HI51" s="9"/>
      <c r="HJ51" s="9"/>
    </row>
    <row r="52" spans="1:218" s="6" customFormat="1" ht="15" customHeight="1">
      <c r="A52" s="58">
        <v>2.3</v>
      </c>
      <c r="B52" s="59" t="s">
        <v>649</v>
      </c>
      <c r="C52" s="60" t="s">
        <v>636</v>
      </c>
      <c r="D52" s="63">
        <v>0.492</v>
      </c>
      <c r="E52" s="58"/>
      <c r="F52" s="65">
        <f>SUM(F53:F56)</f>
        <v>53316.3983629672</v>
      </c>
      <c r="G52" s="5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9"/>
      <c r="FL52" s="9"/>
      <c r="FM52" s="9"/>
      <c r="FN52" s="9"/>
      <c r="FO52" s="9"/>
      <c r="FP52" s="9"/>
      <c r="FQ52" s="9"/>
      <c r="FR52" s="9"/>
      <c r="FS52" s="9"/>
      <c r="FT52" s="9"/>
      <c r="FU52" s="9"/>
      <c r="FV52" s="9"/>
      <c r="FW52" s="9"/>
      <c r="FX52" s="9"/>
      <c r="FY52" s="9"/>
      <c r="FZ52" s="9"/>
      <c r="GA52" s="9"/>
      <c r="GB52" s="9"/>
      <c r="GC52" s="9"/>
      <c r="GD52" s="9"/>
      <c r="GE52" s="9"/>
      <c r="GF52" s="9"/>
      <c r="GG52" s="9"/>
      <c r="GH52" s="9"/>
      <c r="GI52" s="9"/>
      <c r="GJ52" s="9"/>
      <c r="GK52" s="9"/>
      <c r="GL52" s="9"/>
      <c r="GM52" s="9"/>
      <c r="GN52" s="9"/>
      <c r="GO52" s="9"/>
      <c r="GP52" s="9"/>
      <c r="GQ52" s="9"/>
      <c r="GR52" s="9"/>
      <c r="GS52" s="9"/>
      <c r="GT52" s="9"/>
      <c r="GU52" s="9"/>
      <c r="GV52" s="9"/>
      <c r="GW52" s="9"/>
      <c r="GX52" s="9"/>
      <c r="GY52" s="9"/>
      <c r="GZ52" s="9"/>
      <c r="HA52" s="9"/>
      <c r="HB52" s="9"/>
      <c r="HC52" s="9"/>
      <c r="HD52" s="9"/>
      <c r="HE52" s="9"/>
      <c r="HF52" s="9"/>
      <c r="HG52" s="9"/>
      <c r="HH52" s="9"/>
      <c r="HI52" s="9"/>
      <c r="HJ52" s="9"/>
    </row>
    <row r="53" spans="1:218" s="6" customFormat="1" ht="15" customHeight="1">
      <c r="A53" s="58"/>
      <c r="B53" s="67" t="s">
        <v>46</v>
      </c>
      <c r="C53" s="68" t="s">
        <v>640</v>
      </c>
      <c r="D53" s="63">
        <f>D52*1000*1</f>
        <v>492</v>
      </c>
      <c r="E53" s="61">
        <f>E48</f>
        <v>5.433370516961509</v>
      </c>
      <c r="F53" s="65">
        <f t="shared" si="0"/>
        <v>2673.2182943450625</v>
      </c>
      <c r="G53" s="58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9"/>
      <c r="GM53" s="9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9"/>
      <c r="HB53" s="9"/>
      <c r="HC53" s="9"/>
      <c r="HD53" s="9"/>
      <c r="HE53" s="9"/>
      <c r="HF53" s="9"/>
      <c r="HG53" s="9"/>
      <c r="HH53" s="9"/>
      <c r="HI53" s="9"/>
      <c r="HJ53" s="9"/>
    </row>
    <row r="54" spans="1:218" s="6" customFormat="1" ht="15" customHeight="1">
      <c r="A54" s="58"/>
      <c r="B54" s="67" t="s">
        <v>48</v>
      </c>
      <c r="C54" s="68"/>
      <c r="D54" s="63">
        <f>D53*0.85</f>
        <v>418.2</v>
      </c>
      <c r="E54" s="61">
        <f>E49</f>
        <v>6.0857406224561394</v>
      </c>
      <c r="F54" s="65">
        <f t="shared" si="0"/>
        <v>2545.0567283111573</v>
      </c>
      <c r="G54" s="58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9"/>
      <c r="FI54" s="9"/>
      <c r="FJ54" s="9"/>
      <c r="FK54" s="9"/>
      <c r="FL54" s="9"/>
      <c r="FM54" s="9"/>
      <c r="FN54" s="9"/>
      <c r="FO54" s="9"/>
      <c r="FP54" s="9"/>
      <c r="FQ54" s="9"/>
      <c r="FR54" s="9"/>
      <c r="FS54" s="9"/>
      <c r="FT54" s="9"/>
      <c r="FU54" s="9"/>
      <c r="FV54" s="9"/>
      <c r="FW54" s="9"/>
      <c r="FX54" s="9"/>
      <c r="FY54" s="9"/>
      <c r="FZ54" s="9"/>
      <c r="GA54" s="9"/>
      <c r="GB54" s="9"/>
      <c r="GC54" s="9"/>
      <c r="GD54" s="9"/>
      <c r="GE54" s="9"/>
      <c r="GF54" s="9"/>
      <c r="GG54" s="9"/>
      <c r="GH54" s="9"/>
      <c r="GI54" s="9"/>
      <c r="GJ54" s="9"/>
      <c r="GK54" s="9"/>
      <c r="GL54" s="9"/>
      <c r="GM54" s="9"/>
      <c r="GN54" s="9"/>
      <c r="GO54" s="9"/>
      <c r="GP54" s="9"/>
      <c r="GQ54" s="9"/>
      <c r="GR54" s="9"/>
      <c r="GS54" s="9"/>
      <c r="GT54" s="9"/>
      <c r="GU54" s="9"/>
      <c r="GV54" s="9"/>
      <c r="GW54" s="9"/>
      <c r="GX54" s="9"/>
      <c r="GY54" s="9"/>
      <c r="GZ54" s="9"/>
      <c r="HA54" s="9"/>
      <c r="HB54" s="9"/>
      <c r="HC54" s="9"/>
      <c r="HD54" s="9"/>
      <c r="HE54" s="9"/>
      <c r="HF54" s="9"/>
      <c r="HG54" s="9"/>
      <c r="HH54" s="9"/>
      <c r="HI54" s="9"/>
      <c r="HJ54" s="9"/>
    </row>
    <row r="55" spans="1:218" s="6" customFormat="1" ht="15" customHeight="1">
      <c r="A55" s="58"/>
      <c r="B55" s="67" t="s">
        <v>641</v>
      </c>
      <c r="C55" s="68" t="s">
        <v>640</v>
      </c>
      <c r="D55" s="63">
        <f>D52*1000*0.86/7.79</f>
        <v>54.31578947368421</v>
      </c>
      <c r="E55" s="61">
        <f>E44</f>
        <v>859.0739762266555</v>
      </c>
      <c r="F55" s="65">
        <f t="shared" si="0"/>
        <v>46661.28123504782</v>
      </c>
      <c r="G55" s="5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9"/>
      <c r="FI55" s="9"/>
      <c r="FJ55" s="9"/>
      <c r="FK55" s="9"/>
      <c r="FL55" s="9"/>
      <c r="FM55" s="9"/>
      <c r="FN55" s="9"/>
      <c r="FO55" s="9"/>
      <c r="FP55" s="9"/>
      <c r="FQ55" s="9"/>
      <c r="FR55" s="9"/>
      <c r="FS55" s="9"/>
      <c r="FT55" s="9"/>
      <c r="FU55" s="9"/>
      <c r="FV55" s="9"/>
      <c r="FW55" s="9"/>
      <c r="FX55" s="9"/>
      <c r="FY55" s="9"/>
      <c r="FZ55" s="9"/>
      <c r="GA55" s="9"/>
      <c r="GB55" s="9"/>
      <c r="GC55" s="9"/>
      <c r="GD55" s="9"/>
      <c r="GE55" s="9"/>
      <c r="GF55" s="9"/>
      <c r="GG55" s="9"/>
      <c r="GH55" s="9"/>
      <c r="GI55" s="9"/>
      <c r="GJ55" s="9"/>
      <c r="GK55" s="9"/>
      <c r="GL55" s="9"/>
      <c r="GM55" s="9"/>
      <c r="GN55" s="9"/>
      <c r="GO55" s="9"/>
      <c r="GP55" s="9"/>
      <c r="GQ55" s="9"/>
      <c r="GR55" s="9"/>
      <c r="GS55" s="9"/>
      <c r="GT55" s="9"/>
      <c r="GU55" s="9"/>
      <c r="GV55" s="9"/>
      <c r="GW55" s="9"/>
      <c r="GX55" s="9"/>
      <c r="GY55" s="9"/>
      <c r="GZ55" s="9"/>
      <c r="HA55" s="9"/>
      <c r="HB55" s="9"/>
      <c r="HC55" s="9"/>
      <c r="HD55" s="9"/>
      <c r="HE55" s="9"/>
      <c r="HF55" s="9"/>
      <c r="HG55" s="9"/>
      <c r="HH55" s="9"/>
      <c r="HI55" s="9"/>
      <c r="HJ55" s="9"/>
    </row>
    <row r="56" spans="1:218" s="6" customFormat="1" ht="15" customHeight="1">
      <c r="A56" s="58"/>
      <c r="B56" s="67" t="s">
        <v>50</v>
      </c>
      <c r="C56" s="68" t="s">
        <v>640</v>
      </c>
      <c r="D56" s="63">
        <f>D52*1000*0.0035/7.79</f>
        <v>0.22105263157894736</v>
      </c>
      <c r="E56" s="58">
        <f>E51</f>
        <v>6500</v>
      </c>
      <c r="F56" s="65">
        <f t="shared" si="0"/>
        <v>1436.842105263158</v>
      </c>
      <c r="G56" s="5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9"/>
      <c r="ET56" s="9"/>
      <c r="EU56" s="9"/>
      <c r="EV56" s="9"/>
      <c r="EW56" s="9"/>
      <c r="EX56" s="9"/>
      <c r="EY56" s="9"/>
      <c r="EZ56" s="9"/>
      <c r="FA56" s="9"/>
      <c r="FB56" s="9"/>
      <c r="FC56" s="9"/>
      <c r="FD56" s="9"/>
      <c r="FE56" s="9"/>
      <c r="FF56" s="9"/>
      <c r="FG56" s="9"/>
      <c r="FH56" s="9"/>
      <c r="FI56" s="9"/>
      <c r="FJ56" s="9"/>
      <c r="FK56" s="9"/>
      <c r="FL56" s="9"/>
      <c r="FM56" s="9"/>
      <c r="FN56" s="9"/>
      <c r="FO56" s="9"/>
      <c r="FP56" s="9"/>
      <c r="FQ56" s="9"/>
      <c r="FR56" s="9"/>
      <c r="FS56" s="9"/>
      <c r="FT56" s="9"/>
      <c r="FU56" s="9"/>
      <c r="FV56" s="9"/>
      <c r="FW56" s="9"/>
      <c r="FX56" s="9"/>
      <c r="FY56" s="9"/>
      <c r="FZ56" s="9"/>
      <c r="GA56" s="9"/>
      <c r="GB56" s="9"/>
      <c r="GC56" s="9"/>
      <c r="GD56" s="9"/>
      <c r="GE56" s="9"/>
      <c r="GF56" s="9"/>
      <c r="GG56" s="9"/>
      <c r="GH56" s="9"/>
      <c r="GI56" s="9"/>
      <c r="GJ56" s="9"/>
      <c r="GK56" s="9"/>
      <c r="GL56" s="9"/>
      <c r="GM56" s="9"/>
      <c r="GN56" s="9"/>
      <c r="GO56" s="9"/>
      <c r="GP56" s="9"/>
      <c r="GQ56" s="9"/>
      <c r="GR56" s="9"/>
      <c r="GS56" s="9"/>
      <c r="GT56" s="9"/>
      <c r="GU56" s="9"/>
      <c r="GV56" s="9"/>
      <c r="GW56" s="9"/>
      <c r="GX56" s="9"/>
      <c r="GY56" s="9"/>
      <c r="GZ56" s="9"/>
      <c r="HA56" s="9"/>
      <c r="HB56" s="9"/>
      <c r="HC56" s="9"/>
      <c r="HD56" s="9"/>
      <c r="HE56" s="9"/>
      <c r="HF56" s="9"/>
      <c r="HG56" s="9"/>
      <c r="HH56" s="9"/>
      <c r="HI56" s="9"/>
      <c r="HJ56" s="9"/>
    </row>
    <row r="57" spans="1:218" s="5" customFormat="1" ht="15" customHeight="1">
      <c r="A57" s="58">
        <v>3</v>
      </c>
      <c r="B57" s="67" t="s">
        <v>650</v>
      </c>
      <c r="C57" s="60" t="s">
        <v>636</v>
      </c>
      <c r="D57" s="63">
        <f>D58+D64+D69</f>
        <v>1.342</v>
      </c>
      <c r="E57" s="58"/>
      <c r="F57" s="65" t="e">
        <f>F58+F64+F69</f>
        <v>#REF!</v>
      </c>
      <c r="G57" s="59"/>
      <c r="H57" s="66"/>
      <c r="I57" s="3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  <c r="BE57" s="66"/>
      <c r="BF57" s="66"/>
      <c r="BG57" s="66"/>
      <c r="BH57" s="66"/>
      <c r="BI57" s="66"/>
      <c r="BJ57" s="66"/>
      <c r="BK57" s="66"/>
      <c r="BL57" s="66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66"/>
      <c r="BZ57" s="66"/>
      <c r="CA57" s="66"/>
      <c r="CB57" s="66"/>
      <c r="CC57" s="66"/>
      <c r="CD57" s="66"/>
      <c r="CE57" s="66"/>
      <c r="CF57" s="66"/>
      <c r="CG57" s="66"/>
      <c r="CH57" s="66"/>
      <c r="CI57" s="66"/>
      <c r="CJ57" s="66"/>
      <c r="CK57" s="66"/>
      <c r="CL57" s="66"/>
      <c r="CM57" s="66"/>
      <c r="CN57" s="66"/>
      <c r="CO57" s="66"/>
      <c r="CP57" s="66"/>
      <c r="CQ57" s="66"/>
      <c r="CR57" s="66"/>
      <c r="CS57" s="66"/>
      <c r="CT57" s="66"/>
      <c r="CU57" s="66"/>
      <c r="CV57" s="66"/>
      <c r="CW57" s="66"/>
      <c r="CX57" s="66"/>
      <c r="CY57" s="66"/>
      <c r="CZ57" s="66"/>
      <c r="DA57" s="66"/>
      <c r="DB57" s="66"/>
      <c r="DC57" s="66"/>
      <c r="DD57" s="66"/>
      <c r="DE57" s="66"/>
      <c r="DF57" s="66"/>
      <c r="DG57" s="66"/>
      <c r="DH57" s="66"/>
      <c r="DI57" s="66"/>
      <c r="DJ57" s="66"/>
      <c r="DK57" s="66"/>
      <c r="DL57" s="66"/>
      <c r="DM57" s="66"/>
      <c r="DN57" s="66"/>
      <c r="DO57" s="66"/>
      <c r="DP57" s="66"/>
      <c r="DQ57" s="66"/>
      <c r="DR57" s="66"/>
      <c r="DS57" s="66"/>
      <c r="DT57" s="66"/>
      <c r="DU57" s="66"/>
      <c r="DV57" s="66"/>
      <c r="DW57" s="66"/>
      <c r="DX57" s="66"/>
      <c r="DY57" s="66"/>
      <c r="DZ57" s="66"/>
      <c r="EA57" s="66"/>
      <c r="EB57" s="66"/>
      <c r="EC57" s="66"/>
      <c r="ED57" s="66"/>
      <c r="EE57" s="66"/>
      <c r="EF57" s="66"/>
      <c r="EG57" s="66"/>
      <c r="EH57" s="66"/>
      <c r="EI57" s="66"/>
      <c r="EJ57" s="66"/>
      <c r="EK57" s="66"/>
      <c r="EL57" s="66"/>
      <c r="EM57" s="66"/>
      <c r="EN57" s="66"/>
      <c r="EO57" s="66"/>
      <c r="EP57" s="66"/>
      <c r="EQ57" s="66"/>
      <c r="ER57" s="66"/>
      <c r="ES57" s="66"/>
      <c r="ET57" s="66"/>
      <c r="EU57" s="66"/>
      <c r="EV57" s="66"/>
      <c r="EW57" s="66"/>
      <c r="EX57" s="66"/>
      <c r="EY57" s="66"/>
      <c r="EZ57" s="66"/>
      <c r="FA57" s="66"/>
      <c r="FB57" s="66"/>
      <c r="FC57" s="66"/>
      <c r="FD57" s="66"/>
      <c r="FE57" s="66"/>
      <c r="FF57" s="66"/>
      <c r="FG57" s="66"/>
      <c r="FH57" s="66"/>
      <c r="FI57" s="66"/>
      <c r="FJ57" s="66"/>
      <c r="FK57" s="66"/>
      <c r="FL57" s="66"/>
      <c r="FM57" s="66"/>
      <c r="FN57" s="66"/>
      <c r="FO57" s="66"/>
      <c r="FP57" s="66"/>
      <c r="FQ57" s="66"/>
      <c r="FR57" s="66"/>
      <c r="FS57" s="66"/>
      <c r="FT57" s="66"/>
      <c r="FU57" s="66"/>
      <c r="FV57" s="66"/>
      <c r="FW57" s="66"/>
      <c r="FX57" s="66"/>
      <c r="FY57" s="66"/>
      <c r="FZ57" s="66"/>
      <c r="GA57" s="66"/>
      <c r="GB57" s="66"/>
      <c r="GC57" s="66"/>
      <c r="GD57" s="66"/>
      <c r="GE57" s="66"/>
      <c r="GF57" s="66"/>
      <c r="GG57" s="66"/>
      <c r="GH57" s="66"/>
      <c r="GI57" s="66"/>
      <c r="GJ57" s="66"/>
      <c r="GK57" s="66"/>
      <c r="GL57" s="66"/>
      <c r="GM57" s="66"/>
      <c r="GN57" s="66"/>
      <c r="GO57" s="66"/>
      <c r="GP57" s="66"/>
      <c r="GQ57" s="66"/>
      <c r="GR57" s="66"/>
      <c r="GS57" s="66"/>
      <c r="GT57" s="66"/>
      <c r="GU57" s="66"/>
      <c r="GV57" s="66"/>
      <c r="GW57" s="66"/>
      <c r="GX57" s="66"/>
      <c r="GY57" s="66"/>
      <c r="GZ57" s="66"/>
      <c r="HA57" s="66"/>
      <c r="HB57" s="66"/>
      <c r="HC57" s="66"/>
      <c r="HD57" s="66"/>
      <c r="HE57" s="66"/>
      <c r="HF57" s="66"/>
      <c r="HG57" s="66"/>
      <c r="HH57" s="66"/>
      <c r="HI57" s="66"/>
      <c r="HJ57" s="66"/>
    </row>
    <row r="58" spans="1:226" s="6" customFormat="1" ht="15" customHeight="1">
      <c r="A58" s="58">
        <v>3.1</v>
      </c>
      <c r="B58" s="59" t="s">
        <v>651</v>
      </c>
      <c r="C58" s="60" t="s">
        <v>636</v>
      </c>
      <c r="D58" s="63">
        <v>0.33</v>
      </c>
      <c r="E58" s="58"/>
      <c r="F58" s="65" t="e">
        <f>SUM(F59:F63)</f>
        <v>#REF!</v>
      </c>
      <c r="G58" s="5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  <c r="ER58" s="9"/>
      <c r="ES58" s="9"/>
      <c r="ET58" s="9"/>
      <c r="EU58" s="9"/>
      <c r="EV58" s="9"/>
      <c r="EW58" s="9"/>
      <c r="EX58" s="9"/>
      <c r="EY58" s="9"/>
      <c r="EZ58" s="9"/>
      <c r="FA58" s="9"/>
      <c r="FB58" s="9"/>
      <c r="FC58" s="9"/>
      <c r="FD58" s="9"/>
      <c r="FE58" s="9"/>
      <c r="FF58" s="9"/>
      <c r="FG58" s="9"/>
      <c r="FH58" s="9"/>
      <c r="FI58" s="9"/>
      <c r="FJ58" s="9"/>
      <c r="FK58" s="9"/>
      <c r="FL58" s="9"/>
      <c r="FM58" s="9"/>
      <c r="FN58" s="9"/>
      <c r="FO58" s="9"/>
      <c r="FP58" s="9"/>
      <c r="FQ58" s="9"/>
      <c r="FR58" s="9"/>
      <c r="FS58" s="9"/>
      <c r="FT58" s="9"/>
      <c r="FU58" s="9"/>
      <c r="FV58" s="9"/>
      <c r="FW58" s="9"/>
      <c r="FX58" s="9"/>
      <c r="FY58" s="9"/>
      <c r="FZ58" s="9"/>
      <c r="GA58" s="9"/>
      <c r="GB58" s="9"/>
      <c r="GC58" s="9"/>
      <c r="GD58" s="9"/>
      <c r="GE58" s="9"/>
      <c r="GF58" s="9"/>
      <c r="GG58" s="9"/>
      <c r="GH58" s="9"/>
      <c r="GI58" s="9"/>
      <c r="GJ58" s="9"/>
      <c r="GK58" s="9"/>
      <c r="GL58" s="9"/>
      <c r="GM58" s="9"/>
      <c r="GN58" s="9"/>
      <c r="GO58" s="9"/>
      <c r="GP58" s="9"/>
      <c r="GQ58" s="9"/>
      <c r="GR58" s="9"/>
      <c r="GS58" s="9"/>
      <c r="GT58" s="9"/>
      <c r="GU58" s="9"/>
      <c r="GV58" s="9"/>
      <c r="GW58" s="9"/>
      <c r="GX58" s="9"/>
      <c r="GY58" s="9"/>
      <c r="GZ58" s="9"/>
      <c r="HA58" s="9"/>
      <c r="HB58" s="9"/>
      <c r="HC58" s="9"/>
      <c r="HD58" s="9"/>
      <c r="HE58" s="9"/>
      <c r="HF58" s="9"/>
      <c r="HG58" s="9"/>
      <c r="HH58" s="9"/>
      <c r="HI58" s="9"/>
      <c r="HJ58" s="9"/>
      <c r="HK58" s="9"/>
      <c r="HL58" s="9"/>
      <c r="HM58" s="9"/>
      <c r="HN58" s="9"/>
      <c r="HO58" s="9"/>
      <c r="HP58" s="9"/>
      <c r="HQ58" s="9"/>
      <c r="HR58" s="9"/>
    </row>
    <row r="59" spans="1:226" s="6" customFormat="1" ht="15" customHeight="1">
      <c r="A59" s="58"/>
      <c r="B59" s="67" t="s">
        <v>646</v>
      </c>
      <c r="C59" s="68" t="s">
        <v>640</v>
      </c>
      <c r="D59" s="63">
        <f>D58*1000*3*1.82</f>
        <v>1801.8</v>
      </c>
      <c r="E59" s="61">
        <f>E41</f>
        <v>20.8571590752865</v>
      </c>
      <c r="F59" s="65">
        <f t="shared" si="0"/>
        <v>37580.42922185121</v>
      </c>
      <c r="G59" s="58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9"/>
      <c r="EY59" s="9"/>
      <c r="EZ59" s="9"/>
      <c r="FA59" s="9"/>
      <c r="FB59" s="9"/>
      <c r="FC59" s="9"/>
      <c r="FD59" s="9"/>
      <c r="FE59" s="9"/>
      <c r="FF59" s="9"/>
      <c r="FG59" s="9"/>
      <c r="FH59" s="9"/>
      <c r="FI59" s="9"/>
      <c r="FJ59" s="9"/>
      <c r="FK59" s="9"/>
      <c r="FL59" s="9"/>
      <c r="FM59" s="9"/>
      <c r="FN59" s="9"/>
      <c r="FO59" s="9"/>
      <c r="FP59" s="9"/>
      <c r="FQ59" s="9"/>
      <c r="FR59" s="9"/>
      <c r="FS59" s="9"/>
      <c r="FT59" s="9"/>
      <c r="FU59" s="9"/>
      <c r="FV59" s="9"/>
      <c r="FW59" s="9"/>
      <c r="FX59" s="9"/>
      <c r="FY59" s="9"/>
      <c r="FZ59" s="9"/>
      <c r="GA59" s="9"/>
      <c r="GB59" s="9"/>
      <c r="GC59" s="9"/>
      <c r="GD59" s="9"/>
      <c r="GE59" s="9"/>
      <c r="GF59" s="9"/>
      <c r="GG59" s="9"/>
      <c r="GH59" s="9"/>
      <c r="GI59" s="9"/>
      <c r="GJ59" s="9"/>
      <c r="GK59" s="9"/>
      <c r="GL59" s="9"/>
      <c r="GM59" s="9"/>
      <c r="GN59" s="9"/>
      <c r="GO59" s="9"/>
      <c r="GP59" s="9"/>
      <c r="GQ59" s="9"/>
      <c r="GR59" s="9"/>
      <c r="GS59" s="9"/>
      <c r="GT59" s="9"/>
      <c r="GU59" s="9"/>
      <c r="GV59" s="9"/>
      <c r="GW59" s="9"/>
      <c r="GX59" s="9"/>
      <c r="GY59" s="9"/>
      <c r="GZ59" s="9"/>
      <c r="HA59" s="9"/>
      <c r="HB59" s="9"/>
      <c r="HC59" s="9"/>
      <c r="HD59" s="9"/>
      <c r="HE59" s="9"/>
      <c r="HF59" s="9"/>
      <c r="HG59" s="9"/>
      <c r="HH59" s="9"/>
      <c r="HI59" s="9"/>
      <c r="HJ59" s="9"/>
      <c r="HK59" s="9"/>
      <c r="HL59" s="9"/>
      <c r="HM59" s="9"/>
      <c r="HN59" s="9"/>
      <c r="HO59" s="9"/>
      <c r="HP59" s="9"/>
      <c r="HQ59" s="9"/>
      <c r="HR59" s="9"/>
    </row>
    <row r="60" spans="1:226" s="6" customFormat="1" ht="15" customHeight="1">
      <c r="A60" s="58"/>
      <c r="B60" s="67" t="s">
        <v>647</v>
      </c>
      <c r="C60" s="68" t="s">
        <v>640</v>
      </c>
      <c r="D60" s="63">
        <v>226</v>
      </c>
      <c r="E60" s="61">
        <f>E42</f>
        <v>23.148282342910804</v>
      </c>
      <c r="F60" s="65">
        <f t="shared" si="0"/>
        <v>5231.511809497842</v>
      </c>
      <c r="G60" s="58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  <c r="EX60" s="9"/>
      <c r="EY60" s="9"/>
      <c r="EZ60" s="9"/>
      <c r="FA60" s="9"/>
      <c r="FB60" s="9"/>
      <c r="FC60" s="9"/>
      <c r="FD60" s="9"/>
      <c r="FE60" s="9"/>
      <c r="FF60" s="9"/>
      <c r="FG60" s="9"/>
      <c r="FH60" s="9"/>
      <c r="FI60" s="9"/>
      <c r="FJ60" s="9"/>
      <c r="FK60" s="9"/>
      <c r="FL60" s="9"/>
      <c r="FM60" s="9"/>
      <c r="FN60" s="9"/>
      <c r="FO60" s="9"/>
      <c r="FP60" s="9"/>
      <c r="FQ60" s="9"/>
      <c r="FR60" s="9"/>
      <c r="FS60" s="9"/>
      <c r="FT60" s="9"/>
      <c r="FU60" s="9"/>
      <c r="FV60" s="9"/>
      <c r="FW60" s="9"/>
      <c r="FX60" s="9"/>
      <c r="FY60" s="9"/>
      <c r="FZ60" s="9"/>
      <c r="GA60" s="9"/>
      <c r="GB60" s="9"/>
      <c r="GC60" s="9"/>
      <c r="GD60" s="9"/>
      <c r="GE60" s="9"/>
      <c r="GF60" s="9"/>
      <c r="GG60" s="9"/>
      <c r="GH60" s="9"/>
      <c r="GI60" s="9"/>
      <c r="GJ60" s="9"/>
      <c r="GK60" s="9"/>
      <c r="GL60" s="9"/>
      <c r="GM60" s="9"/>
      <c r="GN60" s="9"/>
      <c r="GO60" s="9"/>
      <c r="GP60" s="9"/>
      <c r="GQ60" s="9"/>
      <c r="GR60" s="9"/>
      <c r="GS60" s="9"/>
      <c r="GT60" s="9"/>
      <c r="GU60" s="9"/>
      <c r="GV60" s="9"/>
      <c r="GW60" s="9"/>
      <c r="GX60" s="9"/>
      <c r="GY60" s="9"/>
      <c r="GZ60" s="9"/>
      <c r="HA60" s="9"/>
      <c r="HB60" s="9"/>
      <c r="HC60" s="9"/>
      <c r="HD60" s="9"/>
      <c r="HE60" s="9"/>
      <c r="HF60" s="9"/>
      <c r="HG60" s="9"/>
      <c r="HH60" s="9"/>
      <c r="HI60" s="9"/>
      <c r="HJ60" s="9"/>
      <c r="HK60" s="9"/>
      <c r="HL60" s="9"/>
      <c r="HM60" s="9"/>
      <c r="HN60" s="9"/>
      <c r="HO60" s="9"/>
      <c r="HP60" s="9"/>
      <c r="HQ60" s="9"/>
      <c r="HR60" s="9"/>
    </row>
    <row r="61" spans="1:226" s="6" customFormat="1" ht="15" customHeight="1">
      <c r="A61" s="58"/>
      <c r="B61" s="67" t="s">
        <v>48</v>
      </c>
      <c r="C61" s="68" t="s">
        <v>640</v>
      </c>
      <c r="D61" s="63">
        <f>D58*1000*1.3</f>
        <v>429</v>
      </c>
      <c r="E61" s="61">
        <f>E43</f>
        <v>6.0857406224561394</v>
      </c>
      <c r="F61" s="65">
        <f t="shared" si="0"/>
        <v>2610.782727033684</v>
      </c>
      <c r="G61" s="58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9"/>
      <c r="FA61" s="9"/>
      <c r="FB61" s="9"/>
      <c r="FC61" s="9"/>
      <c r="FD61" s="9"/>
      <c r="FE61" s="9"/>
      <c r="FF61" s="9"/>
      <c r="FG61" s="9"/>
      <c r="FH61" s="9"/>
      <c r="FI61" s="9"/>
      <c r="FJ61" s="9"/>
      <c r="FK61" s="9"/>
      <c r="FL61" s="9"/>
      <c r="FM61" s="9"/>
      <c r="FN61" s="9"/>
      <c r="FO61" s="9"/>
      <c r="FP61" s="9"/>
      <c r="FQ61" s="9"/>
      <c r="FR61" s="9"/>
      <c r="FS61" s="9"/>
      <c r="FT61" s="9"/>
      <c r="FU61" s="9"/>
      <c r="FV61" s="9"/>
      <c r="FW61" s="9"/>
      <c r="FX61" s="9"/>
      <c r="FY61" s="9"/>
      <c r="FZ61" s="9"/>
      <c r="GA61" s="9"/>
      <c r="GB61" s="9"/>
      <c r="GC61" s="9"/>
      <c r="GD61" s="9"/>
      <c r="GE61" s="9"/>
      <c r="GF61" s="9"/>
      <c r="GG61" s="9"/>
      <c r="GH61" s="9"/>
      <c r="GI61" s="9"/>
      <c r="GJ61" s="9"/>
      <c r="GK61" s="9"/>
      <c r="GL61" s="9"/>
      <c r="GM61" s="9"/>
      <c r="GN61" s="9"/>
      <c r="GO61" s="9"/>
      <c r="GP61" s="9"/>
      <c r="GQ61" s="9"/>
      <c r="GR61" s="9"/>
      <c r="GS61" s="9"/>
      <c r="GT61" s="9"/>
      <c r="GU61" s="9"/>
      <c r="GV61" s="9"/>
      <c r="GW61" s="9"/>
      <c r="GX61" s="9"/>
      <c r="GY61" s="9"/>
      <c r="GZ61" s="9"/>
      <c r="HA61" s="9"/>
      <c r="HB61" s="9"/>
      <c r="HC61" s="9"/>
      <c r="HD61" s="9"/>
      <c r="HE61" s="9"/>
      <c r="HF61" s="9"/>
      <c r="HG61" s="9"/>
      <c r="HH61" s="9"/>
      <c r="HI61" s="9"/>
      <c r="HJ61" s="9"/>
      <c r="HK61" s="9"/>
      <c r="HL61" s="9"/>
      <c r="HM61" s="9"/>
      <c r="HN61" s="9"/>
      <c r="HO61" s="9"/>
      <c r="HP61" s="9"/>
      <c r="HQ61" s="9"/>
      <c r="HR61" s="9"/>
    </row>
    <row r="62" spans="1:226" s="6" customFormat="1" ht="15" customHeight="1">
      <c r="A62" s="58"/>
      <c r="B62" s="67" t="s">
        <v>641</v>
      </c>
      <c r="C62" s="68" t="s">
        <v>640</v>
      </c>
      <c r="D62" s="63">
        <f>D58*1000*1.482/7.79</f>
        <v>62.78048780487805</v>
      </c>
      <c r="E62" s="61" t="e">
        <f>E50</f>
        <v>#REF!</v>
      </c>
      <c r="F62" s="65" t="e">
        <f t="shared" si="0"/>
        <v>#REF!</v>
      </c>
      <c r="G62" s="5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9"/>
      <c r="FA62" s="9"/>
      <c r="FB62" s="9"/>
      <c r="FC62" s="9"/>
      <c r="FD62" s="9"/>
      <c r="FE62" s="9"/>
      <c r="FF62" s="9"/>
      <c r="FG62" s="9"/>
      <c r="FH62" s="9"/>
      <c r="FI62" s="9"/>
      <c r="FJ62" s="9"/>
      <c r="FK62" s="9"/>
      <c r="FL62" s="9"/>
      <c r="FM62" s="9"/>
      <c r="FN62" s="9"/>
      <c r="FO62" s="9"/>
      <c r="FP62" s="9"/>
      <c r="FQ62" s="9"/>
      <c r="FR62" s="9"/>
      <c r="FS62" s="9"/>
      <c r="FT62" s="9"/>
      <c r="FU62" s="9"/>
      <c r="FV62" s="9"/>
      <c r="FW62" s="9"/>
      <c r="FX62" s="9"/>
      <c r="FY62" s="9"/>
      <c r="FZ62" s="9"/>
      <c r="GA62" s="9"/>
      <c r="GB62" s="9"/>
      <c r="GC62" s="9"/>
      <c r="GD62" s="9"/>
      <c r="GE62" s="9"/>
      <c r="GF62" s="9"/>
      <c r="GG62" s="9"/>
      <c r="GH62" s="9"/>
      <c r="GI62" s="9"/>
      <c r="GJ62" s="9"/>
      <c r="GK62" s="9"/>
      <c r="GL62" s="9"/>
      <c r="GM62" s="9"/>
      <c r="GN62" s="9"/>
      <c r="GO62" s="9"/>
      <c r="GP62" s="9"/>
      <c r="GQ62" s="9"/>
      <c r="GR62" s="9"/>
      <c r="GS62" s="9"/>
      <c r="GT62" s="9"/>
      <c r="GU62" s="9"/>
      <c r="GV62" s="9"/>
      <c r="GW62" s="9"/>
      <c r="GX62" s="9"/>
      <c r="GY62" s="9"/>
      <c r="GZ62" s="9"/>
      <c r="HA62" s="9"/>
      <c r="HB62" s="9"/>
      <c r="HC62" s="9"/>
      <c r="HD62" s="9"/>
      <c r="HE62" s="9"/>
      <c r="HF62" s="9"/>
      <c r="HG62" s="9"/>
      <c r="HH62" s="9"/>
      <c r="HI62" s="9"/>
      <c r="HJ62" s="9"/>
      <c r="HK62" s="9"/>
      <c r="HL62" s="9"/>
      <c r="HM62" s="9"/>
      <c r="HN62" s="9"/>
      <c r="HO62" s="9"/>
      <c r="HP62" s="9"/>
      <c r="HQ62" s="9"/>
      <c r="HR62" s="9"/>
    </row>
    <row r="63" spans="1:226" s="6" customFormat="1" ht="15" customHeight="1">
      <c r="A63" s="58"/>
      <c r="B63" s="67" t="s">
        <v>50</v>
      </c>
      <c r="C63" s="68" t="s">
        <v>640</v>
      </c>
      <c r="D63" s="63">
        <f>D58*1000*0.0063/7.79</f>
        <v>0.2668806161745828</v>
      </c>
      <c r="E63" s="58">
        <f>E51</f>
        <v>6500</v>
      </c>
      <c r="F63" s="65">
        <f t="shared" si="0"/>
        <v>1734.7240051347883</v>
      </c>
      <c r="G63" s="5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9"/>
      <c r="FY63" s="9"/>
      <c r="FZ63" s="9"/>
      <c r="GA63" s="9"/>
      <c r="GB63" s="9"/>
      <c r="GC63" s="9"/>
      <c r="GD63" s="9"/>
      <c r="GE63" s="9"/>
      <c r="GF63" s="9"/>
      <c r="GG63" s="9"/>
      <c r="GH63" s="9"/>
      <c r="GI63" s="9"/>
      <c r="GJ63" s="9"/>
      <c r="GK63" s="9"/>
      <c r="GL63" s="9"/>
      <c r="GM63" s="9"/>
      <c r="GN63" s="9"/>
      <c r="GO63" s="9"/>
      <c r="GP63" s="9"/>
      <c r="GQ63" s="9"/>
      <c r="GR63" s="9"/>
      <c r="GS63" s="9"/>
      <c r="GT63" s="9"/>
      <c r="GU63" s="9"/>
      <c r="GV63" s="9"/>
      <c r="GW63" s="9"/>
      <c r="GX63" s="9"/>
      <c r="GY63" s="9"/>
      <c r="GZ63" s="9"/>
      <c r="HA63" s="9"/>
      <c r="HB63" s="9"/>
      <c r="HC63" s="9"/>
      <c r="HD63" s="9"/>
      <c r="HE63" s="9"/>
      <c r="HF63" s="9"/>
      <c r="HG63" s="9"/>
      <c r="HH63" s="9"/>
      <c r="HI63" s="9"/>
      <c r="HJ63" s="9"/>
      <c r="HK63" s="9"/>
      <c r="HL63" s="9"/>
      <c r="HM63" s="9"/>
      <c r="HN63" s="9"/>
      <c r="HO63" s="9"/>
      <c r="HP63" s="9"/>
      <c r="HQ63" s="9"/>
      <c r="HR63" s="9"/>
    </row>
    <row r="64" spans="1:218" s="6" customFormat="1" ht="15" customHeight="1">
      <c r="A64" s="58">
        <v>3.2</v>
      </c>
      <c r="B64" s="59" t="s">
        <v>652</v>
      </c>
      <c r="C64" s="60" t="s">
        <v>636</v>
      </c>
      <c r="D64" s="63">
        <v>0.492</v>
      </c>
      <c r="E64" s="58"/>
      <c r="F64" s="65">
        <f>SUM(F65:F68)</f>
        <v>62690.70741746295</v>
      </c>
      <c r="G64" s="5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  <c r="ER64" s="9"/>
      <c r="ES64" s="9"/>
      <c r="ET64" s="9"/>
      <c r="EU64" s="9"/>
      <c r="EV64" s="9"/>
      <c r="EW64" s="9"/>
      <c r="EX64" s="9"/>
      <c r="EY64" s="9"/>
      <c r="EZ64" s="9"/>
      <c r="FA64" s="9"/>
      <c r="FB64" s="9"/>
      <c r="FC64" s="9"/>
      <c r="FD64" s="9"/>
      <c r="FE64" s="9"/>
      <c r="FF64" s="9"/>
      <c r="FG64" s="9"/>
      <c r="FH64" s="9"/>
      <c r="FI64" s="9"/>
      <c r="FJ64" s="9"/>
      <c r="FK64" s="9"/>
      <c r="FL64" s="9"/>
      <c r="FM64" s="9"/>
      <c r="FN64" s="9"/>
      <c r="FO64" s="9"/>
      <c r="FP64" s="9"/>
      <c r="FQ64" s="9"/>
      <c r="FR64" s="9"/>
      <c r="FS64" s="9"/>
      <c r="FT64" s="9"/>
      <c r="FU64" s="9"/>
      <c r="FV64" s="9"/>
      <c r="FW64" s="9"/>
      <c r="FX64" s="9"/>
      <c r="FY64" s="9"/>
      <c r="FZ64" s="9"/>
      <c r="GA64" s="9"/>
      <c r="GB64" s="9"/>
      <c r="GC64" s="9"/>
      <c r="GD64" s="9"/>
      <c r="GE64" s="9"/>
      <c r="GF64" s="9"/>
      <c r="GG64" s="9"/>
      <c r="GH64" s="9"/>
      <c r="GI64" s="9"/>
      <c r="GJ64" s="9"/>
      <c r="GK64" s="9"/>
      <c r="GL64" s="9"/>
      <c r="GM64" s="9"/>
      <c r="GN64" s="9"/>
      <c r="GO64" s="9"/>
      <c r="GP64" s="9"/>
      <c r="GQ64" s="9"/>
      <c r="GR64" s="9"/>
      <c r="GS64" s="9"/>
      <c r="GT64" s="9"/>
      <c r="GU64" s="9"/>
      <c r="GV64" s="9"/>
      <c r="GW64" s="9"/>
      <c r="GX64" s="9"/>
      <c r="GY64" s="9"/>
      <c r="GZ64" s="9"/>
      <c r="HA64" s="9"/>
      <c r="HB64" s="9"/>
      <c r="HC64" s="9"/>
      <c r="HD64" s="9"/>
      <c r="HE64" s="9"/>
      <c r="HF64" s="9"/>
      <c r="HG64" s="9"/>
      <c r="HH64" s="9"/>
      <c r="HI64" s="9"/>
      <c r="HJ64" s="9"/>
    </row>
    <row r="65" spans="1:218" s="6" customFormat="1" ht="15" customHeight="1">
      <c r="A65" s="58"/>
      <c r="B65" s="67" t="s">
        <v>46</v>
      </c>
      <c r="C65" s="68" t="s">
        <v>640</v>
      </c>
      <c r="D65" s="63">
        <f>D64*1000*1.2</f>
        <v>590.4</v>
      </c>
      <c r="E65" s="61">
        <f>E53</f>
        <v>5.433370516961509</v>
      </c>
      <c r="F65" s="65">
        <f aca="true" t="shared" si="1" ref="F65:F96">D65*E65</f>
        <v>3207.8619532140747</v>
      </c>
      <c r="G65" s="58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</row>
    <row r="66" spans="1:218" s="6" customFormat="1" ht="15" customHeight="1">
      <c r="A66" s="58"/>
      <c r="B66" s="67" t="s">
        <v>48</v>
      </c>
      <c r="C66" s="68"/>
      <c r="D66" s="63">
        <f>D65*0.85</f>
        <v>501.84</v>
      </c>
      <c r="E66" s="61">
        <f>E54</f>
        <v>6.0857406224561394</v>
      </c>
      <c r="F66" s="65">
        <f t="shared" si="1"/>
        <v>3054.068073973389</v>
      </c>
      <c r="G66" s="58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</row>
    <row r="67" spans="1:218" s="6" customFormat="1" ht="15" customHeight="1">
      <c r="A67" s="58"/>
      <c r="B67" s="67" t="s">
        <v>641</v>
      </c>
      <c r="C67" s="68" t="s">
        <v>640</v>
      </c>
      <c r="D67" s="63">
        <f>D64*1000*1.009/7.79</f>
        <v>63.726315789473674</v>
      </c>
      <c r="E67" s="61">
        <f>E55</f>
        <v>859.0739762266555</v>
      </c>
      <c r="F67" s="65">
        <f t="shared" si="1"/>
        <v>54745.61949553865</v>
      </c>
      <c r="G67" s="5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</row>
    <row r="68" spans="1:218" s="6" customFormat="1" ht="15" customHeight="1">
      <c r="A68" s="58"/>
      <c r="B68" s="67" t="s">
        <v>50</v>
      </c>
      <c r="C68" s="68" t="s">
        <v>640</v>
      </c>
      <c r="D68" s="63">
        <f>D64*1000*0.0041/7.79</f>
        <v>0.25894736842105265</v>
      </c>
      <c r="E68" s="58">
        <f>E56</f>
        <v>6500</v>
      </c>
      <c r="F68" s="65">
        <f t="shared" si="1"/>
        <v>1683.1578947368423</v>
      </c>
      <c r="G68" s="5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</row>
    <row r="69" spans="1:226" s="6" customFormat="1" ht="15" customHeight="1">
      <c r="A69" s="58">
        <v>3.3</v>
      </c>
      <c r="B69" s="59" t="s">
        <v>653</v>
      </c>
      <c r="C69" s="60" t="s">
        <v>636</v>
      </c>
      <c r="D69" s="63">
        <v>0.52</v>
      </c>
      <c r="E69" s="58"/>
      <c r="F69" s="65">
        <f>SUM(F70:F73)</f>
        <v>66258.47125422914</v>
      </c>
      <c r="G69" s="5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9"/>
      <c r="EQ69" s="9"/>
      <c r="ER69" s="9"/>
      <c r="ES69" s="9"/>
      <c r="ET69" s="9"/>
      <c r="EU69" s="9"/>
      <c r="EV69" s="9"/>
      <c r="EW69" s="9"/>
      <c r="EX69" s="9"/>
      <c r="EY69" s="9"/>
      <c r="EZ69" s="9"/>
      <c r="FA69" s="9"/>
      <c r="FB69" s="9"/>
      <c r="FC69" s="9"/>
      <c r="FD69" s="9"/>
      <c r="FE69" s="9"/>
      <c r="FF69" s="9"/>
      <c r="FG69" s="9"/>
      <c r="FH69" s="9"/>
      <c r="FI69" s="9"/>
      <c r="FJ69" s="9"/>
      <c r="FK69" s="9"/>
      <c r="FL69" s="9"/>
      <c r="FM69" s="9"/>
      <c r="FN69" s="9"/>
      <c r="FO69" s="9"/>
      <c r="FP69" s="9"/>
      <c r="FQ69" s="9"/>
      <c r="FR69" s="9"/>
      <c r="FS69" s="9"/>
      <c r="FT69" s="9"/>
      <c r="FU69" s="9"/>
      <c r="FV69" s="9"/>
      <c r="FW69" s="9"/>
      <c r="FX69" s="9"/>
      <c r="FY69" s="9"/>
      <c r="FZ69" s="9"/>
      <c r="GA69" s="9"/>
      <c r="GB69" s="9"/>
      <c r="GC69" s="9"/>
      <c r="GD69" s="9"/>
      <c r="GE69" s="9"/>
      <c r="GF69" s="9"/>
      <c r="GG69" s="9"/>
      <c r="GH69" s="9"/>
      <c r="GI69" s="9"/>
      <c r="GJ69" s="9"/>
      <c r="GK69" s="9"/>
      <c r="GL69" s="9"/>
      <c r="GM69" s="9"/>
      <c r="GN69" s="9"/>
      <c r="GO69" s="9"/>
      <c r="GP69" s="9"/>
      <c r="GQ69" s="9"/>
      <c r="GR69" s="9"/>
      <c r="GS69" s="9"/>
      <c r="GT69" s="9"/>
      <c r="GU69" s="9"/>
      <c r="GV69" s="9"/>
      <c r="GW69" s="9"/>
      <c r="GX69" s="9"/>
      <c r="GY69" s="9"/>
      <c r="GZ69" s="9"/>
      <c r="HA69" s="9"/>
      <c r="HB69" s="9"/>
      <c r="HC69" s="9"/>
      <c r="HD69" s="9"/>
      <c r="HE69" s="9"/>
      <c r="HF69" s="9"/>
      <c r="HG69" s="9"/>
      <c r="HH69" s="9"/>
      <c r="HI69" s="9"/>
      <c r="HJ69" s="9"/>
      <c r="HK69" s="9"/>
      <c r="HL69" s="9"/>
      <c r="HM69" s="9"/>
      <c r="HN69" s="9"/>
      <c r="HO69" s="9"/>
      <c r="HP69" s="9"/>
      <c r="HQ69" s="9"/>
      <c r="HR69" s="9"/>
    </row>
    <row r="70" spans="1:226" s="6" customFormat="1" ht="15" customHeight="1">
      <c r="A70" s="58"/>
      <c r="B70" s="67" t="s">
        <v>46</v>
      </c>
      <c r="C70" s="68" t="s">
        <v>640</v>
      </c>
      <c r="D70" s="63">
        <f>D69*1000*1.2</f>
        <v>624</v>
      </c>
      <c r="E70" s="61">
        <f>E65</f>
        <v>5.433370516961509</v>
      </c>
      <c r="F70" s="65">
        <f t="shared" si="1"/>
        <v>3390.423202583982</v>
      </c>
      <c r="G70" s="58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9"/>
      <c r="EJ70" s="9"/>
      <c r="EK70" s="9"/>
      <c r="EL70" s="9"/>
      <c r="EM70" s="9"/>
      <c r="EN70" s="9"/>
      <c r="EO70" s="9"/>
      <c r="EP70" s="9"/>
      <c r="EQ70" s="9"/>
      <c r="ER70" s="9"/>
      <c r="ES70" s="9"/>
      <c r="ET70" s="9"/>
      <c r="EU70" s="9"/>
      <c r="EV70" s="9"/>
      <c r="EW70" s="9"/>
      <c r="EX70" s="9"/>
      <c r="EY70" s="9"/>
      <c r="EZ70" s="9"/>
      <c r="FA70" s="9"/>
      <c r="FB70" s="9"/>
      <c r="FC70" s="9"/>
      <c r="FD70" s="9"/>
      <c r="FE70" s="9"/>
      <c r="FF70" s="9"/>
      <c r="FG70" s="9"/>
      <c r="FH70" s="9"/>
      <c r="FI70" s="9"/>
      <c r="FJ70" s="9"/>
      <c r="FK70" s="9"/>
      <c r="FL70" s="9"/>
      <c r="FM70" s="9"/>
      <c r="FN70" s="9"/>
      <c r="FO70" s="9"/>
      <c r="FP70" s="9"/>
      <c r="FQ70" s="9"/>
      <c r="FR70" s="9"/>
      <c r="FS70" s="9"/>
      <c r="FT70" s="9"/>
      <c r="FU70" s="9"/>
      <c r="FV70" s="9"/>
      <c r="FW70" s="9"/>
      <c r="FX70" s="9"/>
      <c r="FY70" s="9"/>
      <c r="FZ70" s="9"/>
      <c r="GA70" s="9"/>
      <c r="GB70" s="9"/>
      <c r="GC70" s="9"/>
      <c r="GD70" s="9"/>
      <c r="GE70" s="9"/>
      <c r="GF70" s="9"/>
      <c r="GG70" s="9"/>
      <c r="GH70" s="9"/>
      <c r="GI70" s="9"/>
      <c r="GJ70" s="9"/>
      <c r="GK70" s="9"/>
      <c r="GL70" s="9"/>
      <c r="GM70" s="9"/>
      <c r="GN70" s="9"/>
      <c r="GO70" s="9"/>
      <c r="GP70" s="9"/>
      <c r="GQ70" s="9"/>
      <c r="GR70" s="9"/>
      <c r="GS70" s="9"/>
      <c r="GT70" s="9"/>
      <c r="GU70" s="9"/>
      <c r="GV70" s="9"/>
      <c r="GW70" s="9"/>
      <c r="GX70" s="9"/>
      <c r="GY70" s="9"/>
      <c r="GZ70" s="9"/>
      <c r="HA70" s="9"/>
      <c r="HB70" s="9"/>
      <c r="HC70" s="9"/>
      <c r="HD70" s="9"/>
      <c r="HE70" s="9"/>
      <c r="HF70" s="9"/>
      <c r="HG70" s="9"/>
      <c r="HH70" s="9"/>
      <c r="HI70" s="9"/>
      <c r="HJ70" s="9"/>
      <c r="HK70" s="9"/>
      <c r="HL70" s="9"/>
      <c r="HM70" s="9"/>
      <c r="HN70" s="9"/>
      <c r="HO70" s="9"/>
      <c r="HP70" s="9"/>
      <c r="HQ70" s="9"/>
      <c r="HR70" s="9"/>
    </row>
    <row r="71" spans="1:226" s="6" customFormat="1" ht="15" customHeight="1">
      <c r="A71" s="58"/>
      <c r="B71" s="67" t="s">
        <v>48</v>
      </c>
      <c r="C71" s="68"/>
      <c r="D71" s="63">
        <f>D70*0.85</f>
        <v>530.4</v>
      </c>
      <c r="E71" s="61">
        <f>E66</f>
        <v>6.0857406224561394</v>
      </c>
      <c r="F71" s="65">
        <f t="shared" si="1"/>
        <v>3227.876826150736</v>
      </c>
      <c r="G71" s="58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9"/>
      <c r="DV71" s="9"/>
      <c r="DW71" s="9"/>
      <c r="DX71" s="9"/>
      <c r="DY71" s="9"/>
      <c r="DZ71" s="9"/>
      <c r="EA71" s="9"/>
      <c r="EB71" s="9"/>
      <c r="EC71" s="9"/>
      <c r="ED71" s="9"/>
      <c r="EE71" s="9"/>
      <c r="EF71" s="9"/>
      <c r="EG71" s="9"/>
      <c r="EH71" s="9"/>
      <c r="EI71" s="9"/>
      <c r="EJ71" s="9"/>
      <c r="EK71" s="9"/>
      <c r="EL71" s="9"/>
      <c r="EM71" s="9"/>
      <c r="EN71" s="9"/>
      <c r="EO71" s="9"/>
      <c r="EP71" s="9"/>
      <c r="EQ71" s="9"/>
      <c r="ER71" s="9"/>
      <c r="ES71" s="9"/>
      <c r="ET71" s="9"/>
      <c r="EU71" s="9"/>
      <c r="EV71" s="9"/>
      <c r="EW71" s="9"/>
      <c r="EX71" s="9"/>
      <c r="EY71" s="9"/>
      <c r="EZ71" s="9"/>
      <c r="FA71" s="9"/>
      <c r="FB71" s="9"/>
      <c r="FC71" s="9"/>
      <c r="FD71" s="9"/>
      <c r="FE71" s="9"/>
      <c r="FF71" s="9"/>
      <c r="FG71" s="9"/>
      <c r="FH71" s="9"/>
      <c r="FI71" s="9"/>
      <c r="FJ71" s="9"/>
      <c r="FK71" s="9"/>
      <c r="FL71" s="9"/>
      <c r="FM71" s="9"/>
      <c r="FN71" s="9"/>
      <c r="FO71" s="9"/>
      <c r="FP71" s="9"/>
      <c r="FQ71" s="9"/>
      <c r="FR71" s="9"/>
      <c r="FS71" s="9"/>
      <c r="FT71" s="9"/>
      <c r="FU71" s="9"/>
      <c r="FV71" s="9"/>
      <c r="FW71" s="9"/>
      <c r="FX71" s="9"/>
      <c r="FY71" s="9"/>
      <c r="FZ71" s="9"/>
      <c r="GA71" s="9"/>
      <c r="GB71" s="9"/>
      <c r="GC71" s="9"/>
      <c r="GD71" s="9"/>
      <c r="GE71" s="9"/>
      <c r="GF71" s="9"/>
      <c r="GG71" s="9"/>
      <c r="GH71" s="9"/>
      <c r="GI71" s="9"/>
      <c r="GJ71" s="9"/>
      <c r="GK71" s="9"/>
      <c r="GL71" s="9"/>
      <c r="GM71" s="9"/>
      <c r="GN71" s="9"/>
      <c r="GO71" s="9"/>
      <c r="GP71" s="9"/>
      <c r="GQ71" s="9"/>
      <c r="GR71" s="9"/>
      <c r="GS71" s="9"/>
      <c r="GT71" s="9"/>
      <c r="GU71" s="9"/>
      <c r="GV71" s="9"/>
      <c r="GW71" s="9"/>
      <c r="GX71" s="9"/>
      <c r="GY71" s="9"/>
      <c r="GZ71" s="9"/>
      <c r="HA71" s="9"/>
      <c r="HB71" s="9"/>
      <c r="HC71" s="9"/>
      <c r="HD71" s="9"/>
      <c r="HE71" s="9"/>
      <c r="HF71" s="9"/>
      <c r="HG71" s="9"/>
      <c r="HH71" s="9"/>
      <c r="HI71" s="9"/>
      <c r="HJ71" s="9"/>
      <c r="HK71" s="9"/>
      <c r="HL71" s="9"/>
      <c r="HM71" s="9"/>
      <c r="HN71" s="9"/>
      <c r="HO71" s="9"/>
      <c r="HP71" s="9"/>
      <c r="HQ71" s="9"/>
      <c r="HR71" s="9"/>
    </row>
    <row r="72" spans="1:226" s="6" customFormat="1" ht="15" customHeight="1">
      <c r="A72" s="58"/>
      <c r="B72" s="67" t="s">
        <v>641</v>
      </c>
      <c r="C72" s="68" t="s">
        <v>640</v>
      </c>
      <c r="D72" s="63">
        <f>D69*1000*1.009/7.79</f>
        <v>67.35301668806162</v>
      </c>
      <c r="E72" s="61">
        <f>E67</f>
        <v>859.0739762266555</v>
      </c>
      <c r="F72" s="65">
        <f t="shared" si="1"/>
        <v>57861.223857073375</v>
      </c>
      <c r="G72" s="5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9"/>
      <c r="EJ72" s="9"/>
      <c r="EK72" s="9"/>
      <c r="EL72" s="9"/>
      <c r="EM72" s="9"/>
      <c r="EN72" s="9"/>
      <c r="EO72" s="9"/>
      <c r="EP72" s="9"/>
      <c r="EQ72" s="9"/>
      <c r="ER72" s="9"/>
      <c r="ES72" s="9"/>
      <c r="ET72" s="9"/>
      <c r="EU72" s="9"/>
      <c r="EV72" s="9"/>
      <c r="EW72" s="9"/>
      <c r="EX72" s="9"/>
      <c r="EY72" s="9"/>
      <c r="EZ72" s="9"/>
      <c r="FA72" s="9"/>
      <c r="FB72" s="9"/>
      <c r="FC72" s="9"/>
      <c r="FD72" s="9"/>
      <c r="FE72" s="9"/>
      <c r="FF72" s="9"/>
      <c r="FG72" s="9"/>
      <c r="FH72" s="9"/>
      <c r="FI72" s="9"/>
      <c r="FJ72" s="9"/>
      <c r="FK72" s="9"/>
      <c r="FL72" s="9"/>
      <c r="FM72" s="9"/>
      <c r="FN72" s="9"/>
      <c r="FO72" s="9"/>
      <c r="FP72" s="9"/>
      <c r="FQ72" s="9"/>
      <c r="FR72" s="9"/>
      <c r="FS72" s="9"/>
      <c r="FT72" s="9"/>
      <c r="FU72" s="9"/>
      <c r="FV72" s="9"/>
      <c r="FW72" s="9"/>
      <c r="FX72" s="9"/>
      <c r="FY72" s="9"/>
      <c r="FZ72" s="9"/>
      <c r="GA72" s="9"/>
      <c r="GB72" s="9"/>
      <c r="GC72" s="9"/>
      <c r="GD72" s="9"/>
      <c r="GE72" s="9"/>
      <c r="GF72" s="9"/>
      <c r="GG72" s="9"/>
      <c r="GH72" s="9"/>
      <c r="GI72" s="9"/>
      <c r="GJ72" s="9"/>
      <c r="GK72" s="9"/>
      <c r="GL72" s="9"/>
      <c r="GM72" s="9"/>
      <c r="GN72" s="9"/>
      <c r="GO72" s="9"/>
      <c r="GP72" s="9"/>
      <c r="GQ72" s="9"/>
      <c r="GR72" s="9"/>
      <c r="GS72" s="9"/>
      <c r="GT72" s="9"/>
      <c r="GU72" s="9"/>
      <c r="GV72" s="9"/>
      <c r="GW72" s="9"/>
      <c r="GX72" s="9"/>
      <c r="GY72" s="9"/>
      <c r="GZ72" s="9"/>
      <c r="HA72" s="9"/>
      <c r="HB72" s="9"/>
      <c r="HC72" s="9"/>
      <c r="HD72" s="9"/>
      <c r="HE72" s="9"/>
      <c r="HF72" s="9"/>
      <c r="HG72" s="9"/>
      <c r="HH72" s="9"/>
      <c r="HI72" s="9"/>
      <c r="HJ72" s="9"/>
      <c r="HK72" s="9"/>
      <c r="HL72" s="9"/>
      <c r="HM72" s="9"/>
      <c r="HN72" s="9"/>
      <c r="HO72" s="9"/>
      <c r="HP72" s="9"/>
      <c r="HQ72" s="9"/>
      <c r="HR72" s="9"/>
    </row>
    <row r="73" spans="1:226" s="6" customFormat="1" ht="15" customHeight="1">
      <c r="A73" s="58"/>
      <c r="B73" s="67" t="s">
        <v>50</v>
      </c>
      <c r="C73" s="68" t="s">
        <v>640</v>
      </c>
      <c r="D73" s="63">
        <f>D69*1000*0.0041/7.79</f>
        <v>0.2736842105263158</v>
      </c>
      <c r="E73" s="58">
        <f>E68</f>
        <v>6500</v>
      </c>
      <c r="F73" s="65">
        <f t="shared" si="1"/>
        <v>1778.9473684210527</v>
      </c>
      <c r="G73" s="5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  <c r="EO73" s="9"/>
      <c r="EP73" s="9"/>
      <c r="EQ73" s="9"/>
      <c r="ER73" s="9"/>
      <c r="ES73" s="9"/>
      <c r="ET73" s="9"/>
      <c r="EU73" s="9"/>
      <c r="EV73" s="9"/>
      <c r="EW73" s="9"/>
      <c r="EX73" s="9"/>
      <c r="EY73" s="9"/>
      <c r="EZ73" s="9"/>
      <c r="FA73" s="9"/>
      <c r="FB73" s="9"/>
      <c r="FC73" s="9"/>
      <c r="FD73" s="9"/>
      <c r="FE73" s="9"/>
      <c r="FF73" s="9"/>
      <c r="FG73" s="9"/>
      <c r="FH73" s="9"/>
      <c r="FI73" s="9"/>
      <c r="FJ73" s="9"/>
      <c r="FK73" s="9"/>
      <c r="FL73" s="9"/>
      <c r="FM73" s="9"/>
      <c r="FN73" s="9"/>
      <c r="FO73" s="9"/>
      <c r="FP73" s="9"/>
      <c r="FQ73" s="9"/>
      <c r="FR73" s="9"/>
      <c r="FS73" s="9"/>
      <c r="FT73" s="9"/>
      <c r="FU73" s="9"/>
      <c r="FV73" s="9"/>
      <c r="FW73" s="9"/>
      <c r="FX73" s="9"/>
      <c r="FY73" s="9"/>
      <c r="FZ73" s="9"/>
      <c r="GA73" s="9"/>
      <c r="GB73" s="9"/>
      <c r="GC73" s="9"/>
      <c r="GD73" s="9"/>
      <c r="GE73" s="9"/>
      <c r="GF73" s="9"/>
      <c r="GG73" s="9"/>
      <c r="GH73" s="9"/>
      <c r="GI73" s="9"/>
      <c r="GJ73" s="9"/>
      <c r="GK73" s="9"/>
      <c r="GL73" s="9"/>
      <c r="GM73" s="9"/>
      <c r="GN73" s="9"/>
      <c r="GO73" s="9"/>
      <c r="GP73" s="9"/>
      <c r="GQ73" s="9"/>
      <c r="GR73" s="9"/>
      <c r="GS73" s="9"/>
      <c r="GT73" s="9"/>
      <c r="GU73" s="9"/>
      <c r="GV73" s="9"/>
      <c r="GW73" s="9"/>
      <c r="GX73" s="9"/>
      <c r="GY73" s="9"/>
      <c r="GZ73" s="9"/>
      <c r="HA73" s="9"/>
      <c r="HB73" s="9"/>
      <c r="HC73" s="9"/>
      <c r="HD73" s="9"/>
      <c r="HE73" s="9"/>
      <c r="HF73" s="9"/>
      <c r="HG73" s="9"/>
      <c r="HH73" s="9"/>
      <c r="HI73" s="9"/>
      <c r="HJ73" s="9"/>
      <c r="HK73" s="9"/>
      <c r="HL73" s="9"/>
      <c r="HM73" s="9"/>
      <c r="HN73" s="9"/>
      <c r="HO73" s="9"/>
      <c r="HP73" s="9"/>
      <c r="HQ73" s="9"/>
      <c r="HR73" s="9"/>
    </row>
    <row r="74" spans="1:226" s="4" customFormat="1" ht="15" customHeight="1">
      <c r="A74" s="58">
        <v>4</v>
      </c>
      <c r="B74" s="59" t="s">
        <v>654</v>
      </c>
      <c r="C74" s="60" t="s">
        <v>636</v>
      </c>
      <c r="D74" s="61">
        <f>D75+D80</f>
        <v>23.8</v>
      </c>
      <c r="E74" s="61"/>
      <c r="F74" s="65">
        <f>F75+F80</f>
        <v>1356945.4656089817</v>
      </c>
      <c r="G74" s="59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</row>
    <row r="75" spans="1:226" s="6" customFormat="1" ht="15" customHeight="1">
      <c r="A75" s="58">
        <v>4.1</v>
      </c>
      <c r="B75" s="78" t="s">
        <v>655</v>
      </c>
      <c r="C75" s="58" t="s">
        <v>636</v>
      </c>
      <c r="D75" s="63">
        <f>13.6+5</f>
        <v>18.6</v>
      </c>
      <c r="E75" s="61"/>
      <c r="F75" s="65">
        <f>SUM(F76:F79)</f>
        <v>1214058.1977501877</v>
      </c>
      <c r="G75" s="5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  <c r="EL75" s="9"/>
      <c r="EM75" s="9"/>
      <c r="EN75" s="9"/>
      <c r="EO75" s="9"/>
      <c r="EP75" s="9"/>
      <c r="EQ75" s="9"/>
      <c r="ER75" s="9"/>
      <c r="ES75" s="9"/>
      <c r="ET75" s="9"/>
      <c r="EU75" s="9"/>
      <c r="EV75" s="9"/>
      <c r="EW75" s="9"/>
      <c r="EX75" s="9"/>
      <c r="EY75" s="9"/>
      <c r="EZ75" s="9"/>
      <c r="FA75" s="9"/>
      <c r="FB75" s="9"/>
      <c r="FC75" s="9"/>
      <c r="FD75" s="9"/>
      <c r="FE75" s="9"/>
      <c r="FF75" s="9"/>
      <c r="FG75" s="9"/>
      <c r="FH75" s="9"/>
      <c r="FI75" s="9"/>
      <c r="FJ75" s="9"/>
      <c r="FK75" s="9"/>
      <c r="FL75" s="9"/>
      <c r="FM75" s="9"/>
      <c r="FN75" s="9"/>
      <c r="FO75" s="9"/>
      <c r="FP75" s="9"/>
      <c r="FQ75" s="9"/>
      <c r="FR75" s="9"/>
      <c r="FS75" s="9"/>
      <c r="FT75" s="9"/>
      <c r="FU75" s="9"/>
      <c r="FV75" s="9"/>
      <c r="FW75" s="9"/>
      <c r="FX75" s="9"/>
      <c r="FY75" s="9"/>
      <c r="FZ75" s="9"/>
      <c r="GA75" s="9"/>
      <c r="GB75" s="9"/>
      <c r="GC75" s="9"/>
      <c r="GD75" s="9"/>
      <c r="GE75" s="9"/>
      <c r="GF75" s="9"/>
      <c r="GG75" s="9"/>
      <c r="GH75" s="9"/>
      <c r="GI75" s="9"/>
      <c r="GJ75" s="9"/>
      <c r="GK75" s="9"/>
      <c r="GL75" s="9"/>
      <c r="GM75" s="9"/>
      <c r="GN75" s="9"/>
      <c r="GO75" s="9"/>
      <c r="GP75" s="9"/>
      <c r="GQ75" s="9"/>
      <c r="GR75" s="9"/>
      <c r="GS75" s="9"/>
      <c r="GT75" s="9"/>
      <c r="GU75" s="9"/>
      <c r="GV75" s="9"/>
      <c r="GW75" s="9"/>
      <c r="GX75" s="9"/>
      <c r="GY75" s="9"/>
      <c r="GZ75" s="9"/>
      <c r="HA75" s="9"/>
      <c r="HB75" s="9"/>
      <c r="HC75" s="9"/>
      <c r="HD75" s="9"/>
      <c r="HE75" s="9"/>
      <c r="HF75" s="9"/>
      <c r="HG75" s="9"/>
      <c r="HH75" s="9"/>
      <c r="HI75" s="9"/>
      <c r="HJ75" s="9"/>
      <c r="HK75" s="9"/>
      <c r="HL75" s="9"/>
      <c r="HM75" s="9"/>
      <c r="HN75" s="9"/>
      <c r="HO75" s="9"/>
      <c r="HP75" s="9"/>
      <c r="HQ75" s="9"/>
      <c r="HR75" s="9"/>
    </row>
    <row r="76" spans="1:226" s="6" customFormat="1" ht="15" customHeight="1">
      <c r="A76" s="58"/>
      <c r="B76" s="67" t="s">
        <v>48</v>
      </c>
      <c r="C76" s="68" t="s">
        <v>640</v>
      </c>
      <c r="D76" s="63">
        <f>D75*1000*0.85</f>
        <v>15810</v>
      </c>
      <c r="E76" s="61">
        <f>E61</f>
        <v>6.0857406224561394</v>
      </c>
      <c r="F76" s="65">
        <f t="shared" si="1"/>
        <v>96215.55924103156</v>
      </c>
      <c r="G76" s="5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  <c r="DU76" s="9"/>
      <c r="DV76" s="9"/>
      <c r="DW76" s="9"/>
      <c r="DX76" s="9"/>
      <c r="DY76" s="9"/>
      <c r="DZ76" s="9"/>
      <c r="EA76" s="9"/>
      <c r="EB76" s="9"/>
      <c r="EC76" s="9"/>
      <c r="ED76" s="9"/>
      <c r="EE76" s="9"/>
      <c r="EF76" s="9"/>
      <c r="EG76" s="9"/>
      <c r="EH76" s="9"/>
      <c r="EI76" s="9"/>
      <c r="EJ76" s="9"/>
      <c r="EK76" s="9"/>
      <c r="EL76" s="9"/>
      <c r="EM76" s="9"/>
      <c r="EN76" s="9"/>
      <c r="EO76" s="9"/>
      <c r="EP76" s="9"/>
      <c r="EQ76" s="9"/>
      <c r="ER76" s="9"/>
      <c r="ES76" s="9"/>
      <c r="ET76" s="9"/>
      <c r="EU76" s="9"/>
      <c r="EV76" s="9"/>
      <c r="EW76" s="9"/>
      <c r="EX76" s="9"/>
      <c r="EY76" s="9"/>
      <c r="EZ76" s="9"/>
      <c r="FA76" s="9"/>
      <c r="FB76" s="9"/>
      <c r="FC76" s="9"/>
      <c r="FD76" s="9"/>
      <c r="FE76" s="9"/>
      <c r="FF76" s="9"/>
      <c r="FG76" s="9"/>
      <c r="FH76" s="9"/>
      <c r="FI76" s="9"/>
      <c r="FJ76" s="9"/>
      <c r="FK76" s="9"/>
      <c r="FL76" s="9"/>
      <c r="FM76" s="9"/>
      <c r="FN76" s="9"/>
      <c r="FO76" s="9"/>
      <c r="FP76" s="9"/>
      <c r="FQ76" s="9"/>
      <c r="FR76" s="9"/>
      <c r="FS76" s="9"/>
      <c r="FT76" s="9"/>
      <c r="FU76" s="9"/>
      <c r="FV76" s="9"/>
      <c r="FW76" s="9"/>
      <c r="FX76" s="9"/>
      <c r="FY76" s="9"/>
      <c r="FZ76" s="9"/>
      <c r="GA76" s="9"/>
      <c r="GB76" s="9"/>
      <c r="GC76" s="9"/>
      <c r="GD76" s="9"/>
      <c r="GE76" s="9"/>
      <c r="GF76" s="9"/>
      <c r="GG76" s="9"/>
      <c r="GH76" s="9"/>
      <c r="GI76" s="9"/>
      <c r="GJ76" s="9"/>
      <c r="GK76" s="9"/>
      <c r="GL76" s="9"/>
      <c r="GM76" s="9"/>
      <c r="GN76" s="9"/>
      <c r="GO76" s="9"/>
      <c r="GP76" s="9"/>
      <c r="GQ76" s="9"/>
      <c r="GR76" s="9"/>
      <c r="GS76" s="9"/>
      <c r="GT76" s="9"/>
      <c r="GU76" s="9"/>
      <c r="GV76" s="9"/>
      <c r="GW76" s="9"/>
      <c r="GX76" s="9"/>
      <c r="GY76" s="9"/>
      <c r="GZ76" s="9"/>
      <c r="HA76" s="9"/>
      <c r="HB76" s="9"/>
      <c r="HC76" s="9"/>
      <c r="HD76" s="9"/>
      <c r="HE76" s="9"/>
      <c r="HF76" s="9"/>
      <c r="HG76" s="9"/>
      <c r="HH76" s="9"/>
      <c r="HI76" s="9"/>
      <c r="HJ76" s="9"/>
      <c r="HK76" s="9"/>
      <c r="HL76" s="9"/>
      <c r="HM76" s="9"/>
      <c r="HN76" s="9"/>
      <c r="HO76" s="9"/>
      <c r="HP76" s="9"/>
      <c r="HQ76" s="9"/>
      <c r="HR76" s="9"/>
    </row>
    <row r="77" spans="1:226" s="6" customFormat="1" ht="15" customHeight="1">
      <c r="A77" s="58"/>
      <c r="B77" s="67" t="s">
        <v>46</v>
      </c>
      <c r="C77" s="68" t="s">
        <v>640</v>
      </c>
      <c r="D77" s="63">
        <f>D75*1000*0.35</f>
        <v>6510</v>
      </c>
      <c r="E77" s="61">
        <f>E65</f>
        <v>5.433370516961509</v>
      </c>
      <c r="F77" s="65">
        <f t="shared" si="1"/>
        <v>35371.24206541943</v>
      </c>
      <c r="G77" s="5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  <c r="ER77" s="9"/>
      <c r="ES77" s="9"/>
      <c r="ET77" s="9"/>
      <c r="EU77" s="9"/>
      <c r="EV77" s="9"/>
      <c r="EW77" s="9"/>
      <c r="EX77" s="9"/>
      <c r="EY77" s="9"/>
      <c r="EZ77" s="9"/>
      <c r="FA77" s="9"/>
      <c r="FB77" s="9"/>
      <c r="FC77" s="9"/>
      <c r="FD77" s="9"/>
      <c r="FE77" s="9"/>
      <c r="FF77" s="9"/>
      <c r="FG77" s="9"/>
      <c r="FH77" s="9"/>
      <c r="FI77" s="9"/>
      <c r="FJ77" s="9"/>
      <c r="FK77" s="9"/>
      <c r="FL77" s="9"/>
      <c r="FM77" s="9"/>
      <c r="FN77" s="9"/>
      <c r="FO77" s="9"/>
      <c r="FP77" s="9"/>
      <c r="FQ77" s="9"/>
      <c r="FR77" s="9"/>
      <c r="FS77" s="9"/>
      <c r="FT77" s="9"/>
      <c r="FU77" s="9"/>
      <c r="FV77" s="9"/>
      <c r="FW77" s="9"/>
      <c r="FX77" s="9"/>
      <c r="FY77" s="9"/>
      <c r="FZ77" s="9"/>
      <c r="GA77" s="9"/>
      <c r="GB77" s="9"/>
      <c r="GC77" s="9"/>
      <c r="GD77" s="9"/>
      <c r="GE77" s="9"/>
      <c r="GF77" s="9"/>
      <c r="GG77" s="9"/>
      <c r="GH77" s="9"/>
      <c r="GI77" s="9"/>
      <c r="GJ77" s="9"/>
      <c r="GK77" s="9"/>
      <c r="GL77" s="9"/>
      <c r="GM77" s="9"/>
      <c r="GN77" s="9"/>
      <c r="GO77" s="9"/>
      <c r="GP77" s="9"/>
      <c r="GQ77" s="9"/>
      <c r="GR77" s="9"/>
      <c r="GS77" s="9"/>
      <c r="GT77" s="9"/>
      <c r="GU77" s="9"/>
      <c r="GV77" s="9"/>
      <c r="GW77" s="9"/>
      <c r="GX77" s="9"/>
      <c r="GY77" s="9"/>
      <c r="GZ77" s="9"/>
      <c r="HA77" s="9"/>
      <c r="HB77" s="9"/>
      <c r="HC77" s="9"/>
      <c r="HD77" s="9"/>
      <c r="HE77" s="9"/>
      <c r="HF77" s="9"/>
      <c r="HG77" s="9"/>
      <c r="HH77" s="9"/>
      <c r="HI77" s="9"/>
      <c r="HJ77" s="9"/>
      <c r="HK77" s="9"/>
      <c r="HL77" s="9"/>
      <c r="HM77" s="9"/>
      <c r="HN77" s="9"/>
      <c r="HO77" s="9"/>
      <c r="HP77" s="9"/>
      <c r="HQ77" s="9"/>
      <c r="HR77" s="9"/>
    </row>
    <row r="78" spans="1:226" s="6" customFormat="1" ht="15" customHeight="1">
      <c r="A78" s="58"/>
      <c r="B78" s="67" t="s">
        <v>641</v>
      </c>
      <c r="C78" s="68" t="s">
        <v>640</v>
      </c>
      <c r="D78" s="63">
        <f>D75*1000*0.501/7.63</f>
        <v>1221.310615989515</v>
      </c>
      <c r="E78" s="61">
        <f>E72</f>
        <v>859.0739762266555</v>
      </c>
      <c r="F78" s="65">
        <f t="shared" si="1"/>
        <v>1049196.1670859386</v>
      </c>
      <c r="G78" s="5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9"/>
      <c r="EQ78" s="9"/>
      <c r="ER78" s="9"/>
      <c r="ES78" s="9"/>
      <c r="ET78" s="9"/>
      <c r="EU78" s="9"/>
      <c r="EV78" s="9"/>
      <c r="EW78" s="9"/>
      <c r="EX78" s="9"/>
      <c r="EY78" s="9"/>
      <c r="EZ78" s="9"/>
      <c r="FA78" s="9"/>
      <c r="FB78" s="9"/>
      <c r="FC78" s="9"/>
      <c r="FD78" s="9"/>
      <c r="FE78" s="9"/>
      <c r="FF78" s="9"/>
      <c r="FG78" s="9"/>
      <c r="FH78" s="9"/>
      <c r="FI78" s="9"/>
      <c r="FJ78" s="9"/>
      <c r="FK78" s="9"/>
      <c r="FL78" s="9"/>
      <c r="FM78" s="9"/>
      <c r="FN78" s="9"/>
      <c r="FO78" s="9"/>
      <c r="FP78" s="9"/>
      <c r="FQ78" s="9"/>
      <c r="FR78" s="9"/>
      <c r="FS78" s="9"/>
      <c r="FT78" s="9"/>
      <c r="FU78" s="9"/>
      <c r="FV78" s="9"/>
      <c r="FW78" s="9"/>
      <c r="FX78" s="9"/>
      <c r="FY78" s="9"/>
      <c r="FZ78" s="9"/>
      <c r="GA78" s="9"/>
      <c r="GB78" s="9"/>
      <c r="GC78" s="9"/>
      <c r="GD78" s="9"/>
      <c r="GE78" s="9"/>
      <c r="GF78" s="9"/>
      <c r="GG78" s="9"/>
      <c r="GH78" s="9"/>
      <c r="GI78" s="9"/>
      <c r="GJ78" s="9"/>
      <c r="GK78" s="9"/>
      <c r="GL78" s="9"/>
      <c r="GM78" s="9"/>
      <c r="GN78" s="9"/>
      <c r="GO78" s="9"/>
      <c r="GP78" s="9"/>
      <c r="GQ78" s="9"/>
      <c r="GR78" s="9"/>
      <c r="GS78" s="9"/>
      <c r="GT78" s="9"/>
      <c r="GU78" s="9"/>
      <c r="GV78" s="9"/>
      <c r="GW78" s="9"/>
      <c r="GX78" s="9"/>
      <c r="GY78" s="9"/>
      <c r="GZ78" s="9"/>
      <c r="HA78" s="9"/>
      <c r="HB78" s="9"/>
      <c r="HC78" s="9"/>
      <c r="HD78" s="9"/>
      <c r="HE78" s="9"/>
      <c r="HF78" s="9"/>
      <c r="HG78" s="9"/>
      <c r="HH78" s="9"/>
      <c r="HI78" s="9"/>
      <c r="HJ78" s="9"/>
      <c r="HK78" s="9"/>
      <c r="HL78" s="9"/>
      <c r="HM78" s="9"/>
      <c r="HN78" s="9"/>
      <c r="HO78" s="9"/>
      <c r="HP78" s="9"/>
      <c r="HQ78" s="9"/>
      <c r="HR78" s="9"/>
    </row>
    <row r="79" spans="1:226" s="6" customFormat="1" ht="15" customHeight="1">
      <c r="A79" s="58"/>
      <c r="B79" s="67" t="s">
        <v>50</v>
      </c>
      <c r="C79" s="68" t="s">
        <v>640</v>
      </c>
      <c r="D79" s="63">
        <f>D75*1000*0.0021/7.63</f>
        <v>5.119266055045871</v>
      </c>
      <c r="E79" s="62">
        <f>E73</f>
        <v>6500</v>
      </c>
      <c r="F79" s="65">
        <f t="shared" si="1"/>
        <v>33275.22935779816</v>
      </c>
      <c r="G79" s="5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  <c r="ER79" s="9"/>
      <c r="ES79" s="9"/>
      <c r="ET79" s="9"/>
      <c r="EU79" s="9"/>
      <c r="EV79" s="9"/>
      <c r="EW79" s="9"/>
      <c r="EX79" s="9"/>
      <c r="EY79" s="9"/>
      <c r="EZ79" s="9"/>
      <c r="FA79" s="9"/>
      <c r="FB79" s="9"/>
      <c r="FC79" s="9"/>
      <c r="FD79" s="9"/>
      <c r="FE79" s="9"/>
      <c r="FF79" s="9"/>
      <c r="FG79" s="9"/>
      <c r="FH79" s="9"/>
      <c r="FI79" s="9"/>
      <c r="FJ79" s="9"/>
      <c r="FK79" s="9"/>
      <c r="FL79" s="9"/>
      <c r="FM79" s="9"/>
      <c r="FN79" s="9"/>
      <c r="FO79" s="9"/>
      <c r="FP79" s="9"/>
      <c r="FQ79" s="9"/>
      <c r="FR79" s="9"/>
      <c r="FS79" s="9"/>
      <c r="FT79" s="9"/>
      <c r="FU79" s="9"/>
      <c r="FV79" s="9"/>
      <c r="FW79" s="9"/>
      <c r="FX79" s="9"/>
      <c r="FY79" s="9"/>
      <c r="FZ79" s="9"/>
      <c r="GA79" s="9"/>
      <c r="GB79" s="9"/>
      <c r="GC79" s="9"/>
      <c r="GD79" s="9"/>
      <c r="GE79" s="9"/>
      <c r="GF79" s="9"/>
      <c r="GG79" s="9"/>
      <c r="GH79" s="9"/>
      <c r="GI79" s="9"/>
      <c r="GJ79" s="9"/>
      <c r="GK79" s="9"/>
      <c r="GL79" s="9"/>
      <c r="GM79" s="9"/>
      <c r="GN79" s="9"/>
      <c r="GO79" s="9"/>
      <c r="GP79" s="9"/>
      <c r="GQ79" s="9"/>
      <c r="GR79" s="9"/>
      <c r="GS79" s="9"/>
      <c r="GT79" s="9"/>
      <c r="GU79" s="9"/>
      <c r="GV79" s="9"/>
      <c r="GW79" s="9"/>
      <c r="GX79" s="9"/>
      <c r="GY79" s="9"/>
      <c r="GZ79" s="9"/>
      <c r="HA79" s="9"/>
      <c r="HB79" s="9"/>
      <c r="HC79" s="9"/>
      <c r="HD79" s="9"/>
      <c r="HE79" s="9"/>
      <c r="HF79" s="9"/>
      <c r="HG79" s="9"/>
      <c r="HH79" s="9"/>
      <c r="HI79" s="9"/>
      <c r="HJ79" s="9"/>
      <c r="HK79" s="9"/>
      <c r="HL79" s="9"/>
      <c r="HM79" s="9"/>
      <c r="HN79" s="9"/>
      <c r="HO79" s="9"/>
      <c r="HP79" s="9"/>
      <c r="HQ79" s="9"/>
      <c r="HR79" s="9"/>
    </row>
    <row r="80" spans="1:226" s="6" customFormat="1" ht="15" customHeight="1">
      <c r="A80" s="58">
        <v>4.2</v>
      </c>
      <c r="B80" s="78" t="s">
        <v>656</v>
      </c>
      <c r="C80" s="58" t="s">
        <v>636</v>
      </c>
      <c r="D80" s="63">
        <v>5.2</v>
      </c>
      <c r="E80" s="61"/>
      <c r="F80" s="65">
        <f>SUM(F81:F84)</f>
        <v>142887.26785879387</v>
      </c>
      <c r="G80" s="5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  <c r="DY80" s="9"/>
      <c r="DZ80" s="9"/>
      <c r="EA80" s="9"/>
      <c r="EB80" s="9"/>
      <c r="EC80" s="9"/>
      <c r="ED80" s="9"/>
      <c r="EE80" s="9"/>
      <c r="EF80" s="9"/>
      <c r="EG80" s="9"/>
      <c r="EH80" s="9"/>
      <c r="EI80" s="9"/>
      <c r="EJ80" s="9"/>
      <c r="EK80" s="9"/>
      <c r="EL80" s="9"/>
      <c r="EM80" s="9"/>
      <c r="EN80" s="9"/>
      <c r="EO80" s="9"/>
      <c r="EP80" s="9"/>
      <c r="EQ80" s="9"/>
      <c r="ER80" s="9"/>
      <c r="ES80" s="9"/>
      <c r="ET80" s="9"/>
      <c r="EU80" s="9"/>
      <c r="EV80" s="9"/>
      <c r="EW80" s="9"/>
      <c r="EX80" s="9"/>
      <c r="EY80" s="9"/>
      <c r="EZ80" s="9"/>
      <c r="FA80" s="9"/>
      <c r="FB80" s="9"/>
      <c r="FC80" s="9"/>
      <c r="FD80" s="9"/>
      <c r="FE80" s="9"/>
      <c r="FF80" s="9"/>
      <c r="FG80" s="9"/>
      <c r="FH80" s="9"/>
      <c r="FI80" s="9"/>
      <c r="FJ80" s="9"/>
      <c r="FK80" s="9"/>
      <c r="FL80" s="9"/>
      <c r="FM80" s="9"/>
      <c r="FN80" s="9"/>
      <c r="FO80" s="9"/>
      <c r="FP80" s="9"/>
      <c r="FQ80" s="9"/>
      <c r="FR80" s="9"/>
      <c r="FS80" s="9"/>
      <c r="FT80" s="9"/>
      <c r="FU80" s="9"/>
      <c r="FV80" s="9"/>
      <c r="FW80" s="9"/>
      <c r="FX80" s="9"/>
      <c r="FY80" s="9"/>
      <c r="FZ80" s="9"/>
      <c r="GA80" s="9"/>
      <c r="GB80" s="9"/>
      <c r="GC80" s="9"/>
      <c r="GD80" s="9"/>
      <c r="GE80" s="9"/>
      <c r="GF80" s="9"/>
      <c r="GG80" s="9"/>
      <c r="GH80" s="9"/>
      <c r="GI80" s="9"/>
      <c r="GJ80" s="9"/>
      <c r="GK80" s="9"/>
      <c r="GL80" s="9"/>
      <c r="GM80" s="9"/>
      <c r="GN80" s="9"/>
      <c r="GO80" s="9"/>
      <c r="GP80" s="9"/>
      <c r="GQ80" s="9"/>
      <c r="GR80" s="9"/>
      <c r="GS80" s="9"/>
      <c r="GT80" s="9"/>
      <c r="GU80" s="9"/>
      <c r="GV80" s="9"/>
      <c r="GW80" s="9"/>
      <c r="GX80" s="9"/>
      <c r="GY80" s="9"/>
      <c r="GZ80" s="9"/>
      <c r="HA80" s="9"/>
      <c r="HB80" s="9"/>
      <c r="HC80" s="9"/>
      <c r="HD80" s="9"/>
      <c r="HE80" s="9"/>
      <c r="HF80" s="9"/>
      <c r="HG80" s="9"/>
      <c r="HH80" s="9"/>
      <c r="HI80" s="9"/>
      <c r="HJ80" s="9"/>
      <c r="HK80" s="9"/>
      <c r="HL80" s="9"/>
      <c r="HM80" s="9"/>
      <c r="HN80" s="9"/>
      <c r="HO80" s="9"/>
      <c r="HP80" s="9"/>
      <c r="HQ80" s="9"/>
      <c r="HR80" s="9"/>
    </row>
    <row r="81" spans="1:226" s="6" customFormat="1" ht="15" customHeight="1">
      <c r="A81" s="58"/>
      <c r="B81" s="67" t="s">
        <v>48</v>
      </c>
      <c r="C81" s="68" t="s">
        <v>640</v>
      </c>
      <c r="D81" s="63">
        <f>D80*1000*0.85</f>
        <v>4420</v>
      </c>
      <c r="E81" s="61">
        <f>E76</f>
        <v>6.0857406224561394</v>
      </c>
      <c r="F81" s="65">
        <f t="shared" si="1"/>
        <v>26898.973551256135</v>
      </c>
      <c r="G81" s="5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9"/>
      <c r="EW81" s="9"/>
      <c r="EX81" s="9"/>
      <c r="EY81" s="9"/>
      <c r="EZ81" s="9"/>
      <c r="FA81" s="9"/>
      <c r="FB81" s="9"/>
      <c r="FC81" s="9"/>
      <c r="FD81" s="9"/>
      <c r="FE81" s="9"/>
      <c r="FF81" s="9"/>
      <c r="FG81" s="9"/>
      <c r="FH81" s="9"/>
      <c r="FI81" s="9"/>
      <c r="FJ81" s="9"/>
      <c r="FK81" s="9"/>
      <c r="FL81" s="9"/>
      <c r="FM81" s="9"/>
      <c r="FN81" s="9"/>
      <c r="FO81" s="9"/>
      <c r="FP81" s="9"/>
      <c r="FQ81" s="9"/>
      <c r="FR81" s="9"/>
      <c r="FS81" s="9"/>
      <c r="FT81" s="9"/>
      <c r="FU81" s="9"/>
      <c r="FV81" s="9"/>
      <c r="FW81" s="9"/>
      <c r="FX81" s="9"/>
      <c r="FY81" s="9"/>
      <c r="FZ81" s="9"/>
      <c r="GA81" s="9"/>
      <c r="GB81" s="9"/>
      <c r="GC81" s="9"/>
      <c r="GD81" s="9"/>
      <c r="GE81" s="9"/>
      <c r="GF81" s="9"/>
      <c r="GG81" s="9"/>
      <c r="GH81" s="9"/>
      <c r="GI81" s="9"/>
      <c r="GJ81" s="9"/>
      <c r="GK81" s="9"/>
      <c r="GL81" s="9"/>
      <c r="GM81" s="9"/>
      <c r="GN81" s="9"/>
      <c r="GO81" s="9"/>
      <c r="GP81" s="9"/>
      <c r="GQ81" s="9"/>
      <c r="GR81" s="9"/>
      <c r="GS81" s="9"/>
      <c r="GT81" s="9"/>
      <c r="GU81" s="9"/>
      <c r="GV81" s="9"/>
      <c r="GW81" s="9"/>
      <c r="GX81" s="9"/>
      <c r="GY81" s="9"/>
      <c r="GZ81" s="9"/>
      <c r="HA81" s="9"/>
      <c r="HB81" s="9"/>
      <c r="HC81" s="9"/>
      <c r="HD81" s="9"/>
      <c r="HE81" s="9"/>
      <c r="HF81" s="9"/>
      <c r="HG81" s="9"/>
      <c r="HH81" s="9"/>
      <c r="HI81" s="9"/>
      <c r="HJ81" s="9"/>
      <c r="HK81" s="9"/>
      <c r="HL81" s="9"/>
      <c r="HM81" s="9"/>
      <c r="HN81" s="9"/>
      <c r="HO81" s="9"/>
      <c r="HP81" s="9"/>
      <c r="HQ81" s="9"/>
      <c r="HR81" s="9"/>
    </row>
    <row r="82" spans="1:226" s="6" customFormat="1" ht="15" customHeight="1">
      <c r="A82" s="58"/>
      <c r="B82" s="67" t="s">
        <v>46</v>
      </c>
      <c r="C82" s="68" t="s">
        <v>640</v>
      </c>
      <c r="D82" s="63">
        <f>D80*1000*0.35</f>
        <v>1819.9999999999998</v>
      </c>
      <c r="E82" s="61">
        <f>E77</f>
        <v>5.433370516961509</v>
      </c>
      <c r="F82" s="65">
        <f t="shared" si="1"/>
        <v>9888.734340869945</v>
      </c>
      <c r="G82" s="5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  <c r="DU82" s="9"/>
      <c r="DV82" s="9"/>
      <c r="DW82" s="9"/>
      <c r="DX82" s="9"/>
      <c r="DY82" s="9"/>
      <c r="DZ82" s="9"/>
      <c r="EA82" s="9"/>
      <c r="EB82" s="9"/>
      <c r="EC82" s="9"/>
      <c r="ED82" s="9"/>
      <c r="EE82" s="9"/>
      <c r="EF82" s="9"/>
      <c r="EG82" s="9"/>
      <c r="EH82" s="9"/>
      <c r="EI82" s="9"/>
      <c r="EJ82" s="9"/>
      <c r="EK82" s="9"/>
      <c r="EL82" s="9"/>
      <c r="EM82" s="9"/>
      <c r="EN82" s="9"/>
      <c r="EO82" s="9"/>
      <c r="EP82" s="9"/>
      <c r="EQ82" s="9"/>
      <c r="ER82" s="9"/>
      <c r="ES82" s="9"/>
      <c r="ET82" s="9"/>
      <c r="EU82" s="9"/>
      <c r="EV82" s="9"/>
      <c r="EW82" s="9"/>
      <c r="EX82" s="9"/>
      <c r="EY82" s="9"/>
      <c r="EZ82" s="9"/>
      <c r="FA82" s="9"/>
      <c r="FB82" s="9"/>
      <c r="FC82" s="9"/>
      <c r="FD82" s="9"/>
      <c r="FE82" s="9"/>
      <c r="FF82" s="9"/>
      <c r="FG82" s="9"/>
      <c r="FH82" s="9"/>
      <c r="FI82" s="9"/>
      <c r="FJ82" s="9"/>
      <c r="FK82" s="9"/>
      <c r="FL82" s="9"/>
      <c r="FM82" s="9"/>
      <c r="FN82" s="9"/>
      <c r="FO82" s="9"/>
      <c r="FP82" s="9"/>
      <c r="FQ82" s="9"/>
      <c r="FR82" s="9"/>
      <c r="FS82" s="9"/>
      <c r="FT82" s="9"/>
      <c r="FU82" s="9"/>
      <c r="FV82" s="9"/>
      <c r="FW82" s="9"/>
      <c r="FX82" s="9"/>
      <c r="FY82" s="9"/>
      <c r="FZ82" s="9"/>
      <c r="GA82" s="9"/>
      <c r="GB82" s="9"/>
      <c r="GC82" s="9"/>
      <c r="GD82" s="9"/>
      <c r="GE82" s="9"/>
      <c r="GF82" s="9"/>
      <c r="GG82" s="9"/>
      <c r="GH82" s="9"/>
      <c r="GI82" s="9"/>
      <c r="GJ82" s="9"/>
      <c r="GK82" s="9"/>
      <c r="GL82" s="9"/>
      <c r="GM82" s="9"/>
      <c r="GN82" s="9"/>
      <c r="GO82" s="9"/>
      <c r="GP82" s="9"/>
      <c r="GQ82" s="9"/>
      <c r="GR82" s="9"/>
      <c r="GS82" s="9"/>
      <c r="GT82" s="9"/>
      <c r="GU82" s="9"/>
      <c r="GV82" s="9"/>
      <c r="GW82" s="9"/>
      <c r="GX82" s="9"/>
      <c r="GY82" s="9"/>
      <c r="GZ82" s="9"/>
      <c r="HA82" s="9"/>
      <c r="HB82" s="9"/>
      <c r="HC82" s="9"/>
      <c r="HD82" s="9"/>
      <c r="HE82" s="9"/>
      <c r="HF82" s="9"/>
      <c r="HG82" s="9"/>
      <c r="HH82" s="9"/>
      <c r="HI82" s="9"/>
      <c r="HJ82" s="9"/>
      <c r="HK82" s="9"/>
      <c r="HL82" s="9"/>
      <c r="HM82" s="9"/>
      <c r="HN82" s="9"/>
      <c r="HO82" s="9"/>
      <c r="HP82" s="9"/>
      <c r="HQ82" s="9"/>
      <c r="HR82" s="9"/>
    </row>
    <row r="83" spans="1:226" s="6" customFormat="1" ht="15" customHeight="1">
      <c r="A83" s="58"/>
      <c r="B83" s="67" t="s">
        <v>641</v>
      </c>
      <c r="C83" s="68" t="s">
        <v>640</v>
      </c>
      <c r="D83" s="63">
        <f>D80*1000*0.501/7.63*0.33</f>
        <v>112.67575360419397</v>
      </c>
      <c r="E83" s="61">
        <f>E78</f>
        <v>859.0739762266555</v>
      </c>
      <c r="F83" s="65">
        <f t="shared" si="1"/>
        <v>96796.80767308983</v>
      </c>
      <c r="G83" s="5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  <c r="ER83" s="9"/>
      <c r="ES83" s="9"/>
      <c r="ET83" s="9"/>
      <c r="EU83" s="9"/>
      <c r="EV83" s="9"/>
      <c r="EW83" s="9"/>
      <c r="EX83" s="9"/>
      <c r="EY83" s="9"/>
      <c r="EZ83" s="9"/>
      <c r="FA83" s="9"/>
      <c r="FB83" s="9"/>
      <c r="FC83" s="9"/>
      <c r="FD83" s="9"/>
      <c r="FE83" s="9"/>
      <c r="FF83" s="9"/>
      <c r="FG83" s="9"/>
      <c r="FH83" s="9"/>
      <c r="FI83" s="9"/>
      <c r="FJ83" s="9"/>
      <c r="FK83" s="9"/>
      <c r="FL83" s="9"/>
      <c r="FM83" s="9"/>
      <c r="FN83" s="9"/>
      <c r="FO83" s="9"/>
      <c r="FP83" s="9"/>
      <c r="FQ83" s="9"/>
      <c r="FR83" s="9"/>
      <c r="FS83" s="9"/>
      <c r="FT83" s="9"/>
      <c r="FU83" s="9"/>
      <c r="FV83" s="9"/>
      <c r="FW83" s="9"/>
      <c r="FX83" s="9"/>
      <c r="FY83" s="9"/>
      <c r="FZ83" s="9"/>
      <c r="GA83" s="9"/>
      <c r="GB83" s="9"/>
      <c r="GC83" s="9"/>
      <c r="GD83" s="9"/>
      <c r="GE83" s="9"/>
      <c r="GF83" s="9"/>
      <c r="GG83" s="9"/>
      <c r="GH83" s="9"/>
      <c r="GI83" s="9"/>
      <c r="GJ83" s="9"/>
      <c r="GK83" s="9"/>
      <c r="GL83" s="9"/>
      <c r="GM83" s="9"/>
      <c r="GN83" s="9"/>
      <c r="GO83" s="9"/>
      <c r="GP83" s="9"/>
      <c r="GQ83" s="9"/>
      <c r="GR83" s="9"/>
      <c r="GS83" s="9"/>
      <c r="GT83" s="9"/>
      <c r="GU83" s="9"/>
      <c r="GV83" s="9"/>
      <c r="GW83" s="9"/>
      <c r="GX83" s="9"/>
      <c r="GY83" s="9"/>
      <c r="GZ83" s="9"/>
      <c r="HA83" s="9"/>
      <c r="HB83" s="9"/>
      <c r="HC83" s="9"/>
      <c r="HD83" s="9"/>
      <c r="HE83" s="9"/>
      <c r="HF83" s="9"/>
      <c r="HG83" s="9"/>
      <c r="HH83" s="9"/>
      <c r="HI83" s="9"/>
      <c r="HJ83" s="9"/>
      <c r="HK83" s="9"/>
      <c r="HL83" s="9"/>
      <c r="HM83" s="9"/>
      <c r="HN83" s="9"/>
      <c r="HO83" s="9"/>
      <c r="HP83" s="9"/>
      <c r="HQ83" s="9"/>
      <c r="HR83" s="9"/>
    </row>
    <row r="84" spans="1:226" s="6" customFormat="1" ht="15" customHeight="1">
      <c r="A84" s="58"/>
      <c r="B84" s="67" t="s">
        <v>50</v>
      </c>
      <c r="C84" s="68" t="s">
        <v>640</v>
      </c>
      <c r="D84" s="63">
        <f>D80*1000*0.0021/7.63</f>
        <v>1.4311926605504588</v>
      </c>
      <c r="E84" s="62">
        <f>E79</f>
        <v>6500</v>
      </c>
      <c r="F84" s="65">
        <f t="shared" si="1"/>
        <v>9302.752293577982</v>
      </c>
      <c r="G84" s="5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9"/>
      <c r="DV84" s="9"/>
      <c r="DW84" s="9"/>
      <c r="DX84" s="9"/>
      <c r="DY84" s="9"/>
      <c r="DZ84" s="9"/>
      <c r="EA84" s="9"/>
      <c r="EB84" s="9"/>
      <c r="EC84" s="9"/>
      <c r="ED84" s="9"/>
      <c r="EE84" s="9"/>
      <c r="EF84" s="9"/>
      <c r="EG84" s="9"/>
      <c r="EH84" s="9"/>
      <c r="EI84" s="9"/>
      <c r="EJ84" s="9"/>
      <c r="EK84" s="9"/>
      <c r="EL84" s="9"/>
      <c r="EM84" s="9"/>
      <c r="EN84" s="9"/>
      <c r="EO84" s="9"/>
      <c r="EP84" s="9"/>
      <c r="EQ84" s="9"/>
      <c r="ER84" s="9"/>
      <c r="ES84" s="9"/>
      <c r="ET84" s="9"/>
      <c r="EU84" s="9"/>
      <c r="EV84" s="9"/>
      <c r="EW84" s="9"/>
      <c r="EX84" s="9"/>
      <c r="EY84" s="9"/>
      <c r="EZ84" s="9"/>
      <c r="FA84" s="9"/>
      <c r="FB84" s="9"/>
      <c r="FC84" s="9"/>
      <c r="FD84" s="9"/>
      <c r="FE84" s="9"/>
      <c r="FF84" s="9"/>
      <c r="FG84" s="9"/>
      <c r="FH84" s="9"/>
      <c r="FI84" s="9"/>
      <c r="FJ84" s="9"/>
      <c r="FK84" s="9"/>
      <c r="FL84" s="9"/>
      <c r="FM84" s="9"/>
      <c r="FN84" s="9"/>
      <c r="FO84" s="9"/>
      <c r="FP84" s="9"/>
      <c r="FQ84" s="9"/>
      <c r="FR84" s="9"/>
      <c r="FS84" s="9"/>
      <c r="FT84" s="9"/>
      <c r="FU84" s="9"/>
      <c r="FV84" s="9"/>
      <c r="FW84" s="9"/>
      <c r="FX84" s="9"/>
      <c r="FY84" s="9"/>
      <c r="FZ84" s="9"/>
      <c r="GA84" s="9"/>
      <c r="GB84" s="9"/>
      <c r="GC84" s="9"/>
      <c r="GD84" s="9"/>
      <c r="GE84" s="9"/>
      <c r="GF84" s="9"/>
      <c r="GG84" s="9"/>
      <c r="GH84" s="9"/>
      <c r="GI84" s="9"/>
      <c r="GJ84" s="9"/>
      <c r="GK84" s="9"/>
      <c r="GL84" s="9"/>
      <c r="GM84" s="9"/>
      <c r="GN84" s="9"/>
      <c r="GO84" s="9"/>
      <c r="GP84" s="9"/>
      <c r="GQ84" s="9"/>
      <c r="GR84" s="9"/>
      <c r="GS84" s="9"/>
      <c r="GT84" s="9"/>
      <c r="GU84" s="9"/>
      <c r="GV84" s="9"/>
      <c r="GW84" s="9"/>
      <c r="GX84" s="9"/>
      <c r="GY84" s="9"/>
      <c r="GZ84" s="9"/>
      <c r="HA84" s="9"/>
      <c r="HB84" s="9"/>
      <c r="HC84" s="9"/>
      <c r="HD84" s="9"/>
      <c r="HE84" s="9"/>
      <c r="HF84" s="9"/>
      <c r="HG84" s="9"/>
      <c r="HH84" s="9"/>
      <c r="HI84" s="9"/>
      <c r="HJ84" s="9"/>
      <c r="HK84" s="9"/>
      <c r="HL84" s="9"/>
      <c r="HM84" s="9"/>
      <c r="HN84" s="9"/>
      <c r="HO84" s="9"/>
      <c r="HP84" s="9"/>
      <c r="HQ84" s="9"/>
      <c r="HR84" s="9"/>
    </row>
    <row r="85" spans="1:226" s="6" customFormat="1" ht="15" customHeight="1">
      <c r="A85" s="54" t="s">
        <v>657</v>
      </c>
      <c r="B85" s="55" t="s">
        <v>64</v>
      </c>
      <c r="C85" s="54" t="s">
        <v>65</v>
      </c>
      <c r="D85" s="84">
        <f>D86+D93+D100+D107+D114+D121+D128+D134+D140+D147</f>
        <v>1737</v>
      </c>
      <c r="E85" s="84"/>
      <c r="F85" s="57" t="e">
        <f>F86+F93+F100+F107+F114+F121+F128+F134+F140+F147</f>
        <v>#REF!</v>
      </c>
      <c r="G85" s="5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  <c r="DU85" s="9"/>
      <c r="DV85" s="9"/>
      <c r="DW85" s="9"/>
      <c r="DX85" s="9"/>
      <c r="DY85" s="9"/>
      <c r="DZ85" s="9"/>
      <c r="EA85" s="9"/>
      <c r="EB85" s="9"/>
      <c r="EC85" s="9"/>
      <c r="ED85" s="9"/>
      <c r="EE85" s="9"/>
      <c r="EF85" s="9"/>
      <c r="EG85" s="9"/>
      <c r="EH85" s="9"/>
      <c r="EI85" s="9"/>
      <c r="EJ85" s="9"/>
      <c r="EK85" s="9"/>
      <c r="EL85" s="9"/>
      <c r="EM85" s="9"/>
      <c r="EN85" s="9"/>
      <c r="EO85" s="9"/>
      <c r="EP85" s="9"/>
      <c r="EQ85" s="9"/>
      <c r="ER85" s="9"/>
      <c r="ES85" s="9"/>
      <c r="ET85" s="9"/>
      <c r="EU85" s="9"/>
      <c r="EV85" s="9"/>
      <c r="EW85" s="9"/>
      <c r="EX85" s="9"/>
      <c r="EY85" s="9"/>
      <c r="EZ85" s="9"/>
      <c r="FA85" s="9"/>
      <c r="FB85" s="9"/>
      <c r="FC85" s="9"/>
      <c r="FD85" s="9"/>
      <c r="FE85" s="9"/>
      <c r="FF85" s="9"/>
      <c r="FG85" s="9"/>
      <c r="FH85" s="9"/>
      <c r="FI85" s="9"/>
      <c r="FJ85" s="9"/>
      <c r="FK85" s="9"/>
      <c r="FL85" s="9"/>
      <c r="FM85" s="9"/>
      <c r="FN85" s="9"/>
      <c r="FO85" s="9"/>
      <c r="FP85" s="9"/>
      <c r="FQ85" s="9"/>
      <c r="FR85" s="9"/>
      <c r="FS85" s="9"/>
      <c r="FT85" s="9"/>
      <c r="FU85" s="9"/>
      <c r="FV85" s="9"/>
      <c r="FW85" s="9"/>
      <c r="FX85" s="9"/>
      <c r="FY85" s="9"/>
      <c r="FZ85" s="9"/>
      <c r="GA85" s="9"/>
      <c r="GB85" s="9"/>
      <c r="GC85" s="9"/>
      <c r="GD85" s="9"/>
      <c r="GE85" s="9"/>
      <c r="GF85" s="9"/>
      <c r="GG85" s="9"/>
      <c r="GH85" s="9"/>
      <c r="GI85" s="9"/>
      <c r="GJ85" s="9"/>
      <c r="GK85" s="9"/>
      <c r="GL85" s="9"/>
      <c r="GM85" s="9"/>
      <c r="GN85" s="9"/>
      <c r="GO85" s="9"/>
      <c r="GP85" s="9"/>
      <c r="GQ85" s="9"/>
      <c r="GR85" s="9"/>
      <c r="GS85" s="9"/>
      <c r="GT85" s="9"/>
      <c r="GU85" s="9"/>
      <c r="GV85" s="9"/>
      <c r="GW85" s="9"/>
      <c r="GX85" s="9"/>
      <c r="GY85" s="9"/>
      <c r="GZ85" s="9"/>
      <c r="HA85" s="9"/>
      <c r="HB85" s="9"/>
      <c r="HC85" s="9"/>
      <c r="HD85" s="9"/>
      <c r="HE85" s="9"/>
      <c r="HF85" s="9"/>
      <c r="HG85" s="9"/>
      <c r="HH85" s="9"/>
      <c r="HI85" s="9"/>
      <c r="HJ85" s="9"/>
      <c r="HK85" s="9"/>
      <c r="HL85" s="9"/>
      <c r="HM85" s="9"/>
      <c r="HN85" s="9"/>
      <c r="HO85" s="9"/>
      <c r="HP85" s="9"/>
      <c r="HQ85" s="9"/>
      <c r="HR85" s="9"/>
    </row>
    <row r="86" spans="1:226" s="6" customFormat="1" ht="15" customHeight="1">
      <c r="A86" s="58">
        <v>1</v>
      </c>
      <c r="B86" s="78" t="s">
        <v>658</v>
      </c>
      <c r="C86" s="58" t="s">
        <v>65</v>
      </c>
      <c r="D86" s="62">
        <f>25+2+6</f>
        <v>33</v>
      </c>
      <c r="E86" s="61"/>
      <c r="F86" s="65">
        <f>SUM(F87:F92)</f>
        <v>154587.11317898106</v>
      </c>
      <c r="G86" s="5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9"/>
      <c r="DW86" s="9"/>
      <c r="DX86" s="9"/>
      <c r="DY86" s="9"/>
      <c r="DZ86" s="9"/>
      <c r="EA86" s="9"/>
      <c r="EB86" s="9"/>
      <c r="EC86" s="9"/>
      <c r="ED86" s="9"/>
      <c r="EE86" s="9"/>
      <c r="EF86" s="9"/>
      <c r="EG86" s="9"/>
      <c r="EH86" s="9"/>
      <c r="EI86" s="9"/>
      <c r="EJ86" s="9"/>
      <c r="EK86" s="9"/>
      <c r="EL86" s="9"/>
      <c r="EM86" s="9"/>
      <c r="EN86" s="9"/>
      <c r="EO86" s="9"/>
      <c r="EP86" s="9"/>
      <c r="EQ86" s="9"/>
      <c r="ER86" s="9"/>
      <c r="ES86" s="9"/>
      <c r="ET86" s="9"/>
      <c r="EU86" s="9"/>
      <c r="EV86" s="9"/>
      <c r="EW86" s="9"/>
      <c r="EX86" s="9"/>
      <c r="EY86" s="9"/>
      <c r="EZ86" s="9"/>
      <c r="FA86" s="9"/>
      <c r="FB86" s="9"/>
      <c r="FC86" s="9"/>
      <c r="FD86" s="9"/>
      <c r="FE86" s="9"/>
      <c r="FF86" s="9"/>
      <c r="FG86" s="9"/>
      <c r="FH86" s="9"/>
      <c r="FI86" s="9"/>
      <c r="FJ86" s="9"/>
      <c r="FK86" s="9"/>
      <c r="FL86" s="9"/>
      <c r="FM86" s="9"/>
      <c r="FN86" s="9"/>
      <c r="FO86" s="9"/>
      <c r="FP86" s="9"/>
      <c r="FQ86" s="9"/>
      <c r="FR86" s="9"/>
      <c r="FS86" s="9"/>
      <c r="FT86" s="9"/>
      <c r="FU86" s="9"/>
      <c r="FV86" s="9"/>
      <c r="FW86" s="9"/>
      <c r="FX86" s="9"/>
      <c r="FY86" s="9"/>
      <c r="FZ86" s="9"/>
      <c r="GA86" s="9"/>
      <c r="GB86" s="9"/>
      <c r="GC86" s="9"/>
      <c r="GD86" s="9"/>
      <c r="GE86" s="9"/>
      <c r="GF86" s="9"/>
      <c r="GG86" s="9"/>
      <c r="GH86" s="9"/>
      <c r="GI86" s="9"/>
      <c r="GJ86" s="9"/>
      <c r="GK86" s="9"/>
      <c r="GL86" s="9"/>
      <c r="GM86" s="9"/>
      <c r="GN86" s="9"/>
      <c r="GO86" s="9"/>
      <c r="GP86" s="9"/>
      <c r="GQ86" s="9"/>
      <c r="GR86" s="9"/>
      <c r="GS86" s="9"/>
      <c r="GT86" s="9"/>
      <c r="GU86" s="9"/>
      <c r="GV86" s="9"/>
      <c r="GW86" s="9"/>
      <c r="GX86" s="9"/>
      <c r="GY86" s="9"/>
      <c r="GZ86" s="9"/>
      <c r="HA86" s="9"/>
      <c r="HB86" s="9"/>
      <c r="HC86" s="9"/>
      <c r="HD86" s="9"/>
      <c r="HE86" s="9"/>
      <c r="HF86" s="9"/>
      <c r="HG86" s="9"/>
      <c r="HH86" s="9"/>
      <c r="HI86" s="9"/>
      <c r="HJ86" s="9"/>
      <c r="HK86" s="9"/>
      <c r="HL86" s="9"/>
      <c r="HM86" s="9"/>
      <c r="HN86" s="9"/>
      <c r="HO86" s="9"/>
      <c r="HP86" s="9"/>
      <c r="HQ86" s="9"/>
      <c r="HR86" s="9"/>
    </row>
    <row r="87" spans="1:226" s="6" customFormat="1" ht="15" customHeight="1">
      <c r="A87" s="58"/>
      <c r="B87" s="78" t="s">
        <v>46</v>
      </c>
      <c r="C87" s="58" t="s">
        <v>640</v>
      </c>
      <c r="D87" s="61">
        <f>14.25*D86</f>
        <v>470.25</v>
      </c>
      <c r="E87" s="61">
        <f>'单价汇总'!D4/100+'单价汇总'!D5/100*0.95</f>
        <v>5.948462518329764</v>
      </c>
      <c r="F87" s="65">
        <f t="shared" si="1"/>
        <v>2797.2644992445717</v>
      </c>
      <c r="G87" s="5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9"/>
      <c r="DV87" s="9"/>
      <c r="DW87" s="9"/>
      <c r="DX87" s="9"/>
      <c r="DY87" s="9"/>
      <c r="DZ87" s="9"/>
      <c r="EA87" s="9"/>
      <c r="EB87" s="9"/>
      <c r="EC87" s="9"/>
      <c r="ED87" s="9"/>
      <c r="EE87" s="9"/>
      <c r="EF87" s="9"/>
      <c r="EG87" s="9"/>
      <c r="EH87" s="9"/>
      <c r="EI87" s="9"/>
      <c r="EJ87" s="9"/>
      <c r="EK87" s="9"/>
      <c r="EL87" s="9"/>
      <c r="EM87" s="9"/>
      <c r="EN87" s="9"/>
      <c r="EO87" s="9"/>
      <c r="EP87" s="9"/>
      <c r="EQ87" s="9"/>
      <c r="ER87" s="9"/>
      <c r="ES87" s="9"/>
      <c r="ET87" s="9"/>
      <c r="EU87" s="9"/>
      <c r="EV87" s="9"/>
      <c r="EW87" s="9"/>
      <c r="EX87" s="9"/>
      <c r="EY87" s="9"/>
      <c r="EZ87" s="9"/>
      <c r="FA87" s="9"/>
      <c r="FB87" s="9"/>
      <c r="FC87" s="9"/>
      <c r="FD87" s="9"/>
      <c r="FE87" s="9"/>
      <c r="FF87" s="9"/>
      <c r="FG87" s="9"/>
      <c r="FH87" s="9"/>
      <c r="FI87" s="9"/>
      <c r="FJ87" s="9"/>
      <c r="FK87" s="9"/>
      <c r="FL87" s="9"/>
      <c r="FM87" s="9"/>
      <c r="FN87" s="9"/>
      <c r="FO87" s="9"/>
      <c r="FP87" s="9"/>
      <c r="FQ87" s="9"/>
      <c r="FR87" s="9"/>
      <c r="FS87" s="9"/>
      <c r="FT87" s="9"/>
      <c r="FU87" s="9"/>
      <c r="FV87" s="9"/>
      <c r="FW87" s="9"/>
      <c r="FX87" s="9"/>
      <c r="FY87" s="9"/>
      <c r="FZ87" s="9"/>
      <c r="GA87" s="9"/>
      <c r="GB87" s="9"/>
      <c r="GC87" s="9"/>
      <c r="GD87" s="9"/>
      <c r="GE87" s="9"/>
      <c r="GF87" s="9"/>
      <c r="GG87" s="9"/>
      <c r="GH87" s="9"/>
      <c r="GI87" s="9"/>
      <c r="GJ87" s="9"/>
      <c r="GK87" s="9"/>
      <c r="GL87" s="9"/>
      <c r="GM87" s="9"/>
      <c r="GN87" s="9"/>
      <c r="GO87" s="9"/>
      <c r="GP87" s="9"/>
      <c r="GQ87" s="9"/>
      <c r="GR87" s="9"/>
      <c r="GS87" s="9"/>
      <c r="GT87" s="9"/>
      <c r="GU87" s="9"/>
      <c r="GV87" s="9"/>
      <c r="GW87" s="9"/>
      <c r="GX87" s="9"/>
      <c r="GY87" s="9"/>
      <c r="GZ87" s="9"/>
      <c r="HA87" s="9"/>
      <c r="HB87" s="9"/>
      <c r="HC87" s="9"/>
      <c r="HD87" s="9"/>
      <c r="HE87" s="9"/>
      <c r="HF87" s="9"/>
      <c r="HG87" s="9"/>
      <c r="HH87" s="9"/>
      <c r="HI87" s="9"/>
      <c r="HJ87" s="9"/>
      <c r="HK87" s="9"/>
      <c r="HL87" s="9"/>
      <c r="HM87" s="9"/>
      <c r="HN87" s="9"/>
      <c r="HO87" s="9"/>
      <c r="HP87" s="9"/>
      <c r="HQ87" s="9"/>
      <c r="HR87" s="9"/>
    </row>
    <row r="88" spans="1:226" s="6" customFormat="1" ht="15" customHeight="1">
      <c r="A88" s="58"/>
      <c r="B88" s="78" t="s">
        <v>48</v>
      </c>
      <c r="C88" s="58" t="s">
        <v>640</v>
      </c>
      <c r="D88" s="61">
        <f>8.54*D86</f>
        <v>281.82</v>
      </c>
      <c r="E88" s="61">
        <f>'单价汇总'!D7/100</f>
        <v>22.087821666441833</v>
      </c>
      <c r="F88" s="65">
        <f t="shared" si="1"/>
        <v>6224.789902036638</v>
      </c>
      <c r="G88" s="5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9"/>
      <c r="DV88" s="9"/>
      <c r="DW88" s="9"/>
      <c r="DX88" s="9"/>
      <c r="DY88" s="9"/>
      <c r="DZ88" s="9"/>
      <c r="EA88" s="9"/>
      <c r="EB88" s="9"/>
      <c r="EC88" s="9"/>
      <c r="ED88" s="9"/>
      <c r="EE88" s="9"/>
      <c r="EF88" s="9"/>
      <c r="EG88" s="9"/>
      <c r="EH88" s="9"/>
      <c r="EI88" s="9"/>
      <c r="EJ88" s="9"/>
      <c r="EK88" s="9"/>
      <c r="EL88" s="9"/>
      <c r="EM88" s="9"/>
      <c r="EN88" s="9"/>
      <c r="EO88" s="9"/>
      <c r="EP88" s="9"/>
      <c r="EQ88" s="9"/>
      <c r="ER88" s="9"/>
      <c r="ES88" s="9"/>
      <c r="ET88" s="9"/>
      <c r="EU88" s="9"/>
      <c r="EV88" s="9"/>
      <c r="EW88" s="9"/>
      <c r="EX88" s="9"/>
      <c r="EY88" s="9"/>
      <c r="EZ88" s="9"/>
      <c r="FA88" s="9"/>
      <c r="FB88" s="9"/>
      <c r="FC88" s="9"/>
      <c r="FD88" s="9"/>
      <c r="FE88" s="9"/>
      <c r="FF88" s="9"/>
      <c r="FG88" s="9"/>
      <c r="FH88" s="9"/>
      <c r="FI88" s="9"/>
      <c r="FJ88" s="9"/>
      <c r="FK88" s="9"/>
      <c r="FL88" s="9"/>
      <c r="FM88" s="9"/>
      <c r="FN88" s="9"/>
      <c r="FO88" s="9"/>
      <c r="FP88" s="9"/>
      <c r="FQ88" s="9"/>
      <c r="FR88" s="9"/>
      <c r="FS88" s="9"/>
      <c r="FT88" s="9"/>
      <c r="FU88" s="9"/>
      <c r="FV88" s="9"/>
      <c r="FW88" s="9"/>
      <c r="FX88" s="9"/>
      <c r="FY88" s="9"/>
      <c r="FZ88" s="9"/>
      <c r="GA88" s="9"/>
      <c r="GB88" s="9"/>
      <c r="GC88" s="9"/>
      <c r="GD88" s="9"/>
      <c r="GE88" s="9"/>
      <c r="GF88" s="9"/>
      <c r="GG88" s="9"/>
      <c r="GH88" s="9"/>
      <c r="GI88" s="9"/>
      <c r="GJ88" s="9"/>
      <c r="GK88" s="9"/>
      <c r="GL88" s="9"/>
      <c r="GM88" s="9"/>
      <c r="GN88" s="9"/>
      <c r="GO88" s="9"/>
      <c r="GP88" s="9"/>
      <c r="GQ88" s="9"/>
      <c r="GR88" s="9"/>
      <c r="GS88" s="9"/>
      <c r="GT88" s="9"/>
      <c r="GU88" s="9"/>
      <c r="GV88" s="9"/>
      <c r="GW88" s="9"/>
      <c r="GX88" s="9"/>
      <c r="GY88" s="9"/>
      <c r="GZ88" s="9"/>
      <c r="HA88" s="9"/>
      <c r="HB88" s="9"/>
      <c r="HC88" s="9"/>
      <c r="HD88" s="9"/>
      <c r="HE88" s="9"/>
      <c r="HF88" s="9"/>
      <c r="HG88" s="9"/>
      <c r="HH88" s="9"/>
      <c r="HI88" s="9"/>
      <c r="HJ88" s="9"/>
      <c r="HK88" s="9"/>
      <c r="HL88" s="9"/>
      <c r="HM88" s="9"/>
      <c r="HN88" s="9"/>
      <c r="HO88" s="9"/>
      <c r="HP88" s="9"/>
      <c r="HQ88" s="9"/>
      <c r="HR88" s="9"/>
    </row>
    <row r="89" spans="1:226" s="6" customFormat="1" ht="15" customHeight="1">
      <c r="A89" s="58"/>
      <c r="B89" s="78" t="s">
        <v>659</v>
      </c>
      <c r="C89" s="58" t="s">
        <v>640</v>
      </c>
      <c r="D89" s="61">
        <f>1.02*D86</f>
        <v>33.660000000000004</v>
      </c>
      <c r="E89" s="61">
        <f>'单价汇总'!D19/100</f>
        <v>492.3275388736576</v>
      </c>
      <c r="F89" s="65">
        <f t="shared" si="1"/>
        <v>16571.744958487317</v>
      </c>
      <c r="G89" s="5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  <c r="DU89" s="9"/>
      <c r="DV89" s="9"/>
      <c r="DW89" s="9"/>
      <c r="DX89" s="9"/>
      <c r="DY89" s="9"/>
      <c r="DZ89" s="9"/>
      <c r="EA89" s="9"/>
      <c r="EB89" s="9"/>
      <c r="EC89" s="9"/>
      <c r="ED89" s="9"/>
      <c r="EE89" s="9"/>
      <c r="EF89" s="9"/>
      <c r="EG89" s="9"/>
      <c r="EH89" s="9"/>
      <c r="EI89" s="9"/>
      <c r="EJ89" s="9"/>
      <c r="EK89" s="9"/>
      <c r="EL89" s="9"/>
      <c r="EM89" s="9"/>
      <c r="EN89" s="9"/>
      <c r="EO89" s="9"/>
      <c r="EP89" s="9"/>
      <c r="EQ89" s="9"/>
      <c r="ER89" s="9"/>
      <c r="ES89" s="9"/>
      <c r="ET89" s="9"/>
      <c r="EU89" s="9"/>
      <c r="EV89" s="9"/>
      <c r="EW89" s="9"/>
      <c r="EX89" s="9"/>
      <c r="EY89" s="9"/>
      <c r="EZ89" s="9"/>
      <c r="FA89" s="9"/>
      <c r="FB89" s="9"/>
      <c r="FC89" s="9"/>
      <c r="FD89" s="9"/>
      <c r="FE89" s="9"/>
      <c r="FF89" s="9"/>
      <c r="FG89" s="9"/>
      <c r="FH89" s="9"/>
      <c r="FI89" s="9"/>
      <c r="FJ89" s="9"/>
      <c r="FK89" s="9"/>
      <c r="FL89" s="9"/>
      <c r="FM89" s="9"/>
      <c r="FN89" s="9"/>
      <c r="FO89" s="9"/>
      <c r="FP89" s="9"/>
      <c r="FQ89" s="9"/>
      <c r="FR89" s="9"/>
      <c r="FS89" s="9"/>
      <c r="FT89" s="9"/>
      <c r="FU89" s="9"/>
      <c r="FV89" s="9"/>
      <c r="FW89" s="9"/>
      <c r="FX89" s="9"/>
      <c r="FY89" s="9"/>
      <c r="FZ89" s="9"/>
      <c r="GA89" s="9"/>
      <c r="GB89" s="9"/>
      <c r="GC89" s="9"/>
      <c r="GD89" s="9"/>
      <c r="GE89" s="9"/>
      <c r="GF89" s="9"/>
      <c r="GG89" s="9"/>
      <c r="GH89" s="9"/>
      <c r="GI89" s="9"/>
      <c r="GJ89" s="9"/>
      <c r="GK89" s="9"/>
      <c r="GL89" s="9"/>
      <c r="GM89" s="9"/>
      <c r="GN89" s="9"/>
      <c r="GO89" s="9"/>
      <c r="GP89" s="9"/>
      <c r="GQ89" s="9"/>
      <c r="GR89" s="9"/>
      <c r="GS89" s="9"/>
      <c r="GT89" s="9"/>
      <c r="GU89" s="9"/>
      <c r="GV89" s="9"/>
      <c r="GW89" s="9"/>
      <c r="GX89" s="9"/>
      <c r="GY89" s="9"/>
      <c r="GZ89" s="9"/>
      <c r="HA89" s="9"/>
      <c r="HB89" s="9"/>
      <c r="HC89" s="9"/>
      <c r="HD89" s="9"/>
      <c r="HE89" s="9"/>
      <c r="HF89" s="9"/>
      <c r="HG89" s="9"/>
      <c r="HH89" s="9"/>
      <c r="HI89" s="9"/>
      <c r="HJ89" s="9"/>
      <c r="HK89" s="9"/>
      <c r="HL89" s="9"/>
      <c r="HM89" s="9"/>
      <c r="HN89" s="9"/>
      <c r="HO89" s="9"/>
      <c r="HP89" s="9"/>
      <c r="HQ89" s="9"/>
      <c r="HR89" s="9"/>
    </row>
    <row r="90" spans="1:226" s="6" customFormat="1" ht="15" customHeight="1">
      <c r="A90" s="69"/>
      <c r="B90" s="76" t="s">
        <v>660</v>
      </c>
      <c r="C90" s="69" t="s">
        <v>365</v>
      </c>
      <c r="D90" s="40">
        <f>1.13*D86</f>
        <v>37.29</v>
      </c>
      <c r="E90" s="40">
        <f>'单价汇总'!D20/100</f>
        <v>543.2907216410263</v>
      </c>
      <c r="F90" s="70">
        <f t="shared" si="1"/>
        <v>20259.311009993868</v>
      </c>
      <c r="G90" s="71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  <c r="DU90" s="9"/>
      <c r="DV90" s="9"/>
      <c r="DW90" s="9"/>
      <c r="DX90" s="9"/>
      <c r="DY90" s="9"/>
      <c r="DZ90" s="9"/>
      <c r="EA90" s="9"/>
      <c r="EB90" s="9"/>
      <c r="EC90" s="9"/>
      <c r="ED90" s="9"/>
      <c r="EE90" s="9"/>
      <c r="EF90" s="9"/>
      <c r="EG90" s="9"/>
      <c r="EH90" s="9"/>
      <c r="EI90" s="9"/>
      <c r="EJ90" s="9"/>
      <c r="EK90" s="9"/>
      <c r="EL90" s="9"/>
      <c r="EM90" s="9"/>
      <c r="EN90" s="9"/>
      <c r="EO90" s="9"/>
      <c r="EP90" s="9"/>
      <c r="EQ90" s="9"/>
      <c r="ER90" s="9"/>
      <c r="ES90" s="9"/>
      <c r="ET90" s="9"/>
      <c r="EU90" s="9"/>
      <c r="EV90" s="9"/>
      <c r="EW90" s="9"/>
      <c r="EX90" s="9"/>
      <c r="EY90" s="9"/>
      <c r="EZ90" s="9"/>
      <c r="FA90" s="9"/>
      <c r="FB90" s="9"/>
      <c r="FC90" s="9"/>
      <c r="FD90" s="9"/>
      <c r="FE90" s="9"/>
      <c r="FF90" s="9"/>
      <c r="FG90" s="9"/>
      <c r="FH90" s="9"/>
      <c r="FI90" s="9"/>
      <c r="FJ90" s="9"/>
      <c r="FK90" s="9"/>
      <c r="FL90" s="9"/>
      <c r="FM90" s="9"/>
      <c r="FN90" s="9"/>
      <c r="FO90" s="9"/>
      <c r="FP90" s="9"/>
      <c r="FQ90" s="9"/>
      <c r="FR90" s="9"/>
      <c r="FS90" s="9"/>
      <c r="FT90" s="9"/>
      <c r="FU90" s="9"/>
      <c r="FV90" s="9"/>
      <c r="FW90" s="9"/>
      <c r="FX90" s="9"/>
      <c r="FY90" s="9"/>
      <c r="FZ90" s="9"/>
      <c r="GA90" s="9"/>
      <c r="GB90" s="9"/>
      <c r="GC90" s="9"/>
      <c r="GD90" s="9"/>
      <c r="GE90" s="9"/>
      <c r="GF90" s="9"/>
      <c r="GG90" s="9"/>
      <c r="GH90" s="9"/>
      <c r="GI90" s="9"/>
      <c r="GJ90" s="9"/>
      <c r="GK90" s="9"/>
      <c r="GL90" s="9"/>
      <c r="GM90" s="9"/>
      <c r="GN90" s="9"/>
      <c r="GO90" s="9"/>
      <c r="GP90" s="9"/>
      <c r="GQ90" s="9"/>
      <c r="GR90" s="9"/>
      <c r="GS90" s="9"/>
      <c r="GT90" s="9"/>
      <c r="GU90" s="9"/>
      <c r="GV90" s="9"/>
      <c r="GW90" s="9"/>
      <c r="GX90" s="9"/>
      <c r="GY90" s="9"/>
      <c r="GZ90" s="9"/>
      <c r="HA90" s="9"/>
      <c r="HB90" s="9"/>
      <c r="HC90" s="9"/>
      <c r="HD90" s="9"/>
      <c r="HE90" s="9"/>
      <c r="HF90" s="9"/>
      <c r="HG90" s="9"/>
      <c r="HH90" s="9"/>
      <c r="HI90" s="9"/>
      <c r="HJ90" s="9"/>
      <c r="HK90" s="9"/>
      <c r="HL90" s="9"/>
      <c r="HM90" s="9"/>
      <c r="HN90" s="9"/>
      <c r="HO90" s="9"/>
      <c r="HP90" s="9"/>
      <c r="HQ90" s="9"/>
      <c r="HR90" s="9"/>
    </row>
    <row r="91" spans="1:226" s="6" customFormat="1" ht="15" customHeight="1">
      <c r="A91" s="69"/>
      <c r="B91" s="76" t="s">
        <v>83</v>
      </c>
      <c r="C91" s="69" t="s">
        <v>365</v>
      </c>
      <c r="D91" s="40">
        <f>3.76*D86</f>
        <v>124.08</v>
      </c>
      <c r="E91" s="40">
        <f>'单价汇总'!D14/100</f>
        <v>319.6728143876425</v>
      </c>
      <c r="F91" s="70">
        <f t="shared" si="1"/>
        <v>39665.002809218684</v>
      </c>
      <c r="G91" s="71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  <c r="DU91" s="9"/>
      <c r="DV91" s="9"/>
      <c r="DW91" s="9"/>
      <c r="DX91" s="9"/>
      <c r="DY91" s="9"/>
      <c r="DZ91" s="9"/>
      <c r="EA91" s="9"/>
      <c r="EB91" s="9"/>
      <c r="EC91" s="9"/>
      <c r="ED91" s="9"/>
      <c r="EE91" s="9"/>
      <c r="EF91" s="9"/>
      <c r="EG91" s="9"/>
      <c r="EH91" s="9"/>
      <c r="EI91" s="9"/>
      <c r="EJ91" s="9"/>
      <c r="EK91" s="9"/>
      <c r="EL91" s="9"/>
      <c r="EM91" s="9"/>
      <c r="EN91" s="9"/>
      <c r="EO91" s="9"/>
      <c r="EP91" s="9"/>
      <c r="EQ91" s="9"/>
      <c r="ER91" s="9"/>
      <c r="ES91" s="9"/>
      <c r="ET91" s="9"/>
      <c r="EU91" s="9"/>
      <c r="EV91" s="9"/>
      <c r="EW91" s="9"/>
      <c r="EX91" s="9"/>
      <c r="EY91" s="9"/>
      <c r="EZ91" s="9"/>
      <c r="FA91" s="9"/>
      <c r="FB91" s="9"/>
      <c r="FC91" s="9"/>
      <c r="FD91" s="9"/>
      <c r="FE91" s="9"/>
      <c r="FF91" s="9"/>
      <c r="FG91" s="9"/>
      <c r="FH91" s="9"/>
      <c r="FI91" s="9"/>
      <c r="FJ91" s="9"/>
      <c r="FK91" s="9"/>
      <c r="FL91" s="9"/>
      <c r="FM91" s="9"/>
      <c r="FN91" s="9"/>
      <c r="FO91" s="9"/>
      <c r="FP91" s="9"/>
      <c r="FQ91" s="9"/>
      <c r="FR91" s="9"/>
      <c r="FS91" s="9"/>
      <c r="FT91" s="9"/>
      <c r="FU91" s="9"/>
      <c r="FV91" s="9"/>
      <c r="FW91" s="9"/>
      <c r="FX91" s="9"/>
      <c r="FY91" s="9"/>
      <c r="FZ91" s="9"/>
      <c r="GA91" s="9"/>
      <c r="GB91" s="9"/>
      <c r="GC91" s="9"/>
      <c r="GD91" s="9"/>
      <c r="GE91" s="9"/>
      <c r="GF91" s="9"/>
      <c r="GG91" s="9"/>
      <c r="GH91" s="9"/>
      <c r="GI91" s="9"/>
      <c r="GJ91" s="9"/>
      <c r="GK91" s="9"/>
      <c r="GL91" s="9"/>
      <c r="GM91" s="9"/>
      <c r="GN91" s="9"/>
      <c r="GO91" s="9"/>
      <c r="GP91" s="9"/>
      <c r="GQ91" s="9"/>
      <c r="GR91" s="9"/>
      <c r="GS91" s="9"/>
      <c r="GT91" s="9"/>
      <c r="GU91" s="9"/>
      <c r="GV91" s="9"/>
      <c r="GW91" s="9"/>
      <c r="GX91" s="9"/>
      <c r="GY91" s="9"/>
      <c r="GZ91" s="9"/>
      <c r="HA91" s="9"/>
      <c r="HB91" s="9"/>
      <c r="HC91" s="9"/>
      <c r="HD91" s="9"/>
      <c r="HE91" s="9"/>
      <c r="HF91" s="9"/>
      <c r="HG91" s="9"/>
      <c r="HH91" s="9"/>
      <c r="HI91" s="9"/>
      <c r="HJ91" s="9"/>
      <c r="HK91" s="9"/>
      <c r="HL91" s="9"/>
      <c r="HM91" s="9"/>
      <c r="HN91" s="9"/>
      <c r="HO91" s="9"/>
      <c r="HP91" s="9"/>
      <c r="HQ91" s="9"/>
      <c r="HR91" s="9"/>
    </row>
    <row r="92" spans="1:226" s="6" customFormat="1" ht="15" customHeight="1">
      <c r="A92" s="69"/>
      <c r="B92" s="85" t="s">
        <v>611</v>
      </c>
      <c r="C92" s="38" t="s">
        <v>44</v>
      </c>
      <c r="D92" s="86">
        <f>D86*7</f>
        <v>231</v>
      </c>
      <c r="E92" s="41">
        <f>201+28+30+40</f>
        <v>299</v>
      </c>
      <c r="F92" s="70">
        <f t="shared" si="1"/>
        <v>69069</v>
      </c>
      <c r="G92" s="71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  <c r="DU92" s="9"/>
      <c r="DV92" s="9"/>
      <c r="DW92" s="9"/>
      <c r="DX92" s="9"/>
      <c r="DY92" s="9"/>
      <c r="DZ92" s="9"/>
      <c r="EA92" s="9"/>
      <c r="EB92" s="9"/>
      <c r="EC92" s="9"/>
      <c r="ED92" s="9"/>
      <c r="EE92" s="9"/>
      <c r="EF92" s="9"/>
      <c r="EG92" s="9"/>
      <c r="EH92" s="9"/>
      <c r="EI92" s="9"/>
      <c r="EJ92" s="9"/>
      <c r="EK92" s="9"/>
      <c r="EL92" s="9"/>
      <c r="EM92" s="9"/>
      <c r="EN92" s="9"/>
      <c r="EO92" s="9"/>
      <c r="EP92" s="9"/>
      <c r="EQ92" s="9"/>
      <c r="ER92" s="9"/>
      <c r="ES92" s="9"/>
      <c r="ET92" s="9"/>
      <c r="EU92" s="9"/>
      <c r="EV92" s="9"/>
      <c r="EW92" s="9"/>
      <c r="EX92" s="9"/>
      <c r="EY92" s="9"/>
      <c r="EZ92" s="9"/>
      <c r="FA92" s="9"/>
      <c r="FB92" s="9"/>
      <c r="FC92" s="9"/>
      <c r="FD92" s="9"/>
      <c r="FE92" s="9"/>
      <c r="FF92" s="9"/>
      <c r="FG92" s="9"/>
      <c r="FH92" s="9"/>
      <c r="FI92" s="9"/>
      <c r="FJ92" s="9"/>
      <c r="FK92" s="9"/>
      <c r="FL92" s="9"/>
      <c r="FM92" s="9"/>
      <c r="FN92" s="9"/>
      <c r="FO92" s="9"/>
      <c r="FP92" s="9"/>
      <c r="FQ92" s="9"/>
      <c r="FR92" s="9"/>
      <c r="FS92" s="9"/>
      <c r="FT92" s="9"/>
      <c r="FU92" s="9"/>
      <c r="FV92" s="9"/>
      <c r="FW92" s="9"/>
      <c r="FX92" s="9"/>
      <c r="FY92" s="9"/>
      <c r="FZ92" s="9"/>
      <c r="GA92" s="9"/>
      <c r="GB92" s="9"/>
      <c r="GC92" s="9"/>
      <c r="GD92" s="9"/>
      <c r="GE92" s="9"/>
      <c r="GF92" s="9"/>
      <c r="GG92" s="9"/>
      <c r="GH92" s="9"/>
      <c r="GI92" s="9"/>
      <c r="GJ92" s="9"/>
      <c r="GK92" s="9"/>
      <c r="GL92" s="9"/>
      <c r="GM92" s="9"/>
      <c r="GN92" s="9"/>
      <c r="GO92" s="9"/>
      <c r="GP92" s="9"/>
      <c r="GQ92" s="9"/>
      <c r="GR92" s="9"/>
      <c r="GS92" s="9"/>
      <c r="GT92" s="9"/>
      <c r="GU92" s="9"/>
      <c r="GV92" s="9"/>
      <c r="GW92" s="9"/>
      <c r="GX92" s="9"/>
      <c r="GY92" s="9"/>
      <c r="GZ92" s="9"/>
      <c r="HA92" s="9"/>
      <c r="HB92" s="9"/>
      <c r="HC92" s="9"/>
      <c r="HD92" s="9"/>
      <c r="HE92" s="9"/>
      <c r="HF92" s="9"/>
      <c r="HG92" s="9"/>
      <c r="HH92" s="9"/>
      <c r="HI92" s="9"/>
      <c r="HJ92" s="9"/>
      <c r="HK92" s="9"/>
      <c r="HL92" s="9"/>
      <c r="HM92" s="9"/>
      <c r="HN92" s="9"/>
      <c r="HO92" s="9"/>
      <c r="HP92" s="9"/>
      <c r="HQ92" s="9"/>
      <c r="HR92" s="9"/>
    </row>
    <row r="93" spans="1:226" s="6" customFormat="1" ht="15" customHeight="1">
      <c r="A93" s="69">
        <v>2</v>
      </c>
      <c r="B93" s="76" t="s">
        <v>661</v>
      </c>
      <c r="C93" s="69" t="s">
        <v>65</v>
      </c>
      <c r="D93" s="41">
        <v>32</v>
      </c>
      <c r="E93" s="41"/>
      <c r="F93" s="70">
        <f>SUM(F94:F99)</f>
        <v>97890.18246165736</v>
      </c>
      <c r="G93" s="71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9"/>
      <c r="DS93" s="9"/>
      <c r="DT93" s="9"/>
      <c r="DU93" s="9"/>
      <c r="DV93" s="9"/>
      <c r="DW93" s="9"/>
      <c r="DX93" s="9"/>
      <c r="DY93" s="9"/>
      <c r="DZ93" s="9"/>
      <c r="EA93" s="9"/>
      <c r="EB93" s="9"/>
      <c r="EC93" s="9"/>
      <c r="ED93" s="9"/>
      <c r="EE93" s="9"/>
      <c r="EF93" s="9"/>
      <c r="EG93" s="9"/>
      <c r="EH93" s="9"/>
      <c r="EI93" s="9"/>
      <c r="EJ93" s="9"/>
      <c r="EK93" s="9"/>
      <c r="EL93" s="9"/>
      <c r="EM93" s="9"/>
      <c r="EN93" s="9"/>
      <c r="EO93" s="9"/>
      <c r="EP93" s="9"/>
      <c r="EQ93" s="9"/>
      <c r="ER93" s="9"/>
      <c r="ES93" s="9"/>
      <c r="ET93" s="9"/>
      <c r="EU93" s="9"/>
      <c r="EV93" s="9"/>
      <c r="EW93" s="9"/>
      <c r="EX93" s="9"/>
      <c r="EY93" s="9"/>
      <c r="EZ93" s="9"/>
      <c r="FA93" s="9"/>
      <c r="FB93" s="9"/>
      <c r="FC93" s="9"/>
      <c r="FD93" s="9"/>
      <c r="FE93" s="9"/>
      <c r="FF93" s="9"/>
      <c r="FG93" s="9"/>
      <c r="FH93" s="9"/>
      <c r="FI93" s="9"/>
      <c r="FJ93" s="9"/>
      <c r="FK93" s="9"/>
      <c r="FL93" s="9"/>
      <c r="FM93" s="9"/>
      <c r="FN93" s="9"/>
      <c r="FO93" s="9"/>
      <c r="FP93" s="9"/>
      <c r="FQ93" s="9"/>
      <c r="FR93" s="9"/>
      <c r="FS93" s="9"/>
      <c r="FT93" s="9"/>
      <c r="FU93" s="9"/>
      <c r="FV93" s="9"/>
      <c r="FW93" s="9"/>
      <c r="FX93" s="9"/>
      <c r="FY93" s="9"/>
      <c r="FZ93" s="9"/>
      <c r="GA93" s="9"/>
      <c r="GB93" s="9"/>
      <c r="GC93" s="9"/>
      <c r="GD93" s="9"/>
      <c r="GE93" s="9"/>
      <c r="GF93" s="9"/>
      <c r="GG93" s="9"/>
      <c r="GH93" s="9"/>
      <c r="GI93" s="9"/>
      <c r="GJ93" s="9"/>
      <c r="GK93" s="9"/>
      <c r="GL93" s="9"/>
      <c r="GM93" s="9"/>
      <c r="GN93" s="9"/>
      <c r="GO93" s="9"/>
      <c r="GP93" s="9"/>
      <c r="GQ93" s="9"/>
      <c r="GR93" s="9"/>
      <c r="GS93" s="9"/>
      <c r="GT93" s="9"/>
      <c r="GU93" s="9"/>
      <c r="GV93" s="9"/>
      <c r="GW93" s="9"/>
      <c r="GX93" s="9"/>
      <c r="GY93" s="9"/>
      <c r="GZ93" s="9"/>
      <c r="HA93" s="9"/>
      <c r="HB93" s="9"/>
      <c r="HC93" s="9"/>
      <c r="HD93" s="9"/>
      <c r="HE93" s="9"/>
      <c r="HF93" s="9"/>
      <c r="HG93" s="9"/>
      <c r="HH93" s="9"/>
      <c r="HI93" s="9"/>
      <c r="HJ93" s="9"/>
      <c r="HK93" s="9"/>
      <c r="HL93" s="9"/>
      <c r="HM93" s="9"/>
      <c r="HN93" s="9"/>
      <c r="HO93" s="9"/>
      <c r="HP93" s="9"/>
      <c r="HQ93" s="9"/>
      <c r="HR93" s="9"/>
    </row>
    <row r="94" spans="1:226" s="6" customFormat="1" ht="15" customHeight="1">
      <c r="A94" s="69"/>
      <c r="B94" s="76" t="s">
        <v>46</v>
      </c>
      <c r="C94" s="69" t="s">
        <v>365</v>
      </c>
      <c r="D94" s="40">
        <f>14.25*D93</f>
        <v>456</v>
      </c>
      <c r="E94" s="40">
        <f aca="true" t="shared" si="2" ref="E94:E99">E87</f>
        <v>5.948462518329764</v>
      </c>
      <c r="F94" s="70">
        <f t="shared" si="1"/>
        <v>2712.4989083583723</v>
      </c>
      <c r="G94" s="71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/>
      <c r="DF94" s="9"/>
      <c r="DG94" s="9"/>
      <c r="DH94" s="9"/>
      <c r="DI94" s="9"/>
      <c r="DJ94" s="9"/>
      <c r="DK94" s="9"/>
      <c r="DL94" s="9"/>
      <c r="DM94" s="9"/>
      <c r="DN94" s="9"/>
      <c r="DO94" s="9"/>
      <c r="DP94" s="9"/>
      <c r="DQ94" s="9"/>
      <c r="DR94" s="9"/>
      <c r="DS94" s="9"/>
      <c r="DT94" s="9"/>
      <c r="DU94" s="9"/>
      <c r="DV94" s="9"/>
      <c r="DW94" s="9"/>
      <c r="DX94" s="9"/>
      <c r="DY94" s="9"/>
      <c r="DZ94" s="9"/>
      <c r="EA94" s="9"/>
      <c r="EB94" s="9"/>
      <c r="EC94" s="9"/>
      <c r="ED94" s="9"/>
      <c r="EE94" s="9"/>
      <c r="EF94" s="9"/>
      <c r="EG94" s="9"/>
      <c r="EH94" s="9"/>
      <c r="EI94" s="9"/>
      <c r="EJ94" s="9"/>
      <c r="EK94" s="9"/>
      <c r="EL94" s="9"/>
      <c r="EM94" s="9"/>
      <c r="EN94" s="9"/>
      <c r="EO94" s="9"/>
      <c r="EP94" s="9"/>
      <c r="EQ94" s="9"/>
      <c r="ER94" s="9"/>
      <c r="ES94" s="9"/>
      <c r="ET94" s="9"/>
      <c r="EU94" s="9"/>
      <c r="EV94" s="9"/>
      <c r="EW94" s="9"/>
      <c r="EX94" s="9"/>
      <c r="EY94" s="9"/>
      <c r="EZ94" s="9"/>
      <c r="FA94" s="9"/>
      <c r="FB94" s="9"/>
      <c r="FC94" s="9"/>
      <c r="FD94" s="9"/>
      <c r="FE94" s="9"/>
      <c r="FF94" s="9"/>
      <c r="FG94" s="9"/>
      <c r="FH94" s="9"/>
      <c r="FI94" s="9"/>
      <c r="FJ94" s="9"/>
      <c r="FK94" s="9"/>
      <c r="FL94" s="9"/>
      <c r="FM94" s="9"/>
      <c r="FN94" s="9"/>
      <c r="FO94" s="9"/>
      <c r="FP94" s="9"/>
      <c r="FQ94" s="9"/>
      <c r="FR94" s="9"/>
      <c r="FS94" s="9"/>
      <c r="FT94" s="9"/>
      <c r="FU94" s="9"/>
      <c r="FV94" s="9"/>
      <c r="FW94" s="9"/>
      <c r="FX94" s="9"/>
      <c r="FY94" s="9"/>
      <c r="FZ94" s="9"/>
      <c r="GA94" s="9"/>
      <c r="GB94" s="9"/>
      <c r="GC94" s="9"/>
      <c r="GD94" s="9"/>
      <c r="GE94" s="9"/>
      <c r="GF94" s="9"/>
      <c r="GG94" s="9"/>
      <c r="GH94" s="9"/>
      <c r="GI94" s="9"/>
      <c r="GJ94" s="9"/>
      <c r="GK94" s="9"/>
      <c r="GL94" s="9"/>
      <c r="GM94" s="9"/>
      <c r="GN94" s="9"/>
      <c r="GO94" s="9"/>
      <c r="GP94" s="9"/>
      <c r="GQ94" s="9"/>
      <c r="GR94" s="9"/>
      <c r="GS94" s="9"/>
      <c r="GT94" s="9"/>
      <c r="GU94" s="9"/>
      <c r="GV94" s="9"/>
      <c r="GW94" s="9"/>
      <c r="GX94" s="9"/>
      <c r="GY94" s="9"/>
      <c r="GZ94" s="9"/>
      <c r="HA94" s="9"/>
      <c r="HB94" s="9"/>
      <c r="HC94" s="9"/>
      <c r="HD94" s="9"/>
      <c r="HE94" s="9"/>
      <c r="HF94" s="9"/>
      <c r="HG94" s="9"/>
      <c r="HH94" s="9"/>
      <c r="HI94" s="9"/>
      <c r="HJ94" s="9"/>
      <c r="HK94" s="9"/>
      <c r="HL94" s="9"/>
      <c r="HM94" s="9"/>
      <c r="HN94" s="9"/>
      <c r="HO94" s="9"/>
      <c r="HP94" s="9"/>
      <c r="HQ94" s="9"/>
      <c r="HR94" s="9"/>
    </row>
    <row r="95" spans="1:226" s="6" customFormat="1" ht="15" customHeight="1">
      <c r="A95" s="69"/>
      <c r="B95" s="76" t="s">
        <v>48</v>
      </c>
      <c r="C95" s="69" t="s">
        <v>365</v>
      </c>
      <c r="D95" s="40">
        <f>8.54*D93</f>
        <v>273.28</v>
      </c>
      <c r="E95" s="40">
        <f t="shared" si="2"/>
        <v>22.087821666441833</v>
      </c>
      <c r="F95" s="70">
        <f t="shared" si="1"/>
        <v>6036.159905005224</v>
      </c>
      <c r="G95" s="71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  <c r="DC95" s="9"/>
      <c r="DD95" s="9"/>
      <c r="DE95" s="9"/>
      <c r="DF95" s="9"/>
      <c r="DG95" s="9"/>
      <c r="DH95" s="9"/>
      <c r="DI95" s="9"/>
      <c r="DJ95" s="9"/>
      <c r="DK95" s="9"/>
      <c r="DL95" s="9"/>
      <c r="DM95" s="9"/>
      <c r="DN95" s="9"/>
      <c r="DO95" s="9"/>
      <c r="DP95" s="9"/>
      <c r="DQ95" s="9"/>
      <c r="DR95" s="9"/>
      <c r="DS95" s="9"/>
      <c r="DT95" s="9"/>
      <c r="DU95" s="9"/>
      <c r="DV95" s="9"/>
      <c r="DW95" s="9"/>
      <c r="DX95" s="9"/>
      <c r="DY95" s="9"/>
      <c r="DZ95" s="9"/>
      <c r="EA95" s="9"/>
      <c r="EB95" s="9"/>
      <c r="EC95" s="9"/>
      <c r="ED95" s="9"/>
      <c r="EE95" s="9"/>
      <c r="EF95" s="9"/>
      <c r="EG95" s="9"/>
      <c r="EH95" s="9"/>
      <c r="EI95" s="9"/>
      <c r="EJ95" s="9"/>
      <c r="EK95" s="9"/>
      <c r="EL95" s="9"/>
      <c r="EM95" s="9"/>
      <c r="EN95" s="9"/>
      <c r="EO95" s="9"/>
      <c r="EP95" s="9"/>
      <c r="EQ95" s="9"/>
      <c r="ER95" s="9"/>
      <c r="ES95" s="9"/>
      <c r="ET95" s="9"/>
      <c r="EU95" s="9"/>
      <c r="EV95" s="9"/>
      <c r="EW95" s="9"/>
      <c r="EX95" s="9"/>
      <c r="EY95" s="9"/>
      <c r="EZ95" s="9"/>
      <c r="FA95" s="9"/>
      <c r="FB95" s="9"/>
      <c r="FC95" s="9"/>
      <c r="FD95" s="9"/>
      <c r="FE95" s="9"/>
      <c r="FF95" s="9"/>
      <c r="FG95" s="9"/>
      <c r="FH95" s="9"/>
      <c r="FI95" s="9"/>
      <c r="FJ95" s="9"/>
      <c r="FK95" s="9"/>
      <c r="FL95" s="9"/>
      <c r="FM95" s="9"/>
      <c r="FN95" s="9"/>
      <c r="FO95" s="9"/>
      <c r="FP95" s="9"/>
      <c r="FQ95" s="9"/>
      <c r="FR95" s="9"/>
      <c r="FS95" s="9"/>
      <c r="FT95" s="9"/>
      <c r="FU95" s="9"/>
      <c r="FV95" s="9"/>
      <c r="FW95" s="9"/>
      <c r="FX95" s="9"/>
      <c r="FY95" s="9"/>
      <c r="FZ95" s="9"/>
      <c r="GA95" s="9"/>
      <c r="GB95" s="9"/>
      <c r="GC95" s="9"/>
      <c r="GD95" s="9"/>
      <c r="GE95" s="9"/>
      <c r="GF95" s="9"/>
      <c r="GG95" s="9"/>
      <c r="GH95" s="9"/>
      <c r="GI95" s="9"/>
      <c r="GJ95" s="9"/>
      <c r="GK95" s="9"/>
      <c r="GL95" s="9"/>
      <c r="GM95" s="9"/>
      <c r="GN95" s="9"/>
      <c r="GO95" s="9"/>
      <c r="GP95" s="9"/>
      <c r="GQ95" s="9"/>
      <c r="GR95" s="9"/>
      <c r="GS95" s="9"/>
      <c r="GT95" s="9"/>
      <c r="GU95" s="9"/>
      <c r="GV95" s="9"/>
      <c r="GW95" s="9"/>
      <c r="GX95" s="9"/>
      <c r="GY95" s="9"/>
      <c r="GZ95" s="9"/>
      <c r="HA95" s="9"/>
      <c r="HB95" s="9"/>
      <c r="HC95" s="9"/>
      <c r="HD95" s="9"/>
      <c r="HE95" s="9"/>
      <c r="HF95" s="9"/>
      <c r="HG95" s="9"/>
      <c r="HH95" s="9"/>
      <c r="HI95" s="9"/>
      <c r="HJ95" s="9"/>
      <c r="HK95" s="9"/>
      <c r="HL95" s="9"/>
      <c r="HM95" s="9"/>
      <c r="HN95" s="9"/>
      <c r="HO95" s="9"/>
      <c r="HP95" s="9"/>
      <c r="HQ95" s="9"/>
      <c r="HR95" s="9"/>
    </row>
    <row r="96" spans="1:226" s="6" customFormat="1" ht="15" customHeight="1">
      <c r="A96" s="69"/>
      <c r="B96" s="76" t="s">
        <v>659</v>
      </c>
      <c r="C96" s="69" t="s">
        <v>365</v>
      </c>
      <c r="D96" s="40">
        <f>1.02*D93</f>
        <v>32.64</v>
      </c>
      <c r="E96" s="40">
        <f t="shared" si="2"/>
        <v>492.3275388736576</v>
      </c>
      <c r="F96" s="70">
        <f t="shared" si="1"/>
        <v>16069.570868836185</v>
      </c>
      <c r="G96" s="71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  <c r="DC96" s="9"/>
      <c r="DD96" s="9"/>
      <c r="DE96" s="9"/>
      <c r="DF96" s="9"/>
      <c r="DG96" s="9"/>
      <c r="DH96" s="9"/>
      <c r="DI96" s="9"/>
      <c r="DJ96" s="9"/>
      <c r="DK96" s="9"/>
      <c r="DL96" s="9"/>
      <c r="DM96" s="9"/>
      <c r="DN96" s="9"/>
      <c r="DO96" s="9"/>
      <c r="DP96" s="9"/>
      <c r="DQ96" s="9"/>
      <c r="DR96" s="9"/>
      <c r="DS96" s="9"/>
      <c r="DT96" s="9"/>
      <c r="DU96" s="9"/>
      <c r="DV96" s="9"/>
      <c r="DW96" s="9"/>
      <c r="DX96" s="9"/>
      <c r="DY96" s="9"/>
      <c r="DZ96" s="9"/>
      <c r="EA96" s="9"/>
      <c r="EB96" s="9"/>
      <c r="EC96" s="9"/>
      <c r="ED96" s="9"/>
      <c r="EE96" s="9"/>
      <c r="EF96" s="9"/>
      <c r="EG96" s="9"/>
      <c r="EH96" s="9"/>
      <c r="EI96" s="9"/>
      <c r="EJ96" s="9"/>
      <c r="EK96" s="9"/>
      <c r="EL96" s="9"/>
      <c r="EM96" s="9"/>
      <c r="EN96" s="9"/>
      <c r="EO96" s="9"/>
      <c r="EP96" s="9"/>
      <c r="EQ96" s="9"/>
      <c r="ER96" s="9"/>
      <c r="ES96" s="9"/>
      <c r="ET96" s="9"/>
      <c r="EU96" s="9"/>
      <c r="EV96" s="9"/>
      <c r="EW96" s="9"/>
      <c r="EX96" s="9"/>
      <c r="EY96" s="9"/>
      <c r="EZ96" s="9"/>
      <c r="FA96" s="9"/>
      <c r="FB96" s="9"/>
      <c r="FC96" s="9"/>
      <c r="FD96" s="9"/>
      <c r="FE96" s="9"/>
      <c r="FF96" s="9"/>
      <c r="FG96" s="9"/>
      <c r="FH96" s="9"/>
      <c r="FI96" s="9"/>
      <c r="FJ96" s="9"/>
      <c r="FK96" s="9"/>
      <c r="FL96" s="9"/>
      <c r="FM96" s="9"/>
      <c r="FN96" s="9"/>
      <c r="FO96" s="9"/>
      <c r="FP96" s="9"/>
      <c r="FQ96" s="9"/>
      <c r="FR96" s="9"/>
      <c r="FS96" s="9"/>
      <c r="FT96" s="9"/>
      <c r="FU96" s="9"/>
      <c r="FV96" s="9"/>
      <c r="FW96" s="9"/>
      <c r="FX96" s="9"/>
      <c r="FY96" s="9"/>
      <c r="FZ96" s="9"/>
      <c r="GA96" s="9"/>
      <c r="GB96" s="9"/>
      <c r="GC96" s="9"/>
      <c r="GD96" s="9"/>
      <c r="GE96" s="9"/>
      <c r="GF96" s="9"/>
      <c r="GG96" s="9"/>
      <c r="GH96" s="9"/>
      <c r="GI96" s="9"/>
      <c r="GJ96" s="9"/>
      <c r="GK96" s="9"/>
      <c r="GL96" s="9"/>
      <c r="GM96" s="9"/>
      <c r="GN96" s="9"/>
      <c r="GO96" s="9"/>
      <c r="GP96" s="9"/>
      <c r="GQ96" s="9"/>
      <c r="GR96" s="9"/>
      <c r="GS96" s="9"/>
      <c r="GT96" s="9"/>
      <c r="GU96" s="9"/>
      <c r="GV96" s="9"/>
      <c r="GW96" s="9"/>
      <c r="GX96" s="9"/>
      <c r="GY96" s="9"/>
      <c r="GZ96" s="9"/>
      <c r="HA96" s="9"/>
      <c r="HB96" s="9"/>
      <c r="HC96" s="9"/>
      <c r="HD96" s="9"/>
      <c r="HE96" s="9"/>
      <c r="HF96" s="9"/>
      <c r="HG96" s="9"/>
      <c r="HH96" s="9"/>
      <c r="HI96" s="9"/>
      <c r="HJ96" s="9"/>
      <c r="HK96" s="9"/>
      <c r="HL96" s="9"/>
      <c r="HM96" s="9"/>
      <c r="HN96" s="9"/>
      <c r="HO96" s="9"/>
      <c r="HP96" s="9"/>
      <c r="HQ96" s="9"/>
      <c r="HR96" s="9"/>
    </row>
    <row r="97" spans="1:226" s="6" customFormat="1" ht="15" customHeight="1">
      <c r="A97" s="69"/>
      <c r="B97" s="76" t="s">
        <v>662</v>
      </c>
      <c r="C97" s="69" t="s">
        <v>365</v>
      </c>
      <c r="D97" s="40">
        <f>0.89*D93</f>
        <v>28.48</v>
      </c>
      <c r="E97" s="40">
        <f t="shared" si="2"/>
        <v>543.2907216410263</v>
      </c>
      <c r="F97" s="70">
        <f aca="true" t="shared" si="3" ref="F97:F127">D97*E97</f>
        <v>15472.91975233643</v>
      </c>
      <c r="G97" s="71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9"/>
      <c r="DC97" s="9"/>
      <c r="DD97" s="9"/>
      <c r="DE97" s="9"/>
      <c r="DF97" s="9"/>
      <c r="DG97" s="9"/>
      <c r="DH97" s="9"/>
      <c r="DI97" s="9"/>
      <c r="DJ97" s="9"/>
      <c r="DK97" s="9"/>
      <c r="DL97" s="9"/>
      <c r="DM97" s="9"/>
      <c r="DN97" s="9"/>
      <c r="DO97" s="9"/>
      <c r="DP97" s="9"/>
      <c r="DQ97" s="9"/>
      <c r="DR97" s="9"/>
      <c r="DS97" s="9"/>
      <c r="DT97" s="9"/>
      <c r="DU97" s="9"/>
      <c r="DV97" s="9"/>
      <c r="DW97" s="9"/>
      <c r="DX97" s="9"/>
      <c r="DY97" s="9"/>
      <c r="DZ97" s="9"/>
      <c r="EA97" s="9"/>
      <c r="EB97" s="9"/>
      <c r="EC97" s="9"/>
      <c r="ED97" s="9"/>
      <c r="EE97" s="9"/>
      <c r="EF97" s="9"/>
      <c r="EG97" s="9"/>
      <c r="EH97" s="9"/>
      <c r="EI97" s="9"/>
      <c r="EJ97" s="9"/>
      <c r="EK97" s="9"/>
      <c r="EL97" s="9"/>
      <c r="EM97" s="9"/>
      <c r="EN97" s="9"/>
      <c r="EO97" s="9"/>
      <c r="EP97" s="9"/>
      <c r="EQ97" s="9"/>
      <c r="ER97" s="9"/>
      <c r="ES97" s="9"/>
      <c r="ET97" s="9"/>
      <c r="EU97" s="9"/>
      <c r="EV97" s="9"/>
      <c r="EW97" s="9"/>
      <c r="EX97" s="9"/>
      <c r="EY97" s="9"/>
      <c r="EZ97" s="9"/>
      <c r="FA97" s="9"/>
      <c r="FB97" s="9"/>
      <c r="FC97" s="9"/>
      <c r="FD97" s="9"/>
      <c r="FE97" s="9"/>
      <c r="FF97" s="9"/>
      <c r="FG97" s="9"/>
      <c r="FH97" s="9"/>
      <c r="FI97" s="9"/>
      <c r="FJ97" s="9"/>
      <c r="FK97" s="9"/>
      <c r="FL97" s="9"/>
      <c r="FM97" s="9"/>
      <c r="FN97" s="9"/>
      <c r="FO97" s="9"/>
      <c r="FP97" s="9"/>
      <c r="FQ97" s="9"/>
      <c r="FR97" s="9"/>
      <c r="FS97" s="9"/>
      <c r="FT97" s="9"/>
      <c r="FU97" s="9"/>
      <c r="FV97" s="9"/>
      <c r="FW97" s="9"/>
      <c r="FX97" s="9"/>
      <c r="FY97" s="9"/>
      <c r="FZ97" s="9"/>
      <c r="GA97" s="9"/>
      <c r="GB97" s="9"/>
      <c r="GC97" s="9"/>
      <c r="GD97" s="9"/>
      <c r="GE97" s="9"/>
      <c r="GF97" s="9"/>
      <c r="GG97" s="9"/>
      <c r="GH97" s="9"/>
      <c r="GI97" s="9"/>
      <c r="GJ97" s="9"/>
      <c r="GK97" s="9"/>
      <c r="GL97" s="9"/>
      <c r="GM97" s="9"/>
      <c r="GN97" s="9"/>
      <c r="GO97" s="9"/>
      <c r="GP97" s="9"/>
      <c r="GQ97" s="9"/>
      <c r="GR97" s="9"/>
      <c r="GS97" s="9"/>
      <c r="GT97" s="9"/>
      <c r="GU97" s="9"/>
      <c r="GV97" s="9"/>
      <c r="GW97" s="9"/>
      <c r="GX97" s="9"/>
      <c r="GY97" s="9"/>
      <c r="GZ97" s="9"/>
      <c r="HA97" s="9"/>
      <c r="HB97" s="9"/>
      <c r="HC97" s="9"/>
      <c r="HD97" s="9"/>
      <c r="HE97" s="9"/>
      <c r="HF97" s="9"/>
      <c r="HG97" s="9"/>
      <c r="HH97" s="9"/>
      <c r="HI97" s="9"/>
      <c r="HJ97" s="9"/>
      <c r="HK97" s="9"/>
      <c r="HL97" s="9"/>
      <c r="HM97" s="9"/>
      <c r="HN97" s="9"/>
      <c r="HO97" s="9"/>
      <c r="HP97" s="9"/>
      <c r="HQ97" s="9"/>
      <c r="HR97" s="9"/>
    </row>
    <row r="98" spans="1:226" s="6" customFormat="1" ht="15" customHeight="1">
      <c r="A98" s="69"/>
      <c r="B98" s="76" t="s">
        <v>83</v>
      </c>
      <c r="C98" s="69" t="s">
        <v>365</v>
      </c>
      <c r="D98" s="40">
        <f>3.76*D93</f>
        <v>120.32</v>
      </c>
      <c r="E98" s="40">
        <f t="shared" si="2"/>
        <v>319.6728143876425</v>
      </c>
      <c r="F98" s="70">
        <f t="shared" si="3"/>
        <v>38463.03302712114</v>
      </c>
      <c r="G98" s="71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B98" s="9"/>
      <c r="EC98" s="9"/>
      <c r="ED98" s="9"/>
      <c r="EE98" s="9"/>
      <c r="EF98" s="9"/>
      <c r="EG98" s="9"/>
      <c r="EH98" s="9"/>
      <c r="EI98" s="9"/>
      <c r="EJ98" s="9"/>
      <c r="EK98" s="9"/>
      <c r="EL98" s="9"/>
      <c r="EM98" s="9"/>
      <c r="EN98" s="9"/>
      <c r="EO98" s="9"/>
      <c r="EP98" s="9"/>
      <c r="EQ98" s="9"/>
      <c r="ER98" s="9"/>
      <c r="ES98" s="9"/>
      <c r="ET98" s="9"/>
      <c r="EU98" s="9"/>
      <c r="EV98" s="9"/>
      <c r="EW98" s="9"/>
      <c r="EX98" s="9"/>
      <c r="EY98" s="9"/>
      <c r="EZ98" s="9"/>
      <c r="FA98" s="9"/>
      <c r="FB98" s="9"/>
      <c r="FC98" s="9"/>
      <c r="FD98" s="9"/>
      <c r="FE98" s="9"/>
      <c r="FF98" s="9"/>
      <c r="FG98" s="9"/>
      <c r="FH98" s="9"/>
      <c r="FI98" s="9"/>
      <c r="FJ98" s="9"/>
      <c r="FK98" s="9"/>
      <c r="FL98" s="9"/>
      <c r="FM98" s="9"/>
      <c r="FN98" s="9"/>
      <c r="FO98" s="9"/>
      <c r="FP98" s="9"/>
      <c r="FQ98" s="9"/>
      <c r="FR98" s="9"/>
      <c r="FS98" s="9"/>
      <c r="FT98" s="9"/>
      <c r="FU98" s="9"/>
      <c r="FV98" s="9"/>
      <c r="FW98" s="9"/>
      <c r="FX98" s="9"/>
      <c r="FY98" s="9"/>
      <c r="FZ98" s="9"/>
      <c r="GA98" s="9"/>
      <c r="GB98" s="9"/>
      <c r="GC98" s="9"/>
      <c r="GD98" s="9"/>
      <c r="GE98" s="9"/>
      <c r="GF98" s="9"/>
      <c r="GG98" s="9"/>
      <c r="GH98" s="9"/>
      <c r="GI98" s="9"/>
      <c r="GJ98" s="9"/>
      <c r="GK98" s="9"/>
      <c r="GL98" s="9"/>
      <c r="GM98" s="9"/>
      <c r="GN98" s="9"/>
      <c r="GO98" s="9"/>
      <c r="GP98" s="9"/>
      <c r="GQ98" s="9"/>
      <c r="GR98" s="9"/>
      <c r="GS98" s="9"/>
      <c r="GT98" s="9"/>
      <c r="GU98" s="9"/>
      <c r="GV98" s="9"/>
      <c r="GW98" s="9"/>
      <c r="GX98" s="9"/>
      <c r="GY98" s="9"/>
      <c r="GZ98" s="9"/>
      <c r="HA98" s="9"/>
      <c r="HB98" s="9"/>
      <c r="HC98" s="9"/>
      <c r="HD98" s="9"/>
      <c r="HE98" s="9"/>
      <c r="HF98" s="9"/>
      <c r="HG98" s="9"/>
      <c r="HH98" s="9"/>
      <c r="HI98" s="9"/>
      <c r="HJ98" s="9"/>
      <c r="HK98" s="9"/>
      <c r="HL98" s="9"/>
      <c r="HM98" s="9"/>
      <c r="HN98" s="9"/>
      <c r="HO98" s="9"/>
      <c r="HP98" s="9"/>
      <c r="HQ98" s="9"/>
      <c r="HR98" s="9"/>
    </row>
    <row r="99" spans="1:226" s="6" customFormat="1" ht="15" customHeight="1">
      <c r="A99" s="69"/>
      <c r="B99" s="85" t="s">
        <v>611</v>
      </c>
      <c r="C99" s="38" t="s">
        <v>44</v>
      </c>
      <c r="D99" s="86">
        <f>D93*2</f>
        <v>64</v>
      </c>
      <c r="E99" s="41">
        <f t="shared" si="2"/>
        <v>299</v>
      </c>
      <c r="F99" s="70">
        <f t="shared" si="3"/>
        <v>19136</v>
      </c>
      <c r="G99" s="71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9"/>
      <c r="DC99" s="9"/>
      <c r="DD99" s="9"/>
      <c r="DE99" s="9"/>
      <c r="DF99" s="9"/>
      <c r="DG99" s="9"/>
      <c r="DH99" s="9"/>
      <c r="DI99" s="9"/>
      <c r="DJ99" s="9"/>
      <c r="DK99" s="9"/>
      <c r="DL99" s="9"/>
      <c r="DM99" s="9"/>
      <c r="DN99" s="9"/>
      <c r="DO99" s="9"/>
      <c r="DP99" s="9"/>
      <c r="DQ99" s="9"/>
      <c r="DR99" s="9"/>
      <c r="DS99" s="9"/>
      <c r="DT99" s="9"/>
      <c r="DU99" s="9"/>
      <c r="DV99" s="9"/>
      <c r="DW99" s="9"/>
      <c r="DX99" s="9"/>
      <c r="DY99" s="9"/>
      <c r="DZ99" s="9"/>
      <c r="EA99" s="9"/>
      <c r="EB99" s="9"/>
      <c r="EC99" s="9"/>
      <c r="ED99" s="9"/>
      <c r="EE99" s="9"/>
      <c r="EF99" s="9"/>
      <c r="EG99" s="9"/>
      <c r="EH99" s="9"/>
      <c r="EI99" s="9"/>
      <c r="EJ99" s="9"/>
      <c r="EK99" s="9"/>
      <c r="EL99" s="9"/>
      <c r="EM99" s="9"/>
      <c r="EN99" s="9"/>
      <c r="EO99" s="9"/>
      <c r="EP99" s="9"/>
      <c r="EQ99" s="9"/>
      <c r="ER99" s="9"/>
      <c r="ES99" s="9"/>
      <c r="ET99" s="9"/>
      <c r="EU99" s="9"/>
      <c r="EV99" s="9"/>
      <c r="EW99" s="9"/>
      <c r="EX99" s="9"/>
      <c r="EY99" s="9"/>
      <c r="EZ99" s="9"/>
      <c r="FA99" s="9"/>
      <c r="FB99" s="9"/>
      <c r="FC99" s="9"/>
      <c r="FD99" s="9"/>
      <c r="FE99" s="9"/>
      <c r="FF99" s="9"/>
      <c r="FG99" s="9"/>
      <c r="FH99" s="9"/>
      <c r="FI99" s="9"/>
      <c r="FJ99" s="9"/>
      <c r="FK99" s="9"/>
      <c r="FL99" s="9"/>
      <c r="FM99" s="9"/>
      <c r="FN99" s="9"/>
      <c r="FO99" s="9"/>
      <c r="FP99" s="9"/>
      <c r="FQ99" s="9"/>
      <c r="FR99" s="9"/>
      <c r="FS99" s="9"/>
      <c r="FT99" s="9"/>
      <c r="FU99" s="9"/>
      <c r="FV99" s="9"/>
      <c r="FW99" s="9"/>
      <c r="FX99" s="9"/>
      <c r="FY99" s="9"/>
      <c r="FZ99" s="9"/>
      <c r="GA99" s="9"/>
      <c r="GB99" s="9"/>
      <c r="GC99" s="9"/>
      <c r="GD99" s="9"/>
      <c r="GE99" s="9"/>
      <c r="GF99" s="9"/>
      <c r="GG99" s="9"/>
      <c r="GH99" s="9"/>
      <c r="GI99" s="9"/>
      <c r="GJ99" s="9"/>
      <c r="GK99" s="9"/>
      <c r="GL99" s="9"/>
      <c r="GM99" s="9"/>
      <c r="GN99" s="9"/>
      <c r="GO99" s="9"/>
      <c r="GP99" s="9"/>
      <c r="GQ99" s="9"/>
      <c r="GR99" s="9"/>
      <c r="GS99" s="9"/>
      <c r="GT99" s="9"/>
      <c r="GU99" s="9"/>
      <c r="GV99" s="9"/>
      <c r="GW99" s="9"/>
      <c r="GX99" s="9"/>
      <c r="GY99" s="9"/>
      <c r="GZ99" s="9"/>
      <c r="HA99" s="9"/>
      <c r="HB99" s="9"/>
      <c r="HC99" s="9"/>
      <c r="HD99" s="9"/>
      <c r="HE99" s="9"/>
      <c r="HF99" s="9"/>
      <c r="HG99" s="9"/>
      <c r="HH99" s="9"/>
      <c r="HI99" s="9"/>
      <c r="HJ99" s="9"/>
      <c r="HK99" s="9"/>
      <c r="HL99" s="9"/>
      <c r="HM99" s="9"/>
      <c r="HN99" s="9"/>
      <c r="HO99" s="9"/>
      <c r="HP99" s="9"/>
      <c r="HQ99" s="9"/>
      <c r="HR99" s="9"/>
    </row>
    <row r="100" spans="1:181" s="8" customFormat="1" ht="15" customHeight="1">
      <c r="A100" s="75">
        <v>3</v>
      </c>
      <c r="B100" s="85" t="s">
        <v>663</v>
      </c>
      <c r="C100" s="87" t="s">
        <v>65</v>
      </c>
      <c r="D100" s="69">
        <v>30</v>
      </c>
      <c r="E100" s="40"/>
      <c r="F100" s="70">
        <f>SUM(F101:F106)</f>
        <v>144168.2731494514</v>
      </c>
      <c r="G100" s="71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  <c r="DB100" s="9"/>
      <c r="DC100" s="9"/>
      <c r="DD100" s="9"/>
      <c r="DE100" s="9"/>
      <c r="DF100" s="9"/>
      <c r="DG100" s="9"/>
      <c r="DH100" s="9"/>
      <c r="DI100" s="9"/>
      <c r="DJ100" s="9"/>
      <c r="DK100" s="9"/>
      <c r="DL100" s="9"/>
      <c r="DM100" s="9"/>
      <c r="DN100" s="9"/>
      <c r="DO100" s="9"/>
      <c r="DP100" s="9"/>
      <c r="DQ100" s="9"/>
      <c r="DR100" s="9"/>
      <c r="DS100" s="9"/>
      <c r="DT100" s="9"/>
      <c r="DU100" s="9"/>
      <c r="DV100" s="9"/>
      <c r="DW100" s="9"/>
      <c r="DX100" s="9"/>
      <c r="DY100" s="9"/>
      <c r="DZ100" s="9"/>
      <c r="EA100" s="9"/>
      <c r="EB100" s="9"/>
      <c r="EC100" s="9"/>
      <c r="ED100" s="9"/>
      <c r="EE100" s="9"/>
      <c r="EF100" s="9"/>
      <c r="EG100" s="9"/>
      <c r="EH100" s="9"/>
      <c r="EI100" s="9"/>
      <c r="EJ100" s="9"/>
      <c r="EK100" s="9"/>
      <c r="EL100" s="9"/>
      <c r="EM100" s="9"/>
      <c r="EN100" s="9"/>
      <c r="EO100" s="9"/>
      <c r="EP100" s="9"/>
      <c r="EQ100" s="9"/>
      <c r="ER100" s="9"/>
      <c r="ES100" s="9"/>
      <c r="ET100" s="9"/>
      <c r="EU100" s="9"/>
      <c r="EV100" s="9"/>
      <c r="EW100" s="9"/>
      <c r="EX100" s="9"/>
      <c r="EY100" s="9"/>
      <c r="EZ100" s="9"/>
      <c r="FA100" s="9"/>
      <c r="FB100" s="9"/>
      <c r="FC100" s="9"/>
      <c r="FD100" s="9"/>
      <c r="FE100" s="9"/>
      <c r="FF100" s="9"/>
      <c r="FG100" s="9"/>
      <c r="FH100" s="9"/>
      <c r="FI100" s="9"/>
      <c r="FJ100" s="9"/>
      <c r="FK100" s="9"/>
      <c r="FL100" s="9"/>
      <c r="FM100" s="9"/>
      <c r="FN100" s="9"/>
      <c r="FO100" s="9"/>
      <c r="FP100" s="9"/>
      <c r="FQ100" s="9"/>
      <c r="FR100" s="9"/>
      <c r="FS100" s="9"/>
      <c r="FT100" s="9"/>
      <c r="FU100" s="9"/>
      <c r="FV100" s="9"/>
      <c r="FW100" s="9"/>
      <c r="FX100" s="9"/>
      <c r="FY100" s="9"/>
    </row>
    <row r="101" spans="1:181" s="8" customFormat="1" ht="15" customHeight="1">
      <c r="A101" s="77"/>
      <c r="B101" s="88" t="s">
        <v>46</v>
      </c>
      <c r="C101" s="68" t="s">
        <v>640</v>
      </c>
      <c r="D101" s="89">
        <f>D100*23.74</f>
        <v>712.1999999999999</v>
      </c>
      <c r="E101" s="61">
        <f>E94</f>
        <v>5.948462518329764</v>
      </c>
      <c r="F101" s="65">
        <f t="shared" si="3"/>
        <v>4236.495005554458</v>
      </c>
      <c r="G101" s="5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9"/>
      <c r="DA101" s="9"/>
      <c r="DB101" s="9"/>
      <c r="DC101" s="9"/>
      <c r="DD101" s="9"/>
      <c r="DE101" s="9"/>
      <c r="DF101" s="9"/>
      <c r="DG101" s="9"/>
      <c r="DH101" s="9"/>
      <c r="DI101" s="9"/>
      <c r="DJ101" s="9"/>
      <c r="DK101" s="9"/>
      <c r="DL101" s="9"/>
      <c r="DM101" s="9"/>
      <c r="DN101" s="9"/>
      <c r="DO101" s="9"/>
      <c r="DP101" s="9"/>
      <c r="DQ101" s="9"/>
      <c r="DR101" s="9"/>
      <c r="DS101" s="9"/>
      <c r="DT101" s="9"/>
      <c r="DU101" s="9"/>
      <c r="DV101" s="9"/>
      <c r="DW101" s="9"/>
      <c r="DX101" s="9"/>
      <c r="DY101" s="9"/>
      <c r="DZ101" s="9"/>
      <c r="EA101" s="9"/>
      <c r="EB101" s="9"/>
      <c r="EC101" s="9"/>
      <c r="ED101" s="9"/>
      <c r="EE101" s="9"/>
      <c r="EF101" s="9"/>
      <c r="EG101" s="9"/>
      <c r="EH101" s="9"/>
      <c r="EI101" s="9"/>
      <c r="EJ101" s="9"/>
      <c r="EK101" s="9"/>
      <c r="EL101" s="9"/>
      <c r="EM101" s="9"/>
      <c r="EN101" s="9"/>
      <c r="EO101" s="9"/>
      <c r="EP101" s="9"/>
      <c r="EQ101" s="9"/>
      <c r="ER101" s="9"/>
      <c r="ES101" s="9"/>
      <c r="ET101" s="9"/>
      <c r="EU101" s="9"/>
      <c r="EV101" s="9"/>
      <c r="EW101" s="9"/>
      <c r="EX101" s="9"/>
      <c r="EY101" s="9"/>
      <c r="EZ101" s="9"/>
      <c r="FA101" s="9"/>
      <c r="FB101" s="9"/>
      <c r="FC101" s="9"/>
      <c r="FD101" s="9"/>
      <c r="FE101" s="9"/>
      <c r="FF101" s="9"/>
      <c r="FG101" s="9"/>
      <c r="FH101" s="9"/>
      <c r="FI101" s="9"/>
      <c r="FJ101" s="9"/>
      <c r="FK101" s="9"/>
      <c r="FL101" s="9"/>
      <c r="FM101" s="9"/>
      <c r="FN101" s="9"/>
      <c r="FO101" s="9"/>
      <c r="FP101" s="9"/>
      <c r="FQ101" s="9"/>
      <c r="FR101" s="9"/>
      <c r="FS101" s="9"/>
      <c r="FT101" s="9"/>
      <c r="FU101" s="9"/>
      <c r="FV101" s="9"/>
      <c r="FW101" s="9"/>
      <c r="FX101" s="9"/>
      <c r="FY101" s="9"/>
    </row>
    <row r="102" spans="1:181" s="8" customFormat="1" ht="15" customHeight="1">
      <c r="A102" s="77"/>
      <c r="B102" s="88" t="s">
        <v>48</v>
      </c>
      <c r="C102" s="68" t="s">
        <v>640</v>
      </c>
      <c r="D102" s="89">
        <f>D100*9.46</f>
        <v>283.8</v>
      </c>
      <c r="E102" s="61">
        <f>E95</f>
        <v>22.087821666441833</v>
      </c>
      <c r="F102" s="65">
        <f t="shared" si="3"/>
        <v>6268.523788936192</v>
      </c>
      <c r="G102" s="5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  <c r="DB102" s="9"/>
      <c r="DC102" s="9"/>
      <c r="DD102" s="9"/>
      <c r="DE102" s="9"/>
      <c r="DF102" s="9"/>
      <c r="DG102" s="9"/>
      <c r="DH102" s="9"/>
      <c r="DI102" s="9"/>
      <c r="DJ102" s="9"/>
      <c r="DK102" s="9"/>
      <c r="DL102" s="9"/>
      <c r="DM102" s="9"/>
      <c r="DN102" s="9"/>
      <c r="DO102" s="9"/>
      <c r="DP102" s="9"/>
      <c r="DQ102" s="9"/>
      <c r="DR102" s="9"/>
      <c r="DS102" s="9"/>
      <c r="DT102" s="9"/>
      <c r="DU102" s="9"/>
      <c r="DV102" s="9"/>
      <c r="DW102" s="9"/>
      <c r="DX102" s="9"/>
      <c r="DY102" s="9"/>
      <c r="DZ102" s="9"/>
      <c r="EA102" s="9"/>
      <c r="EB102" s="9"/>
      <c r="EC102" s="9"/>
      <c r="ED102" s="9"/>
      <c r="EE102" s="9"/>
      <c r="EF102" s="9"/>
      <c r="EG102" s="9"/>
      <c r="EH102" s="9"/>
      <c r="EI102" s="9"/>
      <c r="EJ102" s="9"/>
      <c r="EK102" s="9"/>
      <c r="EL102" s="9"/>
      <c r="EM102" s="9"/>
      <c r="EN102" s="9"/>
      <c r="EO102" s="9"/>
      <c r="EP102" s="9"/>
      <c r="EQ102" s="9"/>
      <c r="ER102" s="9"/>
      <c r="ES102" s="9"/>
      <c r="ET102" s="9"/>
      <c r="EU102" s="9"/>
      <c r="EV102" s="9"/>
      <c r="EW102" s="9"/>
      <c r="EX102" s="9"/>
      <c r="EY102" s="9"/>
      <c r="EZ102" s="9"/>
      <c r="FA102" s="9"/>
      <c r="FB102" s="9"/>
      <c r="FC102" s="9"/>
      <c r="FD102" s="9"/>
      <c r="FE102" s="9"/>
      <c r="FF102" s="9"/>
      <c r="FG102" s="9"/>
      <c r="FH102" s="9"/>
      <c r="FI102" s="9"/>
      <c r="FJ102" s="9"/>
      <c r="FK102" s="9"/>
      <c r="FL102" s="9"/>
      <c r="FM102" s="9"/>
      <c r="FN102" s="9"/>
      <c r="FO102" s="9"/>
      <c r="FP102" s="9"/>
      <c r="FQ102" s="9"/>
      <c r="FR102" s="9"/>
      <c r="FS102" s="9"/>
      <c r="FT102" s="9"/>
      <c r="FU102" s="9"/>
      <c r="FV102" s="9"/>
      <c r="FW102" s="9"/>
      <c r="FX102" s="9"/>
      <c r="FY102" s="9"/>
    </row>
    <row r="103" spans="1:181" s="8" customFormat="1" ht="15" customHeight="1">
      <c r="A103" s="77"/>
      <c r="B103" s="90" t="s">
        <v>664</v>
      </c>
      <c r="C103" s="68" t="s">
        <v>640</v>
      </c>
      <c r="D103" s="89">
        <f>D100*1.45</f>
        <v>43.5</v>
      </c>
      <c r="E103" s="61">
        <f>'单价汇总'!D26/100</f>
        <v>898.4456685651555</v>
      </c>
      <c r="F103" s="65">
        <f t="shared" si="3"/>
        <v>39082.386582584266</v>
      </c>
      <c r="G103" s="5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  <c r="DF103" s="9"/>
      <c r="DG103" s="9"/>
      <c r="DH103" s="9"/>
      <c r="DI103" s="9"/>
      <c r="DJ103" s="9"/>
      <c r="DK103" s="9"/>
      <c r="DL103" s="9"/>
      <c r="DM103" s="9"/>
      <c r="DN103" s="9"/>
      <c r="DO103" s="9"/>
      <c r="DP103" s="9"/>
      <c r="DQ103" s="9"/>
      <c r="DR103" s="9"/>
      <c r="DS103" s="9"/>
      <c r="DT103" s="9"/>
      <c r="DU103" s="9"/>
      <c r="DV103" s="9"/>
      <c r="DW103" s="9"/>
      <c r="DX103" s="9"/>
      <c r="DY103" s="9"/>
      <c r="DZ103" s="9"/>
      <c r="EA103" s="9"/>
      <c r="EB103" s="9"/>
      <c r="EC103" s="9"/>
      <c r="ED103" s="9"/>
      <c r="EE103" s="9"/>
      <c r="EF103" s="9"/>
      <c r="EG103" s="9"/>
      <c r="EH103" s="9"/>
      <c r="EI103" s="9"/>
      <c r="EJ103" s="9"/>
      <c r="EK103" s="9"/>
      <c r="EL103" s="9"/>
      <c r="EM103" s="9"/>
      <c r="EN103" s="9"/>
      <c r="EO103" s="9"/>
      <c r="EP103" s="9"/>
      <c r="EQ103" s="9"/>
      <c r="ER103" s="9"/>
      <c r="ES103" s="9"/>
      <c r="ET103" s="9"/>
      <c r="EU103" s="9"/>
      <c r="EV103" s="9"/>
      <c r="EW103" s="9"/>
      <c r="EX103" s="9"/>
      <c r="EY103" s="9"/>
      <c r="EZ103" s="9"/>
      <c r="FA103" s="9"/>
      <c r="FB103" s="9"/>
      <c r="FC103" s="9"/>
      <c r="FD103" s="9"/>
      <c r="FE103" s="9"/>
      <c r="FF103" s="9"/>
      <c r="FG103" s="9"/>
      <c r="FH103" s="9"/>
      <c r="FI103" s="9"/>
      <c r="FJ103" s="9"/>
      <c r="FK103" s="9"/>
      <c r="FL103" s="9"/>
      <c r="FM103" s="9"/>
      <c r="FN103" s="9"/>
      <c r="FO103" s="9"/>
      <c r="FP103" s="9"/>
      <c r="FQ103" s="9"/>
      <c r="FR103" s="9"/>
      <c r="FS103" s="9"/>
      <c r="FT103" s="9"/>
      <c r="FU103" s="9"/>
      <c r="FV103" s="9"/>
      <c r="FW103" s="9"/>
      <c r="FX103" s="9"/>
      <c r="FY103" s="9"/>
    </row>
    <row r="104" spans="1:181" s="8" customFormat="1" ht="15" customHeight="1">
      <c r="A104" s="77"/>
      <c r="B104" s="88" t="s">
        <v>116</v>
      </c>
      <c r="C104" s="68" t="s">
        <v>640</v>
      </c>
      <c r="D104" s="89">
        <f>D100*5.21</f>
        <v>156.3</v>
      </c>
      <c r="E104" s="61">
        <f>E98</f>
        <v>319.6728143876425</v>
      </c>
      <c r="F104" s="65">
        <f t="shared" si="3"/>
        <v>49964.86088878853</v>
      </c>
      <c r="G104" s="5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C104" s="9"/>
      <c r="DD104" s="9"/>
      <c r="DE104" s="9"/>
      <c r="DF104" s="9"/>
      <c r="DG104" s="9"/>
      <c r="DH104" s="9"/>
      <c r="DI104" s="9"/>
      <c r="DJ104" s="9"/>
      <c r="DK104" s="9"/>
      <c r="DL104" s="9"/>
      <c r="DM104" s="9"/>
      <c r="DN104" s="9"/>
      <c r="DO104" s="9"/>
      <c r="DP104" s="9"/>
      <c r="DQ104" s="9"/>
      <c r="DR104" s="9"/>
      <c r="DS104" s="9"/>
      <c r="DT104" s="9"/>
      <c r="DU104" s="9"/>
      <c r="DV104" s="9"/>
      <c r="DW104" s="9"/>
      <c r="DX104" s="9"/>
      <c r="DY104" s="9"/>
      <c r="DZ104" s="9"/>
      <c r="EA104" s="9"/>
      <c r="EB104" s="9"/>
      <c r="EC104" s="9"/>
      <c r="ED104" s="9"/>
      <c r="EE104" s="9"/>
      <c r="EF104" s="9"/>
      <c r="EG104" s="9"/>
      <c r="EH104" s="9"/>
      <c r="EI104" s="9"/>
      <c r="EJ104" s="9"/>
      <c r="EK104" s="9"/>
      <c r="EL104" s="9"/>
      <c r="EM104" s="9"/>
      <c r="EN104" s="9"/>
      <c r="EO104" s="9"/>
      <c r="EP104" s="9"/>
      <c r="EQ104" s="9"/>
      <c r="ER104" s="9"/>
      <c r="ES104" s="9"/>
      <c r="ET104" s="9"/>
      <c r="EU104" s="9"/>
      <c r="EV104" s="9"/>
      <c r="EW104" s="9"/>
      <c r="EX104" s="9"/>
      <c r="EY104" s="9"/>
      <c r="EZ104" s="9"/>
      <c r="FA104" s="9"/>
      <c r="FB104" s="9"/>
      <c r="FC104" s="9"/>
      <c r="FD104" s="9"/>
      <c r="FE104" s="9"/>
      <c r="FF104" s="9"/>
      <c r="FG104" s="9"/>
      <c r="FH104" s="9"/>
      <c r="FI104" s="9"/>
      <c r="FJ104" s="9"/>
      <c r="FK104" s="9"/>
      <c r="FL104" s="9"/>
      <c r="FM104" s="9"/>
      <c r="FN104" s="9"/>
      <c r="FO104" s="9"/>
      <c r="FP104" s="9"/>
      <c r="FQ104" s="9"/>
      <c r="FR104" s="9"/>
      <c r="FS104" s="9"/>
      <c r="FT104" s="9"/>
      <c r="FU104" s="9"/>
      <c r="FV104" s="9"/>
      <c r="FW104" s="9"/>
      <c r="FX104" s="9"/>
      <c r="FY104" s="9"/>
    </row>
    <row r="105" spans="1:181" s="8" customFormat="1" ht="15" customHeight="1">
      <c r="A105" s="77"/>
      <c r="B105" s="88" t="s">
        <v>86</v>
      </c>
      <c r="C105" s="91" t="s">
        <v>77</v>
      </c>
      <c r="D105" s="89">
        <f>(D100*175)/1000</f>
        <v>5.25</v>
      </c>
      <c r="E105" s="61">
        <f>'单价汇总'!D18</f>
        <v>6942.524506132902</v>
      </c>
      <c r="F105" s="65">
        <f t="shared" si="3"/>
        <v>36448.25365719774</v>
      </c>
      <c r="G105" s="5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9"/>
      <c r="DY105" s="9"/>
      <c r="DZ105" s="9"/>
      <c r="EA105" s="9"/>
      <c r="EB105" s="9"/>
      <c r="EC105" s="9"/>
      <c r="ED105" s="9"/>
      <c r="EE105" s="9"/>
      <c r="EF105" s="9"/>
      <c r="EG105" s="9"/>
      <c r="EH105" s="9"/>
      <c r="EI105" s="9"/>
      <c r="EJ105" s="9"/>
      <c r="EK105" s="9"/>
      <c r="EL105" s="9"/>
      <c r="EM105" s="9"/>
      <c r="EN105" s="9"/>
      <c r="EO105" s="9"/>
      <c r="EP105" s="9"/>
      <c r="EQ105" s="9"/>
      <c r="ER105" s="9"/>
      <c r="ES105" s="9"/>
      <c r="ET105" s="9"/>
      <c r="EU105" s="9"/>
      <c r="EV105" s="9"/>
      <c r="EW105" s="9"/>
      <c r="EX105" s="9"/>
      <c r="EY105" s="9"/>
      <c r="EZ105" s="9"/>
      <c r="FA105" s="9"/>
      <c r="FB105" s="9"/>
      <c r="FC105" s="9"/>
      <c r="FD105" s="9"/>
      <c r="FE105" s="9"/>
      <c r="FF105" s="9"/>
      <c r="FG105" s="9"/>
      <c r="FH105" s="9"/>
      <c r="FI105" s="9"/>
      <c r="FJ105" s="9"/>
      <c r="FK105" s="9"/>
      <c r="FL105" s="9"/>
      <c r="FM105" s="9"/>
      <c r="FN105" s="9"/>
      <c r="FO105" s="9"/>
      <c r="FP105" s="9"/>
      <c r="FQ105" s="9"/>
      <c r="FR105" s="9"/>
      <c r="FS105" s="9"/>
      <c r="FT105" s="9"/>
      <c r="FU105" s="9"/>
      <c r="FV105" s="9"/>
      <c r="FW105" s="9"/>
      <c r="FX105" s="9"/>
      <c r="FY105" s="9"/>
    </row>
    <row r="106" spans="1:181" s="8" customFormat="1" ht="15" customHeight="1">
      <c r="A106" s="77"/>
      <c r="B106" s="88" t="s">
        <v>123</v>
      </c>
      <c r="C106" s="68" t="s">
        <v>640</v>
      </c>
      <c r="D106" s="89">
        <f>D100*0.77</f>
        <v>23.1</v>
      </c>
      <c r="E106" s="61">
        <f>'单价汇总'!D22/100</f>
        <v>353.5823907528219</v>
      </c>
      <c r="F106" s="65">
        <f t="shared" si="3"/>
        <v>8167.753226390186</v>
      </c>
      <c r="G106" s="5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C106" s="9"/>
      <c r="DD106" s="9"/>
      <c r="DE106" s="9"/>
      <c r="DF106" s="9"/>
      <c r="DG106" s="9"/>
      <c r="DH106" s="9"/>
      <c r="DI106" s="9"/>
      <c r="DJ106" s="9"/>
      <c r="DK106" s="9"/>
      <c r="DL106" s="9"/>
      <c r="DM106" s="9"/>
      <c r="DN106" s="9"/>
      <c r="DO106" s="9"/>
      <c r="DP106" s="9"/>
      <c r="DQ106" s="9"/>
      <c r="DR106" s="9"/>
      <c r="DS106" s="9"/>
      <c r="DT106" s="9"/>
      <c r="DU106" s="9"/>
      <c r="DV106" s="9"/>
      <c r="DW106" s="9"/>
      <c r="DX106" s="9"/>
      <c r="DY106" s="9"/>
      <c r="DZ106" s="9"/>
      <c r="EA106" s="9"/>
      <c r="EB106" s="9"/>
      <c r="EC106" s="9"/>
      <c r="ED106" s="9"/>
      <c r="EE106" s="9"/>
      <c r="EF106" s="9"/>
      <c r="EG106" s="9"/>
      <c r="EH106" s="9"/>
      <c r="EI106" s="9"/>
      <c r="EJ106" s="9"/>
      <c r="EK106" s="9"/>
      <c r="EL106" s="9"/>
      <c r="EM106" s="9"/>
      <c r="EN106" s="9"/>
      <c r="EO106" s="9"/>
      <c r="EP106" s="9"/>
      <c r="EQ106" s="9"/>
      <c r="ER106" s="9"/>
      <c r="ES106" s="9"/>
      <c r="ET106" s="9"/>
      <c r="EU106" s="9"/>
      <c r="EV106" s="9"/>
      <c r="EW106" s="9"/>
      <c r="EX106" s="9"/>
      <c r="EY106" s="9"/>
      <c r="EZ106" s="9"/>
      <c r="FA106" s="9"/>
      <c r="FB106" s="9"/>
      <c r="FC106" s="9"/>
      <c r="FD106" s="9"/>
      <c r="FE106" s="9"/>
      <c r="FF106" s="9"/>
      <c r="FG106" s="9"/>
      <c r="FH106" s="9"/>
      <c r="FI106" s="9"/>
      <c r="FJ106" s="9"/>
      <c r="FK106" s="9"/>
      <c r="FL106" s="9"/>
      <c r="FM106" s="9"/>
      <c r="FN106" s="9"/>
      <c r="FO106" s="9"/>
      <c r="FP106" s="9"/>
      <c r="FQ106" s="9"/>
      <c r="FR106" s="9"/>
      <c r="FS106" s="9"/>
      <c r="FT106" s="9"/>
      <c r="FU106" s="9"/>
      <c r="FV106" s="9"/>
      <c r="FW106" s="9"/>
      <c r="FX106" s="9"/>
      <c r="FY106" s="9"/>
    </row>
    <row r="107" spans="1:181" s="8" customFormat="1" ht="15" customHeight="1">
      <c r="A107" s="77">
        <v>4</v>
      </c>
      <c r="B107" s="88" t="s">
        <v>665</v>
      </c>
      <c r="C107" s="91" t="s">
        <v>65</v>
      </c>
      <c r="D107" s="62">
        <v>15</v>
      </c>
      <c r="E107" s="61"/>
      <c r="F107" s="65">
        <f>SUM(F108:F113)</f>
        <v>84938.71675558193</v>
      </c>
      <c r="G107" s="5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C107" s="9"/>
      <c r="DD107" s="9"/>
      <c r="DE107" s="9"/>
      <c r="DF107" s="9"/>
      <c r="DG107" s="9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9"/>
      <c r="DU107" s="9"/>
      <c r="DV107" s="9"/>
      <c r="DW107" s="9"/>
      <c r="DX107" s="9"/>
      <c r="DY107" s="9"/>
      <c r="DZ107" s="9"/>
      <c r="EA107" s="9"/>
      <c r="EB107" s="9"/>
      <c r="EC107" s="9"/>
      <c r="ED107" s="9"/>
      <c r="EE107" s="9"/>
      <c r="EF107" s="9"/>
      <c r="EG107" s="9"/>
      <c r="EH107" s="9"/>
      <c r="EI107" s="9"/>
      <c r="EJ107" s="9"/>
      <c r="EK107" s="9"/>
      <c r="EL107" s="9"/>
      <c r="EM107" s="9"/>
      <c r="EN107" s="9"/>
      <c r="EO107" s="9"/>
      <c r="EP107" s="9"/>
      <c r="EQ107" s="9"/>
      <c r="ER107" s="9"/>
      <c r="ES107" s="9"/>
      <c r="ET107" s="9"/>
      <c r="EU107" s="9"/>
      <c r="EV107" s="9"/>
      <c r="EW107" s="9"/>
      <c r="EX107" s="9"/>
      <c r="EY107" s="9"/>
      <c r="EZ107" s="9"/>
      <c r="FA107" s="9"/>
      <c r="FB107" s="9"/>
      <c r="FC107" s="9"/>
      <c r="FD107" s="9"/>
      <c r="FE107" s="9"/>
      <c r="FF107" s="9"/>
      <c r="FG107" s="9"/>
      <c r="FH107" s="9"/>
      <c r="FI107" s="9"/>
      <c r="FJ107" s="9"/>
      <c r="FK107" s="9"/>
      <c r="FL107" s="9"/>
      <c r="FM107" s="9"/>
      <c r="FN107" s="9"/>
      <c r="FO107" s="9"/>
      <c r="FP107" s="9"/>
      <c r="FQ107" s="9"/>
      <c r="FR107" s="9"/>
      <c r="FS107" s="9"/>
      <c r="FT107" s="9"/>
      <c r="FU107" s="9"/>
      <c r="FV107" s="9"/>
      <c r="FW107" s="9"/>
      <c r="FX107" s="9"/>
      <c r="FY107" s="9"/>
    </row>
    <row r="108" spans="1:181" s="8" customFormat="1" ht="15" customHeight="1">
      <c r="A108" s="77"/>
      <c r="B108" s="88" t="s">
        <v>46</v>
      </c>
      <c r="C108" s="68" t="s">
        <v>640</v>
      </c>
      <c r="D108" s="92">
        <f>D107*29.99</f>
        <v>449.84999999999997</v>
      </c>
      <c r="E108" s="61">
        <f aca="true" t="shared" si="4" ref="E108:E113">E101</f>
        <v>5.948462518329764</v>
      </c>
      <c r="F108" s="65">
        <f t="shared" si="3"/>
        <v>2675.915863870644</v>
      </c>
      <c r="G108" s="5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C108" s="9"/>
      <c r="DD108" s="9"/>
      <c r="DE108" s="9"/>
      <c r="DF108" s="9"/>
      <c r="DG108" s="9"/>
      <c r="DH108" s="9"/>
      <c r="DI108" s="9"/>
      <c r="DJ108" s="9"/>
      <c r="DK108" s="9"/>
      <c r="DL108" s="9"/>
      <c r="DM108" s="9"/>
      <c r="DN108" s="9"/>
      <c r="DO108" s="9"/>
      <c r="DP108" s="9"/>
      <c r="DQ108" s="9"/>
      <c r="DR108" s="9"/>
      <c r="DS108" s="9"/>
      <c r="DT108" s="9"/>
      <c r="DU108" s="9"/>
      <c r="DV108" s="9"/>
      <c r="DW108" s="9"/>
      <c r="DX108" s="9"/>
      <c r="DY108" s="9"/>
      <c r="DZ108" s="9"/>
      <c r="EA108" s="9"/>
      <c r="EB108" s="9"/>
      <c r="EC108" s="9"/>
      <c r="ED108" s="9"/>
      <c r="EE108" s="9"/>
      <c r="EF108" s="9"/>
      <c r="EG108" s="9"/>
      <c r="EH108" s="9"/>
      <c r="EI108" s="9"/>
      <c r="EJ108" s="9"/>
      <c r="EK108" s="9"/>
      <c r="EL108" s="9"/>
      <c r="EM108" s="9"/>
      <c r="EN108" s="9"/>
      <c r="EO108" s="9"/>
      <c r="EP108" s="9"/>
      <c r="EQ108" s="9"/>
      <c r="ER108" s="9"/>
      <c r="ES108" s="9"/>
      <c r="ET108" s="9"/>
      <c r="EU108" s="9"/>
      <c r="EV108" s="9"/>
      <c r="EW108" s="9"/>
      <c r="EX108" s="9"/>
      <c r="EY108" s="9"/>
      <c r="EZ108" s="9"/>
      <c r="FA108" s="9"/>
      <c r="FB108" s="9"/>
      <c r="FC108" s="9"/>
      <c r="FD108" s="9"/>
      <c r="FE108" s="9"/>
      <c r="FF108" s="9"/>
      <c r="FG108" s="9"/>
      <c r="FH108" s="9"/>
      <c r="FI108" s="9"/>
      <c r="FJ108" s="9"/>
      <c r="FK108" s="9"/>
      <c r="FL108" s="9"/>
      <c r="FM108" s="9"/>
      <c r="FN108" s="9"/>
      <c r="FO108" s="9"/>
      <c r="FP108" s="9"/>
      <c r="FQ108" s="9"/>
      <c r="FR108" s="9"/>
      <c r="FS108" s="9"/>
      <c r="FT108" s="9"/>
      <c r="FU108" s="9"/>
      <c r="FV108" s="9"/>
      <c r="FW108" s="9"/>
      <c r="FX108" s="9"/>
      <c r="FY108" s="9"/>
    </row>
    <row r="109" spans="1:181" s="8" customFormat="1" ht="15" customHeight="1">
      <c r="A109" s="77"/>
      <c r="B109" s="88" t="s">
        <v>48</v>
      </c>
      <c r="C109" s="68" t="s">
        <v>640</v>
      </c>
      <c r="D109" s="92">
        <f>D107*12.71</f>
        <v>190.65</v>
      </c>
      <c r="E109" s="61">
        <f t="shared" si="4"/>
        <v>22.087821666441833</v>
      </c>
      <c r="F109" s="65">
        <f t="shared" si="3"/>
        <v>4211.043200707136</v>
      </c>
      <c r="G109" s="5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C109" s="9"/>
      <c r="DD109" s="9"/>
      <c r="DE109" s="9"/>
      <c r="DF109" s="9"/>
      <c r="DG109" s="9"/>
      <c r="DH109" s="9"/>
      <c r="DI109" s="9"/>
      <c r="DJ109" s="9"/>
      <c r="DK109" s="9"/>
      <c r="DL109" s="9"/>
      <c r="DM109" s="9"/>
      <c r="DN109" s="9"/>
      <c r="DO109" s="9"/>
      <c r="DP109" s="9"/>
      <c r="DQ109" s="9"/>
      <c r="DR109" s="9"/>
      <c r="DS109" s="9"/>
      <c r="DT109" s="9"/>
      <c r="DU109" s="9"/>
      <c r="DV109" s="9"/>
      <c r="DW109" s="9"/>
      <c r="DX109" s="9"/>
      <c r="DY109" s="9"/>
      <c r="DZ109" s="9"/>
      <c r="EA109" s="9"/>
      <c r="EB109" s="9"/>
      <c r="EC109" s="9"/>
      <c r="ED109" s="9"/>
      <c r="EE109" s="9"/>
      <c r="EF109" s="9"/>
      <c r="EG109" s="9"/>
      <c r="EH109" s="9"/>
      <c r="EI109" s="9"/>
      <c r="EJ109" s="9"/>
      <c r="EK109" s="9"/>
      <c r="EL109" s="9"/>
      <c r="EM109" s="9"/>
      <c r="EN109" s="9"/>
      <c r="EO109" s="9"/>
      <c r="EP109" s="9"/>
      <c r="EQ109" s="9"/>
      <c r="ER109" s="9"/>
      <c r="ES109" s="9"/>
      <c r="ET109" s="9"/>
      <c r="EU109" s="9"/>
      <c r="EV109" s="9"/>
      <c r="EW109" s="9"/>
      <c r="EX109" s="9"/>
      <c r="EY109" s="9"/>
      <c r="EZ109" s="9"/>
      <c r="FA109" s="9"/>
      <c r="FB109" s="9"/>
      <c r="FC109" s="9"/>
      <c r="FD109" s="9"/>
      <c r="FE109" s="9"/>
      <c r="FF109" s="9"/>
      <c r="FG109" s="9"/>
      <c r="FH109" s="9"/>
      <c r="FI109" s="9"/>
      <c r="FJ109" s="9"/>
      <c r="FK109" s="9"/>
      <c r="FL109" s="9"/>
      <c r="FM109" s="9"/>
      <c r="FN109" s="9"/>
      <c r="FO109" s="9"/>
      <c r="FP109" s="9"/>
      <c r="FQ109" s="9"/>
      <c r="FR109" s="9"/>
      <c r="FS109" s="9"/>
      <c r="FT109" s="9"/>
      <c r="FU109" s="9"/>
      <c r="FV109" s="9"/>
      <c r="FW109" s="9"/>
      <c r="FX109" s="9"/>
      <c r="FY109" s="9"/>
    </row>
    <row r="110" spans="1:226" s="6" customFormat="1" ht="15" customHeight="1">
      <c r="A110" s="77"/>
      <c r="B110" s="90" t="s">
        <v>664</v>
      </c>
      <c r="C110" s="68" t="s">
        <v>640</v>
      </c>
      <c r="D110" s="92">
        <f>D107*1.62</f>
        <v>24.3</v>
      </c>
      <c r="E110" s="61">
        <f t="shared" si="4"/>
        <v>898.4456685651555</v>
      </c>
      <c r="F110" s="65">
        <f t="shared" si="3"/>
        <v>21832.22974613328</v>
      </c>
      <c r="G110" s="5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C110" s="9"/>
      <c r="DD110" s="9"/>
      <c r="DE110" s="9"/>
      <c r="DF110" s="9"/>
      <c r="DG110" s="9"/>
      <c r="DH110" s="9"/>
      <c r="DI110" s="9"/>
      <c r="DJ110" s="9"/>
      <c r="DK110" s="9"/>
      <c r="DL110" s="9"/>
      <c r="DM110" s="9"/>
      <c r="DN110" s="9"/>
      <c r="DO110" s="9"/>
      <c r="DP110" s="9"/>
      <c r="DQ110" s="9"/>
      <c r="DR110" s="9"/>
      <c r="DS110" s="9"/>
      <c r="DT110" s="9"/>
      <c r="DU110" s="9"/>
      <c r="DV110" s="9"/>
      <c r="DW110" s="9"/>
      <c r="DX110" s="9"/>
      <c r="DY110" s="9"/>
      <c r="DZ110" s="9"/>
      <c r="EA110" s="9"/>
      <c r="EB110" s="9"/>
      <c r="EC110" s="9"/>
      <c r="ED110" s="9"/>
      <c r="EE110" s="9"/>
      <c r="EF110" s="9"/>
      <c r="EG110" s="9"/>
      <c r="EH110" s="9"/>
      <c r="EI110" s="9"/>
      <c r="EJ110" s="9"/>
      <c r="EK110" s="9"/>
      <c r="EL110" s="9"/>
      <c r="EM110" s="9"/>
      <c r="EN110" s="9"/>
      <c r="EO110" s="9"/>
      <c r="EP110" s="9"/>
      <c r="EQ110" s="9"/>
      <c r="ER110" s="9"/>
      <c r="ES110" s="9"/>
      <c r="ET110" s="9"/>
      <c r="EU110" s="9"/>
      <c r="EV110" s="9"/>
      <c r="EW110" s="9"/>
      <c r="EX110" s="9"/>
      <c r="EY110" s="9"/>
      <c r="EZ110" s="9"/>
      <c r="FA110" s="9"/>
      <c r="FB110" s="9"/>
      <c r="FC110" s="9"/>
      <c r="FD110" s="9"/>
      <c r="FE110" s="9"/>
      <c r="FF110" s="9"/>
      <c r="FG110" s="9"/>
      <c r="FH110" s="9"/>
      <c r="FI110" s="9"/>
      <c r="FJ110" s="9"/>
      <c r="FK110" s="9"/>
      <c r="FL110" s="9"/>
      <c r="FM110" s="9"/>
      <c r="FN110" s="9"/>
      <c r="FO110" s="9"/>
      <c r="FP110" s="9"/>
      <c r="FQ110" s="9"/>
      <c r="FR110" s="9"/>
      <c r="FS110" s="9"/>
      <c r="FT110" s="9"/>
      <c r="FU110" s="9"/>
      <c r="FV110" s="9"/>
      <c r="FW110" s="9"/>
      <c r="FX110" s="9"/>
      <c r="FY110" s="9"/>
      <c r="FZ110" s="9"/>
      <c r="GA110" s="9"/>
      <c r="GB110" s="9"/>
      <c r="GC110" s="9"/>
      <c r="GD110" s="9"/>
      <c r="GE110" s="9"/>
      <c r="GF110" s="9"/>
      <c r="GG110" s="9"/>
      <c r="GH110" s="9"/>
      <c r="GI110" s="9"/>
      <c r="GJ110" s="9"/>
      <c r="GK110" s="9"/>
      <c r="GL110" s="9"/>
      <c r="GM110" s="9"/>
      <c r="GN110" s="9"/>
      <c r="GO110" s="9"/>
      <c r="GP110" s="9"/>
      <c r="GQ110" s="9"/>
      <c r="GR110" s="9"/>
      <c r="GS110" s="9"/>
      <c r="GT110" s="9"/>
      <c r="GU110" s="9"/>
      <c r="GV110" s="9"/>
      <c r="GW110" s="9"/>
      <c r="GX110" s="9"/>
      <c r="GY110" s="9"/>
      <c r="GZ110" s="9"/>
      <c r="HA110" s="9"/>
      <c r="HB110" s="9"/>
      <c r="HC110" s="9"/>
      <c r="HD110" s="9"/>
      <c r="HE110" s="9"/>
      <c r="HF110" s="9"/>
      <c r="HG110" s="9"/>
      <c r="HH110" s="9"/>
      <c r="HI110" s="9"/>
      <c r="HJ110" s="9"/>
      <c r="HK110" s="9"/>
      <c r="HL110" s="9"/>
      <c r="HM110" s="9"/>
      <c r="HN110" s="9"/>
      <c r="HO110" s="9"/>
      <c r="HP110" s="9"/>
      <c r="HQ110" s="9"/>
      <c r="HR110" s="9"/>
    </row>
    <row r="111" spans="1:226" s="6" customFormat="1" ht="15" customHeight="1">
      <c r="A111" s="77"/>
      <c r="B111" s="88" t="s">
        <v>116</v>
      </c>
      <c r="C111" s="68" t="s">
        <v>640</v>
      </c>
      <c r="D111" s="92">
        <f>D107*6.46</f>
        <v>96.9</v>
      </c>
      <c r="E111" s="61">
        <f t="shared" si="4"/>
        <v>319.6728143876425</v>
      </c>
      <c r="F111" s="65">
        <f t="shared" si="3"/>
        <v>30976.295714162563</v>
      </c>
      <c r="G111" s="5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D111" s="9"/>
      <c r="DE111" s="9"/>
      <c r="DF111" s="9"/>
      <c r="DG111" s="9"/>
      <c r="DH111" s="9"/>
      <c r="DI111" s="9"/>
      <c r="DJ111" s="9"/>
      <c r="DK111" s="9"/>
      <c r="DL111" s="9"/>
      <c r="DM111" s="9"/>
      <c r="DN111" s="9"/>
      <c r="DO111" s="9"/>
      <c r="DP111" s="9"/>
      <c r="DQ111" s="9"/>
      <c r="DR111" s="9"/>
      <c r="DS111" s="9"/>
      <c r="DT111" s="9"/>
      <c r="DU111" s="9"/>
      <c r="DV111" s="9"/>
      <c r="DW111" s="9"/>
      <c r="DX111" s="9"/>
      <c r="DY111" s="9"/>
      <c r="DZ111" s="9"/>
      <c r="EA111" s="9"/>
      <c r="EB111" s="9"/>
      <c r="EC111" s="9"/>
      <c r="ED111" s="9"/>
      <c r="EE111" s="9"/>
      <c r="EF111" s="9"/>
      <c r="EG111" s="9"/>
      <c r="EH111" s="9"/>
      <c r="EI111" s="9"/>
      <c r="EJ111" s="9"/>
      <c r="EK111" s="9"/>
      <c r="EL111" s="9"/>
      <c r="EM111" s="9"/>
      <c r="EN111" s="9"/>
      <c r="EO111" s="9"/>
      <c r="EP111" s="9"/>
      <c r="EQ111" s="9"/>
      <c r="ER111" s="9"/>
      <c r="ES111" s="9"/>
      <c r="ET111" s="9"/>
      <c r="EU111" s="9"/>
      <c r="EV111" s="9"/>
      <c r="EW111" s="9"/>
      <c r="EX111" s="9"/>
      <c r="EY111" s="9"/>
      <c r="EZ111" s="9"/>
      <c r="FA111" s="9"/>
      <c r="FB111" s="9"/>
      <c r="FC111" s="9"/>
      <c r="FD111" s="9"/>
      <c r="FE111" s="9"/>
      <c r="FF111" s="9"/>
      <c r="FG111" s="9"/>
      <c r="FH111" s="9"/>
      <c r="FI111" s="9"/>
      <c r="FJ111" s="9"/>
      <c r="FK111" s="9"/>
      <c r="FL111" s="9"/>
      <c r="FM111" s="9"/>
      <c r="FN111" s="9"/>
      <c r="FO111" s="9"/>
      <c r="FP111" s="9"/>
      <c r="FQ111" s="9"/>
      <c r="FR111" s="9"/>
      <c r="FS111" s="9"/>
      <c r="FT111" s="9"/>
      <c r="FU111" s="9"/>
      <c r="FV111" s="9"/>
      <c r="FW111" s="9"/>
      <c r="FX111" s="9"/>
      <c r="FY111" s="9"/>
      <c r="FZ111" s="9"/>
      <c r="GA111" s="9"/>
      <c r="GB111" s="9"/>
      <c r="GC111" s="9"/>
      <c r="GD111" s="9"/>
      <c r="GE111" s="9"/>
      <c r="GF111" s="9"/>
      <c r="GG111" s="9"/>
      <c r="GH111" s="9"/>
      <c r="GI111" s="9"/>
      <c r="GJ111" s="9"/>
      <c r="GK111" s="9"/>
      <c r="GL111" s="9"/>
      <c r="GM111" s="9"/>
      <c r="GN111" s="9"/>
      <c r="GO111" s="9"/>
      <c r="GP111" s="9"/>
      <c r="GQ111" s="9"/>
      <c r="GR111" s="9"/>
      <c r="GS111" s="9"/>
      <c r="GT111" s="9"/>
      <c r="GU111" s="9"/>
      <c r="GV111" s="9"/>
      <c r="GW111" s="9"/>
      <c r="GX111" s="9"/>
      <c r="GY111" s="9"/>
      <c r="GZ111" s="9"/>
      <c r="HA111" s="9"/>
      <c r="HB111" s="9"/>
      <c r="HC111" s="9"/>
      <c r="HD111" s="9"/>
      <c r="HE111" s="9"/>
      <c r="HF111" s="9"/>
      <c r="HG111" s="9"/>
      <c r="HH111" s="9"/>
      <c r="HI111" s="9"/>
      <c r="HJ111" s="9"/>
      <c r="HK111" s="9"/>
      <c r="HL111" s="9"/>
      <c r="HM111" s="9"/>
      <c r="HN111" s="9"/>
      <c r="HO111" s="9"/>
      <c r="HP111" s="9"/>
      <c r="HQ111" s="9"/>
      <c r="HR111" s="9"/>
    </row>
    <row r="112" spans="1:226" s="6" customFormat="1" ht="15" customHeight="1">
      <c r="A112" s="77"/>
      <c r="B112" s="88" t="s">
        <v>86</v>
      </c>
      <c r="C112" s="91" t="s">
        <v>77</v>
      </c>
      <c r="D112" s="92">
        <f>(D107*193)/1000</f>
        <v>2.895</v>
      </c>
      <c r="E112" s="61">
        <f t="shared" si="4"/>
        <v>6942.524506132902</v>
      </c>
      <c r="F112" s="65">
        <f t="shared" si="3"/>
        <v>20098.60844525475</v>
      </c>
      <c r="G112" s="5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  <c r="DC112" s="9"/>
      <c r="DD112" s="9"/>
      <c r="DE112" s="9"/>
      <c r="DF112" s="9"/>
      <c r="DG112" s="9"/>
      <c r="DH112" s="9"/>
      <c r="DI112" s="9"/>
      <c r="DJ112" s="9"/>
      <c r="DK112" s="9"/>
      <c r="DL112" s="9"/>
      <c r="DM112" s="9"/>
      <c r="DN112" s="9"/>
      <c r="DO112" s="9"/>
      <c r="DP112" s="9"/>
      <c r="DQ112" s="9"/>
      <c r="DR112" s="9"/>
      <c r="DS112" s="9"/>
      <c r="DT112" s="9"/>
      <c r="DU112" s="9"/>
      <c r="DV112" s="9"/>
      <c r="DW112" s="9"/>
      <c r="DX112" s="9"/>
      <c r="DY112" s="9"/>
      <c r="DZ112" s="9"/>
      <c r="EA112" s="9"/>
      <c r="EB112" s="9"/>
      <c r="EC112" s="9"/>
      <c r="ED112" s="9"/>
      <c r="EE112" s="9"/>
      <c r="EF112" s="9"/>
      <c r="EG112" s="9"/>
      <c r="EH112" s="9"/>
      <c r="EI112" s="9"/>
      <c r="EJ112" s="9"/>
      <c r="EK112" s="9"/>
      <c r="EL112" s="9"/>
      <c r="EM112" s="9"/>
      <c r="EN112" s="9"/>
      <c r="EO112" s="9"/>
      <c r="EP112" s="9"/>
      <c r="EQ112" s="9"/>
      <c r="ER112" s="9"/>
      <c r="ES112" s="9"/>
      <c r="ET112" s="9"/>
      <c r="EU112" s="9"/>
      <c r="EV112" s="9"/>
      <c r="EW112" s="9"/>
      <c r="EX112" s="9"/>
      <c r="EY112" s="9"/>
      <c r="EZ112" s="9"/>
      <c r="FA112" s="9"/>
      <c r="FB112" s="9"/>
      <c r="FC112" s="9"/>
      <c r="FD112" s="9"/>
      <c r="FE112" s="9"/>
      <c r="FF112" s="9"/>
      <c r="FG112" s="9"/>
      <c r="FH112" s="9"/>
      <c r="FI112" s="9"/>
      <c r="FJ112" s="9"/>
      <c r="FK112" s="9"/>
      <c r="FL112" s="9"/>
      <c r="FM112" s="9"/>
      <c r="FN112" s="9"/>
      <c r="FO112" s="9"/>
      <c r="FP112" s="9"/>
      <c r="FQ112" s="9"/>
      <c r="FR112" s="9"/>
      <c r="FS112" s="9"/>
      <c r="FT112" s="9"/>
      <c r="FU112" s="9"/>
      <c r="FV112" s="9"/>
      <c r="FW112" s="9"/>
      <c r="FX112" s="9"/>
      <c r="FY112" s="9"/>
      <c r="FZ112" s="9"/>
      <c r="GA112" s="9"/>
      <c r="GB112" s="9"/>
      <c r="GC112" s="9"/>
      <c r="GD112" s="9"/>
      <c r="GE112" s="9"/>
      <c r="GF112" s="9"/>
      <c r="GG112" s="9"/>
      <c r="GH112" s="9"/>
      <c r="GI112" s="9"/>
      <c r="GJ112" s="9"/>
      <c r="GK112" s="9"/>
      <c r="GL112" s="9"/>
      <c r="GM112" s="9"/>
      <c r="GN112" s="9"/>
      <c r="GO112" s="9"/>
      <c r="GP112" s="9"/>
      <c r="GQ112" s="9"/>
      <c r="GR112" s="9"/>
      <c r="GS112" s="9"/>
      <c r="GT112" s="9"/>
      <c r="GU112" s="9"/>
      <c r="GV112" s="9"/>
      <c r="GW112" s="9"/>
      <c r="GX112" s="9"/>
      <c r="GY112" s="9"/>
      <c r="GZ112" s="9"/>
      <c r="HA112" s="9"/>
      <c r="HB112" s="9"/>
      <c r="HC112" s="9"/>
      <c r="HD112" s="9"/>
      <c r="HE112" s="9"/>
      <c r="HF112" s="9"/>
      <c r="HG112" s="9"/>
      <c r="HH112" s="9"/>
      <c r="HI112" s="9"/>
      <c r="HJ112" s="9"/>
      <c r="HK112" s="9"/>
      <c r="HL112" s="9"/>
      <c r="HM112" s="9"/>
      <c r="HN112" s="9"/>
      <c r="HO112" s="9"/>
      <c r="HP112" s="9"/>
      <c r="HQ112" s="9"/>
      <c r="HR112" s="9"/>
    </row>
    <row r="113" spans="1:226" s="6" customFormat="1" ht="15" customHeight="1">
      <c r="A113" s="77"/>
      <c r="B113" s="88" t="s">
        <v>123</v>
      </c>
      <c r="C113" s="68" t="s">
        <v>640</v>
      </c>
      <c r="D113" s="92">
        <f>D107*0.97</f>
        <v>14.549999999999999</v>
      </c>
      <c r="E113" s="61">
        <f t="shared" si="4"/>
        <v>353.5823907528219</v>
      </c>
      <c r="F113" s="65">
        <f t="shared" si="3"/>
        <v>5144.623785453558</v>
      </c>
      <c r="G113" s="5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9"/>
      <c r="DV113" s="9"/>
      <c r="DW113" s="9"/>
      <c r="DX113" s="9"/>
      <c r="DY113" s="9"/>
      <c r="DZ113" s="9"/>
      <c r="EA113" s="9"/>
      <c r="EB113" s="9"/>
      <c r="EC113" s="9"/>
      <c r="ED113" s="9"/>
      <c r="EE113" s="9"/>
      <c r="EF113" s="9"/>
      <c r="EG113" s="9"/>
      <c r="EH113" s="9"/>
      <c r="EI113" s="9"/>
      <c r="EJ113" s="9"/>
      <c r="EK113" s="9"/>
      <c r="EL113" s="9"/>
      <c r="EM113" s="9"/>
      <c r="EN113" s="9"/>
      <c r="EO113" s="9"/>
      <c r="EP113" s="9"/>
      <c r="EQ113" s="9"/>
      <c r="ER113" s="9"/>
      <c r="ES113" s="9"/>
      <c r="ET113" s="9"/>
      <c r="EU113" s="9"/>
      <c r="EV113" s="9"/>
      <c r="EW113" s="9"/>
      <c r="EX113" s="9"/>
      <c r="EY113" s="9"/>
      <c r="EZ113" s="9"/>
      <c r="FA113" s="9"/>
      <c r="FB113" s="9"/>
      <c r="FC113" s="9"/>
      <c r="FD113" s="9"/>
      <c r="FE113" s="9"/>
      <c r="FF113" s="9"/>
      <c r="FG113" s="9"/>
      <c r="FH113" s="9"/>
      <c r="FI113" s="9"/>
      <c r="FJ113" s="9"/>
      <c r="FK113" s="9"/>
      <c r="FL113" s="9"/>
      <c r="FM113" s="9"/>
      <c r="FN113" s="9"/>
      <c r="FO113" s="9"/>
      <c r="FP113" s="9"/>
      <c r="FQ113" s="9"/>
      <c r="FR113" s="9"/>
      <c r="FS113" s="9"/>
      <c r="FT113" s="9"/>
      <c r="FU113" s="9"/>
      <c r="FV113" s="9"/>
      <c r="FW113" s="9"/>
      <c r="FX113" s="9"/>
      <c r="FY113" s="9"/>
      <c r="FZ113" s="9"/>
      <c r="GA113" s="9"/>
      <c r="GB113" s="9"/>
      <c r="GC113" s="9"/>
      <c r="GD113" s="9"/>
      <c r="GE113" s="9"/>
      <c r="GF113" s="9"/>
      <c r="GG113" s="9"/>
      <c r="GH113" s="9"/>
      <c r="GI113" s="9"/>
      <c r="GJ113" s="9"/>
      <c r="GK113" s="9"/>
      <c r="GL113" s="9"/>
      <c r="GM113" s="9"/>
      <c r="GN113" s="9"/>
      <c r="GO113" s="9"/>
      <c r="GP113" s="9"/>
      <c r="GQ113" s="9"/>
      <c r="GR113" s="9"/>
      <c r="GS113" s="9"/>
      <c r="GT113" s="9"/>
      <c r="GU113" s="9"/>
      <c r="GV113" s="9"/>
      <c r="GW113" s="9"/>
      <c r="GX113" s="9"/>
      <c r="GY113" s="9"/>
      <c r="GZ113" s="9"/>
      <c r="HA113" s="9"/>
      <c r="HB113" s="9"/>
      <c r="HC113" s="9"/>
      <c r="HD113" s="9"/>
      <c r="HE113" s="9"/>
      <c r="HF113" s="9"/>
      <c r="HG113" s="9"/>
      <c r="HH113" s="9"/>
      <c r="HI113" s="9"/>
      <c r="HJ113" s="9"/>
      <c r="HK113" s="9"/>
      <c r="HL113" s="9"/>
      <c r="HM113" s="9"/>
      <c r="HN113" s="9"/>
      <c r="HO113" s="9"/>
      <c r="HP113" s="9"/>
      <c r="HQ113" s="9"/>
      <c r="HR113" s="9"/>
    </row>
    <row r="114" spans="1:226" s="6" customFormat="1" ht="15" customHeight="1">
      <c r="A114" s="77">
        <v>5</v>
      </c>
      <c r="B114" s="88" t="s">
        <v>666</v>
      </c>
      <c r="C114" s="68" t="s">
        <v>65</v>
      </c>
      <c r="D114" s="93">
        <v>1</v>
      </c>
      <c r="E114" s="61"/>
      <c r="F114" s="65">
        <f>SUM(F115:F120)</f>
        <v>5154.217816191017</v>
      </c>
      <c r="G114" s="5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9"/>
      <c r="DV114" s="9"/>
      <c r="DW114" s="9"/>
      <c r="DX114" s="9"/>
      <c r="DY114" s="9"/>
      <c r="DZ114" s="9"/>
      <c r="EA114" s="9"/>
      <c r="EB114" s="9"/>
      <c r="EC114" s="9"/>
      <c r="ED114" s="9"/>
      <c r="EE114" s="9"/>
      <c r="EF114" s="9"/>
      <c r="EG114" s="9"/>
      <c r="EH114" s="9"/>
      <c r="EI114" s="9"/>
      <c r="EJ114" s="9"/>
      <c r="EK114" s="9"/>
      <c r="EL114" s="9"/>
      <c r="EM114" s="9"/>
      <c r="EN114" s="9"/>
      <c r="EO114" s="9"/>
      <c r="EP114" s="9"/>
      <c r="EQ114" s="9"/>
      <c r="ER114" s="9"/>
      <c r="ES114" s="9"/>
      <c r="ET114" s="9"/>
      <c r="EU114" s="9"/>
      <c r="EV114" s="9"/>
      <c r="EW114" s="9"/>
      <c r="EX114" s="9"/>
      <c r="EY114" s="9"/>
      <c r="EZ114" s="9"/>
      <c r="FA114" s="9"/>
      <c r="FB114" s="9"/>
      <c r="FC114" s="9"/>
      <c r="FD114" s="9"/>
      <c r="FE114" s="9"/>
      <c r="FF114" s="9"/>
      <c r="FG114" s="9"/>
      <c r="FH114" s="9"/>
      <c r="FI114" s="9"/>
      <c r="FJ114" s="9"/>
      <c r="FK114" s="9"/>
      <c r="FL114" s="9"/>
      <c r="FM114" s="9"/>
      <c r="FN114" s="9"/>
      <c r="FO114" s="9"/>
      <c r="FP114" s="9"/>
      <c r="FQ114" s="9"/>
      <c r="FR114" s="9"/>
      <c r="FS114" s="9"/>
      <c r="FT114" s="9"/>
      <c r="FU114" s="9"/>
      <c r="FV114" s="9"/>
      <c r="FW114" s="9"/>
      <c r="FX114" s="9"/>
      <c r="FY114" s="9"/>
      <c r="FZ114" s="9"/>
      <c r="GA114" s="9"/>
      <c r="GB114" s="9"/>
      <c r="GC114" s="9"/>
      <c r="GD114" s="9"/>
      <c r="GE114" s="9"/>
      <c r="GF114" s="9"/>
      <c r="GG114" s="9"/>
      <c r="GH114" s="9"/>
      <c r="GI114" s="9"/>
      <c r="GJ114" s="9"/>
      <c r="GK114" s="9"/>
      <c r="GL114" s="9"/>
      <c r="GM114" s="9"/>
      <c r="GN114" s="9"/>
      <c r="GO114" s="9"/>
      <c r="GP114" s="9"/>
      <c r="GQ114" s="9"/>
      <c r="GR114" s="9"/>
      <c r="GS114" s="9"/>
      <c r="GT114" s="9"/>
      <c r="GU114" s="9"/>
      <c r="GV114" s="9"/>
      <c r="GW114" s="9"/>
      <c r="GX114" s="9"/>
      <c r="GY114" s="9"/>
      <c r="GZ114" s="9"/>
      <c r="HA114" s="9"/>
      <c r="HB114" s="9"/>
      <c r="HC114" s="9"/>
      <c r="HD114" s="9"/>
      <c r="HE114" s="9"/>
      <c r="HF114" s="9"/>
      <c r="HG114" s="9"/>
      <c r="HH114" s="9"/>
      <c r="HI114" s="9"/>
      <c r="HJ114" s="9"/>
      <c r="HK114" s="9"/>
      <c r="HL114" s="9"/>
      <c r="HM114" s="9"/>
      <c r="HN114" s="9"/>
      <c r="HO114" s="9"/>
      <c r="HP114" s="9"/>
      <c r="HQ114" s="9"/>
      <c r="HR114" s="9"/>
    </row>
    <row r="115" spans="1:226" s="6" customFormat="1" ht="15" customHeight="1">
      <c r="A115" s="77"/>
      <c r="B115" s="88" t="s">
        <v>46</v>
      </c>
      <c r="C115" s="91" t="s">
        <v>640</v>
      </c>
      <c r="D115" s="58">
        <f>D114*7.71</f>
        <v>7.71</v>
      </c>
      <c r="E115" s="61">
        <f>E108</f>
        <v>5.948462518329764</v>
      </c>
      <c r="F115" s="65">
        <f>D115*E115</f>
        <v>45.86264601632248</v>
      </c>
      <c r="G115" s="5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C115" s="9"/>
      <c r="DD115" s="9"/>
      <c r="DE115" s="9"/>
      <c r="DF115" s="9"/>
      <c r="DG115" s="9"/>
      <c r="DH115" s="9"/>
      <c r="DI115" s="9"/>
      <c r="DJ115" s="9"/>
      <c r="DK115" s="9"/>
      <c r="DL115" s="9"/>
      <c r="DM115" s="9"/>
      <c r="DN115" s="9"/>
      <c r="DO115" s="9"/>
      <c r="DP115" s="9"/>
      <c r="DQ115" s="9"/>
      <c r="DR115" s="9"/>
      <c r="DS115" s="9"/>
      <c r="DT115" s="9"/>
      <c r="DU115" s="9"/>
      <c r="DV115" s="9"/>
      <c r="DW115" s="9"/>
      <c r="DX115" s="9"/>
      <c r="DY115" s="9"/>
      <c r="DZ115" s="9"/>
      <c r="EA115" s="9"/>
      <c r="EB115" s="9"/>
      <c r="EC115" s="9"/>
      <c r="ED115" s="9"/>
      <c r="EE115" s="9"/>
      <c r="EF115" s="9"/>
      <c r="EG115" s="9"/>
      <c r="EH115" s="9"/>
      <c r="EI115" s="9"/>
      <c r="EJ115" s="9"/>
      <c r="EK115" s="9"/>
      <c r="EL115" s="9"/>
      <c r="EM115" s="9"/>
      <c r="EN115" s="9"/>
      <c r="EO115" s="9"/>
      <c r="EP115" s="9"/>
      <c r="EQ115" s="9"/>
      <c r="ER115" s="9"/>
      <c r="ES115" s="9"/>
      <c r="ET115" s="9"/>
      <c r="EU115" s="9"/>
      <c r="EV115" s="9"/>
      <c r="EW115" s="9"/>
      <c r="EX115" s="9"/>
      <c r="EY115" s="9"/>
      <c r="EZ115" s="9"/>
      <c r="FA115" s="9"/>
      <c r="FB115" s="9"/>
      <c r="FC115" s="9"/>
      <c r="FD115" s="9"/>
      <c r="FE115" s="9"/>
      <c r="FF115" s="9"/>
      <c r="FG115" s="9"/>
      <c r="FH115" s="9"/>
      <c r="FI115" s="9"/>
      <c r="FJ115" s="9"/>
      <c r="FK115" s="9"/>
      <c r="FL115" s="9"/>
      <c r="FM115" s="9"/>
      <c r="FN115" s="9"/>
      <c r="FO115" s="9"/>
      <c r="FP115" s="9"/>
      <c r="FQ115" s="9"/>
      <c r="FR115" s="9"/>
      <c r="FS115" s="9"/>
      <c r="FT115" s="9"/>
      <c r="FU115" s="9"/>
      <c r="FV115" s="9"/>
      <c r="FW115" s="9"/>
      <c r="FX115" s="9"/>
      <c r="FY115" s="9"/>
      <c r="FZ115" s="9"/>
      <c r="GA115" s="9"/>
      <c r="GB115" s="9"/>
      <c r="GC115" s="9"/>
      <c r="GD115" s="9"/>
      <c r="GE115" s="9"/>
      <c r="GF115" s="9"/>
      <c r="GG115" s="9"/>
      <c r="GH115" s="9"/>
      <c r="GI115" s="9"/>
      <c r="GJ115" s="9"/>
      <c r="GK115" s="9"/>
      <c r="GL115" s="9"/>
      <c r="GM115" s="9"/>
      <c r="GN115" s="9"/>
      <c r="GO115" s="9"/>
      <c r="GP115" s="9"/>
      <c r="GQ115" s="9"/>
      <c r="GR115" s="9"/>
      <c r="GS115" s="9"/>
      <c r="GT115" s="9"/>
      <c r="GU115" s="9"/>
      <c r="GV115" s="9"/>
      <c r="GW115" s="9"/>
      <c r="GX115" s="9"/>
      <c r="GY115" s="9"/>
      <c r="GZ115" s="9"/>
      <c r="HA115" s="9"/>
      <c r="HB115" s="9"/>
      <c r="HC115" s="9"/>
      <c r="HD115" s="9"/>
      <c r="HE115" s="9"/>
      <c r="HF115" s="9"/>
      <c r="HG115" s="9"/>
      <c r="HH115" s="9"/>
      <c r="HI115" s="9"/>
      <c r="HJ115" s="9"/>
      <c r="HK115" s="9"/>
      <c r="HL115" s="9"/>
      <c r="HM115" s="9"/>
      <c r="HN115" s="9"/>
      <c r="HO115" s="9"/>
      <c r="HP115" s="9"/>
      <c r="HQ115" s="9"/>
      <c r="HR115" s="9"/>
    </row>
    <row r="116" spans="1:226" s="6" customFormat="1" ht="15" customHeight="1">
      <c r="A116" s="77"/>
      <c r="B116" s="88" t="s">
        <v>48</v>
      </c>
      <c r="C116" s="68" t="s">
        <v>640</v>
      </c>
      <c r="D116" s="89">
        <f>D114*4.81</f>
        <v>4.81</v>
      </c>
      <c r="E116" s="61">
        <f>E109</f>
        <v>22.087821666441833</v>
      </c>
      <c r="F116" s="65">
        <f t="shared" si="3"/>
        <v>106.24242221558521</v>
      </c>
      <c r="G116" s="5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C116" s="9"/>
      <c r="DD116" s="9"/>
      <c r="DE116" s="9"/>
      <c r="DF116" s="9"/>
      <c r="DG116" s="9"/>
      <c r="DH116" s="9"/>
      <c r="DI116" s="9"/>
      <c r="DJ116" s="9"/>
      <c r="DK116" s="9"/>
      <c r="DL116" s="9"/>
      <c r="DM116" s="9"/>
      <c r="DN116" s="9"/>
      <c r="DO116" s="9"/>
      <c r="DP116" s="9"/>
      <c r="DQ116" s="9"/>
      <c r="DR116" s="9"/>
      <c r="DS116" s="9"/>
      <c r="DT116" s="9"/>
      <c r="DU116" s="9"/>
      <c r="DV116" s="9"/>
      <c r="DW116" s="9"/>
      <c r="DX116" s="9"/>
      <c r="DY116" s="9"/>
      <c r="DZ116" s="9"/>
      <c r="EA116" s="9"/>
      <c r="EB116" s="9"/>
      <c r="EC116" s="9"/>
      <c r="ED116" s="9"/>
      <c r="EE116" s="9"/>
      <c r="EF116" s="9"/>
      <c r="EG116" s="9"/>
      <c r="EH116" s="9"/>
      <c r="EI116" s="9"/>
      <c r="EJ116" s="9"/>
      <c r="EK116" s="9"/>
      <c r="EL116" s="9"/>
      <c r="EM116" s="9"/>
      <c r="EN116" s="9"/>
      <c r="EO116" s="9"/>
      <c r="EP116" s="9"/>
      <c r="EQ116" s="9"/>
      <c r="ER116" s="9"/>
      <c r="ES116" s="9"/>
      <c r="ET116" s="9"/>
      <c r="EU116" s="9"/>
      <c r="EV116" s="9"/>
      <c r="EW116" s="9"/>
      <c r="EX116" s="9"/>
      <c r="EY116" s="9"/>
      <c r="EZ116" s="9"/>
      <c r="FA116" s="9"/>
      <c r="FB116" s="9"/>
      <c r="FC116" s="9"/>
      <c r="FD116" s="9"/>
      <c r="FE116" s="9"/>
      <c r="FF116" s="9"/>
      <c r="FG116" s="9"/>
      <c r="FH116" s="9"/>
      <c r="FI116" s="9"/>
      <c r="FJ116" s="9"/>
      <c r="FK116" s="9"/>
      <c r="FL116" s="9"/>
      <c r="FM116" s="9"/>
      <c r="FN116" s="9"/>
      <c r="FO116" s="9"/>
      <c r="FP116" s="9"/>
      <c r="FQ116" s="9"/>
      <c r="FR116" s="9"/>
      <c r="FS116" s="9"/>
      <c r="FT116" s="9"/>
      <c r="FU116" s="9"/>
      <c r="FV116" s="9"/>
      <c r="FW116" s="9"/>
      <c r="FX116" s="9"/>
      <c r="FY116" s="9"/>
      <c r="FZ116" s="9"/>
      <c r="GA116" s="9"/>
      <c r="GB116" s="9"/>
      <c r="GC116" s="9"/>
      <c r="GD116" s="9"/>
      <c r="GE116" s="9"/>
      <c r="GF116" s="9"/>
      <c r="GG116" s="9"/>
      <c r="GH116" s="9"/>
      <c r="GI116" s="9"/>
      <c r="GJ116" s="9"/>
      <c r="GK116" s="9"/>
      <c r="GL116" s="9"/>
      <c r="GM116" s="9"/>
      <c r="GN116" s="9"/>
      <c r="GO116" s="9"/>
      <c r="GP116" s="9"/>
      <c r="GQ116" s="9"/>
      <c r="GR116" s="9"/>
      <c r="GS116" s="9"/>
      <c r="GT116" s="9"/>
      <c r="GU116" s="9"/>
      <c r="GV116" s="9"/>
      <c r="GW116" s="9"/>
      <c r="GX116" s="9"/>
      <c r="GY116" s="9"/>
      <c r="GZ116" s="9"/>
      <c r="HA116" s="9"/>
      <c r="HB116" s="9"/>
      <c r="HC116" s="9"/>
      <c r="HD116" s="9"/>
      <c r="HE116" s="9"/>
      <c r="HF116" s="9"/>
      <c r="HG116" s="9"/>
      <c r="HH116" s="9"/>
      <c r="HI116" s="9"/>
      <c r="HJ116" s="9"/>
      <c r="HK116" s="9"/>
      <c r="HL116" s="9"/>
      <c r="HM116" s="9"/>
      <c r="HN116" s="9"/>
      <c r="HO116" s="9"/>
      <c r="HP116" s="9"/>
      <c r="HQ116" s="9"/>
      <c r="HR116" s="9"/>
    </row>
    <row r="117" spans="1:226" s="6" customFormat="1" ht="15" customHeight="1">
      <c r="A117" s="77"/>
      <c r="B117" s="78" t="s">
        <v>659</v>
      </c>
      <c r="C117" s="58" t="s">
        <v>640</v>
      </c>
      <c r="D117" s="61">
        <f>1.32*D114</f>
        <v>1.32</v>
      </c>
      <c r="E117" s="61">
        <f>E96</f>
        <v>492.3275388736576</v>
      </c>
      <c r="F117" s="65">
        <f t="shared" si="3"/>
        <v>649.872351313228</v>
      </c>
      <c r="G117" s="5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C117" s="9"/>
      <c r="DD117" s="9"/>
      <c r="DE117" s="9"/>
      <c r="DF117" s="9"/>
      <c r="DG117" s="9"/>
      <c r="DH117" s="9"/>
      <c r="DI117" s="9"/>
      <c r="DJ117" s="9"/>
      <c r="DK117" s="9"/>
      <c r="DL117" s="9"/>
      <c r="DM117" s="9"/>
      <c r="DN117" s="9"/>
      <c r="DO117" s="9"/>
      <c r="DP117" s="9"/>
      <c r="DQ117" s="9"/>
      <c r="DR117" s="9"/>
      <c r="DS117" s="9"/>
      <c r="DT117" s="9"/>
      <c r="DU117" s="9"/>
      <c r="DV117" s="9"/>
      <c r="DW117" s="9"/>
      <c r="DX117" s="9"/>
      <c r="DY117" s="9"/>
      <c r="DZ117" s="9"/>
      <c r="EA117" s="9"/>
      <c r="EB117" s="9"/>
      <c r="EC117" s="9"/>
      <c r="ED117" s="9"/>
      <c r="EE117" s="9"/>
      <c r="EF117" s="9"/>
      <c r="EG117" s="9"/>
      <c r="EH117" s="9"/>
      <c r="EI117" s="9"/>
      <c r="EJ117" s="9"/>
      <c r="EK117" s="9"/>
      <c r="EL117" s="9"/>
      <c r="EM117" s="9"/>
      <c r="EN117" s="9"/>
      <c r="EO117" s="9"/>
      <c r="EP117" s="9"/>
      <c r="EQ117" s="9"/>
      <c r="ER117" s="9"/>
      <c r="ES117" s="9"/>
      <c r="ET117" s="9"/>
      <c r="EU117" s="9"/>
      <c r="EV117" s="9"/>
      <c r="EW117" s="9"/>
      <c r="EX117" s="9"/>
      <c r="EY117" s="9"/>
      <c r="EZ117" s="9"/>
      <c r="FA117" s="9"/>
      <c r="FB117" s="9"/>
      <c r="FC117" s="9"/>
      <c r="FD117" s="9"/>
      <c r="FE117" s="9"/>
      <c r="FF117" s="9"/>
      <c r="FG117" s="9"/>
      <c r="FH117" s="9"/>
      <c r="FI117" s="9"/>
      <c r="FJ117" s="9"/>
      <c r="FK117" s="9"/>
      <c r="FL117" s="9"/>
      <c r="FM117" s="9"/>
      <c r="FN117" s="9"/>
      <c r="FO117" s="9"/>
      <c r="FP117" s="9"/>
      <c r="FQ117" s="9"/>
      <c r="FR117" s="9"/>
      <c r="FS117" s="9"/>
      <c r="FT117" s="9"/>
      <c r="FU117" s="9"/>
      <c r="FV117" s="9"/>
      <c r="FW117" s="9"/>
      <c r="FX117" s="9"/>
      <c r="FY117" s="9"/>
      <c r="FZ117" s="9"/>
      <c r="GA117" s="9"/>
      <c r="GB117" s="9"/>
      <c r="GC117" s="9"/>
      <c r="GD117" s="9"/>
      <c r="GE117" s="9"/>
      <c r="GF117" s="9"/>
      <c r="GG117" s="9"/>
      <c r="GH117" s="9"/>
      <c r="GI117" s="9"/>
      <c r="GJ117" s="9"/>
      <c r="GK117" s="9"/>
      <c r="GL117" s="9"/>
      <c r="GM117" s="9"/>
      <c r="GN117" s="9"/>
      <c r="GO117" s="9"/>
      <c r="GP117" s="9"/>
      <c r="GQ117" s="9"/>
      <c r="GR117" s="9"/>
      <c r="GS117" s="9"/>
      <c r="GT117" s="9"/>
      <c r="GU117" s="9"/>
      <c r="GV117" s="9"/>
      <c r="GW117" s="9"/>
      <c r="GX117" s="9"/>
      <c r="GY117" s="9"/>
      <c r="GZ117" s="9"/>
      <c r="HA117" s="9"/>
      <c r="HB117" s="9"/>
      <c r="HC117" s="9"/>
      <c r="HD117" s="9"/>
      <c r="HE117" s="9"/>
      <c r="HF117" s="9"/>
      <c r="HG117" s="9"/>
      <c r="HH117" s="9"/>
      <c r="HI117" s="9"/>
      <c r="HJ117" s="9"/>
      <c r="HK117" s="9"/>
      <c r="HL117" s="9"/>
      <c r="HM117" s="9"/>
      <c r="HN117" s="9"/>
      <c r="HO117" s="9"/>
      <c r="HP117" s="9"/>
      <c r="HQ117" s="9"/>
      <c r="HR117" s="9"/>
    </row>
    <row r="118" spans="1:226" s="6" customFormat="1" ht="15" customHeight="1">
      <c r="A118" s="75"/>
      <c r="B118" s="85" t="s">
        <v>662</v>
      </c>
      <c r="C118" s="38" t="s">
        <v>365</v>
      </c>
      <c r="D118" s="69">
        <f>D114*1.41</f>
        <v>1.41</v>
      </c>
      <c r="E118" s="40">
        <f>E97</f>
        <v>543.2907216410263</v>
      </c>
      <c r="F118" s="70">
        <f t="shared" si="3"/>
        <v>766.039917513847</v>
      </c>
      <c r="G118" s="71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C118" s="9"/>
      <c r="DD118" s="9"/>
      <c r="DE118" s="9"/>
      <c r="DF118" s="9"/>
      <c r="DG118" s="9"/>
      <c r="DH118" s="9"/>
      <c r="DI118" s="9"/>
      <c r="DJ118" s="9"/>
      <c r="DK118" s="9"/>
      <c r="DL118" s="9"/>
      <c r="DM118" s="9"/>
      <c r="DN118" s="9"/>
      <c r="DO118" s="9"/>
      <c r="DP118" s="9"/>
      <c r="DQ118" s="9"/>
      <c r="DR118" s="9"/>
      <c r="DS118" s="9"/>
      <c r="DT118" s="9"/>
      <c r="DU118" s="9"/>
      <c r="DV118" s="9"/>
      <c r="DW118" s="9"/>
      <c r="DX118" s="9"/>
      <c r="DY118" s="9"/>
      <c r="DZ118" s="9"/>
      <c r="EA118" s="9"/>
      <c r="EB118" s="9"/>
      <c r="EC118" s="9"/>
      <c r="ED118" s="9"/>
      <c r="EE118" s="9"/>
      <c r="EF118" s="9"/>
      <c r="EG118" s="9"/>
      <c r="EH118" s="9"/>
      <c r="EI118" s="9"/>
      <c r="EJ118" s="9"/>
      <c r="EK118" s="9"/>
      <c r="EL118" s="9"/>
      <c r="EM118" s="9"/>
      <c r="EN118" s="9"/>
      <c r="EO118" s="9"/>
      <c r="EP118" s="9"/>
      <c r="EQ118" s="9"/>
      <c r="ER118" s="9"/>
      <c r="ES118" s="9"/>
      <c r="ET118" s="9"/>
      <c r="EU118" s="9"/>
      <c r="EV118" s="9"/>
      <c r="EW118" s="9"/>
      <c r="EX118" s="9"/>
      <c r="EY118" s="9"/>
      <c r="EZ118" s="9"/>
      <c r="FA118" s="9"/>
      <c r="FB118" s="9"/>
      <c r="FC118" s="9"/>
      <c r="FD118" s="9"/>
      <c r="FE118" s="9"/>
      <c r="FF118" s="9"/>
      <c r="FG118" s="9"/>
      <c r="FH118" s="9"/>
      <c r="FI118" s="9"/>
      <c r="FJ118" s="9"/>
      <c r="FK118" s="9"/>
      <c r="FL118" s="9"/>
      <c r="FM118" s="9"/>
      <c r="FN118" s="9"/>
      <c r="FO118" s="9"/>
      <c r="FP118" s="9"/>
      <c r="FQ118" s="9"/>
      <c r="FR118" s="9"/>
      <c r="FS118" s="9"/>
      <c r="FT118" s="9"/>
      <c r="FU118" s="9"/>
      <c r="FV118" s="9"/>
      <c r="FW118" s="9"/>
      <c r="FX118" s="9"/>
      <c r="FY118" s="9"/>
      <c r="FZ118" s="9"/>
      <c r="GA118" s="9"/>
      <c r="GB118" s="9"/>
      <c r="GC118" s="9"/>
      <c r="GD118" s="9"/>
      <c r="GE118" s="9"/>
      <c r="GF118" s="9"/>
      <c r="GG118" s="9"/>
      <c r="GH118" s="9"/>
      <c r="GI118" s="9"/>
      <c r="GJ118" s="9"/>
      <c r="GK118" s="9"/>
      <c r="GL118" s="9"/>
      <c r="GM118" s="9"/>
      <c r="GN118" s="9"/>
      <c r="GO118" s="9"/>
      <c r="GP118" s="9"/>
      <c r="GQ118" s="9"/>
      <c r="GR118" s="9"/>
      <c r="GS118" s="9"/>
      <c r="GT118" s="9"/>
      <c r="GU118" s="9"/>
      <c r="GV118" s="9"/>
      <c r="GW118" s="9"/>
      <c r="GX118" s="9"/>
      <c r="GY118" s="9"/>
      <c r="GZ118" s="9"/>
      <c r="HA118" s="9"/>
      <c r="HB118" s="9"/>
      <c r="HC118" s="9"/>
      <c r="HD118" s="9"/>
      <c r="HE118" s="9"/>
      <c r="HF118" s="9"/>
      <c r="HG118" s="9"/>
      <c r="HH118" s="9"/>
      <c r="HI118" s="9"/>
      <c r="HJ118" s="9"/>
      <c r="HK118" s="9"/>
      <c r="HL118" s="9"/>
      <c r="HM118" s="9"/>
      <c r="HN118" s="9"/>
      <c r="HO118" s="9"/>
      <c r="HP118" s="9"/>
      <c r="HQ118" s="9"/>
      <c r="HR118" s="9"/>
    </row>
    <row r="119" spans="1:226" s="6" customFormat="1" ht="15" customHeight="1">
      <c r="A119" s="75"/>
      <c r="B119" s="85" t="s">
        <v>116</v>
      </c>
      <c r="C119" s="38" t="s">
        <v>365</v>
      </c>
      <c r="D119" s="94">
        <f>D114*5.5</f>
        <v>5.5</v>
      </c>
      <c r="E119" s="40">
        <f>E98</f>
        <v>319.6728143876425</v>
      </c>
      <c r="F119" s="70">
        <f t="shared" si="3"/>
        <v>1758.200479132034</v>
      </c>
      <c r="G119" s="71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C119" s="9"/>
      <c r="DD119" s="9"/>
      <c r="DE119" s="9"/>
      <c r="DF119" s="9"/>
      <c r="DG119" s="9"/>
      <c r="DH119" s="9"/>
      <c r="DI119" s="9"/>
      <c r="DJ119" s="9"/>
      <c r="DK119" s="9"/>
      <c r="DL119" s="9"/>
      <c r="DM119" s="9"/>
      <c r="DN119" s="9"/>
      <c r="DO119" s="9"/>
      <c r="DP119" s="9"/>
      <c r="DQ119" s="9"/>
      <c r="DR119" s="9"/>
      <c r="DS119" s="9"/>
      <c r="DT119" s="9"/>
      <c r="DU119" s="9"/>
      <c r="DV119" s="9"/>
      <c r="DW119" s="9"/>
      <c r="DX119" s="9"/>
      <c r="DY119" s="9"/>
      <c r="DZ119" s="9"/>
      <c r="EA119" s="9"/>
      <c r="EB119" s="9"/>
      <c r="EC119" s="9"/>
      <c r="ED119" s="9"/>
      <c r="EE119" s="9"/>
      <c r="EF119" s="9"/>
      <c r="EG119" s="9"/>
      <c r="EH119" s="9"/>
      <c r="EI119" s="9"/>
      <c r="EJ119" s="9"/>
      <c r="EK119" s="9"/>
      <c r="EL119" s="9"/>
      <c r="EM119" s="9"/>
      <c r="EN119" s="9"/>
      <c r="EO119" s="9"/>
      <c r="EP119" s="9"/>
      <c r="EQ119" s="9"/>
      <c r="ER119" s="9"/>
      <c r="ES119" s="9"/>
      <c r="ET119" s="9"/>
      <c r="EU119" s="9"/>
      <c r="EV119" s="9"/>
      <c r="EW119" s="9"/>
      <c r="EX119" s="9"/>
      <c r="EY119" s="9"/>
      <c r="EZ119" s="9"/>
      <c r="FA119" s="9"/>
      <c r="FB119" s="9"/>
      <c r="FC119" s="9"/>
      <c r="FD119" s="9"/>
      <c r="FE119" s="9"/>
      <c r="FF119" s="9"/>
      <c r="FG119" s="9"/>
      <c r="FH119" s="9"/>
      <c r="FI119" s="9"/>
      <c r="FJ119" s="9"/>
      <c r="FK119" s="9"/>
      <c r="FL119" s="9"/>
      <c r="FM119" s="9"/>
      <c r="FN119" s="9"/>
      <c r="FO119" s="9"/>
      <c r="FP119" s="9"/>
      <c r="FQ119" s="9"/>
      <c r="FR119" s="9"/>
      <c r="FS119" s="9"/>
      <c r="FT119" s="9"/>
      <c r="FU119" s="9"/>
      <c r="FV119" s="9"/>
      <c r="FW119" s="9"/>
      <c r="FX119" s="9"/>
      <c r="FY119" s="9"/>
      <c r="FZ119" s="9"/>
      <c r="GA119" s="9"/>
      <c r="GB119" s="9"/>
      <c r="GC119" s="9"/>
      <c r="GD119" s="9"/>
      <c r="GE119" s="9"/>
      <c r="GF119" s="9"/>
      <c r="GG119" s="9"/>
      <c r="GH119" s="9"/>
      <c r="GI119" s="9"/>
      <c r="GJ119" s="9"/>
      <c r="GK119" s="9"/>
      <c r="GL119" s="9"/>
      <c r="GM119" s="9"/>
      <c r="GN119" s="9"/>
      <c r="GO119" s="9"/>
      <c r="GP119" s="9"/>
      <c r="GQ119" s="9"/>
      <c r="GR119" s="9"/>
      <c r="GS119" s="9"/>
      <c r="GT119" s="9"/>
      <c r="GU119" s="9"/>
      <c r="GV119" s="9"/>
      <c r="GW119" s="9"/>
      <c r="GX119" s="9"/>
      <c r="GY119" s="9"/>
      <c r="GZ119" s="9"/>
      <c r="HA119" s="9"/>
      <c r="HB119" s="9"/>
      <c r="HC119" s="9"/>
      <c r="HD119" s="9"/>
      <c r="HE119" s="9"/>
      <c r="HF119" s="9"/>
      <c r="HG119" s="9"/>
      <c r="HH119" s="9"/>
      <c r="HI119" s="9"/>
      <c r="HJ119" s="9"/>
      <c r="HK119" s="9"/>
      <c r="HL119" s="9"/>
      <c r="HM119" s="9"/>
      <c r="HN119" s="9"/>
      <c r="HO119" s="9"/>
      <c r="HP119" s="9"/>
      <c r="HQ119" s="9"/>
      <c r="HR119" s="9"/>
    </row>
    <row r="120" spans="1:226" s="6" customFormat="1" ht="15" customHeight="1">
      <c r="A120" s="75"/>
      <c r="B120" s="85" t="s">
        <v>667</v>
      </c>
      <c r="C120" s="38" t="s">
        <v>44</v>
      </c>
      <c r="D120" s="86">
        <f>2*D114</f>
        <v>2</v>
      </c>
      <c r="E120" s="41">
        <f>734+80+60+40</f>
        <v>914</v>
      </c>
      <c r="F120" s="70">
        <f t="shared" si="3"/>
        <v>1828</v>
      </c>
      <c r="G120" s="71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  <c r="DB120" s="9"/>
      <c r="DC120" s="9"/>
      <c r="DD120" s="9"/>
      <c r="DE120" s="9"/>
      <c r="DF120" s="9"/>
      <c r="DG120" s="9"/>
      <c r="DH120" s="9"/>
      <c r="DI120" s="9"/>
      <c r="DJ120" s="9"/>
      <c r="DK120" s="9"/>
      <c r="DL120" s="9"/>
      <c r="DM120" s="9"/>
      <c r="DN120" s="9"/>
      <c r="DO120" s="9"/>
      <c r="DP120" s="9"/>
      <c r="DQ120" s="9"/>
      <c r="DR120" s="9"/>
      <c r="DS120" s="9"/>
      <c r="DT120" s="9"/>
      <c r="DU120" s="9"/>
      <c r="DV120" s="9"/>
      <c r="DW120" s="9"/>
      <c r="DX120" s="9"/>
      <c r="DY120" s="9"/>
      <c r="DZ120" s="9"/>
      <c r="EA120" s="9"/>
      <c r="EB120" s="9"/>
      <c r="EC120" s="9"/>
      <c r="ED120" s="9"/>
      <c r="EE120" s="9"/>
      <c r="EF120" s="9"/>
      <c r="EG120" s="9"/>
      <c r="EH120" s="9"/>
      <c r="EI120" s="9"/>
      <c r="EJ120" s="9"/>
      <c r="EK120" s="9"/>
      <c r="EL120" s="9"/>
      <c r="EM120" s="9"/>
      <c r="EN120" s="9"/>
      <c r="EO120" s="9"/>
      <c r="EP120" s="9"/>
      <c r="EQ120" s="9"/>
      <c r="ER120" s="9"/>
      <c r="ES120" s="9"/>
      <c r="ET120" s="9"/>
      <c r="EU120" s="9"/>
      <c r="EV120" s="9"/>
      <c r="EW120" s="9"/>
      <c r="EX120" s="9"/>
      <c r="EY120" s="9"/>
      <c r="EZ120" s="9"/>
      <c r="FA120" s="9"/>
      <c r="FB120" s="9"/>
      <c r="FC120" s="9"/>
      <c r="FD120" s="9"/>
      <c r="FE120" s="9"/>
      <c r="FF120" s="9"/>
      <c r="FG120" s="9"/>
      <c r="FH120" s="9"/>
      <c r="FI120" s="9"/>
      <c r="FJ120" s="9"/>
      <c r="FK120" s="9"/>
      <c r="FL120" s="9"/>
      <c r="FM120" s="9"/>
      <c r="FN120" s="9"/>
      <c r="FO120" s="9"/>
      <c r="FP120" s="9"/>
      <c r="FQ120" s="9"/>
      <c r="FR120" s="9"/>
      <c r="FS120" s="9"/>
      <c r="FT120" s="9"/>
      <c r="FU120" s="9"/>
      <c r="FV120" s="9"/>
      <c r="FW120" s="9"/>
      <c r="FX120" s="9"/>
      <c r="FY120" s="9"/>
      <c r="FZ120" s="9"/>
      <c r="GA120" s="9"/>
      <c r="GB120" s="9"/>
      <c r="GC120" s="9"/>
      <c r="GD120" s="9"/>
      <c r="GE120" s="9"/>
      <c r="GF120" s="9"/>
      <c r="GG120" s="9"/>
      <c r="GH120" s="9"/>
      <c r="GI120" s="9"/>
      <c r="GJ120" s="9"/>
      <c r="GK120" s="9"/>
      <c r="GL120" s="9"/>
      <c r="GM120" s="9"/>
      <c r="GN120" s="9"/>
      <c r="GO120" s="9"/>
      <c r="GP120" s="9"/>
      <c r="GQ120" s="9"/>
      <c r="GR120" s="9"/>
      <c r="GS120" s="9"/>
      <c r="GT120" s="9"/>
      <c r="GU120" s="9"/>
      <c r="GV120" s="9"/>
      <c r="GW120" s="9"/>
      <c r="GX120" s="9"/>
      <c r="GY120" s="9"/>
      <c r="GZ120" s="9"/>
      <c r="HA120" s="9"/>
      <c r="HB120" s="9"/>
      <c r="HC120" s="9"/>
      <c r="HD120" s="9"/>
      <c r="HE120" s="9"/>
      <c r="HF120" s="9"/>
      <c r="HG120" s="9"/>
      <c r="HH120" s="9"/>
      <c r="HI120" s="9"/>
      <c r="HJ120" s="9"/>
      <c r="HK120" s="9"/>
      <c r="HL120" s="9"/>
      <c r="HM120" s="9"/>
      <c r="HN120" s="9"/>
      <c r="HO120" s="9"/>
      <c r="HP120" s="9"/>
      <c r="HQ120" s="9"/>
      <c r="HR120" s="9"/>
    </row>
    <row r="121" spans="1:234" s="6" customFormat="1" ht="15" customHeight="1">
      <c r="A121" s="75">
        <v>6</v>
      </c>
      <c r="B121" s="85" t="s">
        <v>668</v>
      </c>
      <c r="C121" s="38" t="s">
        <v>65</v>
      </c>
      <c r="D121" s="95">
        <v>3</v>
      </c>
      <c r="E121" s="40"/>
      <c r="F121" s="70">
        <f>SUM(F122:F127)</f>
        <v>17782.393866787534</v>
      </c>
      <c r="G121" s="71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  <c r="DB121" s="9"/>
      <c r="DC121" s="9"/>
      <c r="DD121" s="9"/>
      <c r="DE121" s="9"/>
      <c r="DF121" s="9"/>
      <c r="DG121" s="9"/>
      <c r="DH121" s="9"/>
      <c r="DI121" s="9"/>
      <c r="DJ121" s="9"/>
      <c r="DK121" s="9"/>
      <c r="DL121" s="9"/>
      <c r="DM121" s="9"/>
      <c r="DN121" s="9"/>
      <c r="DO121" s="9"/>
      <c r="DP121" s="9"/>
      <c r="DQ121" s="9"/>
      <c r="DR121" s="9"/>
      <c r="DS121" s="9"/>
      <c r="DT121" s="9"/>
      <c r="DU121" s="9"/>
      <c r="DV121" s="9"/>
      <c r="DW121" s="9"/>
      <c r="DX121" s="9"/>
      <c r="DY121" s="9"/>
      <c r="DZ121" s="9"/>
      <c r="EA121" s="9"/>
      <c r="EB121" s="9"/>
      <c r="EC121" s="9"/>
      <c r="ED121" s="9"/>
      <c r="EE121" s="9"/>
      <c r="EF121" s="9"/>
      <c r="EG121" s="9"/>
      <c r="EH121" s="9"/>
      <c r="EI121" s="9"/>
      <c r="EJ121" s="9"/>
      <c r="EK121" s="9"/>
      <c r="EL121" s="9"/>
      <c r="EM121" s="9"/>
      <c r="EN121" s="9"/>
      <c r="EO121" s="9"/>
      <c r="EP121" s="9"/>
      <c r="EQ121" s="9"/>
      <c r="ER121" s="9"/>
      <c r="ES121" s="9"/>
      <c r="ET121" s="9"/>
      <c r="EU121" s="9"/>
      <c r="EV121" s="9"/>
      <c r="EW121" s="9"/>
      <c r="EX121" s="9"/>
      <c r="EY121" s="9"/>
      <c r="EZ121" s="9"/>
      <c r="FA121" s="9"/>
      <c r="FB121" s="9"/>
      <c r="FC121" s="9"/>
      <c r="FD121" s="9"/>
      <c r="FE121" s="9"/>
      <c r="FF121" s="9"/>
      <c r="FG121" s="9"/>
      <c r="FH121" s="9"/>
      <c r="FI121" s="9"/>
      <c r="FJ121" s="9"/>
      <c r="FK121" s="9"/>
      <c r="FL121" s="9"/>
      <c r="FM121" s="9"/>
      <c r="FN121" s="9"/>
      <c r="FO121" s="9"/>
      <c r="FP121" s="9"/>
      <c r="FQ121" s="9"/>
      <c r="FR121" s="9"/>
      <c r="FS121" s="9"/>
      <c r="FT121" s="9"/>
      <c r="FU121" s="9"/>
      <c r="FV121" s="9"/>
      <c r="FW121" s="9"/>
      <c r="FX121" s="9"/>
      <c r="FY121" s="9"/>
      <c r="FZ121" s="9"/>
      <c r="GA121" s="9"/>
      <c r="GB121" s="9"/>
      <c r="GC121" s="9"/>
      <c r="GD121" s="9"/>
      <c r="GE121" s="9"/>
      <c r="GF121" s="9"/>
      <c r="GG121" s="9"/>
      <c r="GH121" s="9"/>
      <c r="GI121" s="9"/>
      <c r="GJ121" s="9"/>
      <c r="GK121" s="9"/>
      <c r="GL121" s="9"/>
      <c r="GM121" s="9"/>
      <c r="GN121" s="9"/>
      <c r="GO121" s="9"/>
      <c r="GP121" s="9"/>
      <c r="GQ121" s="9"/>
      <c r="GR121" s="9"/>
      <c r="GS121" s="9"/>
      <c r="GT121" s="9"/>
      <c r="GU121" s="9"/>
      <c r="GV121" s="9"/>
      <c r="GW121" s="9"/>
      <c r="GX121" s="9"/>
      <c r="GY121" s="9"/>
      <c r="GZ121" s="9"/>
      <c r="HA121" s="9"/>
      <c r="HB121" s="9"/>
      <c r="HC121" s="9"/>
      <c r="HD121" s="9"/>
      <c r="HE121" s="9"/>
      <c r="HF121" s="9"/>
      <c r="HG121" s="9"/>
      <c r="HH121" s="9"/>
      <c r="HI121" s="9"/>
      <c r="HJ121" s="9"/>
      <c r="HK121" s="9"/>
      <c r="HL121" s="9"/>
      <c r="HM121" s="9"/>
      <c r="HN121" s="9"/>
      <c r="HO121" s="9"/>
      <c r="HP121" s="9"/>
      <c r="HQ121" s="9"/>
      <c r="HR121" s="9"/>
      <c r="HS121" s="9"/>
      <c r="HT121" s="9"/>
      <c r="HU121" s="9"/>
      <c r="HV121" s="9"/>
      <c r="HW121" s="9"/>
      <c r="HX121" s="9"/>
      <c r="HY121" s="9"/>
      <c r="HZ121" s="9"/>
    </row>
    <row r="122" spans="1:234" s="6" customFormat="1" ht="15" customHeight="1">
      <c r="A122" s="75"/>
      <c r="B122" s="85" t="s">
        <v>46</v>
      </c>
      <c r="C122" s="87" t="s">
        <v>365</v>
      </c>
      <c r="D122" s="69">
        <f>D121*7.21</f>
        <v>21.63</v>
      </c>
      <c r="E122" s="40">
        <f>E115</f>
        <v>5.948462518329764</v>
      </c>
      <c r="F122" s="70">
        <f t="shared" si="3"/>
        <v>128.6652442714728</v>
      </c>
      <c r="G122" s="71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C122" s="9"/>
      <c r="DD122" s="9"/>
      <c r="DE122" s="9"/>
      <c r="DF122" s="9"/>
      <c r="DG122" s="9"/>
      <c r="DH122" s="9"/>
      <c r="DI122" s="9"/>
      <c r="DJ122" s="9"/>
      <c r="DK122" s="9"/>
      <c r="DL122" s="9"/>
      <c r="DM122" s="9"/>
      <c r="DN122" s="9"/>
      <c r="DO122" s="9"/>
      <c r="DP122" s="9"/>
      <c r="DQ122" s="9"/>
      <c r="DR122" s="9"/>
      <c r="DS122" s="9"/>
      <c r="DT122" s="9"/>
      <c r="DU122" s="9"/>
      <c r="DV122" s="9"/>
      <c r="DW122" s="9"/>
      <c r="DX122" s="9"/>
      <c r="DY122" s="9"/>
      <c r="DZ122" s="9"/>
      <c r="EA122" s="9"/>
      <c r="EB122" s="9"/>
      <c r="EC122" s="9"/>
      <c r="ED122" s="9"/>
      <c r="EE122" s="9"/>
      <c r="EF122" s="9"/>
      <c r="EG122" s="9"/>
      <c r="EH122" s="9"/>
      <c r="EI122" s="9"/>
      <c r="EJ122" s="9"/>
      <c r="EK122" s="9"/>
      <c r="EL122" s="9"/>
      <c r="EM122" s="9"/>
      <c r="EN122" s="9"/>
      <c r="EO122" s="9"/>
      <c r="EP122" s="9"/>
      <c r="EQ122" s="9"/>
      <c r="ER122" s="9"/>
      <c r="ES122" s="9"/>
      <c r="ET122" s="9"/>
      <c r="EU122" s="9"/>
      <c r="EV122" s="9"/>
      <c r="EW122" s="9"/>
      <c r="EX122" s="9"/>
      <c r="EY122" s="9"/>
      <c r="EZ122" s="9"/>
      <c r="FA122" s="9"/>
      <c r="FB122" s="9"/>
      <c r="FC122" s="9"/>
      <c r="FD122" s="9"/>
      <c r="FE122" s="9"/>
      <c r="FF122" s="9"/>
      <c r="FG122" s="9"/>
      <c r="FH122" s="9"/>
      <c r="FI122" s="9"/>
      <c r="FJ122" s="9"/>
      <c r="FK122" s="9"/>
      <c r="FL122" s="9"/>
      <c r="FM122" s="9"/>
      <c r="FN122" s="9"/>
      <c r="FO122" s="9"/>
      <c r="FP122" s="9"/>
      <c r="FQ122" s="9"/>
      <c r="FR122" s="9"/>
      <c r="FS122" s="9"/>
      <c r="FT122" s="9"/>
      <c r="FU122" s="9"/>
      <c r="FV122" s="9"/>
      <c r="FW122" s="9"/>
      <c r="FX122" s="9"/>
      <c r="FY122" s="9"/>
      <c r="FZ122" s="9"/>
      <c r="GA122" s="9"/>
      <c r="GB122" s="9"/>
      <c r="GC122" s="9"/>
      <c r="GD122" s="9"/>
      <c r="GE122" s="9"/>
      <c r="GF122" s="9"/>
      <c r="GG122" s="9"/>
      <c r="GH122" s="9"/>
      <c r="GI122" s="9"/>
      <c r="GJ122" s="9"/>
      <c r="GK122" s="9"/>
      <c r="GL122" s="9"/>
      <c r="GM122" s="9"/>
      <c r="GN122" s="9"/>
      <c r="GO122" s="9"/>
      <c r="GP122" s="9"/>
      <c r="GQ122" s="9"/>
      <c r="GR122" s="9"/>
      <c r="GS122" s="9"/>
      <c r="GT122" s="9"/>
      <c r="GU122" s="9"/>
      <c r="GV122" s="9"/>
      <c r="GW122" s="9"/>
      <c r="GX122" s="9"/>
      <c r="GY122" s="9"/>
      <c r="GZ122" s="9"/>
      <c r="HA122" s="9"/>
      <c r="HB122" s="9"/>
      <c r="HC122" s="9"/>
      <c r="HD122" s="9"/>
      <c r="HE122" s="9"/>
      <c r="HF122" s="9"/>
      <c r="HG122" s="9"/>
      <c r="HH122" s="9"/>
      <c r="HI122" s="9"/>
      <c r="HJ122" s="9"/>
      <c r="HK122" s="9"/>
      <c r="HL122" s="9"/>
      <c r="HM122" s="9"/>
      <c r="HN122" s="9"/>
      <c r="HO122" s="9"/>
      <c r="HP122" s="9"/>
      <c r="HQ122" s="9"/>
      <c r="HR122" s="9"/>
      <c r="HS122" s="9"/>
      <c r="HT122" s="9"/>
      <c r="HU122" s="9"/>
      <c r="HV122" s="9"/>
      <c r="HW122" s="9"/>
      <c r="HX122" s="9"/>
      <c r="HY122" s="9"/>
      <c r="HZ122" s="9"/>
    </row>
    <row r="123" spans="1:234" s="6" customFormat="1" ht="15" customHeight="1">
      <c r="A123" s="75"/>
      <c r="B123" s="85" t="s">
        <v>48</v>
      </c>
      <c r="C123" s="38" t="s">
        <v>365</v>
      </c>
      <c r="D123" s="94">
        <f>D121*4.53</f>
        <v>13.59</v>
      </c>
      <c r="E123" s="40">
        <f>E116</f>
        <v>22.087821666441833</v>
      </c>
      <c r="F123" s="70">
        <f t="shared" si="3"/>
        <v>300.1734964469445</v>
      </c>
      <c r="G123" s="71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C123" s="9"/>
      <c r="DD123" s="9"/>
      <c r="DE123" s="9"/>
      <c r="DF123" s="9"/>
      <c r="DG123" s="9"/>
      <c r="DH123" s="9"/>
      <c r="DI123" s="9"/>
      <c r="DJ123" s="9"/>
      <c r="DK123" s="9"/>
      <c r="DL123" s="9"/>
      <c r="DM123" s="9"/>
      <c r="DN123" s="9"/>
      <c r="DO123" s="9"/>
      <c r="DP123" s="9"/>
      <c r="DQ123" s="9"/>
      <c r="DR123" s="9"/>
      <c r="DS123" s="9"/>
      <c r="DT123" s="9"/>
      <c r="DU123" s="9"/>
      <c r="DV123" s="9"/>
      <c r="DW123" s="9"/>
      <c r="DX123" s="9"/>
      <c r="DY123" s="9"/>
      <c r="DZ123" s="9"/>
      <c r="EA123" s="9"/>
      <c r="EB123" s="9"/>
      <c r="EC123" s="9"/>
      <c r="ED123" s="9"/>
      <c r="EE123" s="9"/>
      <c r="EF123" s="9"/>
      <c r="EG123" s="9"/>
      <c r="EH123" s="9"/>
      <c r="EI123" s="9"/>
      <c r="EJ123" s="9"/>
      <c r="EK123" s="9"/>
      <c r="EL123" s="9"/>
      <c r="EM123" s="9"/>
      <c r="EN123" s="9"/>
      <c r="EO123" s="9"/>
      <c r="EP123" s="9"/>
      <c r="EQ123" s="9"/>
      <c r="ER123" s="9"/>
      <c r="ES123" s="9"/>
      <c r="ET123" s="9"/>
      <c r="EU123" s="9"/>
      <c r="EV123" s="9"/>
      <c r="EW123" s="9"/>
      <c r="EX123" s="9"/>
      <c r="EY123" s="9"/>
      <c r="EZ123" s="9"/>
      <c r="FA123" s="9"/>
      <c r="FB123" s="9"/>
      <c r="FC123" s="9"/>
      <c r="FD123" s="9"/>
      <c r="FE123" s="9"/>
      <c r="FF123" s="9"/>
      <c r="FG123" s="9"/>
      <c r="FH123" s="9"/>
      <c r="FI123" s="9"/>
      <c r="FJ123" s="9"/>
      <c r="FK123" s="9"/>
      <c r="FL123" s="9"/>
      <c r="FM123" s="9"/>
      <c r="FN123" s="9"/>
      <c r="FO123" s="9"/>
      <c r="FP123" s="9"/>
      <c r="FQ123" s="9"/>
      <c r="FR123" s="9"/>
      <c r="FS123" s="9"/>
      <c r="FT123" s="9"/>
      <c r="FU123" s="9"/>
      <c r="FV123" s="9"/>
      <c r="FW123" s="9"/>
      <c r="FX123" s="9"/>
      <c r="FY123" s="9"/>
      <c r="FZ123" s="9"/>
      <c r="GA123" s="9"/>
      <c r="GB123" s="9"/>
      <c r="GC123" s="9"/>
      <c r="GD123" s="9"/>
      <c r="GE123" s="9"/>
      <c r="GF123" s="9"/>
      <c r="GG123" s="9"/>
      <c r="GH123" s="9"/>
      <c r="GI123" s="9"/>
      <c r="GJ123" s="9"/>
      <c r="GK123" s="9"/>
      <c r="GL123" s="9"/>
      <c r="GM123" s="9"/>
      <c r="GN123" s="9"/>
      <c r="GO123" s="9"/>
      <c r="GP123" s="9"/>
      <c r="GQ123" s="9"/>
      <c r="GR123" s="9"/>
      <c r="GS123" s="9"/>
      <c r="GT123" s="9"/>
      <c r="GU123" s="9"/>
      <c r="GV123" s="9"/>
      <c r="GW123" s="9"/>
      <c r="GX123" s="9"/>
      <c r="GY123" s="9"/>
      <c r="GZ123" s="9"/>
      <c r="HA123" s="9"/>
      <c r="HB123" s="9"/>
      <c r="HC123" s="9"/>
      <c r="HD123" s="9"/>
      <c r="HE123" s="9"/>
      <c r="HF123" s="9"/>
      <c r="HG123" s="9"/>
      <c r="HH123" s="9"/>
      <c r="HI123" s="9"/>
      <c r="HJ123" s="9"/>
      <c r="HK123" s="9"/>
      <c r="HL123" s="9"/>
      <c r="HM123" s="9"/>
      <c r="HN123" s="9"/>
      <c r="HO123" s="9"/>
      <c r="HP123" s="9"/>
      <c r="HQ123" s="9"/>
      <c r="HR123" s="9"/>
      <c r="HS123" s="9"/>
      <c r="HT123" s="9"/>
      <c r="HU123" s="9"/>
      <c r="HV123" s="9"/>
      <c r="HW123" s="9"/>
      <c r="HX123" s="9"/>
      <c r="HY123" s="9"/>
      <c r="HZ123" s="9"/>
    </row>
    <row r="124" spans="1:234" s="6" customFormat="1" ht="15" customHeight="1">
      <c r="A124" s="75"/>
      <c r="B124" s="76" t="s">
        <v>659</v>
      </c>
      <c r="C124" s="69" t="s">
        <v>365</v>
      </c>
      <c r="D124" s="40">
        <f>1.12*D121</f>
        <v>3.3600000000000003</v>
      </c>
      <c r="E124" s="40">
        <f>E117</f>
        <v>492.3275388736576</v>
      </c>
      <c r="F124" s="70">
        <f t="shared" si="3"/>
        <v>1654.2205306154897</v>
      </c>
      <c r="G124" s="71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  <c r="DA124" s="9"/>
      <c r="DB124" s="9"/>
      <c r="DC124" s="9"/>
      <c r="DD124" s="9"/>
      <c r="DE124" s="9"/>
      <c r="DF124" s="9"/>
      <c r="DG124" s="9"/>
      <c r="DH124" s="9"/>
      <c r="DI124" s="9"/>
      <c r="DJ124" s="9"/>
      <c r="DK124" s="9"/>
      <c r="DL124" s="9"/>
      <c r="DM124" s="9"/>
      <c r="DN124" s="9"/>
      <c r="DO124" s="9"/>
      <c r="DP124" s="9"/>
      <c r="DQ124" s="9"/>
      <c r="DR124" s="9"/>
      <c r="DS124" s="9"/>
      <c r="DT124" s="9"/>
      <c r="DU124" s="9"/>
      <c r="DV124" s="9"/>
      <c r="DW124" s="9"/>
      <c r="DX124" s="9"/>
      <c r="DY124" s="9"/>
      <c r="DZ124" s="9"/>
      <c r="EA124" s="9"/>
      <c r="EB124" s="9"/>
      <c r="EC124" s="9"/>
      <c r="ED124" s="9"/>
      <c r="EE124" s="9"/>
      <c r="EF124" s="9"/>
      <c r="EG124" s="9"/>
      <c r="EH124" s="9"/>
      <c r="EI124" s="9"/>
      <c r="EJ124" s="9"/>
      <c r="EK124" s="9"/>
      <c r="EL124" s="9"/>
      <c r="EM124" s="9"/>
      <c r="EN124" s="9"/>
      <c r="EO124" s="9"/>
      <c r="EP124" s="9"/>
      <c r="EQ124" s="9"/>
      <c r="ER124" s="9"/>
      <c r="ES124" s="9"/>
      <c r="ET124" s="9"/>
      <c r="EU124" s="9"/>
      <c r="EV124" s="9"/>
      <c r="EW124" s="9"/>
      <c r="EX124" s="9"/>
      <c r="EY124" s="9"/>
      <c r="EZ124" s="9"/>
      <c r="FA124" s="9"/>
      <c r="FB124" s="9"/>
      <c r="FC124" s="9"/>
      <c r="FD124" s="9"/>
      <c r="FE124" s="9"/>
      <c r="FF124" s="9"/>
      <c r="FG124" s="9"/>
      <c r="FH124" s="9"/>
      <c r="FI124" s="9"/>
      <c r="FJ124" s="9"/>
      <c r="FK124" s="9"/>
      <c r="FL124" s="9"/>
      <c r="FM124" s="9"/>
      <c r="FN124" s="9"/>
      <c r="FO124" s="9"/>
      <c r="FP124" s="9"/>
      <c r="FQ124" s="9"/>
      <c r="FR124" s="9"/>
      <c r="FS124" s="9"/>
      <c r="FT124" s="9"/>
      <c r="FU124" s="9"/>
      <c r="FV124" s="9"/>
      <c r="FW124" s="9"/>
      <c r="FX124" s="9"/>
      <c r="FY124" s="9"/>
      <c r="FZ124" s="9"/>
      <c r="GA124" s="9"/>
      <c r="GB124" s="9"/>
      <c r="GC124" s="9"/>
      <c r="GD124" s="9"/>
      <c r="GE124" s="9"/>
      <c r="GF124" s="9"/>
      <c r="GG124" s="9"/>
      <c r="GH124" s="9"/>
      <c r="GI124" s="9"/>
      <c r="GJ124" s="9"/>
      <c r="GK124" s="9"/>
      <c r="GL124" s="9"/>
      <c r="GM124" s="9"/>
      <c r="GN124" s="9"/>
      <c r="GO124" s="9"/>
      <c r="GP124" s="9"/>
      <c r="GQ124" s="9"/>
      <c r="GR124" s="9"/>
      <c r="GS124" s="9"/>
      <c r="GT124" s="9"/>
      <c r="GU124" s="9"/>
      <c r="GV124" s="9"/>
      <c r="GW124" s="9"/>
      <c r="GX124" s="9"/>
      <c r="GY124" s="9"/>
      <c r="GZ124" s="9"/>
      <c r="HA124" s="9"/>
      <c r="HB124" s="9"/>
      <c r="HC124" s="9"/>
      <c r="HD124" s="9"/>
      <c r="HE124" s="9"/>
      <c r="HF124" s="9"/>
      <c r="HG124" s="9"/>
      <c r="HH124" s="9"/>
      <c r="HI124" s="9"/>
      <c r="HJ124" s="9"/>
      <c r="HK124" s="9"/>
      <c r="HL124" s="9"/>
      <c r="HM124" s="9"/>
      <c r="HN124" s="9"/>
      <c r="HO124" s="9"/>
      <c r="HP124" s="9"/>
      <c r="HQ124" s="9"/>
      <c r="HR124" s="9"/>
      <c r="HS124" s="9"/>
      <c r="HT124" s="9"/>
      <c r="HU124" s="9"/>
      <c r="HV124" s="9"/>
      <c r="HW124" s="9"/>
      <c r="HX124" s="9"/>
      <c r="HY124" s="9"/>
      <c r="HZ124" s="9"/>
    </row>
    <row r="125" spans="1:234" s="6" customFormat="1" ht="15" customHeight="1">
      <c r="A125" s="75"/>
      <c r="B125" s="85" t="s">
        <v>662</v>
      </c>
      <c r="C125" s="38" t="s">
        <v>365</v>
      </c>
      <c r="D125" s="69">
        <f>D121*1.3</f>
        <v>3.9000000000000004</v>
      </c>
      <c r="E125" s="40">
        <f>E118</f>
        <v>543.2907216410263</v>
      </c>
      <c r="F125" s="70">
        <f t="shared" si="3"/>
        <v>2118.8338144000027</v>
      </c>
      <c r="G125" s="71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  <c r="DA125" s="9"/>
      <c r="DB125" s="9"/>
      <c r="DC125" s="9"/>
      <c r="DD125" s="9"/>
      <c r="DE125" s="9"/>
      <c r="DF125" s="9"/>
      <c r="DG125" s="9"/>
      <c r="DH125" s="9"/>
      <c r="DI125" s="9"/>
      <c r="DJ125" s="9"/>
      <c r="DK125" s="9"/>
      <c r="DL125" s="9"/>
      <c r="DM125" s="9"/>
      <c r="DN125" s="9"/>
      <c r="DO125" s="9"/>
      <c r="DP125" s="9"/>
      <c r="DQ125" s="9"/>
      <c r="DR125" s="9"/>
      <c r="DS125" s="9"/>
      <c r="DT125" s="9"/>
      <c r="DU125" s="9"/>
      <c r="DV125" s="9"/>
      <c r="DW125" s="9"/>
      <c r="DX125" s="9"/>
      <c r="DY125" s="9"/>
      <c r="DZ125" s="9"/>
      <c r="EA125" s="9"/>
      <c r="EB125" s="9"/>
      <c r="EC125" s="9"/>
      <c r="ED125" s="9"/>
      <c r="EE125" s="9"/>
      <c r="EF125" s="9"/>
      <c r="EG125" s="9"/>
      <c r="EH125" s="9"/>
      <c r="EI125" s="9"/>
      <c r="EJ125" s="9"/>
      <c r="EK125" s="9"/>
      <c r="EL125" s="9"/>
      <c r="EM125" s="9"/>
      <c r="EN125" s="9"/>
      <c r="EO125" s="9"/>
      <c r="EP125" s="9"/>
      <c r="EQ125" s="9"/>
      <c r="ER125" s="9"/>
      <c r="ES125" s="9"/>
      <c r="ET125" s="9"/>
      <c r="EU125" s="9"/>
      <c r="EV125" s="9"/>
      <c r="EW125" s="9"/>
      <c r="EX125" s="9"/>
      <c r="EY125" s="9"/>
      <c r="EZ125" s="9"/>
      <c r="FA125" s="9"/>
      <c r="FB125" s="9"/>
      <c r="FC125" s="9"/>
      <c r="FD125" s="9"/>
      <c r="FE125" s="9"/>
      <c r="FF125" s="9"/>
      <c r="FG125" s="9"/>
      <c r="FH125" s="9"/>
      <c r="FI125" s="9"/>
      <c r="FJ125" s="9"/>
      <c r="FK125" s="9"/>
      <c r="FL125" s="9"/>
      <c r="FM125" s="9"/>
      <c r="FN125" s="9"/>
      <c r="FO125" s="9"/>
      <c r="FP125" s="9"/>
      <c r="FQ125" s="9"/>
      <c r="FR125" s="9"/>
      <c r="FS125" s="9"/>
      <c r="FT125" s="9"/>
      <c r="FU125" s="9"/>
      <c r="FV125" s="9"/>
      <c r="FW125" s="9"/>
      <c r="FX125" s="9"/>
      <c r="FY125" s="9"/>
      <c r="FZ125" s="9"/>
      <c r="GA125" s="9"/>
      <c r="GB125" s="9"/>
      <c r="GC125" s="9"/>
      <c r="GD125" s="9"/>
      <c r="GE125" s="9"/>
      <c r="GF125" s="9"/>
      <c r="GG125" s="9"/>
      <c r="GH125" s="9"/>
      <c r="GI125" s="9"/>
      <c r="GJ125" s="9"/>
      <c r="GK125" s="9"/>
      <c r="GL125" s="9"/>
      <c r="GM125" s="9"/>
      <c r="GN125" s="9"/>
      <c r="GO125" s="9"/>
      <c r="GP125" s="9"/>
      <c r="GQ125" s="9"/>
      <c r="GR125" s="9"/>
      <c r="GS125" s="9"/>
      <c r="GT125" s="9"/>
      <c r="GU125" s="9"/>
      <c r="GV125" s="9"/>
      <c r="GW125" s="9"/>
      <c r="GX125" s="9"/>
      <c r="GY125" s="9"/>
      <c r="GZ125" s="9"/>
      <c r="HA125" s="9"/>
      <c r="HB125" s="9"/>
      <c r="HC125" s="9"/>
      <c r="HD125" s="9"/>
      <c r="HE125" s="9"/>
      <c r="HF125" s="9"/>
      <c r="HG125" s="9"/>
      <c r="HH125" s="9"/>
      <c r="HI125" s="9"/>
      <c r="HJ125" s="9"/>
      <c r="HK125" s="9"/>
      <c r="HL125" s="9"/>
      <c r="HM125" s="9"/>
      <c r="HN125" s="9"/>
      <c r="HO125" s="9"/>
      <c r="HP125" s="9"/>
      <c r="HQ125" s="9"/>
      <c r="HR125" s="9"/>
      <c r="HS125" s="9"/>
      <c r="HT125" s="9"/>
      <c r="HU125" s="9"/>
      <c r="HV125" s="9"/>
      <c r="HW125" s="9"/>
      <c r="HX125" s="9"/>
      <c r="HY125" s="9"/>
      <c r="HZ125" s="9"/>
    </row>
    <row r="126" spans="1:234" s="6" customFormat="1" ht="15" customHeight="1">
      <c r="A126" s="75"/>
      <c r="B126" s="85" t="s">
        <v>116</v>
      </c>
      <c r="C126" s="38" t="s">
        <v>365</v>
      </c>
      <c r="D126" s="94">
        <f>D121*4.38</f>
        <v>13.14</v>
      </c>
      <c r="E126" s="40">
        <f>E119</f>
        <v>319.6728143876425</v>
      </c>
      <c r="F126" s="70">
        <f t="shared" si="3"/>
        <v>4200.500781053623</v>
      </c>
      <c r="G126" s="71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9"/>
      <c r="DC126" s="9"/>
      <c r="DD126" s="9"/>
      <c r="DE126" s="9"/>
      <c r="DF126" s="9"/>
      <c r="DG126" s="9"/>
      <c r="DH126" s="9"/>
      <c r="DI126" s="9"/>
      <c r="DJ126" s="9"/>
      <c r="DK126" s="9"/>
      <c r="DL126" s="9"/>
      <c r="DM126" s="9"/>
      <c r="DN126" s="9"/>
      <c r="DO126" s="9"/>
      <c r="DP126" s="9"/>
      <c r="DQ126" s="9"/>
      <c r="DR126" s="9"/>
      <c r="DS126" s="9"/>
      <c r="DT126" s="9"/>
      <c r="DU126" s="9"/>
      <c r="DV126" s="9"/>
      <c r="DW126" s="9"/>
      <c r="DX126" s="9"/>
      <c r="DY126" s="9"/>
      <c r="DZ126" s="9"/>
      <c r="EA126" s="9"/>
      <c r="EB126" s="9"/>
      <c r="EC126" s="9"/>
      <c r="ED126" s="9"/>
      <c r="EE126" s="9"/>
      <c r="EF126" s="9"/>
      <c r="EG126" s="9"/>
      <c r="EH126" s="9"/>
      <c r="EI126" s="9"/>
      <c r="EJ126" s="9"/>
      <c r="EK126" s="9"/>
      <c r="EL126" s="9"/>
      <c r="EM126" s="9"/>
      <c r="EN126" s="9"/>
      <c r="EO126" s="9"/>
      <c r="EP126" s="9"/>
      <c r="EQ126" s="9"/>
      <c r="ER126" s="9"/>
      <c r="ES126" s="9"/>
      <c r="ET126" s="9"/>
      <c r="EU126" s="9"/>
      <c r="EV126" s="9"/>
      <c r="EW126" s="9"/>
      <c r="EX126" s="9"/>
      <c r="EY126" s="9"/>
      <c r="EZ126" s="9"/>
      <c r="FA126" s="9"/>
      <c r="FB126" s="9"/>
      <c r="FC126" s="9"/>
      <c r="FD126" s="9"/>
      <c r="FE126" s="9"/>
      <c r="FF126" s="9"/>
      <c r="FG126" s="9"/>
      <c r="FH126" s="9"/>
      <c r="FI126" s="9"/>
      <c r="FJ126" s="9"/>
      <c r="FK126" s="9"/>
      <c r="FL126" s="9"/>
      <c r="FM126" s="9"/>
      <c r="FN126" s="9"/>
      <c r="FO126" s="9"/>
      <c r="FP126" s="9"/>
      <c r="FQ126" s="9"/>
      <c r="FR126" s="9"/>
      <c r="FS126" s="9"/>
      <c r="FT126" s="9"/>
      <c r="FU126" s="9"/>
      <c r="FV126" s="9"/>
      <c r="FW126" s="9"/>
      <c r="FX126" s="9"/>
      <c r="FY126" s="9"/>
      <c r="FZ126" s="9"/>
      <c r="GA126" s="9"/>
      <c r="GB126" s="9"/>
      <c r="GC126" s="9"/>
      <c r="GD126" s="9"/>
      <c r="GE126" s="9"/>
      <c r="GF126" s="9"/>
      <c r="GG126" s="9"/>
      <c r="GH126" s="9"/>
      <c r="GI126" s="9"/>
      <c r="GJ126" s="9"/>
      <c r="GK126" s="9"/>
      <c r="GL126" s="9"/>
      <c r="GM126" s="9"/>
      <c r="GN126" s="9"/>
      <c r="GO126" s="9"/>
      <c r="GP126" s="9"/>
      <c r="GQ126" s="9"/>
      <c r="GR126" s="9"/>
      <c r="GS126" s="9"/>
      <c r="GT126" s="9"/>
      <c r="GU126" s="9"/>
      <c r="GV126" s="9"/>
      <c r="GW126" s="9"/>
      <c r="GX126" s="9"/>
      <c r="GY126" s="9"/>
      <c r="GZ126" s="9"/>
      <c r="HA126" s="9"/>
      <c r="HB126" s="9"/>
      <c r="HC126" s="9"/>
      <c r="HD126" s="9"/>
      <c r="HE126" s="9"/>
      <c r="HF126" s="9"/>
      <c r="HG126" s="9"/>
      <c r="HH126" s="9"/>
      <c r="HI126" s="9"/>
      <c r="HJ126" s="9"/>
      <c r="HK126" s="9"/>
      <c r="HL126" s="9"/>
      <c r="HM126" s="9"/>
      <c r="HN126" s="9"/>
      <c r="HO126" s="9"/>
      <c r="HP126" s="9"/>
      <c r="HQ126" s="9"/>
      <c r="HR126" s="9"/>
      <c r="HS126" s="9"/>
      <c r="HT126" s="9"/>
      <c r="HU126" s="9"/>
      <c r="HV126" s="9"/>
      <c r="HW126" s="9"/>
      <c r="HX126" s="9"/>
      <c r="HY126" s="9"/>
      <c r="HZ126" s="9"/>
    </row>
    <row r="127" spans="1:234" s="6" customFormat="1" ht="15" customHeight="1">
      <c r="A127" s="75"/>
      <c r="B127" s="85" t="s">
        <v>669</v>
      </c>
      <c r="C127" s="38" t="s">
        <v>44</v>
      </c>
      <c r="D127" s="86">
        <f>2*4+1*6</f>
        <v>14</v>
      </c>
      <c r="E127" s="41">
        <f>500+80+50+40</f>
        <v>670</v>
      </c>
      <c r="F127" s="70">
        <f t="shared" si="3"/>
        <v>9380</v>
      </c>
      <c r="G127" s="71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  <c r="DB127" s="9"/>
      <c r="DC127" s="9"/>
      <c r="DD127" s="9"/>
      <c r="DE127" s="9"/>
      <c r="DF127" s="9"/>
      <c r="DG127" s="9"/>
      <c r="DH127" s="9"/>
      <c r="DI127" s="9"/>
      <c r="DJ127" s="9"/>
      <c r="DK127" s="9"/>
      <c r="DL127" s="9"/>
      <c r="DM127" s="9"/>
      <c r="DN127" s="9"/>
      <c r="DO127" s="9"/>
      <c r="DP127" s="9"/>
      <c r="DQ127" s="9"/>
      <c r="DR127" s="9"/>
      <c r="DS127" s="9"/>
      <c r="DT127" s="9"/>
      <c r="DU127" s="9"/>
      <c r="DV127" s="9"/>
      <c r="DW127" s="9"/>
      <c r="DX127" s="9"/>
      <c r="DY127" s="9"/>
      <c r="DZ127" s="9"/>
      <c r="EA127" s="9"/>
      <c r="EB127" s="9"/>
      <c r="EC127" s="9"/>
      <c r="ED127" s="9"/>
      <c r="EE127" s="9"/>
      <c r="EF127" s="9"/>
      <c r="EG127" s="9"/>
      <c r="EH127" s="9"/>
      <c r="EI127" s="9"/>
      <c r="EJ127" s="9"/>
      <c r="EK127" s="9"/>
      <c r="EL127" s="9"/>
      <c r="EM127" s="9"/>
      <c r="EN127" s="9"/>
      <c r="EO127" s="9"/>
      <c r="EP127" s="9"/>
      <c r="EQ127" s="9"/>
      <c r="ER127" s="9"/>
      <c r="ES127" s="9"/>
      <c r="ET127" s="9"/>
      <c r="EU127" s="9"/>
      <c r="EV127" s="9"/>
      <c r="EW127" s="9"/>
      <c r="EX127" s="9"/>
      <c r="EY127" s="9"/>
      <c r="EZ127" s="9"/>
      <c r="FA127" s="9"/>
      <c r="FB127" s="9"/>
      <c r="FC127" s="9"/>
      <c r="FD127" s="9"/>
      <c r="FE127" s="9"/>
      <c r="FF127" s="9"/>
      <c r="FG127" s="9"/>
      <c r="FH127" s="9"/>
      <c r="FI127" s="9"/>
      <c r="FJ127" s="9"/>
      <c r="FK127" s="9"/>
      <c r="FL127" s="9"/>
      <c r="FM127" s="9"/>
      <c r="FN127" s="9"/>
      <c r="FO127" s="9"/>
      <c r="FP127" s="9"/>
      <c r="FQ127" s="9"/>
      <c r="FR127" s="9"/>
      <c r="FS127" s="9"/>
      <c r="FT127" s="9"/>
      <c r="FU127" s="9"/>
      <c r="FV127" s="9"/>
      <c r="FW127" s="9"/>
      <c r="FX127" s="9"/>
      <c r="FY127" s="9"/>
      <c r="FZ127" s="9"/>
      <c r="GA127" s="9"/>
      <c r="GB127" s="9"/>
      <c r="GC127" s="9"/>
      <c r="GD127" s="9"/>
      <c r="GE127" s="9"/>
      <c r="GF127" s="9"/>
      <c r="GG127" s="9"/>
      <c r="GH127" s="9"/>
      <c r="GI127" s="9"/>
      <c r="GJ127" s="9"/>
      <c r="GK127" s="9"/>
      <c r="GL127" s="9"/>
      <c r="GM127" s="9"/>
      <c r="GN127" s="9"/>
      <c r="GO127" s="9"/>
      <c r="GP127" s="9"/>
      <c r="GQ127" s="9"/>
      <c r="GR127" s="9"/>
      <c r="GS127" s="9"/>
      <c r="GT127" s="9"/>
      <c r="GU127" s="9"/>
      <c r="GV127" s="9"/>
      <c r="GW127" s="9"/>
      <c r="GX127" s="9"/>
      <c r="GY127" s="9"/>
      <c r="GZ127" s="9"/>
      <c r="HA127" s="9"/>
      <c r="HB127" s="9"/>
      <c r="HC127" s="9"/>
      <c r="HD127" s="9"/>
      <c r="HE127" s="9"/>
      <c r="HF127" s="9"/>
      <c r="HG127" s="9"/>
      <c r="HH127" s="9"/>
      <c r="HI127" s="9"/>
      <c r="HJ127" s="9"/>
      <c r="HK127" s="9"/>
      <c r="HL127" s="9"/>
      <c r="HM127" s="9"/>
      <c r="HN127" s="9"/>
      <c r="HO127" s="9"/>
      <c r="HP127" s="9"/>
      <c r="HQ127" s="9"/>
      <c r="HR127" s="9"/>
      <c r="HS127" s="9"/>
      <c r="HT127" s="9"/>
      <c r="HU127" s="9"/>
      <c r="HV127" s="9"/>
      <c r="HW127" s="9"/>
      <c r="HX127" s="9"/>
      <c r="HY127" s="9"/>
      <c r="HZ127" s="9"/>
    </row>
    <row r="128" spans="1:234" s="6" customFormat="1" ht="15" customHeight="1">
      <c r="A128" s="75">
        <v>7</v>
      </c>
      <c r="B128" s="85" t="s">
        <v>670</v>
      </c>
      <c r="C128" s="87" t="s">
        <v>65</v>
      </c>
      <c r="D128" s="41">
        <v>3</v>
      </c>
      <c r="E128" s="40"/>
      <c r="F128" s="70">
        <f>SUM(F129:F133)</f>
        <v>14186.297108928364</v>
      </c>
      <c r="G128" s="71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9"/>
      <c r="CY128" s="9"/>
      <c r="CZ128" s="9"/>
      <c r="DA128" s="9"/>
      <c r="DB128" s="9"/>
      <c r="DC128" s="9"/>
      <c r="DD128" s="9"/>
      <c r="DE128" s="9"/>
      <c r="DF128" s="9"/>
      <c r="DG128" s="9"/>
      <c r="DH128" s="9"/>
      <c r="DI128" s="9"/>
      <c r="DJ128" s="9"/>
      <c r="DK128" s="9"/>
      <c r="DL128" s="9"/>
      <c r="DM128" s="9"/>
      <c r="DN128" s="9"/>
      <c r="DO128" s="9"/>
      <c r="DP128" s="9"/>
      <c r="DQ128" s="9"/>
      <c r="DR128" s="9"/>
      <c r="DS128" s="9"/>
      <c r="DT128" s="9"/>
      <c r="DU128" s="9"/>
      <c r="DV128" s="9"/>
      <c r="DW128" s="9"/>
      <c r="DX128" s="9"/>
      <c r="DY128" s="9"/>
      <c r="DZ128" s="9"/>
      <c r="EA128" s="9"/>
      <c r="EB128" s="9"/>
      <c r="EC128" s="9"/>
      <c r="ED128" s="9"/>
      <c r="EE128" s="9"/>
      <c r="EF128" s="9"/>
      <c r="EG128" s="9"/>
      <c r="EH128" s="9"/>
      <c r="EI128" s="9"/>
      <c r="EJ128" s="9"/>
      <c r="EK128" s="9"/>
      <c r="EL128" s="9"/>
      <c r="EM128" s="9"/>
      <c r="EN128" s="9"/>
      <c r="EO128" s="9"/>
      <c r="EP128" s="9"/>
      <c r="EQ128" s="9"/>
      <c r="ER128" s="9"/>
      <c r="ES128" s="9"/>
      <c r="ET128" s="9"/>
      <c r="EU128" s="9"/>
      <c r="EV128" s="9"/>
      <c r="EW128" s="9"/>
      <c r="EX128" s="9"/>
      <c r="EY128" s="9"/>
      <c r="EZ128" s="9"/>
      <c r="FA128" s="9"/>
      <c r="FB128" s="9"/>
      <c r="FC128" s="9"/>
      <c r="FD128" s="9"/>
      <c r="FE128" s="9"/>
      <c r="FF128" s="9"/>
      <c r="FG128" s="9"/>
      <c r="FH128" s="9"/>
      <c r="FI128" s="9"/>
      <c r="FJ128" s="9"/>
      <c r="FK128" s="9"/>
      <c r="FL128" s="9"/>
      <c r="FM128" s="9"/>
      <c r="FN128" s="9"/>
      <c r="FO128" s="9"/>
      <c r="FP128" s="9"/>
      <c r="FQ128" s="9"/>
      <c r="FR128" s="9"/>
      <c r="FS128" s="9"/>
      <c r="FT128" s="9"/>
      <c r="FU128" s="9"/>
      <c r="FV128" s="9"/>
      <c r="FW128" s="9"/>
      <c r="FX128" s="9"/>
      <c r="FY128" s="9"/>
      <c r="FZ128" s="9"/>
      <c r="GA128" s="9"/>
      <c r="GB128" s="9"/>
      <c r="GC128" s="9"/>
      <c r="GD128" s="9"/>
      <c r="GE128" s="9"/>
      <c r="GF128" s="9"/>
      <c r="GG128" s="9"/>
      <c r="GH128" s="9"/>
      <c r="GI128" s="9"/>
      <c r="GJ128" s="9"/>
      <c r="GK128" s="9"/>
      <c r="GL128" s="9"/>
      <c r="GM128" s="9"/>
      <c r="GN128" s="9"/>
      <c r="GO128" s="9"/>
      <c r="GP128" s="9"/>
      <c r="GQ128" s="9"/>
      <c r="GR128" s="9"/>
      <c r="GS128" s="9"/>
      <c r="GT128" s="9"/>
      <c r="GU128" s="9"/>
      <c r="GV128" s="9"/>
      <c r="GW128" s="9"/>
      <c r="GX128" s="9"/>
      <c r="GY128" s="9"/>
      <c r="GZ128" s="9"/>
      <c r="HA128" s="9"/>
      <c r="HB128" s="9"/>
      <c r="HC128" s="9"/>
      <c r="HD128" s="9"/>
      <c r="HE128" s="9"/>
      <c r="HF128" s="9"/>
      <c r="HG128" s="9"/>
      <c r="HH128" s="9"/>
      <c r="HI128" s="9"/>
      <c r="HJ128" s="9"/>
      <c r="HK128" s="9"/>
      <c r="HL128" s="9"/>
      <c r="HM128" s="9"/>
      <c r="HN128" s="9"/>
      <c r="HO128" s="9"/>
      <c r="HP128" s="9"/>
      <c r="HQ128" s="9"/>
      <c r="HR128" s="9"/>
      <c r="HS128" s="9"/>
      <c r="HT128" s="9"/>
      <c r="HU128" s="9"/>
      <c r="HV128" s="9"/>
      <c r="HW128" s="9"/>
      <c r="HX128" s="9"/>
      <c r="HY128" s="9"/>
      <c r="HZ128" s="9"/>
    </row>
    <row r="129" spans="1:234" s="6" customFormat="1" ht="15" customHeight="1">
      <c r="A129" s="69"/>
      <c r="B129" s="76" t="s">
        <v>46</v>
      </c>
      <c r="C129" s="69" t="s">
        <v>365</v>
      </c>
      <c r="D129" s="40">
        <f>D128*12.42</f>
        <v>37.26</v>
      </c>
      <c r="E129" s="40">
        <f>E122</f>
        <v>5.948462518329764</v>
      </c>
      <c r="F129" s="70">
        <f aca="true" t="shared" si="5" ref="F129:F152">D129*E129</f>
        <v>221.639713432967</v>
      </c>
      <c r="G129" s="71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/>
      <c r="DW129" s="9"/>
      <c r="DX129" s="9"/>
      <c r="DY129" s="9"/>
      <c r="DZ129" s="9"/>
      <c r="EA129" s="9"/>
      <c r="EB129" s="9"/>
      <c r="EC129" s="9"/>
      <c r="ED129" s="9"/>
      <c r="EE129" s="9"/>
      <c r="EF129" s="9"/>
      <c r="EG129" s="9"/>
      <c r="EH129" s="9"/>
      <c r="EI129" s="9"/>
      <c r="EJ129" s="9"/>
      <c r="EK129" s="9"/>
      <c r="EL129" s="9"/>
      <c r="EM129" s="9"/>
      <c r="EN129" s="9"/>
      <c r="EO129" s="9"/>
      <c r="EP129" s="9"/>
      <c r="EQ129" s="9"/>
      <c r="ER129" s="9"/>
      <c r="ES129" s="9"/>
      <c r="ET129" s="9"/>
      <c r="EU129" s="9"/>
      <c r="EV129" s="9"/>
      <c r="EW129" s="9"/>
      <c r="EX129" s="9"/>
      <c r="EY129" s="9"/>
      <c r="EZ129" s="9"/>
      <c r="FA129" s="9"/>
      <c r="FB129" s="9"/>
      <c r="FC129" s="9"/>
      <c r="FD129" s="9"/>
      <c r="FE129" s="9"/>
      <c r="FF129" s="9"/>
      <c r="FG129" s="9"/>
      <c r="FH129" s="9"/>
      <c r="FI129" s="9"/>
      <c r="FJ129" s="9"/>
      <c r="FK129" s="9"/>
      <c r="FL129" s="9"/>
      <c r="FM129" s="9"/>
      <c r="FN129" s="9"/>
      <c r="FO129" s="9"/>
      <c r="FP129" s="9"/>
      <c r="FQ129" s="9"/>
      <c r="FR129" s="9"/>
      <c r="FS129" s="9"/>
      <c r="FT129" s="9"/>
      <c r="FU129" s="9"/>
      <c r="FV129" s="9"/>
      <c r="FW129" s="9"/>
      <c r="FX129" s="9"/>
      <c r="FY129" s="9"/>
      <c r="FZ129" s="9"/>
      <c r="GA129" s="9"/>
      <c r="GB129" s="9"/>
      <c r="GC129" s="9"/>
      <c r="GD129" s="9"/>
      <c r="GE129" s="9"/>
      <c r="GF129" s="9"/>
      <c r="GG129" s="9"/>
      <c r="GH129" s="9"/>
      <c r="GI129" s="9"/>
      <c r="GJ129" s="9"/>
      <c r="GK129" s="9"/>
      <c r="GL129" s="9"/>
      <c r="GM129" s="9"/>
      <c r="GN129" s="9"/>
      <c r="GO129" s="9"/>
      <c r="GP129" s="9"/>
      <c r="GQ129" s="9"/>
      <c r="GR129" s="9"/>
      <c r="GS129" s="9"/>
      <c r="GT129" s="9"/>
      <c r="GU129" s="9"/>
      <c r="GV129" s="9"/>
      <c r="GW129" s="9"/>
      <c r="GX129" s="9"/>
      <c r="GY129" s="9"/>
      <c r="GZ129" s="9"/>
      <c r="HA129" s="9"/>
      <c r="HB129" s="9"/>
      <c r="HC129" s="9"/>
      <c r="HD129" s="9"/>
      <c r="HE129" s="9"/>
      <c r="HF129" s="9"/>
      <c r="HG129" s="9"/>
      <c r="HH129" s="9"/>
      <c r="HI129" s="9"/>
      <c r="HJ129" s="9"/>
      <c r="HK129" s="9"/>
      <c r="HL129" s="9"/>
      <c r="HM129" s="9"/>
      <c r="HN129" s="9"/>
      <c r="HO129" s="9"/>
      <c r="HP129" s="9"/>
      <c r="HQ129" s="9"/>
      <c r="HR129" s="9"/>
      <c r="HS129" s="9"/>
      <c r="HT129" s="9"/>
      <c r="HU129" s="9"/>
      <c r="HV129" s="9"/>
      <c r="HW129" s="9"/>
      <c r="HX129" s="9"/>
      <c r="HY129" s="9"/>
      <c r="HZ129" s="9"/>
    </row>
    <row r="130" spans="1:234" s="6" customFormat="1" ht="15" customHeight="1">
      <c r="A130" s="69"/>
      <c r="B130" s="76" t="s">
        <v>48</v>
      </c>
      <c r="C130" s="69" t="s">
        <v>365</v>
      </c>
      <c r="D130" s="40">
        <f>D128*10.85</f>
        <v>32.55</v>
      </c>
      <c r="E130" s="40">
        <f>E123</f>
        <v>22.087821666441833</v>
      </c>
      <c r="F130" s="70">
        <f t="shared" si="5"/>
        <v>718.9585952426816</v>
      </c>
      <c r="G130" s="71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9"/>
      <c r="CY130" s="9"/>
      <c r="CZ130" s="9"/>
      <c r="DA130" s="9"/>
      <c r="DB130" s="9"/>
      <c r="DC130" s="9"/>
      <c r="DD130" s="9"/>
      <c r="DE130" s="9"/>
      <c r="DF130" s="9"/>
      <c r="DG130" s="9"/>
      <c r="DH130" s="9"/>
      <c r="DI130" s="9"/>
      <c r="DJ130" s="9"/>
      <c r="DK130" s="9"/>
      <c r="DL130" s="9"/>
      <c r="DM130" s="9"/>
      <c r="DN130" s="9"/>
      <c r="DO130" s="9"/>
      <c r="DP130" s="9"/>
      <c r="DQ130" s="9"/>
      <c r="DR130" s="9"/>
      <c r="DS130" s="9"/>
      <c r="DT130" s="9"/>
      <c r="DU130" s="9"/>
      <c r="DV130" s="9"/>
      <c r="DW130" s="9"/>
      <c r="DX130" s="9"/>
      <c r="DY130" s="9"/>
      <c r="DZ130" s="9"/>
      <c r="EA130" s="9"/>
      <c r="EB130" s="9"/>
      <c r="EC130" s="9"/>
      <c r="ED130" s="9"/>
      <c r="EE130" s="9"/>
      <c r="EF130" s="9"/>
      <c r="EG130" s="9"/>
      <c r="EH130" s="9"/>
      <c r="EI130" s="9"/>
      <c r="EJ130" s="9"/>
      <c r="EK130" s="9"/>
      <c r="EL130" s="9"/>
      <c r="EM130" s="9"/>
      <c r="EN130" s="9"/>
      <c r="EO130" s="9"/>
      <c r="EP130" s="9"/>
      <c r="EQ130" s="9"/>
      <c r="ER130" s="9"/>
      <c r="ES130" s="9"/>
      <c r="ET130" s="9"/>
      <c r="EU130" s="9"/>
      <c r="EV130" s="9"/>
      <c r="EW130" s="9"/>
      <c r="EX130" s="9"/>
      <c r="EY130" s="9"/>
      <c r="EZ130" s="9"/>
      <c r="FA130" s="9"/>
      <c r="FB130" s="9"/>
      <c r="FC130" s="9"/>
      <c r="FD130" s="9"/>
      <c r="FE130" s="9"/>
      <c r="FF130" s="9"/>
      <c r="FG130" s="9"/>
      <c r="FH130" s="9"/>
      <c r="FI130" s="9"/>
      <c r="FJ130" s="9"/>
      <c r="FK130" s="9"/>
      <c r="FL130" s="9"/>
      <c r="FM130" s="9"/>
      <c r="FN130" s="9"/>
      <c r="FO130" s="9"/>
      <c r="FP130" s="9"/>
      <c r="FQ130" s="9"/>
      <c r="FR130" s="9"/>
      <c r="FS130" s="9"/>
      <c r="FT130" s="9"/>
      <c r="FU130" s="9"/>
      <c r="FV130" s="9"/>
      <c r="FW130" s="9"/>
      <c r="FX130" s="9"/>
      <c r="FY130" s="9"/>
      <c r="FZ130" s="9"/>
      <c r="GA130" s="9"/>
      <c r="GB130" s="9"/>
      <c r="GC130" s="9"/>
      <c r="GD130" s="9"/>
      <c r="GE130" s="9"/>
      <c r="GF130" s="9"/>
      <c r="GG130" s="9"/>
      <c r="GH130" s="9"/>
      <c r="GI130" s="9"/>
      <c r="GJ130" s="9"/>
      <c r="GK130" s="9"/>
      <c r="GL130" s="9"/>
      <c r="GM130" s="9"/>
      <c r="GN130" s="9"/>
      <c r="GO130" s="9"/>
      <c r="GP130" s="9"/>
      <c r="GQ130" s="9"/>
      <c r="GR130" s="9"/>
      <c r="GS130" s="9"/>
      <c r="GT130" s="9"/>
      <c r="GU130" s="9"/>
      <c r="GV130" s="9"/>
      <c r="GW130" s="9"/>
      <c r="GX130" s="9"/>
      <c r="GY130" s="9"/>
      <c r="GZ130" s="9"/>
      <c r="HA130" s="9"/>
      <c r="HB130" s="9"/>
      <c r="HC130" s="9"/>
      <c r="HD130" s="9"/>
      <c r="HE130" s="9"/>
      <c r="HF130" s="9"/>
      <c r="HG130" s="9"/>
      <c r="HH130" s="9"/>
      <c r="HI130" s="9"/>
      <c r="HJ130" s="9"/>
      <c r="HK130" s="9"/>
      <c r="HL130" s="9"/>
      <c r="HM130" s="9"/>
      <c r="HN130" s="9"/>
      <c r="HO130" s="9"/>
      <c r="HP130" s="9"/>
      <c r="HQ130" s="9"/>
      <c r="HR130" s="9"/>
      <c r="HS130" s="9"/>
      <c r="HT130" s="9"/>
      <c r="HU130" s="9"/>
      <c r="HV130" s="9"/>
      <c r="HW130" s="9"/>
      <c r="HX130" s="9"/>
      <c r="HY130" s="9"/>
      <c r="HZ130" s="9"/>
    </row>
    <row r="131" spans="1:234" s="6" customFormat="1" ht="15" customHeight="1">
      <c r="A131" s="69"/>
      <c r="B131" s="76" t="s">
        <v>85</v>
      </c>
      <c r="C131" s="69" t="s">
        <v>365</v>
      </c>
      <c r="D131" s="40">
        <f>D128*0.58</f>
        <v>1.7399999999999998</v>
      </c>
      <c r="E131" s="40">
        <f>E124</f>
        <v>492.3275388736576</v>
      </c>
      <c r="F131" s="70">
        <f t="shared" si="5"/>
        <v>856.6499176401641</v>
      </c>
      <c r="G131" s="71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  <c r="DA131" s="9"/>
      <c r="DB131" s="9"/>
      <c r="DC131" s="9"/>
      <c r="DD131" s="9"/>
      <c r="DE131" s="9"/>
      <c r="DF131" s="9"/>
      <c r="DG131" s="9"/>
      <c r="DH131" s="9"/>
      <c r="DI131" s="9"/>
      <c r="DJ131" s="9"/>
      <c r="DK131" s="9"/>
      <c r="DL131" s="9"/>
      <c r="DM131" s="9"/>
      <c r="DN131" s="9"/>
      <c r="DO131" s="9"/>
      <c r="DP131" s="9"/>
      <c r="DQ131" s="9"/>
      <c r="DR131" s="9"/>
      <c r="DS131" s="9"/>
      <c r="DT131" s="9"/>
      <c r="DU131" s="9"/>
      <c r="DV131" s="9"/>
      <c r="DW131" s="9"/>
      <c r="DX131" s="9"/>
      <c r="DY131" s="9"/>
      <c r="DZ131" s="9"/>
      <c r="EA131" s="9"/>
      <c r="EB131" s="9"/>
      <c r="EC131" s="9"/>
      <c r="ED131" s="9"/>
      <c r="EE131" s="9"/>
      <c r="EF131" s="9"/>
      <c r="EG131" s="9"/>
      <c r="EH131" s="9"/>
      <c r="EI131" s="9"/>
      <c r="EJ131" s="9"/>
      <c r="EK131" s="9"/>
      <c r="EL131" s="9"/>
      <c r="EM131" s="9"/>
      <c r="EN131" s="9"/>
      <c r="EO131" s="9"/>
      <c r="EP131" s="9"/>
      <c r="EQ131" s="9"/>
      <c r="ER131" s="9"/>
      <c r="ES131" s="9"/>
      <c r="ET131" s="9"/>
      <c r="EU131" s="9"/>
      <c r="EV131" s="9"/>
      <c r="EW131" s="9"/>
      <c r="EX131" s="9"/>
      <c r="EY131" s="9"/>
      <c r="EZ131" s="9"/>
      <c r="FA131" s="9"/>
      <c r="FB131" s="9"/>
      <c r="FC131" s="9"/>
      <c r="FD131" s="9"/>
      <c r="FE131" s="9"/>
      <c r="FF131" s="9"/>
      <c r="FG131" s="9"/>
      <c r="FH131" s="9"/>
      <c r="FI131" s="9"/>
      <c r="FJ131" s="9"/>
      <c r="FK131" s="9"/>
      <c r="FL131" s="9"/>
      <c r="FM131" s="9"/>
      <c r="FN131" s="9"/>
      <c r="FO131" s="9"/>
      <c r="FP131" s="9"/>
      <c r="FQ131" s="9"/>
      <c r="FR131" s="9"/>
      <c r="FS131" s="9"/>
      <c r="FT131" s="9"/>
      <c r="FU131" s="9"/>
      <c r="FV131" s="9"/>
      <c r="FW131" s="9"/>
      <c r="FX131" s="9"/>
      <c r="FY131" s="9"/>
      <c r="FZ131" s="9"/>
      <c r="GA131" s="9"/>
      <c r="GB131" s="9"/>
      <c r="GC131" s="9"/>
      <c r="GD131" s="9"/>
      <c r="GE131" s="9"/>
      <c r="GF131" s="9"/>
      <c r="GG131" s="9"/>
      <c r="GH131" s="9"/>
      <c r="GI131" s="9"/>
      <c r="GJ131" s="9"/>
      <c r="GK131" s="9"/>
      <c r="GL131" s="9"/>
      <c r="GM131" s="9"/>
      <c r="GN131" s="9"/>
      <c r="GO131" s="9"/>
      <c r="GP131" s="9"/>
      <c r="GQ131" s="9"/>
      <c r="GR131" s="9"/>
      <c r="GS131" s="9"/>
      <c r="GT131" s="9"/>
      <c r="GU131" s="9"/>
      <c r="GV131" s="9"/>
      <c r="GW131" s="9"/>
      <c r="GX131" s="9"/>
      <c r="GY131" s="9"/>
      <c r="GZ131" s="9"/>
      <c r="HA131" s="9"/>
      <c r="HB131" s="9"/>
      <c r="HC131" s="9"/>
      <c r="HD131" s="9"/>
      <c r="HE131" s="9"/>
      <c r="HF131" s="9"/>
      <c r="HG131" s="9"/>
      <c r="HH131" s="9"/>
      <c r="HI131" s="9"/>
      <c r="HJ131" s="9"/>
      <c r="HK131" s="9"/>
      <c r="HL131" s="9"/>
      <c r="HM131" s="9"/>
      <c r="HN131" s="9"/>
      <c r="HO131" s="9"/>
      <c r="HP131" s="9"/>
      <c r="HQ131" s="9"/>
      <c r="HR131" s="9"/>
      <c r="HS131" s="9"/>
      <c r="HT131" s="9"/>
      <c r="HU131" s="9"/>
      <c r="HV131" s="9"/>
      <c r="HW131" s="9"/>
      <c r="HX131" s="9"/>
      <c r="HY131" s="9"/>
      <c r="HZ131" s="9"/>
    </row>
    <row r="132" spans="1:234" s="6" customFormat="1" ht="15" customHeight="1">
      <c r="A132" s="69"/>
      <c r="B132" s="76" t="s">
        <v>671</v>
      </c>
      <c r="C132" s="69" t="s">
        <v>365</v>
      </c>
      <c r="D132" s="40">
        <f>D128*3.2</f>
        <v>9.600000000000001</v>
      </c>
      <c r="E132" s="40">
        <f>E125</f>
        <v>543.2907216410263</v>
      </c>
      <c r="F132" s="70">
        <f t="shared" si="5"/>
        <v>5215.590927753853</v>
      </c>
      <c r="G132" s="71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  <c r="CX132" s="9"/>
      <c r="CY132" s="9"/>
      <c r="CZ132" s="9"/>
      <c r="DA132" s="9"/>
      <c r="DB132" s="9"/>
      <c r="DC132" s="9"/>
      <c r="DD132" s="9"/>
      <c r="DE132" s="9"/>
      <c r="DF132" s="9"/>
      <c r="DG132" s="9"/>
      <c r="DH132" s="9"/>
      <c r="DI132" s="9"/>
      <c r="DJ132" s="9"/>
      <c r="DK132" s="9"/>
      <c r="DL132" s="9"/>
      <c r="DM132" s="9"/>
      <c r="DN132" s="9"/>
      <c r="DO132" s="9"/>
      <c r="DP132" s="9"/>
      <c r="DQ132" s="9"/>
      <c r="DR132" s="9"/>
      <c r="DS132" s="9"/>
      <c r="DT132" s="9"/>
      <c r="DU132" s="9"/>
      <c r="DV132" s="9"/>
      <c r="DW132" s="9"/>
      <c r="DX132" s="9"/>
      <c r="DY132" s="9"/>
      <c r="DZ132" s="9"/>
      <c r="EA132" s="9"/>
      <c r="EB132" s="9"/>
      <c r="EC132" s="9"/>
      <c r="ED132" s="9"/>
      <c r="EE132" s="9"/>
      <c r="EF132" s="9"/>
      <c r="EG132" s="9"/>
      <c r="EH132" s="9"/>
      <c r="EI132" s="9"/>
      <c r="EJ132" s="9"/>
      <c r="EK132" s="9"/>
      <c r="EL132" s="9"/>
      <c r="EM132" s="9"/>
      <c r="EN132" s="9"/>
      <c r="EO132" s="9"/>
      <c r="EP132" s="9"/>
      <c r="EQ132" s="9"/>
      <c r="ER132" s="9"/>
      <c r="ES132" s="9"/>
      <c r="ET132" s="9"/>
      <c r="EU132" s="9"/>
      <c r="EV132" s="9"/>
      <c r="EW132" s="9"/>
      <c r="EX132" s="9"/>
      <c r="EY132" s="9"/>
      <c r="EZ132" s="9"/>
      <c r="FA132" s="9"/>
      <c r="FB132" s="9"/>
      <c r="FC132" s="9"/>
      <c r="FD132" s="9"/>
      <c r="FE132" s="9"/>
      <c r="FF132" s="9"/>
      <c r="FG132" s="9"/>
      <c r="FH132" s="9"/>
      <c r="FI132" s="9"/>
      <c r="FJ132" s="9"/>
      <c r="FK132" s="9"/>
      <c r="FL132" s="9"/>
      <c r="FM132" s="9"/>
      <c r="FN132" s="9"/>
      <c r="FO132" s="9"/>
      <c r="FP132" s="9"/>
      <c r="FQ132" s="9"/>
      <c r="FR132" s="9"/>
      <c r="FS132" s="9"/>
      <c r="FT132" s="9"/>
      <c r="FU132" s="9"/>
      <c r="FV132" s="9"/>
      <c r="FW132" s="9"/>
      <c r="FX132" s="9"/>
      <c r="FY132" s="9"/>
      <c r="FZ132" s="9"/>
      <c r="GA132" s="9"/>
      <c r="GB132" s="9"/>
      <c r="GC132" s="9"/>
      <c r="GD132" s="9"/>
      <c r="GE132" s="9"/>
      <c r="GF132" s="9"/>
      <c r="GG132" s="9"/>
      <c r="GH132" s="9"/>
      <c r="GI132" s="9"/>
      <c r="GJ132" s="9"/>
      <c r="GK132" s="9"/>
      <c r="GL132" s="9"/>
      <c r="GM132" s="9"/>
      <c r="GN132" s="9"/>
      <c r="GO132" s="9"/>
      <c r="GP132" s="9"/>
      <c r="GQ132" s="9"/>
      <c r="GR132" s="9"/>
      <c r="GS132" s="9"/>
      <c r="GT132" s="9"/>
      <c r="GU132" s="9"/>
      <c r="GV132" s="9"/>
      <c r="GW132" s="9"/>
      <c r="GX132" s="9"/>
      <c r="GY132" s="9"/>
      <c r="GZ132" s="9"/>
      <c r="HA132" s="9"/>
      <c r="HB132" s="9"/>
      <c r="HC132" s="9"/>
      <c r="HD132" s="9"/>
      <c r="HE132" s="9"/>
      <c r="HF132" s="9"/>
      <c r="HG132" s="9"/>
      <c r="HH132" s="9"/>
      <c r="HI132" s="9"/>
      <c r="HJ132" s="9"/>
      <c r="HK132" s="9"/>
      <c r="HL132" s="9"/>
      <c r="HM132" s="9"/>
      <c r="HN132" s="9"/>
      <c r="HO132" s="9"/>
      <c r="HP132" s="9"/>
      <c r="HQ132" s="9"/>
      <c r="HR132" s="9"/>
      <c r="HS132" s="9"/>
      <c r="HT132" s="9"/>
      <c r="HU132" s="9"/>
      <c r="HV132" s="9"/>
      <c r="HW132" s="9"/>
      <c r="HX132" s="9"/>
      <c r="HY132" s="9"/>
      <c r="HZ132" s="9"/>
    </row>
    <row r="133" spans="1:234" s="6" customFormat="1" ht="15" customHeight="1">
      <c r="A133" s="69"/>
      <c r="B133" s="76" t="s">
        <v>83</v>
      </c>
      <c r="C133" s="69" t="s">
        <v>365</v>
      </c>
      <c r="D133" s="40">
        <f>D128*7.48</f>
        <v>22.44</v>
      </c>
      <c r="E133" s="40">
        <f>E126</f>
        <v>319.6728143876425</v>
      </c>
      <c r="F133" s="70">
        <f t="shared" si="5"/>
        <v>7173.457954858699</v>
      </c>
      <c r="G133" s="71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9"/>
      <c r="DC133" s="9"/>
      <c r="DD133" s="9"/>
      <c r="DE133" s="9"/>
      <c r="DF133" s="9"/>
      <c r="DG133" s="9"/>
      <c r="DH133" s="9"/>
      <c r="DI133" s="9"/>
      <c r="DJ133" s="9"/>
      <c r="DK133" s="9"/>
      <c r="DL133" s="9"/>
      <c r="DM133" s="9"/>
      <c r="DN133" s="9"/>
      <c r="DO133" s="9"/>
      <c r="DP133" s="9"/>
      <c r="DQ133" s="9"/>
      <c r="DR133" s="9"/>
      <c r="DS133" s="9"/>
      <c r="DT133" s="9"/>
      <c r="DU133" s="9"/>
      <c r="DV133" s="9"/>
      <c r="DW133" s="9"/>
      <c r="DX133" s="9"/>
      <c r="DY133" s="9"/>
      <c r="DZ133" s="9"/>
      <c r="EA133" s="9"/>
      <c r="EB133" s="9"/>
      <c r="EC133" s="9"/>
      <c r="ED133" s="9"/>
      <c r="EE133" s="9"/>
      <c r="EF133" s="9"/>
      <c r="EG133" s="9"/>
      <c r="EH133" s="9"/>
      <c r="EI133" s="9"/>
      <c r="EJ133" s="9"/>
      <c r="EK133" s="9"/>
      <c r="EL133" s="9"/>
      <c r="EM133" s="9"/>
      <c r="EN133" s="9"/>
      <c r="EO133" s="9"/>
      <c r="EP133" s="9"/>
      <c r="EQ133" s="9"/>
      <c r="ER133" s="9"/>
      <c r="ES133" s="9"/>
      <c r="ET133" s="9"/>
      <c r="EU133" s="9"/>
      <c r="EV133" s="9"/>
      <c r="EW133" s="9"/>
      <c r="EX133" s="9"/>
      <c r="EY133" s="9"/>
      <c r="EZ133" s="9"/>
      <c r="FA133" s="9"/>
      <c r="FB133" s="9"/>
      <c r="FC133" s="9"/>
      <c r="FD133" s="9"/>
      <c r="FE133" s="9"/>
      <c r="FF133" s="9"/>
      <c r="FG133" s="9"/>
      <c r="FH133" s="9"/>
      <c r="FI133" s="9"/>
      <c r="FJ133" s="9"/>
      <c r="FK133" s="9"/>
      <c r="FL133" s="9"/>
      <c r="FM133" s="9"/>
      <c r="FN133" s="9"/>
      <c r="FO133" s="9"/>
      <c r="FP133" s="9"/>
      <c r="FQ133" s="9"/>
      <c r="FR133" s="9"/>
      <c r="FS133" s="9"/>
      <c r="FT133" s="9"/>
      <c r="FU133" s="9"/>
      <c r="FV133" s="9"/>
      <c r="FW133" s="9"/>
      <c r="FX133" s="9"/>
      <c r="FY133" s="9"/>
      <c r="FZ133" s="9"/>
      <c r="GA133" s="9"/>
      <c r="GB133" s="9"/>
      <c r="GC133" s="9"/>
      <c r="GD133" s="9"/>
      <c r="GE133" s="9"/>
      <c r="GF133" s="9"/>
      <c r="GG133" s="9"/>
      <c r="GH133" s="9"/>
      <c r="GI133" s="9"/>
      <c r="GJ133" s="9"/>
      <c r="GK133" s="9"/>
      <c r="GL133" s="9"/>
      <c r="GM133" s="9"/>
      <c r="GN133" s="9"/>
      <c r="GO133" s="9"/>
      <c r="GP133" s="9"/>
      <c r="GQ133" s="9"/>
      <c r="GR133" s="9"/>
      <c r="GS133" s="9"/>
      <c r="GT133" s="9"/>
      <c r="GU133" s="9"/>
      <c r="GV133" s="9"/>
      <c r="GW133" s="9"/>
      <c r="GX133" s="9"/>
      <c r="GY133" s="9"/>
      <c r="GZ133" s="9"/>
      <c r="HA133" s="9"/>
      <c r="HB133" s="9"/>
      <c r="HC133" s="9"/>
      <c r="HD133" s="9"/>
      <c r="HE133" s="9"/>
      <c r="HF133" s="9"/>
      <c r="HG133" s="9"/>
      <c r="HH133" s="9"/>
      <c r="HI133" s="9"/>
      <c r="HJ133" s="9"/>
      <c r="HK133" s="9"/>
      <c r="HL133" s="9"/>
      <c r="HM133" s="9"/>
      <c r="HN133" s="9"/>
      <c r="HO133" s="9"/>
      <c r="HP133" s="9"/>
      <c r="HQ133" s="9"/>
      <c r="HR133" s="9"/>
      <c r="HS133" s="9"/>
      <c r="HT133" s="9"/>
      <c r="HU133" s="9"/>
      <c r="HV133" s="9"/>
      <c r="HW133" s="9"/>
      <c r="HX133" s="9"/>
      <c r="HY133" s="9"/>
      <c r="HZ133" s="9"/>
    </row>
    <row r="134" spans="1:226" s="6" customFormat="1" ht="15" customHeight="1">
      <c r="A134" s="75">
        <v>8</v>
      </c>
      <c r="B134" s="85" t="s">
        <v>672</v>
      </c>
      <c r="C134" s="87" t="s">
        <v>65</v>
      </c>
      <c r="D134" s="41">
        <v>5</v>
      </c>
      <c r="E134" s="40"/>
      <c r="F134" s="70">
        <f>SUM(F135:F139)</f>
        <v>18162.855981574183</v>
      </c>
      <c r="G134" s="71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9"/>
      <c r="CV134" s="9"/>
      <c r="CW134" s="9"/>
      <c r="CX134" s="9"/>
      <c r="CY134" s="9"/>
      <c r="CZ134" s="9"/>
      <c r="DA134" s="9"/>
      <c r="DB134" s="9"/>
      <c r="DC134" s="9"/>
      <c r="DD134" s="9"/>
      <c r="DE134" s="9"/>
      <c r="DF134" s="9"/>
      <c r="DG134" s="9"/>
      <c r="DH134" s="9"/>
      <c r="DI134" s="9"/>
      <c r="DJ134" s="9"/>
      <c r="DK134" s="9"/>
      <c r="DL134" s="9"/>
      <c r="DM134" s="9"/>
      <c r="DN134" s="9"/>
      <c r="DO134" s="9"/>
      <c r="DP134" s="9"/>
      <c r="DQ134" s="9"/>
      <c r="DR134" s="9"/>
      <c r="DS134" s="9"/>
      <c r="DT134" s="9"/>
      <c r="DU134" s="9"/>
      <c r="DV134" s="9"/>
      <c r="DW134" s="9"/>
      <c r="DX134" s="9"/>
      <c r="DY134" s="9"/>
      <c r="DZ134" s="9"/>
      <c r="EA134" s="9"/>
      <c r="EB134" s="9"/>
      <c r="EC134" s="9"/>
      <c r="ED134" s="9"/>
      <c r="EE134" s="9"/>
      <c r="EF134" s="9"/>
      <c r="EG134" s="9"/>
      <c r="EH134" s="9"/>
      <c r="EI134" s="9"/>
      <c r="EJ134" s="9"/>
      <c r="EK134" s="9"/>
      <c r="EL134" s="9"/>
      <c r="EM134" s="9"/>
      <c r="EN134" s="9"/>
      <c r="EO134" s="9"/>
      <c r="EP134" s="9"/>
      <c r="EQ134" s="9"/>
      <c r="ER134" s="9"/>
      <c r="ES134" s="9"/>
      <c r="ET134" s="9"/>
      <c r="EU134" s="9"/>
      <c r="EV134" s="9"/>
      <c r="EW134" s="9"/>
      <c r="EX134" s="9"/>
      <c r="EY134" s="9"/>
      <c r="EZ134" s="9"/>
      <c r="FA134" s="9"/>
      <c r="FB134" s="9"/>
      <c r="FC134" s="9"/>
      <c r="FD134" s="9"/>
      <c r="FE134" s="9"/>
      <c r="FF134" s="9"/>
      <c r="FG134" s="9"/>
      <c r="FH134" s="9"/>
      <c r="FI134" s="9"/>
      <c r="FJ134" s="9"/>
      <c r="FK134" s="9"/>
      <c r="FL134" s="9"/>
      <c r="FM134" s="9"/>
      <c r="FN134" s="9"/>
      <c r="FO134" s="9"/>
      <c r="FP134" s="9"/>
      <c r="FQ134" s="9"/>
      <c r="FR134" s="9"/>
      <c r="FS134" s="9"/>
      <c r="FT134" s="9"/>
      <c r="FU134" s="9"/>
      <c r="FV134" s="9"/>
      <c r="FW134" s="9"/>
      <c r="FX134" s="9"/>
      <c r="FY134" s="9"/>
      <c r="FZ134" s="9"/>
      <c r="GA134" s="9"/>
      <c r="GB134" s="9"/>
      <c r="GC134" s="9"/>
      <c r="GD134" s="9"/>
      <c r="GE134" s="9"/>
      <c r="GF134" s="9"/>
      <c r="GG134" s="9"/>
      <c r="GH134" s="9"/>
      <c r="GI134" s="9"/>
      <c r="GJ134" s="9"/>
      <c r="GK134" s="9"/>
      <c r="GL134" s="9"/>
      <c r="GM134" s="9"/>
      <c r="GN134" s="9"/>
      <c r="GO134" s="9"/>
      <c r="GP134" s="9"/>
      <c r="GQ134" s="9"/>
      <c r="GR134" s="9"/>
      <c r="GS134" s="9"/>
      <c r="GT134" s="9"/>
      <c r="GU134" s="9"/>
      <c r="GV134" s="9"/>
      <c r="GW134" s="9"/>
      <c r="GX134" s="9"/>
      <c r="GY134" s="9"/>
      <c r="GZ134" s="9"/>
      <c r="HA134" s="9"/>
      <c r="HB134" s="9"/>
      <c r="HC134" s="9"/>
      <c r="HD134" s="9"/>
      <c r="HE134" s="9"/>
      <c r="HF134" s="9"/>
      <c r="HG134" s="9"/>
      <c r="HH134" s="9"/>
      <c r="HI134" s="9"/>
      <c r="HJ134" s="9"/>
      <c r="HK134" s="9"/>
      <c r="HL134" s="9"/>
      <c r="HM134" s="9"/>
      <c r="HN134" s="9"/>
      <c r="HO134" s="9"/>
      <c r="HP134" s="9"/>
      <c r="HQ134" s="9"/>
      <c r="HR134" s="9"/>
    </row>
    <row r="135" spans="1:226" s="6" customFormat="1" ht="15" customHeight="1">
      <c r="A135" s="69"/>
      <c r="B135" s="76" t="s">
        <v>46</v>
      </c>
      <c r="C135" s="69" t="s">
        <v>365</v>
      </c>
      <c r="D135" s="40">
        <f>D134*8.6</f>
        <v>43</v>
      </c>
      <c r="E135" s="40">
        <f>E129</f>
        <v>5.948462518329764</v>
      </c>
      <c r="F135" s="70">
        <f t="shared" si="5"/>
        <v>255.78388828817987</v>
      </c>
      <c r="G135" s="71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9"/>
      <c r="CL135" s="9"/>
      <c r="CM135" s="9"/>
      <c r="CN135" s="9"/>
      <c r="CO135" s="9"/>
      <c r="CP135" s="9"/>
      <c r="CQ135" s="9"/>
      <c r="CR135" s="9"/>
      <c r="CS135" s="9"/>
      <c r="CT135" s="9"/>
      <c r="CU135" s="9"/>
      <c r="CV135" s="9"/>
      <c r="CW135" s="9"/>
      <c r="CX135" s="9"/>
      <c r="CY135" s="9"/>
      <c r="CZ135" s="9"/>
      <c r="DA135" s="9"/>
      <c r="DB135" s="9"/>
      <c r="DC135" s="9"/>
      <c r="DD135" s="9"/>
      <c r="DE135" s="9"/>
      <c r="DF135" s="9"/>
      <c r="DG135" s="9"/>
      <c r="DH135" s="9"/>
      <c r="DI135" s="9"/>
      <c r="DJ135" s="9"/>
      <c r="DK135" s="9"/>
      <c r="DL135" s="9"/>
      <c r="DM135" s="9"/>
      <c r="DN135" s="9"/>
      <c r="DO135" s="9"/>
      <c r="DP135" s="9"/>
      <c r="DQ135" s="9"/>
      <c r="DR135" s="9"/>
      <c r="DS135" s="9"/>
      <c r="DT135" s="9"/>
      <c r="DU135" s="9"/>
      <c r="DV135" s="9"/>
      <c r="DW135" s="9"/>
      <c r="DX135" s="9"/>
      <c r="DY135" s="9"/>
      <c r="DZ135" s="9"/>
      <c r="EA135" s="9"/>
      <c r="EB135" s="9"/>
      <c r="EC135" s="9"/>
      <c r="ED135" s="9"/>
      <c r="EE135" s="9"/>
      <c r="EF135" s="9"/>
      <c r="EG135" s="9"/>
      <c r="EH135" s="9"/>
      <c r="EI135" s="9"/>
      <c r="EJ135" s="9"/>
      <c r="EK135" s="9"/>
      <c r="EL135" s="9"/>
      <c r="EM135" s="9"/>
      <c r="EN135" s="9"/>
      <c r="EO135" s="9"/>
      <c r="EP135" s="9"/>
      <c r="EQ135" s="9"/>
      <c r="ER135" s="9"/>
      <c r="ES135" s="9"/>
      <c r="ET135" s="9"/>
      <c r="EU135" s="9"/>
      <c r="EV135" s="9"/>
      <c r="EW135" s="9"/>
      <c r="EX135" s="9"/>
      <c r="EY135" s="9"/>
      <c r="EZ135" s="9"/>
      <c r="FA135" s="9"/>
      <c r="FB135" s="9"/>
      <c r="FC135" s="9"/>
      <c r="FD135" s="9"/>
      <c r="FE135" s="9"/>
      <c r="FF135" s="9"/>
      <c r="FG135" s="9"/>
      <c r="FH135" s="9"/>
      <c r="FI135" s="9"/>
      <c r="FJ135" s="9"/>
      <c r="FK135" s="9"/>
      <c r="FL135" s="9"/>
      <c r="FM135" s="9"/>
      <c r="FN135" s="9"/>
      <c r="FO135" s="9"/>
      <c r="FP135" s="9"/>
      <c r="FQ135" s="9"/>
      <c r="FR135" s="9"/>
      <c r="FS135" s="9"/>
      <c r="FT135" s="9"/>
      <c r="FU135" s="9"/>
      <c r="FV135" s="9"/>
      <c r="FW135" s="9"/>
      <c r="FX135" s="9"/>
      <c r="FY135" s="9"/>
      <c r="FZ135" s="9"/>
      <c r="GA135" s="9"/>
      <c r="GB135" s="9"/>
      <c r="GC135" s="9"/>
      <c r="GD135" s="9"/>
      <c r="GE135" s="9"/>
      <c r="GF135" s="9"/>
      <c r="GG135" s="9"/>
      <c r="GH135" s="9"/>
      <c r="GI135" s="9"/>
      <c r="GJ135" s="9"/>
      <c r="GK135" s="9"/>
      <c r="GL135" s="9"/>
      <c r="GM135" s="9"/>
      <c r="GN135" s="9"/>
      <c r="GO135" s="9"/>
      <c r="GP135" s="9"/>
      <c r="GQ135" s="9"/>
      <c r="GR135" s="9"/>
      <c r="GS135" s="9"/>
      <c r="GT135" s="9"/>
      <c r="GU135" s="9"/>
      <c r="GV135" s="9"/>
      <c r="GW135" s="9"/>
      <c r="GX135" s="9"/>
      <c r="GY135" s="9"/>
      <c r="GZ135" s="9"/>
      <c r="HA135" s="9"/>
      <c r="HB135" s="9"/>
      <c r="HC135" s="9"/>
      <c r="HD135" s="9"/>
      <c r="HE135" s="9"/>
      <c r="HF135" s="9"/>
      <c r="HG135" s="9"/>
      <c r="HH135" s="9"/>
      <c r="HI135" s="9"/>
      <c r="HJ135" s="9"/>
      <c r="HK135" s="9"/>
      <c r="HL135" s="9"/>
      <c r="HM135" s="9"/>
      <c r="HN135" s="9"/>
      <c r="HO135" s="9"/>
      <c r="HP135" s="9"/>
      <c r="HQ135" s="9"/>
      <c r="HR135" s="9"/>
    </row>
    <row r="136" spans="1:226" s="6" customFormat="1" ht="15" customHeight="1">
      <c r="A136" s="69"/>
      <c r="B136" s="76" t="s">
        <v>48</v>
      </c>
      <c r="C136" s="69" t="s">
        <v>365</v>
      </c>
      <c r="D136" s="40">
        <f>D134*7.85</f>
        <v>39.25</v>
      </c>
      <c r="E136" s="40">
        <f>E130</f>
        <v>22.087821666441833</v>
      </c>
      <c r="F136" s="70">
        <f t="shared" si="5"/>
        <v>866.947000407842</v>
      </c>
      <c r="G136" s="71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9"/>
      <c r="CR136" s="9"/>
      <c r="CS136" s="9"/>
      <c r="CT136" s="9"/>
      <c r="CU136" s="9"/>
      <c r="CV136" s="9"/>
      <c r="CW136" s="9"/>
      <c r="CX136" s="9"/>
      <c r="CY136" s="9"/>
      <c r="CZ136" s="9"/>
      <c r="DA136" s="9"/>
      <c r="DB136" s="9"/>
      <c r="DC136" s="9"/>
      <c r="DD136" s="9"/>
      <c r="DE136" s="9"/>
      <c r="DF136" s="9"/>
      <c r="DG136" s="9"/>
      <c r="DH136" s="9"/>
      <c r="DI136" s="9"/>
      <c r="DJ136" s="9"/>
      <c r="DK136" s="9"/>
      <c r="DL136" s="9"/>
      <c r="DM136" s="9"/>
      <c r="DN136" s="9"/>
      <c r="DO136" s="9"/>
      <c r="DP136" s="9"/>
      <c r="DQ136" s="9"/>
      <c r="DR136" s="9"/>
      <c r="DS136" s="9"/>
      <c r="DT136" s="9"/>
      <c r="DU136" s="9"/>
      <c r="DV136" s="9"/>
      <c r="DW136" s="9"/>
      <c r="DX136" s="9"/>
      <c r="DY136" s="9"/>
      <c r="DZ136" s="9"/>
      <c r="EA136" s="9"/>
      <c r="EB136" s="9"/>
      <c r="EC136" s="9"/>
      <c r="ED136" s="9"/>
      <c r="EE136" s="9"/>
      <c r="EF136" s="9"/>
      <c r="EG136" s="9"/>
      <c r="EH136" s="9"/>
      <c r="EI136" s="9"/>
      <c r="EJ136" s="9"/>
      <c r="EK136" s="9"/>
      <c r="EL136" s="9"/>
      <c r="EM136" s="9"/>
      <c r="EN136" s="9"/>
      <c r="EO136" s="9"/>
      <c r="EP136" s="9"/>
      <c r="EQ136" s="9"/>
      <c r="ER136" s="9"/>
      <c r="ES136" s="9"/>
      <c r="ET136" s="9"/>
      <c r="EU136" s="9"/>
      <c r="EV136" s="9"/>
      <c r="EW136" s="9"/>
      <c r="EX136" s="9"/>
      <c r="EY136" s="9"/>
      <c r="EZ136" s="9"/>
      <c r="FA136" s="9"/>
      <c r="FB136" s="9"/>
      <c r="FC136" s="9"/>
      <c r="FD136" s="9"/>
      <c r="FE136" s="9"/>
      <c r="FF136" s="9"/>
      <c r="FG136" s="9"/>
      <c r="FH136" s="9"/>
      <c r="FI136" s="9"/>
      <c r="FJ136" s="9"/>
      <c r="FK136" s="9"/>
      <c r="FL136" s="9"/>
      <c r="FM136" s="9"/>
      <c r="FN136" s="9"/>
      <c r="FO136" s="9"/>
      <c r="FP136" s="9"/>
      <c r="FQ136" s="9"/>
      <c r="FR136" s="9"/>
      <c r="FS136" s="9"/>
      <c r="FT136" s="9"/>
      <c r="FU136" s="9"/>
      <c r="FV136" s="9"/>
      <c r="FW136" s="9"/>
      <c r="FX136" s="9"/>
      <c r="FY136" s="9"/>
      <c r="FZ136" s="9"/>
      <c r="GA136" s="9"/>
      <c r="GB136" s="9"/>
      <c r="GC136" s="9"/>
      <c r="GD136" s="9"/>
      <c r="GE136" s="9"/>
      <c r="GF136" s="9"/>
      <c r="GG136" s="9"/>
      <c r="GH136" s="9"/>
      <c r="GI136" s="9"/>
      <c r="GJ136" s="9"/>
      <c r="GK136" s="9"/>
      <c r="GL136" s="9"/>
      <c r="GM136" s="9"/>
      <c r="GN136" s="9"/>
      <c r="GO136" s="9"/>
      <c r="GP136" s="9"/>
      <c r="GQ136" s="9"/>
      <c r="GR136" s="9"/>
      <c r="GS136" s="9"/>
      <c r="GT136" s="9"/>
      <c r="GU136" s="9"/>
      <c r="GV136" s="9"/>
      <c r="GW136" s="9"/>
      <c r="GX136" s="9"/>
      <c r="GY136" s="9"/>
      <c r="GZ136" s="9"/>
      <c r="HA136" s="9"/>
      <c r="HB136" s="9"/>
      <c r="HC136" s="9"/>
      <c r="HD136" s="9"/>
      <c r="HE136" s="9"/>
      <c r="HF136" s="9"/>
      <c r="HG136" s="9"/>
      <c r="HH136" s="9"/>
      <c r="HI136" s="9"/>
      <c r="HJ136" s="9"/>
      <c r="HK136" s="9"/>
      <c r="HL136" s="9"/>
      <c r="HM136" s="9"/>
      <c r="HN136" s="9"/>
      <c r="HO136" s="9"/>
      <c r="HP136" s="9"/>
      <c r="HQ136" s="9"/>
      <c r="HR136" s="9"/>
    </row>
    <row r="137" spans="1:226" s="6" customFormat="1" ht="15" customHeight="1">
      <c r="A137" s="69"/>
      <c r="B137" s="76" t="s">
        <v>85</v>
      </c>
      <c r="C137" s="69" t="s">
        <v>365</v>
      </c>
      <c r="D137" s="40">
        <f>D134*0.58</f>
        <v>2.9</v>
      </c>
      <c r="E137" s="40">
        <f>E131</f>
        <v>492.3275388736576</v>
      </c>
      <c r="F137" s="70">
        <f t="shared" si="5"/>
        <v>1427.749862733607</v>
      </c>
      <c r="G137" s="71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  <c r="CJ137" s="9"/>
      <c r="CK137" s="9"/>
      <c r="CL137" s="9"/>
      <c r="CM137" s="9"/>
      <c r="CN137" s="9"/>
      <c r="CO137" s="9"/>
      <c r="CP137" s="9"/>
      <c r="CQ137" s="9"/>
      <c r="CR137" s="9"/>
      <c r="CS137" s="9"/>
      <c r="CT137" s="9"/>
      <c r="CU137" s="9"/>
      <c r="CV137" s="9"/>
      <c r="CW137" s="9"/>
      <c r="CX137" s="9"/>
      <c r="CY137" s="9"/>
      <c r="CZ137" s="9"/>
      <c r="DA137" s="9"/>
      <c r="DB137" s="9"/>
      <c r="DC137" s="9"/>
      <c r="DD137" s="9"/>
      <c r="DE137" s="9"/>
      <c r="DF137" s="9"/>
      <c r="DG137" s="9"/>
      <c r="DH137" s="9"/>
      <c r="DI137" s="9"/>
      <c r="DJ137" s="9"/>
      <c r="DK137" s="9"/>
      <c r="DL137" s="9"/>
      <c r="DM137" s="9"/>
      <c r="DN137" s="9"/>
      <c r="DO137" s="9"/>
      <c r="DP137" s="9"/>
      <c r="DQ137" s="9"/>
      <c r="DR137" s="9"/>
      <c r="DS137" s="9"/>
      <c r="DT137" s="9"/>
      <c r="DU137" s="9"/>
      <c r="DV137" s="9"/>
      <c r="DW137" s="9"/>
      <c r="DX137" s="9"/>
      <c r="DY137" s="9"/>
      <c r="DZ137" s="9"/>
      <c r="EA137" s="9"/>
      <c r="EB137" s="9"/>
      <c r="EC137" s="9"/>
      <c r="ED137" s="9"/>
      <c r="EE137" s="9"/>
      <c r="EF137" s="9"/>
      <c r="EG137" s="9"/>
      <c r="EH137" s="9"/>
      <c r="EI137" s="9"/>
      <c r="EJ137" s="9"/>
      <c r="EK137" s="9"/>
      <c r="EL137" s="9"/>
      <c r="EM137" s="9"/>
      <c r="EN137" s="9"/>
      <c r="EO137" s="9"/>
      <c r="EP137" s="9"/>
      <c r="EQ137" s="9"/>
      <c r="ER137" s="9"/>
      <c r="ES137" s="9"/>
      <c r="ET137" s="9"/>
      <c r="EU137" s="9"/>
      <c r="EV137" s="9"/>
      <c r="EW137" s="9"/>
      <c r="EX137" s="9"/>
      <c r="EY137" s="9"/>
      <c r="EZ137" s="9"/>
      <c r="FA137" s="9"/>
      <c r="FB137" s="9"/>
      <c r="FC137" s="9"/>
      <c r="FD137" s="9"/>
      <c r="FE137" s="9"/>
      <c r="FF137" s="9"/>
      <c r="FG137" s="9"/>
      <c r="FH137" s="9"/>
      <c r="FI137" s="9"/>
      <c r="FJ137" s="9"/>
      <c r="FK137" s="9"/>
      <c r="FL137" s="9"/>
      <c r="FM137" s="9"/>
      <c r="FN137" s="9"/>
      <c r="FO137" s="9"/>
      <c r="FP137" s="9"/>
      <c r="FQ137" s="9"/>
      <c r="FR137" s="9"/>
      <c r="FS137" s="9"/>
      <c r="FT137" s="9"/>
      <c r="FU137" s="9"/>
      <c r="FV137" s="9"/>
      <c r="FW137" s="9"/>
      <c r="FX137" s="9"/>
      <c r="FY137" s="9"/>
      <c r="FZ137" s="9"/>
      <c r="GA137" s="9"/>
      <c r="GB137" s="9"/>
      <c r="GC137" s="9"/>
      <c r="GD137" s="9"/>
      <c r="GE137" s="9"/>
      <c r="GF137" s="9"/>
      <c r="GG137" s="9"/>
      <c r="GH137" s="9"/>
      <c r="GI137" s="9"/>
      <c r="GJ137" s="9"/>
      <c r="GK137" s="9"/>
      <c r="GL137" s="9"/>
      <c r="GM137" s="9"/>
      <c r="GN137" s="9"/>
      <c r="GO137" s="9"/>
      <c r="GP137" s="9"/>
      <c r="GQ137" s="9"/>
      <c r="GR137" s="9"/>
      <c r="GS137" s="9"/>
      <c r="GT137" s="9"/>
      <c r="GU137" s="9"/>
      <c r="GV137" s="9"/>
      <c r="GW137" s="9"/>
      <c r="GX137" s="9"/>
      <c r="GY137" s="9"/>
      <c r="GZ137" s="9"/>
      <c r="HA137" s="9"/>
      <c r="HB137" s="9"/>
      <c r="HC137" s="9"/>
      <c r="HD137" s="9"/>
      <c r="HE137" s="9"/>
      <c r="HF137" s="9"/>
      <c r="HG137" s="9"/>
      <c r="HH137" s="9"/>
      <c r="HI137" s="9"/>
      <c r="HJ137" s="9"/>
      <c r="HK137" s="9"/>
      <c r="HL137" s="9"/>
      <c r="HM137" s="9"/>
      <c r="HN137" s="9"/>
      <c r="HO137" s="9"/>
      <c r="HP137" s="9"/>
      <c r="HQ137" s="9"/>
      <c r="HR137" s="9"/>
    </row>
    <row r="138" spans="1:226" s="6" customFormat="1" ht="15" customHeight="1">
      <c r="A138" s="69"/>
      <c r="B138" s="76" t="s">
        <v>671</v>
      </c>
      <c r="C138" s="69" t="s">
        <v>365</v>
      </c>
      <c r="D138" s="40">
        <f>D134*2.67</f>
        <v>13.35</v>
      </c>
      <c r="E138" s="40">
        <f>E132</f>
        <v>543.2907216410263</v>
      </c>
      <c r="F138" s="70">
        <f t="shared" si="5"/>
        <v>7252.9311339077</v>
      </c>
      <c r="G138" s="71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  <c r="CM138" s="9"/>
      <c r="CN138" s="9"/>
      <c r="CO138" s="9"/>
      <c r="CP138" s="9"/>
      <c r="CQ138" s="9"/>
      <c r="CR138" s="9"/>
      <c r="CS138" s="9"/>
      <c r="CT138" s="9"/>
      <c r="CU138" s="9"/>
      <c r="CV138" s="9"/>
      <c r="CW138" s="9"/>
      <c r="CX138" s="9"/>
      <c r="CY138" s="9"/>
      <c r="CZ138" s="9"/>
      <c r="DA138" s="9"/>
      <c r="DB138" s="9"/>
      <c r="DC138" s="9"/>
      <c r="DD138" s="9"/>
      <c r="DE138" s="9"/>
      <c r="DF138" s="9"/>
      <c r="DG138" s="9"/>
      <c r="DH138" s="9"/>
      <c r="DI138" s="9"/>
      <c r="DJ138" s="9"/>
      <c r="DK138" s="9"/>
      <c r="DL138" s="9"/>
      <c r="DM138" s="9"/>
      <c r="DN138" s="9"/>
      <c r="DO138" s="9"/>
      <c r="DP138" s="9"/>
      <c r="DQ138" s="9"/>
      <c r="DR138" s="9"/>
      <c r="DS138" s="9"/>
      <c r="DT138" s="9"/>
      <c r="DU138" s="9"/>
      <c r="DV138" s="9"/>
      <c r="DW138" s="9"/>
      <c r="DX138" s="9"/>
      <c r="DY138" s="9"/>
      <c r="DZ138" s="9"/>
      <c r="EA138" s="9"/>
      <c r="EB138" s="9"/>
      <c r="EC138" s="9"/>
      <c r="ED138" s="9"/>
      <c r="EE138" s="9"/>
      <c r="EF138" s="9"/>
      <c r="EG138" s="9"/>
      <c r="EH138" s="9"/>
      <c r="EI138" s="9"/>
      <c r="EJ138" s="9"/>
      <c r="EK138" s="9"/>
      <c r="EL138" s="9"/>
      <c r="EM138" s="9"/>
      <c r="EN138" s="9"/>
      <c r="EO138" s="9"/>
      <c r="EP138" s="9"/>
      <c r="EQ138" s="9"/>
      <c r="ER138" s="9"/>
      <c r="ES138" s="9"/>
      <c r="ET138" s="9"/>
      <c r="EU138" s="9"/>
      <c r="EV138" s="9"/>
      <c r="EW138" s="9"/>
      <c r="EX138" s="9"/>
      <c r="EY138" s="9"/>
      <c r="EZ138" s="9"/>
      <c r="FA138" s="9"/>
      <c r="FB138" s="9"/>
      <c r="FC138" s="9"/>
      <c r="FD138" s="9"/>
      <c r="FE138" s="9"/>
      <c r="FF138" s="9"/>
      <c r="FG138" s="9"/>
      <c r="FH138" s="9"/>
      <c r="FI138" s="9"/>
      <c r="FJ138" s="9"/>
      <c r="FK138" s="9"/>
      <c r="FL138" s="9"/>
      <c r="FM138" s="9"/>
      <c r="FN138" s="9"/>
      <c r="FO138" s="9"/>
      <c r="FP138" s="9"/>
      <c r="FQ138" s="9"/>
      <c r="FR138" s="9"/>
      <c r="FS138" s="9"/>
      <c r="FT138" s="9"/>
      <c r="FU138" s="9"/>
      <c r="FV138" s="9"/>
      <c r="FW138" s="9"/>
      <c r="FX138" s="9"/>
      <c r="FY138" s="9"/>
      <c r="FZ138" s="9"/>
      <c r="GA138" s="9"/>
      <c r="GB138" s="9"/>
      <c r="GC138" s="9"/>
      <c r="GD138" s="9"/>
      <c r="GE138" s="9"/>
      <c r="GF138" s="9"/>
      <c r="GG138" s="9"/>
      <c r="GH138" s="9"/>
      <c r="GI138" s="9"/>
      <c r="GJ138" s="9"/>
      <c r="GK138" s="9"/>
      <c r="GL138" s="9"/>
      <c r="GM138" s="9"/>
      <c r="GN138" s="9"/>
      <c r="GO138" s="9"/>
      <c r="GP138" s="9"/>
      <c r="GQ138" s="9"/>
      <c r="GR138" s="9"/>
      <c r="GS138" s="9"/>
      <c r="GT138" s="9"/>
      <c r="GU138" s="9"/>
      <c r="GV138" s="9"/>
      <c r="GW138" s="9"/>
      <c r="GX138" s="9"/>
      <c r="GY138" s="9"/>
      <c r="GZ138" s="9"/>
      <c r="HA138" s="9"/>
      <c r="HB138" s="9"/>
      <c r="HC138" s="9"/>
      <c r="HD138" s="9"/>
      <c r="HE138" s="9"/>
      <c r="HF138" s="9"/>
      <c r="HG138" s="9"/>
      <c r="HH138" s="9"/>
      <c r="HI138" s="9"/>
      <c r="HJ138" s="9"/>
      <c r="HK138" s="9"/>
      <c r="HL138" s="9"/>
      <c r="HM138" s="9"/>
      <c r="HN138" s="9"/>
      <c r="HO138" s="9"/>
      <c r="HP138" s="9"/>
      <c r="HQ138" s="9"/>
      <c r="HR138" s="9"/>
    </row>
    <row r="139" spans="1:226" s="6" customFormat="1" ht="15" customHeight="1">
      <c r="A139" s="69"/>
      <c r="B139" s="76" t="s">
        <v>83</v>
      </c>
      <c r="C139" s="69" t="s">
        <v>365</v>
      </c>
      <c r="D139" s="40">
        <f>D134*5.23</f>
        <v>26.150000000000002</v>
      </c>
      <c r="E139" s="40">
        <f>E133</f>
        <v>319.6728143876425</v>
      </c>
      <c r="F139" s="70">
        <f t="shared" si="5"/>
        <v>8359.444096236852</v>
      </c>
      <c r="G139" s="71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  <c r="CR139" s="9"/>
      <c r="CS139" s="9"/>
      <c r="CT139" s="9"/>
      <c r="CU139" s="9"/>
      <c r="CV139" s="9"/>
      <c r="CW139" s="9"/>
      <c r="CX139" s="9"/>
      <c r="CY139" s="9"/>
      <c r="CZ139" s="9"/>
      <c r="DA139" s="9"/>
      <c r="DB139" s="9"/>
      <c r="DC139" s="9"/>
      <c r="DD139" s="9"/>
      <c r="DE139" s="9"/>
      <c r="DF139" s="9"/>
      <c r="DG139" s="9"/>
      <c r="DH139" s="9"/>
      <c r="DI139" s="9"/>
      <c r="DJ139" s="9"/>
      <c r="DK139" s="9"/>
      <c r="DL139" s="9"/>
      <c r="DM139" s="9"/>
      <c r="DN139" s="9"/>
      <c r="DO139" s="9"/>
      <c r="DP139" s="9"/>
      <c r="DQ139" s="9"/>
      <c r="DR139" s="9"/>
      <c r="DS139" s="9"/>
      <c r="DT139" s="9"/>
      <c r="DU139" s="9"/>
      <c r="DV139" s="9"/>
      <c r="DW139" s="9"/>
      <c r="DX139" s="9"/>
      <c r="DY139" s="9"/>
      <c r="DZ139" s="9"/>
      <c r="EA139" s="9"/>
      <c r="EB139" s="9"/>
      <c r="EC139" s="9"/>
      <c r="ED139" s="9"/>
      <c r="EE139" s="9"/>
      <c r="EF139" s="9"/>
      <c r="EG139" s="9"/>
      <c r="EH139" s="9"/>
      <c r="EI139" s="9"/>
      <c r="EJ139" s="9"/>
      <c r="EK139" s="9"/>
      <c r="EL139" s="9"/>
      <c r="EM139" s="9"/>
      <c r="EN139" s="9"/>
      <c r="EO139" s="9"/>
      <c r="EP139" s="9"/>
      <c r="EQ139" s="9"/>
      <c r="ER139" s="9"/>
      <c r="ES139" s="9"/>
      <c r="ET139" s="9"/>
      <c r="EU139" s="9"/>
      <c r="EV139" s="9"/>
      <c r="EW139" s="9"/>
      <c r="EX139" s="9"/>
      <c r="EY139" s="9"/>
      <c r="EZ139" s="9"/>
      <c r="FA139" s="9"/>
      <c r="FB139" s="9"/>
      <c r="FC139" s="9"/>
      <c r="FD139" s="9"/>
      <c r="FE139" s="9"/>
      <c r="FF139" s="9"/>
      <c r="FG139" s="9"/>
      <c r="FH139" s="9"/>
      <c r="FI139" s="9"/>
      <c r="FJ139" s="9"/>
      <c r="FK139" s="9"/>
      <c r="FL139" s="9"/>
      <c r="FM139" s="9"/>
      <c r="FN139" s="9"/>
      <c r="FO139" s="9"/>
      <c r="FP139" s="9"/>
      <c r="FQ139" s="9"/>
      <c r="FR139" s="9"/>
      <c r="FS139" s="9"/>
      <c r="FT139" s="9"/>
      <c r="FU139" s="9"/>
      <c r="FV139" s="9"/>
      <c r="FW139" s="9"/>
      <c r="FX139" s="9"/>
      <c r="FY139" s="9"/>
      <c r="FZ139" s="9"/>
      <c r="GA139" s="9"/>
      <c r="GB139" s="9"/>
      <c r="GC139" s="9"/>
      <c r="GD139" s="9"/>
      <c r="GE139" s="9"/>
      <c r="GF139" s="9"/>
      <c r="GG139" s="9"/>
      <c r="GH139" s="9"/>
      <c r="GI139" s="9"/>
      <c r="GJ139" s="9"/>
      <c r="GK139" s="9"/>
      <c r="GL139" s="9"/>
      <c r="GM139" s="9"/>
      <c r="GN139" s="9"/>
      <c r="GO139" s="9"/>
      <c r="GP139" s="9"/>
      <c r="GQ139" s="9"/>
      <c r="GR139" s="9"/>
      <c r="GS139" s="9"/>
      <c r="GT139" s="9"/>
      <c r="GU139" s="9"/>
      <c r="GV139" s="9"/>
      <c r="GW139" s="9"/>
      <c r="GX139" s="9"/>
      <c r="GY139" s="9"/>
      <c r="GZ139" s="9"/>
      <c r="HA139" s="9"/>
      <c r="HB139" s="9"/>
      <c r="HC139" s="9"/>
      <c r="HD139" s="9"/>
      <c r="HE139" s="9"/>
      <c r="HF139" s="9"/>
      <c r="HG139" s="9"/>
      <c r="HH139" s="9"/>
      <c r="HI139" s="9"/>
      <c r="HJ139" s="9"/>
      <c r="HK139" s="9"/>
      <c r="HL139" s="9"/>
      <c r="HM139" s="9"/>
      <c r="HN139" s="9"/>
      <c r="HO139" s="9"/>
      <c r="HP139" s="9"/>
      <c r="HQ139" s="9"/>
      <c r="HR139" s="9"/>
    </row>
    <row r="140" spans="1:226" s="6" customFormat="1" ht="15" customHeight="1">
      <c r="A140" s="69">
        <v>9</v>
      </c>
      <c r="B140" s="76" t="s">
        <v>673</v>
      </c>
      <c r="C140" s="87" t="s">
        <v>65</v>
      </c>
      <c r="D140" s="41">
        <v>65</v>
      </c>
      <c r="E140" s="40"/>
      <c r="F140" s="70">
        <f>SUM(F141:F146)</f>
        <v>258932.74218142615</v>
      </c>
      <c r="G140" s="71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  <c r="CR140" s="9"/>
      <c r="CS140" s="9"/>
      <c r="CT140" s="9"/>
      <c r="CU140" s="9"/>
      <c r="CV140" s="9"/>
      <c r="CW140" s="9"/>
      <c r="CX140" s="9"/>
      <c r="CY140" s="9"/>
      <c r="CZ140" s="9"/>
      <c r="DA140" s="9"/>
      <c r="DB140" s="9"/>
      <c r="DC140" s="9"/>
      <c r="DD140" s="9"/>
      <c r="DE140" s="9"/>
      <c r="DF140" s="9"/>
      <c r="DG140" s="9"/>
      <c r="DH140" s="9"/>
      <c r="DI140" s="9"/>
      <c r="DJ140" s="9"/>
      <c r="DK140" s="9"/>
      <c r="DL140" s="9"/>
      <c r="DM140" s="9"/>
      <c r="DN140" s="9"/>
      <c r="DO140" s="9"/>
      <c r="DP140" s="9"/>
      <c r="DQ140" s="9"/>
      <c r="DR140" s="9"/>
      <c r="DS140" s="9"/>
      <c r="DT140" s="9"/>
      <c r="DU140" s="9"/>
      <c r="DV140" s="9"/>
      <c r="DW140" s="9"/>
      <c r="DX140" s="9"/>
      <c r="DY140" s="9"/>
      <c r="DZ140" s="9"/>
      <c r="EA140" s="9"/>
      <c r="EB140" s="9"/>
      <c r="EC140" s="9"/>
      <c r="ED140" s="9"/>
      <c r="EE140" s="9"/>
      <c r="EF140" s="9"/>
      <c r="EG140" s="9"/>
      <c r="EH140" s="9"/>
      <c r="EI140" s="9"/>
      <c r="EJ140" s="9"/>
      <c r="EK140" s="9"/>
      <c r="EL140" s="9"/>
      <c r="EM140" s="9"/>
      <c r="EN140" s="9"/>
      <c r="EO140" s="9"/>
      <c r="EP140" s="9"/>
      <c r="EQ140" s="9"/>
      <c r="ER140" s="9"/>
      <c r="ES140" s="9"/>
      <c r="ET140" s="9"/>
      <c r="EU140" s="9"/>
      <c r="EV140" s="9"/>
      <c r="EW140" s="9"/>
      <c r="EX140" s="9"/>
      <c r="EY140" s="9"/>
      <c r="EZ140" s="9"/>
      <c r="FA140" s="9"/>
      <c r="FB140" s="9"/>
      <c r="FC140" s="9"/>
      <c r="FD140" s="9"/>
      <c r="FE140" s="9"/>
      <c r="FF140" s="9"/>
      <c r="FG140" s="9"/>
      <c r="FH140" s="9"/>
      <c r="FI140" s="9"/>
      <c r="FJ140" s="9"/>
      <c r="FK140" s="9"/>
      <c r="FL140" s="9"/>
      <c r="FM140" s="9"/>
      <c r="FN140" s="9"/>
      <c r="FO140" s="9"/>
      <c r="FP140" s="9"/>
      <c r="FQ140" s="9"/>
      <c r="FR140" s="9"/>
      <c r="FS140" s="9"/>
      <c r="FT140" s="9"/>
      <c r="FU140" s="9"/>
      <c r="FV140" s="9"/>
      <c r="FW140" s="9"/>
      <c r="FX140" s="9"/>
      <c r="FY140" s="9"/>
      <c r="FZ140" s="9"/>
      <c r="GA140" s="9"/>
      <c r="GB140" s="9"/>
      <c r="GC140" s="9"/>
      <c r="GD140" s="9"/>
      <c r="GE140" s="9"/>
      <c r="GF140" s="9"/>
      <c r="GG140" s="9"/>
      <c r="GH140" s="9"/>
      <c r="GI140" s="9"/>
      <c r="GJ140" s="9"/>
      <c r="GK140" s="9"/>
      <c r="GL140" s="9"/>
      <c r="GM140" s="9"/>
      <c r="GN140" s="9"/>
      <c r="GO140" s="9"/>
      <c r="GP140" s="9"/>
      <c r="GQ140" s="9"/>
      <c r="GR140" s="9"/>
      <c r="GS140" s="9"/>
      <c r="GT140" s="9"/>
      <c r="GU140" s="9"/>
      <c r="GV140" s="9"/>
      <c r="GW140" s="9"/>
      <c r="GX140" s="9"/>
      <c r="GY140" s="9"/>
      <c r="GZ140" s="9"/>
      <c r="HA140" s="9"/>
      <c r="HB140" s="9"/>
      <c r="HC140" s="9"/>
      <c r="HD140" s="9"/>
      <c r="HE140" s="9"/>
      <c r="HF140" s="9"/>
      <c r="HG140" s="9"/>
      <c r="HH140" s="9"/>
      <c r="HI140" s="9"/>
      <c r="HJ140" s="9"/>
      <c r="HK140" s="9"/>
      <c r="HL140" s="9"/>
      <c r="HM140" s="9"/>
      <c r="HN140" s="9"/>
      <c r="HO140" s="9"/>
      <c r="HP140" s="9"/>
      <c r="HQ140" s="9"/>
      <c r="HR140" s="9"/>
    </row>
    <row r="141" spans="1:226" s="6" customFormat="1" ht="15" customHeight="1">
      <c r="A141" s="69"/>
      <c r="B141" s="85" t="s">
        <v>46</v>
      </c>
      <c r="C141" s="87" t="s">
        <v>365</v>
      </c>
      <c r="D141" s="69">
        <f>16.38*D140</f>
        <v>1064.7</v>
      </c>
      <c r="E141" s="40">
        <f>E135</f>
        <v>5.948462518329764</v>
      </c>
      <c r="F141" s="70">
        <f t="shared" si="5"/>
        <v>6333.3280432657</v>
      </c>
      <c r="G141" s="71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9"/>
      <c r="CL141" s="9"/>
      <c r="CM141" s="9"/>
      <c r="CN141" s="9"/>
      <c r="CO141" s="9"/>
      <c r="CP141" s="9"/>
      <c r="CQ141" s="9"/>
      <c r="CR141" s="9"/>
      <c r="CS141" s="9"/>
      <c r="CT141" s="9"/>
      <c r="CU141" s="9"/>
      <c r="CV141" s="9"/>
      <c r="CW141" s="9"/>
      <c r="CX141" s="9"/>
      <c r="CY141" s="9"/>
      <c r="CZ141" s="9"/>
      <c r="DA141" s="9"/>
      <c r="DB141" s="9"/>
      <c r="DC141" s="9"/>
      <c r="DD141" s="9"/>
      <c r="DE141" s="9"/>
      <c r="DF141" s="9"/>
      <c r="DG141" s="9"/>
      <c r="DH141" s="9"/>
      <c r="DI141" s="9"/>
      <c r="DJ141" s="9"/>
      <c r="DK141" s="9"/>
      <c r="DL141" s="9"/>
      <c r="DM141" s="9"/>
      <c r="DN141" s="9"/>
      <c r="DO141" s="9"/>
      <c r="DP141" s="9"/>
      <c r="DQ141" s="9"/>
      <c r="DR141" s="9"/>
      <c r="DS141" s="9"/>
      <c r="DT141" s="9"/>
      <c r="DU141" s="9"/>
      <c r="DV141" s="9"/>
      <c r="DW141" s="9"/>
      <c r="DX141" s="9"/>
      <c r="DY141" s="9"/>
      <c r="DZ141" s="9"/>
      <c r="EA141" s="9"/>
      <c r="EB141" s="9"/>
      <c r="EC141" s="9"/>
      <c r="ED141" s="9"/>
      <c r="EE141" s="9"/>
      <c r="EF141" s="9"/>
      <c r="EG141" s="9"/>
      <c r="EH141" s="9"/>
      <c r="EI141" s="9"/>
      <c r="EJ141" s="9"/>
      <c r="EK141" s="9"/>
      <c r="EL141" s="9"/>
      <c r="EM141" s="9"/>
      <c r="EN141" s="9"/>
      <c r="EO141" s="9"/>
      <c r="EP141" s="9"/>
      <c r="EQ141" s="9"/>
      <c r="ER141" s="9"/>
      <c r="ES141" s="9"/>
      <c r="ET141" s="9"/>
      <c r="EU141" s="9"/>
      <c r="EV141" s="9"/>
      <c r="EW141" s="9"/>
      <c r="EX141" s="9"/>
      <c r="EY141" s="9"/>
      <c r="EZ141" s="9"/>
      <c r="FA141" s="9"/>
      <c r="FB141" s="9"/>
      <c r="FC141" s="9"/>
      <c r="FD141" s="9"/>
      <c r="FE141" s="9"/>
      <c r="FF141" s="9"/>
      <c r="FG141" s="9"/>
      <c r="FH141" s="9"/>
      <c r="FI141" s="9"/>
      <c r="FJ141" s="9"/>
      <c r="FK141" s="9"/>
      <c r="FL141" s="9"/>
      <c r="FM141" s="9"/>
      <c r="FN141" s="9"/>
      <c r="FO141" s="9"/>
      <c r="FP141" s="9"/>
      <c r="FQ141" s="9"/>
      <c r="FR141" s="9"/>
      <c r="FS141" s="9"/>
      <c r="FT141" s="9"/>
      <c r="FU141" s="9"/>
      <c r="FV141" s="9"/>
      <c r="FW141" s="9"/>
      <c r="FX141" s="9"/>
      <c r="FY141" s="9"/>
      <c r="FZ141" s="9"/>
      <c r="GA141" s="9"/>
      <c r="GB141" s="9"/>
      <c r="GC141" s="9"/>
      <c r="GD141" s="9"/>
      <c r="GE141" s="9"/>
      <c r="GF141" s="9"/>
      <c r="GG141" s="9"/>
      <c r="GH141" s="9"/>
      <c r="GI141" s="9"/>
      <c r="GJ141" s="9"/>
      <c r="GK141" s="9"/>
      <c r="GL141" s="9"/>
      <c r="GM141" s="9"/>
      <c r="GN141" s="9"/>
      <c r="GO141" s="9"/>
      <c r="GP141" s="9"/>
      <c r="GQ141" s="9"/>
      <c r="GR141" s="9"/>
      <c r="GS141" s="9"/>
      <c r="GT141" s="9"/>
      <c r="GU141" s="9"/>
      <c r="GV141" s="9"/>
      <c r="GW141" s="9"/>
      <c r="GX141" s="9"/>
      <c r="GY141" s="9"/>
      <c r="GZ141" s="9"/>
      <c r="HA141" s="9"/>
      <c r="HB141" s="9"/>
      <c r="HC141" s="9"/>
      <c r="HD141" s="9"/>
      <c r="HE141" s="9"/>
      <c r="HF141" s="9"/>
      <c r="HG141" s="9"/>
      <c r="HH141" s="9"/>
      <c r="HI141" s="9"/>
      <c r="HJ141" s="9"/>
      <c r="HK141" s="9"/>
      <c r="HL141" s="9"/>
      <c r="HM141" s="9"/>
      <c r="HN141" s="9"/>
      <c r="HO141" s="9"/>
      <c r="HP141" s="9"/>
      <c r="HQ141" s="9"/>
      <c r="HR141" s="9"/>
    </row>
    <row r="142" spans="1:226" s="6" customFormat="1" ht="15" customHeight="1">
      <c r="A142" s="69"/>
      <c r="B142" s="85" t="s">
        <v>48</v>
      </c>
      <c r="C142" s="38" t="s">
        <v>365</v>
      </c>
      <c r="D142" s="94">
        <f>9.65*D140</f>
        <v>627.25</v>
      </c>
      <c r="E142" s="40">
        <f>E136</f>
        <v>22.087821666441833</v>
      </c>
      <c r="F142" s="70">
        <f t="shared" si="5"/>
        <v>13854.58614027564</v>
      </c>
      <c r="G142" s="71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9"/>
      <c r="CR142" s="9"/>
      <c r="CS142" s="9"/>
      <c r="CT142" s="9"/>
      <c r="CU142" s="9"/>
      <c r="CV142" s="9"/>
      <c r="CW142" s="9"/>
      <c r="CX142" s="9"/>
      <c r="CY142" s="9"/>
      <c r="CZ142" s="9"/>
      <c r="DA142" s="9"/>
      <c r="DB142" s="9"/>
      <c r="DC142" s="9"/>
      <c r="DD142" s="9"/>
      <c r="DE142" s="9"/>
      <c r="DF142" s="9"/>
      <c r="DG142" s="9"/>
      <c r="DH142" s="9"/>
      <c r="DI142" s="9"/>
      <c r="DJ142" s="9"/>
      <c r="DK142" s="9"/>
      <c r="DL142" s="9"/>
      <c r="DM142" s="9"/>
      <c r="DN142" s="9"/>
      <c r="DO142" s="9"/>
      <c r="DP142" s="9"/>
      <c r="DQ142" s="9"/>
      <c r="DR142" s="9"/>
      <c r="DS142" s="9"/>
      <c r="DT142" s="9"/>
      <c r="DU142" s="9"/>
      <c r="DV142" s="9"/>
      <c r="DW142" s="9"/>
      <c r="DX142" s="9"/>
      <c r="DY142" s="9"/>
      <c r="DZ142" s="9"/>
      <c r="EA142" s="9"/>
      <c r="EB142" s="9"/>
      <c r="EC142" s="9"/>
      <c r="ED142" s="9"/>
      <c r="EE142" s="9"/>
      <c r="EF142" s="9"/>
      <c r="EG142" s="9"/>
      <c r="EH142" s="9"/>
      <c r="EI142" s="9"/>
      <c r="EJ142" s="9"/>
      <c r="EK142" s="9"/>
      <c r="EL142" s="9"/>
      <c r="EM142" s="9"/>
      <c r="EN142" s="9"/>
      <c r="EO142" s="9"/>
      <c r="EP142" s="9"/>
      <c r="EQ142" s="9"/>
      <c r="ER142" s="9"/>
      <c r="ES142" s="9"/>
      <c r="ET142" s="9"/>
      <c r="EU142" s="9"/>
      <c r="EV142" s="9"/>
      <c r="EW142" s="9"/>
      <c r="EX142" s="9"/>
      <c r="EY142" s="9"/>
      <c r="EZ142" s="9"/>
      <c r="FA142" s="9"/>
      <c r="FB142" s="9"/>
      <c r="FC142" s="9"/>
      <c r="FD142" s="9"/>
      <c r="FE142" s="9"/>
      <c r="FF142" s="9"/>
      <c r="FG142" s="9"/>
      <c r="FH142" s="9"/>
      <c r="FI142" s="9"/>
      <c r="FJ142" s="9"/>
      <c r="FK142" s="9"/>
      <c r="FL142" s="9"/>
      <c r="FM142" s="9"/>
      <c r="FN142" s="9"/>
      <c r="FO142" s="9"/>
      <c r="FP142" s="9"/>
      <c r="FQ142" s="9"/>
      <c r="FR142" s="9"/>
      <c r="FS142" s="9"/>
      <c r="FT142" s="9"/>
      <c r="FU142" s="9"/>
      <c r="FV142" s="9"/>
      <c r="FW142" s="9"/>
      <c r="FX142" s="9"/>
      <c r="FY142" s="9"/>
      <c r="FZ142" s="9"/>
      <c r="GA142" s="9"/>
      <c r="GB142" s="9"/>
      <c r="GC142" s="9"/>
      <c r="GD142" s="9"/>
      <c r="GE142" s="9"/>
      <c r="GF142" s="9"/>
      <c r="GG142" s="9"/>
      <c r="GH142" s="9"/>
      <c r="GI142" s="9"/>
      <c r="GJ142" s="9"/>
      <c r="GK142" s="9"/>
      <c r="GL142" s="9"/>
      <c r="GM142" s="9"/>
      <c r="GN142" s="9"/>
      <c r="GO142" s="9"/>
      <c r="GP142" s="9"/>
      <c r="GQ142" s="9"/>
      <c r="GR142" s="9"/>
      <c r="GS142" s="9"/>
      <c r="GT142" s="9"/>
      <c r="GU142" s="9"/>
      <c r="GV142" s="9"/>
      <c r="GW142" s="9"/>
      <c r="GX142" s="9"/>
      <c r="GY142" s="9"/>
      <c r="GZ142" s="9"/>
      <c r="HA142" s="9"/>
      <c r="HB142" s="9"/>
      <c r="HC142" s="9"/>
      <c r="HD142" s="9"/>
      <c r="HE142" s="9"/>
      <c r="HF142" s="9"/>
      <c r="HG142" s="9"/>
      <c r="HH142" s="9"/>
      <c r="HI142" s="9"/>
      <c r="HJ142" s="9"/>
      <c r="HK142" s="9"/>
      <c r="HL142" s="9"/>
      <c r="HM142" s="9"/>
      <c r="HN142" s="9"/>
      <c r="HO142" s="9"/>
      <c r="HP142" s="9"/>
      <c r="HQ142" s="9"/>
      <c r="HR142" s="9"/>
    </row>
    <row r="143" spans="1:226" s="6" customFormat="1" ht="15" customHeight="1">
      <c r="A143" s="69"/>
      <c r="B143" s="76" t="s">
        <v>659</v>
      </c>
      <c r="C143" s="69" t="s">
        <v>365</v>
      </c>
      <c r="D143" s="40">
        <f>1.02*D140</f>
        <v>66.3</v>
      </c>
      <c r="E143" s="40">
        <f>E137</f>
        <v>492.3275388736576</v>
      </c>
      <c r="F143" s="70">
        <f t="shared" si="5"/>
        <v>32641.3158273235</v>
      </c>
      <c r="G143" s="71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  <c r="CI143" s="9"/>
      <c r="CJ143" s="9"/>
      <c r="CK143" s="9"/>
      <c r="CL143" s="9"/>
      <c r="CM143" s="9"/>
      <c r="CN143" s="9"/>
      <c r="CO143" s="9"/>
      <c r="CP143" s="9"/>
      <c r="CQ143" s="9"/>
      <c r="CR143" s="9"/>
      <c r="CS143" s="9"/>
      <c r="CT143" s="9"/>
      <c r="CU143" s="9"/>
      <c r="CV143" s="9"/>
      <c r="CW143" s="9"/>
      <c r="CX143" s="9"/>
      <c r="CY143" s="9"/>
      <c r="CZ143" s="9"/>
      <c r="DA143" s="9"/>
      <c r="DB143" s="9"/>
      <c r="DC143" s="9"/>
      <c r="DD143" s="9"/>
      <c r="DE143" s="9"/>
      <c r="DF143" s="9"/>
      <c r="DG143" s="9"/>
      <c r="DH143" s="9"/>
      <c r="DI143" s="9"/>
      <c r="DJ143" s="9"/>
      <c r="DK143" s="9"/>
      <c r="DL143" s="9"/>
      <c r="DM143" s="9"/>
      <c r="DN143" s="9"/>
      <c r="DO143" s="9"/>
      <c r="DP143" s="9"/>
      <c r="DQ143" s="9"/>
      <c r="DR143" s="9"/>
      <c r="DS143" s="9"/>
      <c r="DT143" s="9"/>
      <c r="DU143" s="9"/>
      <c r="DV143" s="9"/>
      <c r="DW143" s="9"/>
      <c r="DX143" s="9"/>
      <c r="DY143" s="9"/>
      <c r="DZ143" s="9"/>
      <c r="EA143" s="9"/>
      <c r="EB143" s="9"/>
      <c r="EC143" s="9"/>
      <c r="ED143" s="9"/>
      <c r="EE143" s="9"/>
      <c r="EF143" s="9"/>
      <c r="EG143" s="9"/>
      <c r="EH143" s="9"/>
      <c r="EI143" s="9"/>
      <c r="EJ143" s="9"/>
      <c r="EK143" s="9"/>
      <c r="EL143" s="9"/>
      <c r="EM143" s="9"/>
      <c r="EN143" s="9"/>
      <c r="EO143" s="9"/>
      <c r="EP143" s="9"/>
      <c r="EQ143" s="9"/>
      <c r="ER143" s="9"/>
      <c r="ES143" s="9"/>
      <c r="ET143" s="9"/>
      <c r="EU143" s="9"/>
      <c r="EV143" s="9"/>
      <c r="EW143" s="9"/>
      <c r="EX143" s="9"/>
      <c r="EY143" s="9"/>
      <c r="EZ143" s="9"/>
      <c r="FA143" s="9"/>
      <c r="FB143" s="9"/>
      <c r="FC143" s="9"/>
      <c r="FD143" s="9"/>
      <c r="FE143" s="9"/>
      <c r="FF143" s="9"/>
      <c r="FG143" s="9"/>
      <c r="FH143" s="9"/>
      <c r="FI143" s="9"/>
      <c r="FJ143" s="9"/>
      <c r="FK143" s="9"/>
      <c r="FL143" s="9"/>
      <c r="FM143" s="9"/>
      <c r="FN143" s="9"/>
      <c r="FO143" s="9"/>
      <c r="FP143" s="9"/>
      <c r="FQ143" s="9"/>
      <c r="FR143" s="9"/>
      <c r="FS143" s="9"/>
      <c r="FT143" s="9"/>
      <c r="FU143" s="9"/>
      <c r="FV143" s="9"/>
      <c r="FW143" s="9"/>
      <c r="FX143" s="9"/>
      <c r="FY143" s="9"/>
      <c r="FZ143" s="9"/>
      <c r="GA143" s="9"/>
      <c r="GB143" s="9"/>
      <c r="GC143" s="9"/>
      <c r="GD143" s="9"/>
      <c r="GE143" s="9"/>
      <c r="GF143" s="9"/>
      <c r="GG143" s="9"/>
      <c r="GH143" s="9"/>
      <c r="GI143" s="9"/>
      <c r="GJ143" s="9"/>
      <c r="GK143" s="9"/>
      <c r="GL143" s="9"/>
      <c r="GM143" s="9"/>
      <c r="GN143" s="9"/>
      <c r="GO143" s="9"/>
      <c r="GP143" s="9"/>
      <c r="GQ143" s="9"/>
      <c r="GR143" s="9"/>
      <c r="GS143" s="9"/>
      <c r="GT143" s="9"/>
      <c r="GU143" s="9"/>
      <c r="GV143" s="9"/>
      <c r="GW143" s="9"/>
      <c r="GX143" s="9"/>
      <c r="GY143" s="9"/>
      <c r="GZ143" s="9"/>
      <c r="HA143" s="9"/>
      <c r="HB143" s="9"/>
      <c r="HC143" s="9"/>
      <c r="HD143" s="9"/>
      <c r="HE143" s="9"/>
      <c r="HF143" s="9"/>
      <c r="HG143" s="9"/>
      <c r="HH143" s="9"/>
      <c r="HI143" s="9"/>
      <c r="HJ143" s="9"/>
      <c r="HK143" s="9"/>
      <c r="HL143" s="9"/>
      <c r="HM143" s="9"/>
      <c r="HN143" s="9"/>
      <c r="HO143" s="9"/>
      <c r="HP143" s="9"/>
      <c r="HQ143" s="9"/>
      <c r="HR143" s="9"/>
    </row>
    <row r="144" spans="1:226" s="6" customFormat="1" ht="15" customHeight="1">
      <c r="A144" s="69"/>
      <c r="B144" s="85" t="s">
        <v>662</v>
      </c>
      <c r="C144" s="38" t="s">
        <v>365</v>
      </c>
      <c r="D144" s="69">
        <f>1.22*D140</f>
        <v>79.3</v>
      </c>
      <c r="E144" s="40">
        <f>'单价汇总'!D21/100</f>
        <v>493.2152523114779</v>
      </c>
      <c r="F144" s="70">
        <f t="shared" si="5"/>
        <v>39111.96950830019</v>
      </c>
      <c r="G144" s="71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9"/>
      <c r="CH144" s="9"/>
      <c r="CI144" s="9"/>
      <c r="CJ144" s="9"/>
      <c r="CK144" s="9"/>
      <c r="CL144" s="9"/>
      <c r="CM144" s="9"/>
      <c r="CN144" s="9"/>
      <c r="CO144" s="9"/>
      <c r="CP144" s="9"/>
      <c r="CQ144" s="9"/>
      <c r="CR144" s="9"/>
      <c r="CS144" s="9"/>
      <c r="CT144" s="9"/>
      <c r="CU144" s="9"/>
      <c r="CV144" s="9"/>
      <c r="CW144" s="9"/>
      <c r="CX144" s="9"/>
      <c r="CY144" s="9"/>
      <c r="CZ144" s="9"/>
      <c r="DA144" s="9"/>
      <c r="DB144" s="9"/>
      <c r="DC144" s="9"/>
      <c r="DD144" s="9"/>
      <c r="DE144" s="9"/>
      <c r="DF144" s="9"/>
      <c r="DG144" s="9"/>
      <c r="DH144" s="9"/>
      <c r="DI144" s="9"/>
      <c r="DJ144" s="9"/>
      <c r="DK144" s="9"/>
      <c r="DL144" s="9"/>
      <c r="DM144" s="9"/>
      <c r="DN144" s="9"/>
      <c r="DO144" s="9"/>
      <c r="DP144" s="9"/>
      <c r="DQ144" s="9"/>
      <c r="DR144" s="9"/>
      <c r="DS144" s="9"/>
      <c r="DT144" s="9"/>
      <c r="DU144" s="9"/>
      <c r="DV144" s="9"/>
      <c r="DW144" s="9"/>
      <c r="DX144" s="9"/>
      <c r="DY144" s="9"/>
      <c r="DZ144" s="9"/>
      <c r="EA144" s="9"/>
      <c r="EB144" s="9"/>
      <c r="EC144" s="9"/>
      <c r="ED144" s="9"/>
      <c r="EE144" s="9"/>
      <c r="EF144" s="9"/>
      <c r="EG144" s="9"/>
      <c r="EH144" s="9"/>
      <c r="EI144" s="9"/>
      <c r="EJ144" s="9"/>
      <c r="EK144" s="9"/>
      <c r="EL144" s="9"/>
      <c r="EM144" s="9"/>
      <c r="EN144" s="9"/>
      <c r="EO144" s="9"/>
      <c r="EP144" s="9"/>
      <c r="EQ144" s="9"/>
      <c r="ER144" s="9"/>
      <c r="ES144" s="9"/>
      <c r="ET144" s="9"/>
      <c r="EU144" s="9"/>
      <c r="EV144" s="9"/>
      <c r="EW144" s="9"/>
      <c r="EX144" s="9"/>
      <c r="EY144" s="9"/>
      <c r="EZ144" s="9"/>
      <c r="FA144" s="9"/>
      <c r="FB144" s="9"/>
      <c r="FC144" s="9"/>
      <c r="FD144" s="9"/>
      <c r="FE144" s="9"/>
      <c r="FF144" s="9"/>
      <c r="FG144" s="9"/>
      <c r="FH144" s="9"/>
      <c r="FI144" s="9"/>
      <c r="FJ144" s="9"/>
      <c r="FK144" s="9"/>
      <c r="FL144" s="9"/>
      <c r="FM144" s="9"/>
      <c r="FN144" s="9"/>
      <c r="FO144" s="9"/>
      <c r="FP144" s="9"/>
      <c r="FQ144" s="9"/>
      <c r="FR144" s="9"/>
      <c r="FS144" s="9"/>
      <c r="FT144" s="9"/>
      <c r="FU144" s="9"/>
      <c r="FV144" s="9"/>
      <c r="FW144" s="9"/>
      <c r="FX144" s="9"/>
      <c r="FY144" s="9"/>
      <c r="FZ144" s="9"/>
      <c r="GA144" s="9"/>
      <c r="GB144" s="9"/>
      <c r="GC144" s="9"/>
      <c r="GD144" s="9"/>
      <c r="GE144" s="9"/>
      <c r="GF144" s="9"/>
      <c r="GG144" s="9"/>
      <c r="GH144" s="9"/>
      <c r="GI144" s="9"/>
      <c r="GJ144" s="9"/>
      <c r="GK144" s="9"/>
      <c r="GL144" s="9"/>
      <c r="GM144" s="9"/>
      <c r="GN144" s="9"/>
      <c r="GO144" s="9"/>
      <c r="GP144" s="9"/>
      <c r="GQ144" s="9"/>
      <c r="GR144" s="9"/>
      <c r="GS144" s="9"/>
      <c r="GT144" s="9"/>
      <c r="GU144" s="9"/>
      <c r="GV144" s="9"/>
      <c r="GW144" s="9"/>
      <c r="GX144" s="9"/>
      <c r="GY144" s="9"/>
      <c r="GZ144" s="9"/>
      <c r="HA144" s="9"/>
      <c r="HB144" s="9"/>
      <c r="HC144" s="9"/>
      <c r="HD144" s="9"/>
      <c r="HE144" s="9"/>
      <c r="HF144" s="9"/>
      <c r="HG144" s="9"/>
      <c r="HH144" s="9"/>
      <c r="HI144" s="9"/>
      <c r="HJ144" s="9"/>
      <c r="HK144" s="9"/>
      <c r="HL144" s="9"/>
      <c r="HM144" s="9"/>
      <c r="HN144" s="9"/>
      <c r="HO144" s="9"/>
      <c r="HP144" s="9"/>
      <c r="HQ144" s="9"/>
      <c r="HR144" s="9"/>
    </row>
    <row r="145" spans="1:226" s="6" customFormat="1" ht="15" customHeight="1">
      <c r="A145" s="69"/>
      <c r="B145" s="85" t="s">
        <v>116</v>
      </c>
      <c r="C145" s="38" t="s">
        <v>365</v>
      </c>
      <c r="D145" s="94">
        <f>3.36*D140</f>
        <v>218.4</v>
      </c>
      <c r="E145" s="40">
        <f>E139</f>
        <v>319.6728143876425</v>
      </c>
      <c r="F145" s="70">
        <f t="shared" si="5"/>
        <v>69816.54266226113</v>
      </c>
      <c r="G145" s="71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  <c r="CH145" s="9"/>
      <c r="CI145" s="9"/>
      <c r="CJ145" s="9"/>
      <c r="CK145" s="9"/>
      <c r="CL145" s="9"/>
      <c r="CM145" s="9"/>
      <c r="CN145" s="9"/>
      <c r="CO145" s="9"/>
      <c r="CP145" s="9"/>
      <c r="CQ145" s="9"/>
      <c r="CR145" s="9"/>
      <c r="CS145" s="9"/>
      <c r="CT145" s="9"/>
      <c r="CU145" s="9"/>
      <c r="CV145" s="9"/>
      <c r="CW145" s="9"/>
      <c r="CX145" s="9"/>
      <c r="CY145" s="9"/>
      <c r="CZ145" s="9"/>
      <c r="DA145" s="9"/>
      <c r="DB145" s="9"/>
      <c r="DC145" s="9"/>
      <c r="DD145" s="9"/>
      <c r="DE145" s="9"/>
      <c r="DF145" s="9"/>
      <c r="DG145" s="9"/>
      <c r="DH145" s="9"/>
      <c r="DI145" s="9"/>
      <c r="DJ145" s="9"/>
      <c r="DK145" s="9"/>
      <c r="DL145" s="9"/>
      <c r="DM145" s="9"/>
      <c r="DN145" s="9"/>
      <c r="DO145" s="9"/>
      <c r="DP145" s="9"/>
      <c r="DQ145" s="9"/>
      <c r="DR145" s="9"/>
      <c r="DS145" s="9"/>
      <c r="DT145" s="9"/>
      <c r="DU145" s="9"/>
      <c r="DV145" s="9"/>
      <c r="DW145" s="9"/>
      <c r="DX145" s="9"/>
      <c r="DY145" s="9"/>
      <c r="DZ145" s="9"/>
      <c r="EA145" s="9"/>
      <c r="EB145" s="9"/>
      <c r="EC145" s="9"/>
      <c r="ED145" s="9"/>
      <c r="EE145" s="9"/>
      <c r="EF145" s="9"/>
      <c r="EG145" s="9"/>
      <c r="EH145" s="9"/>
      <c r="EI145" s="9"/>
      <c r="EJ145" s="9"/>
      <c r="EK145" s="9"/>
      <c r="EL145" s="9"/>
      <c r="EM145" s="9"/>
      <c r="EN145" s="9"/>
      <c r="EO145" s="9"/>
      <c r="EP145" s="9"/>
      <c r="EQ145" s="9"/>
      <c r="ER145" s="9"/>
      <c r="ES145" s="9"/>
      <c r="ET145" s="9"/>
      <c r="EU145" s="9"/>
      <c r="EV145" s="9"/>
      <c r="EW145" s="9"/>
      <c r="EX145" s="9"/>
      <c r="EY145" s="9"/>
      <c r="EZ145" s="9"/>
      <c r="FA145" s="9"/>
      <c r="FB145" s="9"/>
      <c r="FC145" s="9"/>
      <c r="FD145" s="9"/>
      <c r="FE145" s="9"/>
      <c r="FF145" s="9"/>
      <c r="FG145" s="9"/>
      <c r="FH145" s="9"/>
      <c r="FI145" s="9"/>
      <c r="FJ145" s="9"/>
      <c r="FK145" s="9"/>
      <c r="FL145" s="9"/>
      <c r="FM145" s="9"/>
      <c r="FN145" s="9"/>
      <c r="FO145" s="9"/>
      <c r="FP145" s="9"/>
      <c r="FQ145" s="9"/>
      <c r="FR145" s="9"/>
      <c r="FS145" s="9"/>
      <c r="FT145" s="9"/>
      <c r="FU145" s="9"/>
      <c r="FV145" s="9"/>
      <c r="FW145" s="9"/>
      <c r="FX145" s="9"/>
      <c r="FY145" s="9"/>
      <c r="FZ145" s="9"/>
      <c r="GA145" s="9"/>
      <c r="GB145" s="9"/>
      <c r="GC145" s="9"/>
      <c r="GD145" s="9"/>
      <c r="GE145" s="9"/>
      <c r="GF145" s="9"/>
      <c r="GG145" s="9"/>
      <c r="GH145" s="9"/>
      <c r="GI145" s="9"/>
      <c r="GJ145" s="9"/>
      <c r="GK145" s="9"/>
      <c r="GL145" s="9"/>
      <c r="GM145" s="9"/>
      <c r="GN145" s="9"/>
      <c r="GO145" s="9"/>
      <c r="GP145" s="9"/>
      <c r="GQ145" s="9"/>
      <c r="GR145" s="9"/>
      <c r="GS145" s="9"/>
      <c r="GT145" s="9"/>
      <c r="GU145" s="9"/>
      <c r="GV145" s="9"/>
      <c r="GW145" s="9"/>
      <c r="GX145" s="9"/>
      <c r="GY145" s="9"/>
      <c r="GZ145" s="9"/>
      <c r="HA145" s="9"/>
      <c r="HB145" s="9"/>
      <c r="HC145" s="9"/>
      <c r="HD145" s="9"/>
      <c r="HE145" s="9"/>
      <c r="HF145" s="9"/>
      <c r="HG145" s="9"/>
      <c r="HH145" s="9"/>
      <c r="HI145" s="9"/>
      <c r="HJ145" s="9"/>
      <c r="HK145" s="9"/>
      <c r="HL145" s="9"/>
      <c r="HM145" s="9"/>
      <c r="HN145" s="9"/>
      <c r="HO145" s="9"/>
      <c r="HP145" s="9"/>
      <c r="HQ145" s="9"/>
      <c r="HR145" s="9"/>
    </row>
    <row r="146" spans="1:226" s="6" customFormat="1" ht="15" customHeight="1">
      <c r="A146" s="69"/>
      <c r="B146" s="85" t="s">
        <v>611</v>
      </c>
      <c r="C146" s="38" t="s">
        <v>44</v>
      </c>
      <c r="D146" s="86">
        <f>5*D140</f>
        <v>325</v>
      </c>
      <c r="E146" s="41">
        <f>E99</f>
        <v>299</v>
      </c>
      <c r="F146" s="70">
        <f t="shared" si="5"/>
        <v>97175</v>
      </c>
      <c r="G146" s="71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  <c r="CH146" s="9"/>
      <c r="CI146" s="9"/>
      <c r="CJ146" s="9"/>
      <c r="CK146" s="9"/>
      <c r="CL146" s="9"/>
      <c r="CM146" s="9"/>
      <c r="CN146" s="9"/>
      <c r="CO146" s="9"/>
      <c r="CP146" s="9"/>
      <c r="CQ146" s="9"/>
      <c r="CR146" s="9"/>
      <c r="CS146" s="9"/>
      <c r="CT146" s="9"/>
      <c r="CU146" s="9"/>
      <c r="CV146" s="9"/>
      <c r="CW146" s="9"/>
      <c r="CX146" s="9"/>
      <c r="CY146" s="9"/>
      <c r="CZ146" s="9"/>
      <c r="DA146" s="9"/>
      <c r="DB146" s="9"/>
      <c r="DC146" s="9"/>
      <c r="DD146" s="9"/>
      <c r="DE146" s="9"/>
      <c r="DF146" s="9"/>
      <c r="DG146" s="9"/>
      <c r="DH146" s="9"/>
      <c r="DI146" s="9"/>
      <c r="DJ146" s="9"/>
      <c r="DK146" s="9"/>
      <c r="DL146" s="9"/>
      <c r="DM146" s="9"/>
      <c r="DN146" s="9"/>
      <c r="DO146" s="9"/>
      <c r="DP146" s="9"/>
      <c r="DQ146" s="9"/>
      <c r="DR146" s="9"/>
      <c r="DS146" s="9"/>
      <c r="DT146" s="9"/>
      <c r="DU146" s="9"/>
      <c r="DV146" s="9"/>
      <c r="DW146" s="9"/>
      <c r="DX146" s="9"/>
      <c r="DY146" s="9"/>
      <c r="DZ146" s="9"/>
      <c r="EA146" s="9"/>
      <c r="EB146" s="9"/>
      <c r="EC146" s="9"/>
      <c r="ED146" s="9"/>
      <c r="EE146" s="9"/>
      <c r="EF146" s="9"/>
      <c r="EG146" s="9"/>
      <c r="EH146" s="9"/>
      <c r="EI146" s="9"/>
      <c r="EJ146" s="9"/>
      <c r="EK146" s="9"/>
      <c r="EL146" s="9"/>
      <c r="EM146" s="9"/>
      <c r="EN146" s="9"/>
      <c r="EO146" s="9"/>
      <c r="EP146" s="9"/>
      <c r="EQ146" s="9"/>
      <c r="ER146" s="9"/>
      <c r="ES146" s="9"/>
      <c r="ET146" s="9"/>
      <c r="EU146" s="9"/>
      <c r="EV146" s="9"/>
      <c r="EW146" s="9"/>
      <c r="EX146" s="9"/>
      <c r="EY146" s="9"/>
      <c r="EZ146" s="9"/>
      <c r="FA146" s="9"/>
      <c r="FB146" s="9"/>
      <c r="FC146" s="9"/>
      <c r="FD146" s="9"/>
      <c r="FE146" s="9"/>
      <c r="FF146" s="9"/>
      <c r="FG146" s="9"/>
      <c r="FH146" s="9"/>
      <c r="FI146" s="9"/>
      <c r="FJ146" s="9"/>
      <c r="FK146" s="9"/>
      <c r="FL146" s="9"/>
      <c r="FM146" s="9"/>
      <c r="FN146" s="9"/>
      <c r="FO146" s="9"/>
      <c r="FP146" s="9"/>
      <c r="FQ146" s="9"/>
      <c r="FR146" s="9"/>
      <c r="FS146" s="9"/>
      <c r="FT146" s="9"/>
      <c r="FU146" s="9"/>
      <c r="FV146" s="9"/>
      <c r="FW146" s="9"/>
      <c r="FX146" s="9"/>
      <c r="FY146" s="9"/>
      <c r="FZ146" s="9"/>
      <c r="GA146" s="9"/>
      <c r="GB146" s="9"/>
      <c r="GC146" s="9"/>
      <c r="GD146" s="9"/>
      <c r="GE146" s="9"/>
      <c r="GF146" s="9"/>
      <c r="GG146" s="9"/>
      <c r="GH146" s="9"/>
      <c r="GI146" s="9"/>
      <c r="GJ146" s="9"/>
      <c r="GK146" s="9"/>
      <c r="GL146" s="9"/>
      <c r="GM146" s="9"/>
      <c r="GN146" s="9"/>
      <c r="GO146" s="9"/>
      <c r="GP146" s="9"/>
      <c r="GQ146" s="9"/>
      <c r="GR146" s="9"/>
      <c r="GS146" s="9"/>
      <c r="GT146" s="9"/>
      <c r="GU146" s="9"/>
      <c r="GV146" s="9"/>
      <c r="GW146" s="9"/>
      <c r="GX146" s="9"/>
      <c r="GY146" s="9"/>
      <c r="GZ146" s="9"/>
      <c r="HA146" s="9"/>
      <c r="HB146" s="9"/>
      <c r="HC146" s="9"/>
      <c r="HD146" s="9"/>
      <c r="HE146" s="9"/>
      <c r="HF146" s="9"/>
      <c r="HG146" s="9"/>
      <c r="HH146" s="9"/>
      <c r="HI146" s="9"/>
      <c r="HJ146" s="9"/>
      <c r="HK146" s="9"/>
      <c r="HL146" s="9"/>
      <c r="HM146" s="9"/>
      <c r="HN146" s="9"/>
      <c r="HO146" s="9"/>
      <c r="HP146" s="9"/>
      <c r="HQ146" s="9"/>
      <c r="HR146" s="9"/>
    </row>
    <row r="147" spans="1:7" s="9" customFormat="1" ht="15" customHeight="1">
      <c r="A147" s="69">
        <v>10</v>
      </c>
      <c r="B147" s="76" t="s">
        <v>674</v>
      </c>
      <c r="C147" s="69" t="s">
        <v>65</v>
      </c>
      <c r="D147" s="41">
        <f>18.6/12*1000</f>
        <v>1550</v>
      </c>
      <c r="E147" s="96"/>
      <c r="F147" s="70" t="e">
        <f>SUM(F148:F152)</f>
        <v>#REF!</v>
      </c>
      <c r="G147" s="71"/>
    </row>
    <row r="148" spans="1:7" s="9" customFormat="1" ht="15" customHeight="1">
      <c r="A148" s="69"/>
      <c r="B148" s="76" t="s">
        <v>46</v>
      </c>
      <c r="C148" s="69" t="s">
        <v>365</v>
      </c>
      <c r="D148" s="97">
        <f>1.422*D147</f>
        <v>2204.1</v>
      </c>
      <c r="E148" s="96">
        <f>E141</f>
        <v>5.948462518329764</v>
      </c>
      <c r="F148" s="70">
        <f t="shared" si="5"/>
        <v>13111.006236650632</v>
      </c>
      <c r="G148" s="71"/>
    </row>
    <row r="149" spans="1:7" s="9" customFormat="1" ht="15" customHeight="1">
      <c r="A149" s="69"/>
      <c r="B149" s="76" t="s">
        <v>48</v>
      </c>
      <c r="C149" s="69" t="s">
        <v>365</v>
      </c>
      <c r="D149" s="97">
        <f>D148*0.74236</f>
        <v>1636.235676</v>
      </c>
      <c r="E149" s="96">
        <f>E142</f>
        <v>22.087821666441833</v>
      </c>
      <c r="F149" s="70">
        <f t="shared" si="5"/>
        <v>36140.8818157579</v>
      </c>
      <c r="G149" s="71"/>
    </row>
    <row r="150" spans="1:7" s="9" customFormat="1" ht="15" customHeight="1">
      <c r="A150" s="69"/>
      <c r="B150" s="76" t="s">
        <v>675</v>
      </c>
      <c r="C150" s="69" t="s">
        <v>44</v>
      </c>
      <c r="D150" s="97">
        <f>1*D147</f>
        <v>1550</v>
      </c>
      <c r="E150" s="98">
        <f>132+20+30</f>
        <v>182</v>
      </c>
      <c r="F150" s="70">
        <f t="shared" si="5"/>
        <v>282100</v>
      </c>
      <c r="G150" s="71"/>
    </row>
    <row r="151" spans="1:7" s="9" customFormat="1" ht="15" customHeight="1">
      <c r="A151" s="69"/>
      <c r="B151" s="76" t="s">
        <v>676</v>
      </c>
      <c r="C151" s="69" t="s">
        <v>365</v>
      </c>
      <c r="D151" s="97">
        <f>(0.03+0.0043)*D147</f>
        <v>53.16499999999999</v>
      </c>
      <c r="E151" s="96" t="e">
        <f>单价汇总!#REF!/100</f>
        <v>#REF!</v>
      </c>
      <c r="F151" s="70" t="e">
        <f t="shared" si="5"/>
        <v>#REF!</v>
      </c>
      <c r="G151" s="71"/>
    </row>
    <row r="152" spans="1:7" s="9" customFormat="1" ht="15" customHeight="1">
      <c r="A152" s="58"/>
      <c r="B152" s="78" t="s">
        <v>124</v>
      </c>
      <c r="C152" s="58" t="s">
        <v>640</v>
      </c>
      <c r="D152" s="99">
        <f>0.02*D147</f>
        <v>31</v>
      </c>
      <c r="E152" s="100">
        <f>'单价汇总'!D23/100</f>
        <v>404.5455735201907</v>
      </c>
      <c r="F152" s="65">
        <f t="shared" si="5"/>
        <v>12540.912779125912</v>
      </c>
      <c r="G152" s="59"/>
    </row>
    <row r="153" spans="1:7" s="7" customFormat="1" ht="15" customHeight="1">
      <c r="A153" s="54" t="s">
        <v>20</v>
      </c>
      <c r="B153" s="101" t="s">
        <v>677</v>
      </c>
      <c r="C153" s="54" t="s">
        <v>636</v>
      </c>
      <c r="D153" s="102">
        <f>D155+D164+D173+D182+D192+D194+D204+D209</f>
        <v>33.510000000000005</v>
      </c>
      <c r="E153" s="103"/>
      <c r="F153" s="57" t="e">
        <f>F154+F212</f>
        <v>#REF!</v>
      </c>
      <c r="G153" s="55"/>
    </row>
    <row r="154" spans="1:7" s="7" customFormat="1" ht="15" customHeight="1">
      <c r="A154" s="54" t="s">
        <v>560</v>
      </c>
      <c r="B154" s="104" t="s">
        <v>678</v>
      </c>
      <c r="C154" s="54" t="s">
        <v>636</v>
      </c>
      <c r="D154" s="102">
        <f>D155+D164+D173+D182+D192+D194+D204+D209</f>
        <v>33.510000000000005</v>
      </c>
      <c r="E154" s="103"/>
      <c r="F154" s="57" t="e">
        <f>F155+F164+F173+F182+F192+F194+F204+F209+F199</f>
        <v>#REF!</v>
      </c>
      <c r="G154" s="55"/>
    </row>
    <row r="155" spans="1:7" s="7" customFormat="1" ht="15" customHeight="1">
      <c r="A155" s="58">
        <v>1</v>
      </c>
      <c r="B155" s="78" t="s">
        <v>679</v>
      </c>
      <c r="C155" s="58" t="s">
        <v>636</v>
      </c>
      <c r="D155" s="99">
        <v>1.35</v>
      </c>
      <c r="E155" s="100"/>
      <c r="F155" s="65" t="e">
        <f>SUM(F156:F163)</f>
        <v>#REF!</v>
      </c>
      <c r="G155" s="59"/>
    </row>
    <row r="156" spans="1:7" s="10" customFormat="1" ht="15" customHeight="1">
      <c r="A156" s="105"/>
      <c r="B156" s="76" t="s">
        <v>46</v>
      </c>
      <c r="C156" s="69" t="s">
        <v>47</v>
      </c>
      <c r="D156" s="69">
        <f>16.28*D155*1000</f>
        <v>21978</v>
      </c>
      <c r="E156" s="100">
        <f>E70</f>
        <v>5.433370516961509</v>
      </c>
      <c r="F156" s="65">
        <f aca="true" t="shared" si="6" ref="F156:F161">D156*E156</f>
        <v>119414.61722178005</v>
      </c>
      <c r="G156" s="69"/>
    </row>
    <row r="157" spans="1:7" s="10" customFormat="1" ht="15" customHeight="1">
      <c r="A157" s="105"/>
      <c r="B157" s="76" t="s">
        <v>680</v>
      </c>
      <c r="C157" s="69" t="s">
        <v>47</v>
      </c>
      <c r="D157" s="69">
        <f>D155*4*0.35*1000*2</f>
        <v>3780</v>
      </c>
      <c r="E157" s="100">
        <f>'单价汇总'!D10/100*0.5+'单价汇总'!D6/100*0.5</f>
        <v>16.1557858773119</v>
      </c>
      <c r="F157" s="65">
        <f t="shared" si="6"/>
        <v>61068.87061623898</v>
      </c>
      <c r="G157" s="69"/>
    </row>
    <row r="158" spans="1:7" s="10" customFormat="1" ht="15" customHeight="1">
      <c r="A158" s="105"/>
      <c r="B158" s="67" t="s">
        <v>681</v>
      </c>
      <c r="C158" s="69" t="s">
        <v>47</v>
      </c>
      <c r="D158" s="69">
        <f>D156-D157</f>
        <v>18198</v>
      </c>
      <c r="E158" s="100">
        <f>'单价汇总'!D13/100</f>
        <v>20.8571590752865</v>
      </c>
      <c r="F158" s="65">
        <f t="shared" si="6"/>
        <v>379558.5808520637</v>
      </c>
      <c r="G158" s="69"/>
    </row>
    <row r="159" spans="1:7" s="7" customFormat="1" ht="15" customHeight="1">
      <c r="A159" s="58"/>
      <c r="B159" s="76" t="s">
        <v>682</v>
      </c>
      <c r="C159" s="69" t="s">
        <v>683</v>
      </c>
      <c r="D159" s="69">
        <f>4.9*2*D155*1000</f>
        <v>13230.000000000002</v>
      </c>
      <c r="E159" s="100">
        <f>'单价汇总'!D9/100</f>
        <v>1.3062075153808523</v>
      </c>
      <c r="F159" s="65">
        <f t="shared" si="6"/>
        <v>17281.125428488678</v>
      </c>
      <c r="G159" s="69"/>
    </row>
    <row r="160" spans="1:7" s="7" customFormat="1" ht="15" customHeight="1">
      <c r="A160" s="58"/>
      <c r="B160" s="76" t="s">
        <v>684</v>
      </c>
      <c r="C160" s="69" t="s">
        <v>478</v>
      </c>
      <c r="D160" s="69">
        <f>D155*3.5*2*1000*1.2</f>
        <v>11340.000000000002</v>
      </c>
      <c r="E160" s="100" t="e">
        <f>单价汇总!#REF!/100</f>
        <v>#REF!</v>
      </c>
      <c r="F160" s="65" t="e">
        <f t="shared" si="6"/>
        <v>#REF!</v>
      </c>
      <c r="G160" s="69"/>
    </row>
    <row r="161" spans="1:7" s="7" customFormat="1" ht="15" customHeight="1">
      <c r="A161" s="58"/>
      <c r="B161" s="76" t="s">
        <v>685</v>
      </c>
      <c r="C161" s="69" t="s">
        <v>365</v>
      </c>
      <c r="D161" s="69">
        <f>D155*2*1000*2</f>
        <v>5400</v>
      </c>
      <c r="E161" s="100" t="e">
        <f>单价汇总!#REF!/100</f>
        <v>#REF!</v>
      </c>
      <c r="F161" s="65" t="e">
        <f t="shared" si="6"/>
        <v>#REF!</v>
      </c>
      <c r="G161" s="69"/>
    </row>
    <row r="162" spans="1:7" s="7" customFormat="1" ht="15" customHeight="1">
      <c r="A162" s="58"/>
      <c r="B162" s="76" t="s">
        <v>686</v>
      </c>
      <c r="C162" s="69" t="s">
        <v>365</v>
      </c>
      <c r="D162" s="69">
        <f>D155*3.5*1000*2*0.4</f>
        <v>3780.000000000001</v>
      </c>
      <c r="E162" s="100" t="e">
        <f>单价汇总!#REF!/100</f>
        <v>#REF!</v>
      </c>
      <c r="F162" s="65" t="e">
        <f aca="true" t="shared" si="7" ref="F162:F193">D162*E162</f>
        <v>#REF!</v>
      </c>
      <c r="G162" s="69"/>
    </row>
    <row r="163" spans="1:7" s="7" customFormat="1" ht="15" customHeight="1">
      <c r="A163" s="58"/>
      <c r="B163" s="76" t="s">
        <v>643</v>
      </c>
      <c r="C163" s="69" t="s">
        <v>478</v>
      </c>
      <c r="D163" s="69">
        <f>3.5*1350</f>
        <v>4725</v>
      </c>
      <c r="E163" s="100">
        <f>'单价汇总'!D29/1000</f>
        <v>12.308742893143396</v>
      </c>
      <c r="F163" s="65">
        <f t="shared" si="7"/>
        <v>58158.810170102544</v>
      </c>
      <c r="G163" s="69"/>
    </row>
    <row r="164" spans="1:7" s="7" customFormat="1" ht="15" customHeight="1">
      <c r="A164" s="58">
        <v>2</v>
      </c>
      <c r="B164" s="78" t="s">
        <v>687</v>
      </c>
      <c r="C164" s="58" t="s">
        <v>636</v>
      </c>
      <c r="D164" s="99">
        <v>4.034</v>
      </c>
      <c r="E164" s="100"/>
      <c r="F164" s="65" t="e">
        <f>SUM(F165:F172)</f>
        <v>#REF!</v>
      </c>
      <c r="G164" s="59"/>
    </row>
    <row r="165" spans="1:7" s="10" customFormat="1" ht="15" customHeight="1">
      <c r="A165" s="105"/>
      <c r="B165" s="76" t="s">
        <v>46</v>
      </c>
      <c r="C165" s="69" t="s">
        <v>47</v>
      </c>
      <c r="D165" s="69">
        <f>14.2*D164*1000</f>
        <v>57282.799999999996</v>
      </c>
      <c r="E165" s="100">
        <f>E156</f>
        <v>5.433370516961509</v>
      </c>
      <c r="F165" s="65">
        <f t="shared" si="7"/>
        <v>311238.6766490027</v>
      </c>
      <c r="G165" s="69"/>
    </row>
    <row r="166" spans="1:7" s="10" customFormat="1" ht="15" customHeight="1">
      <c r="A166" s="105"/>
      <c r="B166" s="76" t="s">
        <v>680</v>
      </c>
      <c r="C166" s="69" t="s">
        <v>47</v>
      </c>
      <c r="D166" s="69">
        <f>D164*4*0.45*1000*2</f>
        <v>14522.4</v>
      </c>
      <c r="E166" s="100">
        <f>E157</f>
        <v>16.1557858773119</v>
      </c>
      <c r="F166" s="65">
        <f t="shared" si="7"/>
        <v>234620.7848246743</v>
      </c>
      <c r="G166" s="69"/>
    </row>
    <row r="167" spans="1:7" s="10" customFormat="1" ht="15" customHeight="1">
      <c r="A167" s="105"/>
      <c r="B167" s="67" t="s">
        <v>688</v>
      </c>
      <c r="C167" s="69" t="s">
        <v>47</v>
      </c>
      <c r="D167" s="69">
        <f>D165-D166</f>
        <v>42760.399999999994</v>
      </c>
      <c r="E167" s="100" t="e">
        <f>单价汇总!#REF!/100</f>
        <v>#REF!</v>
      </c>
      <c r="F167" s="65" t="e">
        <f t="shared" si="7"/>
        <v>#REF!</v>
      </c>
      <c r="G167" s="69"/>
    </row>
    <row r="168" spans="1:7" s="7" customFormat="1" ht="15" customHeight="1">
      <c r="A168" s="58"/>
      <c r="B168" s="76" t="s">
        <v>682</v>
      </c>
      <c r="C168" s="69" t="s">
        <v>683</v>
      </c>
      <c r="D168" s="69">
        <f>5.62*2*D164*1000</f>
        <v>45342.159999999996</v>
      </c>
      <c r="E168" s="100">
        <f>E159</f>
        <v>1.3062075153808523</v>
      </c>
      <c r="F168" s="65">
        <f t="shared" si="7"/>
        <v>59226.270155601065</v>
      </c>
      <c r="G168" s="69"/>
    </row>
    <row r="169" spans="1:7" s="7" customFormat="1" ht="15" customHeight="1">
      <c r="A169" s="58"/>
      <c r="B169" s="76" t="s">
        <v>684</v>
      </c>
      <c r="C169" s="69" t="s">
        <v>478</v>
      </c>
      <c r="D169" s="69">
        <f>D164*5.2*2*1000*1.2/1.5</f>
        <v>33562.88</v>
      </c>
      <c r="E169" s="100" t="e">
        <f>E160</f>
        <v>#REF!</v>
      </c>
      <c r="F169" s="65" t="e">
        <f t="shared" si="7"/>
        <v>#REF!</v>
      </c>
      <c r="G169" s="69"/>
    </row>
    <row r="170" spans="1:7" s="7" customFormat="1" ht="15" customHeight="1">
      <c r="A170" s="58"/>
      <c r="B170" s="76" t="s">
        <v>685</v>
      </c>
      <c r="C170" s="69" t="s">
        <v>365</v>
      </c>
      <c r="D170" s="69">
        <f>D164*2*1000*2</f>
        <v>16136</v>
      </c>
      <c r="E170" s="100" t="e">
        <f>E161</f>
        <v>#REF!</v>
      </c>
      <c r="F170" s="65" t="e">
        <f t="shared" si="7"/>
        <v>#REF!</v>
      </c>
      <c r="G170" s="69"/>
    </row>
    <row r="171" spans="1:7" s="7" customFormat="1" ht="15" customHeight="1">
      <c r="A171" s="58"/>
      <c r="B171" s="76" t="s">
        <v>686</v>
      </c>
      <c r="C171" s="69" t="s">
        <v>365</v>
      </c>
      <c r="D171" s="69">
        <f>D164*5.2*1000*2*0.4</f>
        <v>16781.44</v>
      </c>
      <c r="E171" s="100" t="e">
        <f>E162</f>
        <v>#REF!</v>
      </c>
      <c r="F171" s="65" t="e">
        <f t="shared" si="7"/>
        <v>#REF!</v>
      </c>
      <c r="G171" s="69"/>
    </row>
    <row r="172" spans="1:7" s="7" customFormat="1" ht="15" customHeight="1">
      <c r="A172" s="58"/>
      <c r="B172" s="76" t="s">
        <v>689</v>
      </c>
      <c r="C172" s="69" t="s">
        <v>365</v>
      </c>
      <c r="D172" s="69">
        <v>650</v>
      </c>
      <c r="E172" s="100">
        <f>'单价汇总'!D11/100</f>
        <v>23.148282342910804</v>
      </c>
      <c r="F172" s="65">
        <f t="shared" si="7"/>
        <v>15046.383522892022</v>
      </c>
      <c r="G172" s="76"/>
    </row>
    <row r="173" spans="1:7" s="7" customFormat="1" ht="15" customHeight="1">
      <c r="A173" s="58">
        <v>3</v>
      </c>
      <c r="B173" s="76" t="s">
        <v>690</v>
      </c>
      <c r="C173" s="69" t="s">
        <v>636</v>
      </c>
      <c r="D173" s="69">
        <v>1.02</v>
      </c>
      <c r="E173" s="100"/>
      <c r="F173" s="65" t="e">
        <f>SUM(F174:F181)</f>
        <v>#REF!</v>
      </c>
      <c r="G173" s="76"/>
    </row>
    <row r="174" spans="1:7" s="10" customFormat="1" ht="15" customHeight="1">
      <c r="A174" s="105"/>
      <c r="B174" s="76" t="s">
        <v>46</v>
      </c>
      <c r="C174" s="69" t="s">
        <v>47</v>
      </c>
      <c r="D174" s="69">
        <f>14*D173*1000</f>
        <v>14280.000000000002</v>
      </c>
      <c r="E174" s="100">
        <f>E165</f>
        <v>5.433370516961509</v>
      </c>
      <c r="F174" s="65">
        <f t="shared" si="7"/>
        <v>77588.53098221036</v>
      </c>
      <c r="G174" s="69"/>
    </row>
    <row r="175" spans="1:7" s="10" customFormat="1" ht="15" customHeight="1">
      <c r="A175" s="105"/>
      <c r="B175" s="76" t="s">
        <v>680</v>
      </c>
      <c r="C175" s="69" t="s">
        <v>47</v>
      </c>
      <c r="D175" s="69">
        <f>D173*4*0.45*1000*2</f>
        <v>3672</v>
      </c>
      <c r="E175" s="100">
        <f>E166</f>
        <v>16.1557858773119</v>
      </c>
      <c r="F175" s="65">
        <f t="shared" si="7"/>
        <v>59324.045741489295</v>
      </c>
      <c r="G175" s="69"/>
    </row>
    <row r="176" spans="1:7" s="10" customFormat="1" ht="15" customHeight="1">
      <c r="A176" s="105"/>
      <c r="B176" s="67" t="s">
        <v>681</v>
      </c>
      <c r="C176" s="69" t="s">
        <v>47</v>
      </c>
      <c r="D176" s="69">
        <f>D174-D175</f>
        <v>10608.000000000002</v>
      </c>
      <c r="E176" s="100">
        <f>E158</f>
        <v>20.8571590752865</v>
      </c>
      <c r="F176" s="65">
        <f t="shared" si="7"/>
        <v>221252.74347063922</v>
      </c>
      <c r="G176" s="69"/>
    </row>
    <row r="177" spans="1:7" s="7" customFormat="1" ht="15" customHeight="1">
      <c r="A177" s="58"/>
      <c r="B177" s="76" t="s">
        <v>682</v>
      </c>
      <c r="C177" s="69" t="s">
        <v>683</v>
      </c>
      <c r="D177" s="69">
        <f>5.2*2*D173*1000</f>
        <v>10608</v>
      </c>
      <c r="E177" s="100">
        <f>E159</f>
        <v>1.3062075153808523</v>
      </c>
      <c r="F177" s="65">
        <f t="shared" si="7"/>
        <v>13856.249323160082</v>
      </c>
      <c r="G177" s="69"/>
    </row>
    <row r="178" spans="1:7" s="7" customFormat="1" ht="15" customHeight="1">
      <c r="A178" s="58"/>
      <c r="B178" s="76" t="s">
        <v>684</v>
      </c>
      <c r="C178" s="69" t="s">
        <v>478</v>
      </c>
      <c r="D178" s="69">
        <f>D173*4.6*2*1000*1.2</f>
        <v>11260.799999999997</v>
      </c>
      <c r="E178" s="100" t="e">
        <f>E160</f>
        <v>#REF!</v>
      </c>
      <c r="F178" s="65" t="e">
        <f t="shared" si="7"/>
        <v>#REF!</v>
      </c>
      <c r="G178" s="69"/>
    </row>
    <row r="179" spans="1:7" s="7" customFormat="1" ht="15" customHeight="1">
      <c r="A179" s="58"/>
      <c r="B179" s="76" t="s">
        <v>685</v>
      </c>
      <c r="C179" s="69" t="s">
        <v>365</v>
      </c>
      <c r="D179" s="69">
        <f>D173*2*1000*2</f>
        <v>4080</v>
      </c>
      <c r="E179" s="100" t="e">
        <f>E161</f>
        <v>#REF!</v>
      </c>
      <c r="F179" s="65" t="e">
        <f t="shared" si="7"/>
        <v>#REF!</v>
      </c>
      <c r="G179" s="69"/>
    </row>
    <row r="180" spans="1:7" s="7" customFormat="1" ht="15" customHeight="1">
      <c r="A180" s="58"/>
      <c r="B180" s="76" t="s">
        <v>686</v>
      </c>
      <c r="C180" s="69" t="s">
        <v>365</v>
      </c>
      <c r="D180" s="69">
        <f>D173*4.4*1000*2*0.4</f>
        <v>3590.4</v>
      </c>
      <c r="E180" s="100" t="e">
        <f>E162</f>
        <v>#REF!</v>
      </c>
      <c r="F180" s="65" t="e">
        <f t="shared" si="7"/>
        <v>#REF!</v>
      </c>
      <c r="G180" s="69"/>
    </row>
    <row r="181" spans="1:7" s="7" customFormat="1" ht="15" customHeight="1">
      <c r="A181" s="58"/>
      <c r="B181" s="76" t="s">
        <v>689</v>
      </c>
      <c r="C181" s="69" t="s">
        <v>365</v>
      </c>
      <c r="D181" s="69">
        <v>480</v>
      </c>
      <c r="E181" s="100">
        <f>E172</f>
        <v>23.148282342910804</v>
      </c>
      <c r="F181" s="65">
        <f t="shared" si="7"/>
        <v>11111.175524597185</v>
      </c>
      <c r="G181" s="76"/>
    </row>
    <row r="182" spans="1:7" s="7" customFormat="1" ht="15" customHeight="1">
      <c r="A182" s="58">
        <v>4</v>
      </c>
      <c r="B182" s="76" t="s">
        <v>691</v>
      </c>
      <c r="C182" s="69" t="s">
        <v>636</v>
      </c>
      <c r="D182" s="69">
        <v>0.856</v>
      </c>
      <c r="E182" s="100"/>
      <c r="F182" s="65" t="e">
        <f>SUM(F183:F191)</f>
        <v>#REF!</v>
      </c>
      <c r="G182" s="76"/>
    </row>
    <row r="183" spans="1:7" s="10" customFormat="1" ht="15" customHeight="1">
      <c r="A183" s="105"/>
      <c r="B183" s="76" t="s">
        <v>46</v>
      </c>
      <c r="C183" s="69" t="s">
        <v>47</v>
      </c>
      <c r="D183" s="69">
        <f>13.2*D182*1000</f>
        <v>11299.199999999999</v>
      </c>
      <c r="E183" s="100">
        <f aca="true" t="shared" si="8" ref="E183:E190">E174</f>
        <v>5.433370516961509</v>
      </c>
      <c r="F183" s="65">
        <f t="shared" si="7"/>
        <v>61392.74014525148</v>
      </c>
      <c r="G183" s="69"/>
    </row>
    <row r="184" spans="1:7" s="10" customFormat="1" ht="15" customHeight="1">
      <c r="A184" s="105"/>
      <c r="B184" s="76" t="s">
        <v>692</v>
      </c>
      <c r="C184" s="69" t="s">
        <v>47</v>
      </c>
      <c r="D184" s="69">
        <f>D182*4*0.45*1000*2</f>
        <v>3081.6</v>
      </c>
      <c r="E184" s="100">
        <f t="shared" si="8"/>
        <v>16.1557858773119</v>
      </c>
      <c r="F184" s="65">
        <f t="shared" si="7"/>
        <v>49785.669759524346</v>
      </c>
      <c r="G184" s="69"/>
    </row>
    <row r="185" spans="1:7" s="10" customFormat="1" ht="15" customHeight="1">
      <c r="A185" s="105"/>
      <c r="B185" s="76" t="s">
        <v>688</v>
      </c>
      <c r="C185" s="69" t="s">
        <v>47</v>
      </c>
      <c r="D185" s="69">
        <f>D183-D184</f>
        <v>8217.599999999999</v>
      </c>
      <c r="E185" s="100" t="e">
        <f>E167</f>
        <v>#REF!</v>
      </c>
      <c r="F185" s="65" t="e">
        <f t="shared" si="7"/>
        <v>#REF!</v>
      </c>
      <c r="G185" s="69"/>
    </row>
    <row r="186" spans="1:7" s="7" customFormat="1" ht="15" customHeight="1">
      <c r="A186" s="58"/>
      <c r="B186" s="76" t="s">
        <v>682</v>
      </c>
      <c r="C186" s="69" t="s">
        <v>683</v>
      </c>
      <c r="D186" s="69">
        <f>5.2*2*D182*1000</f>
        <v>8902.4</v>
      </c>
      <c r="E186" s="100">
        <f t="shared" si="8"/>
        <v>1.3062075153808523</v>
      </c>
      <c r="F186" s="65">
        <f t="shared" si="7"/>
        <v>11628.3817849265</v>
      </c>
      <c r="G186" s="69"/>
    </row>
    <row r="187" spans="1:7" s="7" customFormat="1" ht="15" customHeight="1">
      <c r="A187" s="58"/>
      <c r="B187" s="76" t="s">
        <v>684</v>
      </c>
      <c r="C187" s="69" t="s">
        <v>478</v>
      </c>
      <c r="D187" s="69">
        <f>D182*4.6*2*1000*1.2</f>
        <v>9450.24</v>
      </c>
      <c r="E187" s="100" t="e">
        <f t="shared" si="8"/>
        <v>#REF!</v>
      </c>
      <c r="F187" s="65" t="e">
        <f t="shared" si="7"/>
        <v>#REF!</v>
      </c>
      <c r="G187" s="69"/>
    </row>
    <row r="188" spans="1:7" s="7" customFormat="1" ht="15" customHeight="1">
      <c r="A188" s="58"/>
      <c r="B188" s="76" t="s">
        <v>685</v>
      </c>
      <c r="C188" s="69" t="s">
        <v>365</v>
      </c>
      <c r="D188" s="69">
        <f>D182*2*1000*2</f>
        <v>3424</v>
      </c>
      <c r="E188" s="100" t="e">
        <f t="shared" si="8"/>
        <v>#REF!</v>
      </c>
      <c r="F188" s="65" t="e">
        <f t="shared" si="7"/>
        <v>#REF!</v>
      </c>
      <c r="G188" s="69"/>
    </row>
    <row r="189" spans="1:7" s="7" customFormat="1" ht="15" customHeight="1">
      <c r="A189" s="58"/>
      <c r="B189" s="76" t="s">
        <v>686</v>
      </c>
      <c r="C189" s="69" t="s">
        <v>365</v>
      </c>
      <c r="D189" s="69">
        <f>D182*4.4*1000*2*0.4</f>
        <v>3013.120000000001</v>
      </c>
      <c r="E189" s="100" t="e">
        <f t="shared" si="8"/>
        <v>#REF!</v>
      </c>
      <c r="F189" s="65" t="e">
        <f t="shared" si="7"/>
        <v>#REF!</v>
      </c>
      <c r="G189" s="69"/>
    </row>
    <row r="190" spans="1:7" s="7" customFormat="1" ht="15" customHeight="1">
      <c r="A190" s="58"/>
      <c r="B190" s="76" t="s">
        <v>689</v>
      </c>
      <c r="C190" s="69" t="s">
        <v>365</v>
      </c>
      <c r="D190" s="40">
        <v>480</v>
      </c>
      <c r="E190" s="100">
        <f t="shared" si="8"/>
        <v>23.148282342910804</v>
      </c>
      <c r="F190" s="65">
        <f t="shared" si="7"/>
        <v>11111.175524597185</v>
      </c>
      <c r="G190" s="76"/>
    </row>
    <row r="191" spans="1:7" s="7" customFormat="1" ht="15" customHeight="1">
      <c r="A191" s="58"/>
      <c r="B191" s="76" t="s">
        <v>693</v>
      </c>
      <c r="C191" s="69" t="s">
        <v>365</v>
      </c>
      <c r="D191" s="40">
        <v>17650</v>
      </c>
      <c r="E191" s="100">
        <f>E176</f>
        <v>20.8571590752865</v>
      </c>
      <c r="F191" s="65">
        <f t="shared" si="7"/>
        <v>368128.8576788067</v>
      </c>
      <c r="G191" s="69" t="s">
        <v>694</v>
      </c>
    </row>
    <row r="192" spans="1:7" s="7" customFormat="1" ht="15" customHeight="1">
      <c r="A192" s="58">
        <v>5</v>
      </c>
      <c r="B192" s="76" t="s">
        <v>695</v>
      </c>
      <c r="C192" s="69" t="s">
        <v>636</v>
      </c>
      <c r="D192" s="40">
        <v>1.75</v>
      </c>
      <c r="E192" s="100"/>
      <c r="F192" s="65" t="e">
        <f>F193</f>
        <v>#REF!</v>
      </c>
      <c r="G192" s="69"/>
    </row>
    <row r="193" spans="1:7" s="7" customFormat="1" ht="15" customHeight="1">
      <c r="A193" s="58"/>
      <c r="B193" s="76" t="s">
        <v>696</v>
      </c>
      <c r="C193" s="69" t="s">
        <v>365</v>
      </c>
      <c r="D193" s="40">
        <f>D192*3.5*1*1000</f>
        <v>6125</v>
      </c>
      <c r="E193" s="100" t="e">
        <f>E185</f>
        <v>#REF!</v>
      </c>
      <c r="F193" s="65" t="e">
        <f t="shared" si="7"/>
        <v>#REF!</v>
      </c>
      <c r="G193" s="69" t="s">
        <v>694</v>
      </c>
    </row>
    <row r="194" spans="1:7" s="7" customFormat="1" ht="15" customHeight="1">
      <c r="A194" s="58">
        <v>6</v>
      </c>
      <c r="B194" s="78" t="s">
        <v>697</v>
      </c>
      <c r="C194" s="69" t="s">
        <v>636</v>
      </c>
      <c r="D194" s="40">
        <v>1.65</v>
      </c>
      <c r="E194" s="100"/>
      <c r="F194" s="65" t="e">
        <f>SUM(F195:F198)</f>
        <v>#REF!</v>
      </c>
      <c r="G194" s="58"/>
    </row>
    <row r="195" spans="1:7" s="10" customFormat="1" ht="15" customHeight="1">
      <c r="A195" s="105"/>
      <c r="B195" s="76" t="s">
        <v>698</v>
      </c>
      <c r="C195" s="69" t="s">
        <v>47</v>
      </c>
      <c r="D195" s="40">
        <f>D194*11.8*1000</f>
        <v>19470</v>
      </c>
      <c r="E195" s="100" t="e">
        <f>单价汇总!#REF!/100</f>
        <v>#REF!</v>
      </c>
      <c r="F195" s="65" t="e">
        <f aca="true" t="shared" si="9" ref="F195:F203">D195*E195</f>
        <v>#REF!</v>
      </c>
      <c r="G195" s="106"/>
    </row>
    <row r="196" spans="1:7" s="10" customFormat="1" ht="15" customHeight="1">
      <c r="A196" s="105"/>
      <c r="B196" s="76" t="s">
        <v>692</v>
      </c>
      <c r="C196" s="69" t="s">
        <v>47</v>
      </c>
      <c r="D196" s="40">
        <f>D194*2.5*0.35*1000*2</f>
        <v>2887.4999999999995</v>
      </c>
      <c r="E196" s="100">
        <f>'单价汇总'!D6/100</f>
        <v>6.0857406224561394</v>
      </c>
      <c r="F196" s="65">
        <f t="shared" si="9"/>
        <v>17572.5760473421</v>
      </c>
      <c r="G196" s="106"/>
    </row>
    <row r="197" spans="1:7" s="11" customFormat="1" ht="15" customHeight="1">
      <c r="A197" s="107"/>
      <c r="B197" s="108" t="s">
        <v>699</v>
      </c>
      <c r="C197" s="109" t="s">
        <v>47</v>
      </c>
      <c r="D197" s="45">
        <f>D195-D196</f>
        <v>16582.5</v>
      </c>
      <c r="E197" s="110">
        <f>E14</f>
        <v>20.8571590752865</v>
      </c>
      <c r="F197" s="111">
        <f t="shared" si="9"/>
        <v>345863.8403659384</v>
      </c>
      <c r="G197" s="112"/>
    </row>
    <row r="198" spans="1:7" s="7" customFormat="1" ht="15" customHeight="1">
      <c r="A198" s="58"/>
      <c r="B198" s="76" t="s">
        <v>682</v>
      </c>
      <c r="C198" s="69" t="s">
        <v>683</v>
      </c>
      <c r="D198" s="40">
        <f>4.2*2*D194*1000</f>
        <v>13860</v>
      </c>
      <c r="E198" s="100">
        <f>'单价汇总'!D9/100</f>
        <v>1.3062075153808523</v>
      </c>
      <c r="F198" s="65">
        <f t="shared" si="9"/>
        <v>18104.036163178615</v>
      </c>
      <c r="G198" s="59"/>
    </row>
    <row r="199" spans="1:7" s="7" customFormat="1" ht="15" customHeight="1">
      <c r="A199" s="58">
        <v>7</v>
      </c>
      <c r="B199" s="78" t="s">
        <v>700</v>
      </c>
      <c r="C199" s="69" t="s">
        <v>636</v>
      </c>
      <c r="D199" s="40">
        <v>0.78</v>
      </c>
      <c r="E199" s="100"/>
      <c r="F199" s="65" t="e">
        <f>SUM(F200:F203)</f>
        <v>#REF!</v>
      </c>
      <c r="G199" s="58"/>
    </row>
    <row r="200" spans="1:7" s="10" customFormat="1" ht="15" customHeight="1">
      <c r="A200" s="105"/>
      <c r="B200" s="76" t="s">
        <v>698</v>
      </c>
      <c r="C200" s="69" t="s">
        <v>47</v>
      </c>
      <c r="D200" s="40">
        <f>D199*14*1000</f>
        <v>10920</v>
      </c>
      <c r="E200" s="100" t="e">
        <f>E195</f>
        <v>#REF!</v>
      </c>
      <c r="F200" s="65" t="e">
        <f t="shared" si="9"/>
        <v>#REF!</v>
      </c>
      <c r="G200" s="106"/>
    </row>
    <row r="201" spans="1:7" s="10" customFormat="1" ht="15" customHeight="1">
      <c r="A201" s="105"/>
      <c r="B201" s="76" t="s">
        <v>692</v>
      </c>
      <c r="C201" s="69" t="s">
        <v>47</v>
      </c>
      <c r="D201" s="40">
        <f>D199*2.5*0.35*1000*2</f>
        <v>1365</v>
      </c>
      <c r="E201" s="100">
        <f>E196</f>
        <v>6.0857406224561394</v>
      </c>
      <c r="F201" s="65">
        <f t="shared" si="9"/>
        <v>8307.03594965263</v>
      </c>
      <c r="G201" s="106"/>
    </row>
    <row r="202" spans="1:7" s="11" customFormat="1" ht="15" customHeight="1">
      <c r="A202" s="107"/>
      <c r="B202" s="108" t="s">
        <v>701</v>
      </c>
      <c r="C202" s="109" t="s">
        <v>47</v>
      </c>
      <c r="D202" s="45">
        <f>D200-D201</f>
        <v>9555</v>
      </c>
      <c r="E202" s="110">
        <f>E6</f>
        <v>14.761972369318114</v>
      </c>
      <c r="F202" s="111">
        <f t="shared" si="9"/>
        <v>141050.64598883459</v>
      </c>
      <c r="G202" s="112"/>
    </row>
    <row r="203" spans="1:7" s="7" customFormat="1" ht="15" customHeight="1">
      <c r="A203" s="58"/>
      <c r="B203" s="76" t="s">
        <v>682</v>
      </c>
      <c r="C203" s="69" t="s">
        <v>683</v>
      </c>
      <c r="D203" s="40">
        <f>4.2*2*D199*1000</f>
        <v>6552.000000000001</v>
      </c>
      <c r="E203" s="100">
        <f>E198</f>
        <v>1.3062075153808523</v>
      </c>
      <c r="F203" s="65">
        <f t="shared" si="9"/>
        <v>8558.271640775345</v>
      </c>
      <c r="G203" s="59"/>
    </row>
    <row r="204" spans="1:7" s="7" customFormat="1" ht="15" customHeight="1">
      <c r="A204" s="58">
        <v>8</v>
      </c>
      <c r="B204" s="76" t="s">
        <v>702</v>
      </c>
      <c r="C204" s="69" t="s">
        <v>636</v>
      </c>
      <c r="D204" s="40">
        <v>16.35</v>
      </c>
      <c r="E204" s="100"/>
      <c r="F204" s="65" t="e">
        <f>SUM(F205:F208)</f>
        <v>#REF!</v>
      </c>
      <c r="G204" s="59"/>
    </row>
    <row r="205" spans="1:7" s="10" customFormat="1" ht="15" customHeight="1">
      <c r="A205" s="105"/>
      <c r="B205" s="76" t="s">
        <v>46</v>
      </c>
      <c r="C205" s="69" t="s">
        <v>47</v>
      </c>
      <c r="D205" s="40">
        <f>D204*7.02*1000</f>
        <v>114777</v>
      </c>
      <c r="E205" s="100" t="e">
        <f>E195</f>
        <v>#REF!</v>
      </c>
      <c r="F205" s="65" t="e">
        <f aca="true" t="shared" si="10" ref="F205:F235">D205*E205</f>
        <v>#REF!</v>
      </c>
      <c r="G205" s="106"/>
    </row>
    <row r="206" spans="1:7" s="10" customFormat="1" ht="15" customHeight="1">
      <c r="A206" s="105"/>
      <c r="B206" s="76" t="s">
        <v>692</v>
      </c>
      <c r="C206" s="69" t="s">
        <v>47</v>
      </c>
      <c r="D206" s="40">
        <f>D204*2.5*0.35*1000*2</f>
        <v>28612.499999999996</v>
      </c>
      <c r="E206" s="100">
        <f>E196</f>
        <v>6.0857406224561394</v>
      </c>
      <c r="F206" s="65">
        <f t="shared" si="10"/>
        <v>174128.25356002626</v>
      </c>
      <c r="G206" s="106"/>
    </row>
    <row r="207" spans="1:7" s="10" customFormat="1" ht="15" customHeight="1">
      <c r="A207" s="105"/>
      <c r="B207" s="108" t="s">
        <v>699</v>
      </c>
      <c r="C207" s="69" t="s">
        <v>47</v>
      </c>
      <c r="D207" s="40">
        <f>D205-D206</f>
        <v>86164.5</v>
      </c>
      <c r="E207" s="100">
        <f>E197</f>
        <v>20.8571590752865</v>
      </c>
      <c r="F207" s="65">
        <f t="shared" si="10"/>
        <v>1797146.6831425235</v>
      </c>
      <c r="G207" s="106"/>
    </row>
    <row r="208" spans="1:7" s="7" customFormat="1" ht="15" customHeight="1">
      <c r="A208" s="58"/>
      <c r="B208" s="76" t="s">
        <v>682</v>
      </c>
      <c r="C208" s="69" t="s">
        <v>683</v>
      </c>
      <c r="D208" s="69">
        <f>3.25*2*D204*1000</f>
        <v>106275</v>
      </c>
      <c r="E208" s="100">
        <f>E198</f>
        <v>1.3062075153808523</v>
      </c>
      <c r="F208" s="65">
        <f t="shared" si="10"/>
        <v>138817.20369710008</v>
      </c>
      <c r="G208" s="59"/>
    </row>
    <row r="209" spans="1:7" s="7" customFormat="1" ht="15" customHeight="1">
      <c r="A209" s="58">
        <v>9</v>
      </c>
      <c r="B209" s="76" t="s">
        <v>703</v>
      </c>
      <c r="C209" s="69" t="s">
        <v>636</v>
      </c>
      <c r="D209" s="40">
        <v>6.5</v>
      </c>
      <c r="E209" s="100"/>
      <c r="F209" s="65">
        <f>SUM(F210:F211)</f>
        <v>495794.75299026835</v>
      </c>
      <c r="G209" s="59"/>
    </row>
    <row r="210" spans="1:7" s="10" customFormat="1" ht="15" customHeight="1">
      <c r="A210" s="105"/>
      <c r="B210" s="108" t="s">
        <v>622</v>
      </c>
      <c r="C210" s="69" t="s">
        <v>47</v>
      </c>
      <c r="D210" s="40">
        <f>D209*3.25*1000</f>
        <v>21125</v>
      </c>
      <c r="E210" s="100">
        <f>E207</f>
        <v>20.8571590752865</v>
      </c>
      <c r="F210" s="65">
        <f t="shared" si="10"/>
        <v>440607.48546542734</v>
      </c>
      <c r="G210" s="106"/>
    </row>
    <row r="211" spans="1:7" s="7" customFormat="1" ht="15" customHeight="1">
      <c r="A211" s="58"/>
      <c r="B211" s="76" t="s">
        <v>682</v>
      </c>
      <c r="C211" s="69" t="s">
        <v>683</v>
      </c>
      <c r="D211" s="40">
        <f>3.25*2*D209*1000</f>
        <v>42250</v>
      </c>
      <c r="E211" s="100">
        <f>E208</f>
        <v>1.3062075153808523</v>
      </c>
      <c r="F211" s="65">
        <f t="shared" si="10"/>
        <v>55187.26752484101</v>
      </c>
      <c r="G211" s="59"/>
    </row>
    <row r="212" spans="1:7" s="3" customFormat="1" ht="15" customHeight="1">
      <c r="A212" s="54" t="s">
        <v>568</v>
      </c>
      <c r="B212" s="55" t="s">
        <v>704</v>
      </c>
      <c r="C212" s="113" t="s">
        <v>65</v>
      </c>
      <c r="D212" s="54">
        <f>D213+D219+D227</f>
        <v>77</v>
      </c>
      <c r="E212" s="100"/>
      <c r="F212" s="57">
        <f>F213+F219+F227</f>
        <v>765663.2325178774</v>
      </c>
      <c r="G212" s="55"/>
    </row>
    <row r="213" spans="1:7" s="9" customFormat="1" ht="15" customHeight="1">
      <c r="A213" s="77">
        <v>1</v>
      </c>
      <c r="B213" s="114" t="s">
        <v>705</v>
      </c>
      <c r="C213" s="68" t="s">
        <v>65</v>
      </c>
      <c r="D213" s="93">
        <v>57</v>
      </c>
      <c r="E213" s="100"/>
      <c r="F213" s="65">
        <f>SUM(F214:F218)</f>
        <v>391661.33143547166</v>
      </c>
      <c r="G213" s="59"/>
    </row>
    <row r="214" spans="1:7" s="9" customFormat="1" ht="15" customHeight="1">
      <c r="A214" s="77"/>
      <c r="B214" s="88" t="s">
        <v>46</v>
      </c>
      <c r="C214" s="68" t="s">
        <v>640</v>
      </c>
      <c r="D214" s="89">
        <f>D213*21.69</f>
        <v>1236.3300000000002</v>
      </c>
      <c r="E214" s="100">
        <f>E141</f>
        <v>5.948462518329764</v>
      </c>
      <c r="F214" s="65">
        <f t="shared" si="10"/>
        <v>7354.262665286638</v>
      </c>
      <c r="G214" s="59"/>
    </row>
    <row r="215" spans="1:7" s="9" customFormat="1" ht="15" customHeight="1">
      <c r="A215" s="77"/>
      <c r="B215" s="88" t="s">
        <v>48</v>
      </c>
      <c r="C215" s="68" t="s">
        <v>640</v>
      </c>
      <c r="D215" s="89">
        <f>D213*9.76</f>
        <v>556.3199999999999</v>
      </c>
      <c r="E215" s="100">
        <f>E142</f>
        <v>22.087821666441833</v>
      </c>
      <c r="F215" s="65">
        <f t="shared" si="10"/>
        <v>12287.89694947492</v>
      </c>
      <c r="G215" s="59"/>
    </row>
    <row r="216" spans="1:7" s="9" customFormat="1" ht="15" customHeight="1">
      <c r="A216" s="75"/>
      <c r="B216" s="85" t="s">
        <v>116</v>
      </c>
      <c r="C216" s="38" t="s">
        <v>365</v>
      </c>
      <c r="D216" s="94">
        <f>D213*13.12</f>
        <v>747.8399999999999</v>
      </c>
      <c r="E216" s="96">
        <f>'单价汇总'!D14/100</f>
        <v>319.6728143876425</v>
      </c>
      <c r="F216" s="70">
        <f t="shared" si="10"/>
        <v>239064.11751165456</v>
      </c>
      <c r="G216" s="71"/>
    </row>
    <row r="217" spans="1:7" s="9" customFormat="1" ht="15" customHeight="1">
      <c r="A217" s="75"/>
      <c r="B217" s="85" t="s">
        <v>85</v>
      </c>
      <c r="C217" s="38" t="s">
        <v>365</v>
      </c>
      <c r="D217" s="94">
        <f>D213*0.32</f>
        <v>18.240000000000002</v>
      </c>
      <c r="E217" s="96">
        <f>'单价汇总'!D19/100</f>
        <v>492.3275388736576</v>
      </c>
      <c r="F217" s="70">
        <f t="shared" si="10"/>
        <v>8980.054309055515</v>
      </c>
      <c r="G217" s="71"/>
    </row>
    <row r="218" spans="1:7" s="9" customFormat="1" ht="15" customHeight="1">
      <c r="A218" s="75"/>
      <c r="B218" s="85" t="s">
        <v>612</v>
      </c>
      <c r="C218" s="87" t="s">
        <v>44</v>
      </c>
      <c r="D218" s="69">
        <f>D213*5</f>
        <v>285</v>
      </c>
      <c r="E218" s="98">
        <f>313+42+40+40</f>
        <v>435</v>
      </c>
      <c r="F218" s="70">
        <f t="shared" si="10"/>
        <v>123975</v>
      </c>
      <c r="G218" s="71"/>
    </row>
    <row r="219" spans="1:7" s="9" customFormat="1" ht="15" customHeight="1">
      <c r="A219" s="38">
        <v>2</v>
      </c>
      <c r="B219" s="73" t="s">
        <v>706</v>
      </c>
      <c r="C219" s="87" t="s">
        <v>65</v>
      </c>
      <c r="D219" s="69">
        <v>8</v>
      </c>
      <c r="E219" s="96"/>
      <c r="F219" s="70">
        <f>SUM(F220:F226)</f>
        <v>74770.41903617415</v>
      </c>
      <c r="G219" s="71"/>
    </row>
    <row r="220" spans="1:7" s="9" customFormat="1" ht="15" customHeight="1">
      <c r="A220" s="75"/>
      <c r="B220" s="85" t="s">
        <v>46</v>
      </c>
      <c r="C220" s="38" t="s">
        <v>365</v>
      </c>
      <c r="D220" s="74">
        <f>D219*48.64</f>
        <v>389.12</v>
      </c>
      <c r="E220" s="96">
        <f>E214</f>
        <v>5.948462518329764</v>
      </c>
      <c r="F220" s="70">
        <f t="shared" si="10"/>
        <v>2314.665735132478</v>
      </c>
      <c r="G220" s="71"/>
    </row>
    <row r="221" spans="1:7" s="9" customFormat="1" ht="15" customHeight="1">
      <c r="A221" s="77"/>
      <c r="B221" s="88" t="s">
        <v>48</v>
      </c>
      <c r="C221" s="68" t="s">
        <v>640</v>
      </c>
      <c r="D221" s="63">
        <f>D219*18.47</f>
        <v>147.76</v>
      </c>
      <c r="E221" s="100">
        <f>E215</f>
        <v>22.087821666441833</v>
      </c>
      <c r="F221" s="65">
        <f t="shared" si="10"/>
        <v>3263.696529433445</v>
      </c>
      <c r="G221" s="59"/>
    </row>
    <row r="222" spans="1:7" s="9" customFormat="1" ht="15" customHeight="1">
      <c r="A222" s="77"/>
      <c r="B222" s="90" t="s">
        <v>664</v>
      </c>
      <c r="C222" s="68" t="s">
        <v>640</v>
      </c>
      <c r="D222" s="63">
        <f>D219*2.9</f>
        <v>23.2</v>
      </c>
      <c r="E222" s="100">
        <f>E110</f>
        <v>898.4456685651555</v>
      </c>
      <c r="F222" s="65">
        <f t="shared" si="10"/>
        <v>20843.939510711607</v>
      </c>
      <c r="G222" s="59"/>
    </row>
    <row r="223" spans="1:7" s="9" customFormat="1" ht="15" customHeight="1">
      <c r="A223" s="77"/>
      <c r="B223" s="88" t="s">
        <v>116</v>
      </c>
      <c r="C223" s="68" t="s">
        <v>640</v>
      </c>
      <c r="D223" s="63">
        <f>D219*9.07</f>
        <v>72.56</v>
      </c>
      <c r="E223" s="100">
        <f>E216</f>
        <v>319.6728143876425</v>
      </c>
      <c r="F223" s="65">
        <f t="shared" si="10"/>
        <v>23195.459411967342</v>
      </c>
      <c r="G223" s="59"/>
    </row>
    <row r="224" spans="1:7" s="9" customFormat="1" ht="15" customHeight="1">
      <c r="A224" s="77"/>
      <c r="B224" s="88" t="s">
        <v>86</v>
      </c>
      <c r="C224" s="68" t="s">
        <v>77</v>
      </c>
      <c r="D224" s="63">
        <f>D219*339.4/1000</f>
        <v>2.7152</v>
      </c>
      <c r="E224" s="100">
        <f>'单价汇总'!D18</f>
        <v>6942.524506132902</v>
      </c>
      <c r="F224" s="65">
        <f t="shared" si="10"/>
        <v>18850.342539052057</v>
      </c>
      <c r="G224" s="59"/>
    </row>
    <row r="225" spans="1:7" s="9" customFormat="1" ht="15" customHeight="1">
      <c r="A225" s="77"/>
      <c r="B225" s="88" t="s">
        <v>124</v>
      </c>
      <c r="C225" s="68" t="s">
        <v>640</v>
      </c>
      <c r="D225" s="63">
        <f>D219*0.83</f>
        <v>6.64</v>
      </c>
      <c r="E225" s="100">
        <f>'单价汇总'!D23/100</f>
        <v>404.5455735201907</v>
      </c>
      <c r="F225" s="65">
        <f t="shared" si="10"/>
        <v>2686.182608174066</v>
      </c>
      <c r="G225" s="59"/>
    </row>
    <row r="226" spans="1:7" s="9" customFormat="1" ht="15" customHeight="1">
      <c r="A226" s="77"/>
      <c r="B226" s="88" t="s">
        <v>707</v>
      </c>
      <c r="C226" s="68" t="s">
        <v>640</v>
      </c>
      <c r="D226" s="63">
        <f>D219*1</f>
        <v>8</v>
      </c>
      <c r="E226" s="100">
        <f>'单价汇总'!D24/100</f>
        <v>452.0165877128936</v>
      </c>
      <c r="F226" s="65">
        <f t="shared" si="10"/>
        <v>3616.132701703149</v>
      </c>
      <c r="G226" s="59"/>
    </row>
    <row r="227" spans="1:7" s="9" customFormat="1" ht="15" customHeight="1">
      <c r="A227" s="68">
        <v>3</v>
      </c>
      <c r="B227" s="67" t="s">
        <v>708</v>
      </c>
      <c r="C227" s="91" t="s">
        <v>65</v>
      </c>
      <c r="D227" s="58">
        <v>12</v>
      </c>
      <c r="E227" s="100"/>
      <c r="F227" s="65">
        <f>SUM(F228:F235)</f>
        <v>299231.4820462316</v>
      </c>
      <c r="G227" s="59"/>
    </row>
    <row r="228" spans="1:7" s="9" customFormat="1" ht="15" customHeight="1">
      <c r="A228" s="77"/>
      <c r="B228" s="88" t="s">
        <v>46</v>
      </c>
      <c r="C228" s="68" t="s">
        <v>640</v>
      </c>
      <c r="D228" s="63">
        <f>D227*28.64</f>
        <v>343.68</v>
      </c>
      <c r="E228" s="100">
        <f>E220</f>
        <v>5.948462518329764</v>
      </c>
      <c r="F228" s="65">
        <f t="shared" si="10"/>
        <v>2044.3675982995733</v>
      </c>
      <c r="G228" s="59"/>
    </row>
    <row r="229" spans="1:7" s="9" customFormat="1" ht="15" customHeight="1">
      <c r="A229" s="77"/>
      <c r="B229" s="88" t="s">
        <v>48</v>
      </c>
      <c r="C229" s="68" t="s">
        <v>640</v>
      </c>
      <c r="D229" s="63">
        <f>D227*18.47</f>
        <v>221.64</v>
      </c>
      <c r="E229" s="100">
        <f>E221</f>
        <v>22.087821666441833</v>
      </c>
      <c r="F229" s="65">
        <f t="shared" si="10"/>
        <v>4895.544794150168</v>
      </c>
      <c r="G229" s="59"/>
    </row>
    <row r="230" spans="1:7" s="9" customFormat="1" ht="15" customHeight="1">
      <c r="A230" s="77"/>
      <c r="B230" s="90" t="s">
        <v>664</v>
      </c>
      <c r="C230" s="68" t="s">
        <v>640</v>
      </c>
      <c r="D230" s="63">
        <f>2.2*0.2*6*D227</f>
        <v>31.680000000000007</v>
      </c>
      <c r="E230" s="100">
        <f>E222</f>
        <v>898.4456685651555</v>
      </c>
      <c r="F230" s="65">
        <f t="shared" si="10"/>
        <v>28462.758780144133</v>
      </c>
      <c r="G230" s="59"/>
    </row>
    <row r="231" spans="1:7" s="9" customFormat="1" ht="15" customHeight="1">
      <c r="A231" s="77"/>
      <c r="B231" s="88" t="s">
        <v>116</v>
      </c>
      <c r="C231" s="68" t="s">
        <v>640</v>
      </c>
      <c r="D231" s="63">
        <f>0.5*6*4.8*D227</f>
        <v>172.79999999999998</v>
      </c>
      <c r="E231" s="100">
        <f>E223</f>
        <v>319.6728143876425</v>
      </c>
      <c r="F231" s="65">
        <f t="shared" si="10"/>
        <v>55239.46232618462</v>
      </c>
      <c r="G231" s="59"/>
    </row>
    <row r="232" spans="1:7" s="9" customFormat="1" ht="15" customHeight="1">
      <c r="A232" s="54"/>
      <c r="B232" s="115" t="s">
        <v>117</v>
      </c>
      <c r="C232" s="58" t="s">
        <v>640</v>
      </c>
      <c r="D232" s="58">
        <f>1.98*9*2*D227</f>
        <v>427.68</v>
      </c>
      <c r="E232" s="100">
        <f>'单价汇总'!D15/100</f>
        <v>335.2359664583045</v>
      </c>
      <c r="F232" s="65">
        <f t="shared" si="10"/>
        <v>143373.7181348877</v>
      </c>
      <c r="G232" s="59"/>
    </row>
    <row r="233" spans="1:7" s="9" customFormat="1" ht="15" customHeight="1">
      <c r="A233" s="77"/>
      <c r="B233" s="88" t="s">
        <v>86</v>
      </c>
      <c r="C233" s="68" t="s">
        <v>77</v>
      </c>
      <c r="D233" s="63">
        <f>44.5*6*D227/1000</f>
        <v>3.204</v>
      </c>
      <c r="E233" s="100">
        <f>E224</f>
        <v>6942.524506132902</v>
      </c>
      <c r="F233" s="65">
        <f t="shared" si="10"/>
        <v>22243.84851764982</v>
      </c>
      <c r="G233" s="59"/>
    </row>
    <row r="234" spans="1:7" s="9" customFormat="1" ht="15" customHeight="1">
      <c r="A234" s="77"/>
      <c r="B234" s="88" t="s">
        <v>124</v>
      </c>
      <c r="C234" s="68" t="s">
        <v>640</v>
      </c>
      <c r="D234" s="63">
        <f>D227*0.83</f>
        <v>9.959999999999999</v>
      </c>
      <c r="E234" s="100">
        <f>E225</f>
        <v>404.5455735201907</v>
      </c>
      <c r="F234" s="65">
        <f t="shared" si="10"/>
        <v>4029.273912261099</v>
      </c>
      <c r="G234" s="59"/>
    </row>
    <row r="235" spans="1:7" s="9" customFormat="1" ht="15" customHeight="1">
      <c r="A235" s="77"/>
      <c r="B235" s="88" t="s">
        <v>709</v>
      </c>
      <c r="C235" s="68" t="s">
        <v>640</v>
      </c>
      <c r="D235" s="63">
        <f>D231</f>
        <v>172.79999999999998</v>
      </c>
      <c r="E235" s="100">
        <f>'单价汇总'!D16/100</f>
        <v>225.3617360107324</v>
      </c>
      <c r="F235" s="65">
        <f t="shared" si="10"/>
        <v>38942.507982654555</v>
      </c>
      <c r="G235" s="59"/>
    </row>
    <row r="236" spans="1:7" ht="15" customHeight="1">
      <c r="A236" s="48" t="s">
        <v>22</v>
      </c>
      <c r="B236" s="49" t="s">
        <v>710</v>
      </c>
      <c r="C236" s="48" t="s">
        <v>636</v>
      </c>
      <c r="D236" s="116">
        <v>2.2</v>
      </c>
      <c r="E236" s="117"/>
      <c r="F236" s="118">
        <f>SUM(F237:F240)</f>
        <v>1243745.0334242769</v>
      </c>
      <c r="G236" s="119"/>
    </row>
    <row r="237" spans="1:7" ht="15" customHeight="1">
      <c r="A237" s="34"/>
      <c r="B237" s="37" t="s">
        <v>711</v>
      </c>
      <c r="C237" s="38" t="s">
        <v>365</v>
      </c>
      <c r="D237" s="39">
        <f>6*0.3*D236*1000</f>
        <v>3960</v>
      </c>
      <c r="E237" s="96">
        <f>'单价汇总'!D6/100</f>
        <v>6.0857406224561394</v>
      </c>
      <c r="F237" s="70">
        <f>D237*E237</f>
        <v>24099.532864926314</v>
      </c>
      <c r="G237" s="71"/>
    </row>
    <row r="238" spans="1:7" ht="15" customHeight="1">
      <c r="A238" s="34"/>
      <c r="B238" s="37" t="s">
        <v>712</v>
      </c>
      <c r="C238" s="38" t="s">
        <v>365</v>
      </c>
      <c r="D238" s="39">
        <f>5.5*0.15*D236*1000</f>
        <v>1815</v>
      </c>
      <c r="E238" s="96">
        <f>'单价汇总'!D17/100</f>
        <v>123.01889861301613</v>
      </c>
      <c r="F238" s="70">
        <f aca="true" t="shared" si="11" ref="F238:F243">D238*E238</f>
        <v>223279.3009826243</v>
      </c>
      <c r="G238" s="71"/>
    </row>
    <row r="239" spans="1:7" ht="15" customHeight="1">
      <c r="A239" s="34"/>
      <c r="B239" s="37" t="s">
        <v>713</v>
      </c>
      <c r="C239" s="38" t="s">
        <v>365</v>
      </c>
      <c r="D239" s="39">
        <f>D236*1000*0.2*4.5</f>
        <v>1980</v>
      </c>
      <c r="E239" s="96">
        <f>'单价汇总'!D21/100</f>
        <v>493.2152523114779</v>
      </c>
      <c r="F239" s="70">
        <f t="shared" si="11"/>
        <v>976566.1995767263</v>
      </c>
      <c r="G239" s="71"/>
    </row>
    <row r="240" spans="1:7" ht="15" customHeight="1">
      <c r="A240" s="34"/>
      <c r="B240" s="37" t="s">
        <v>714</v>
      </c>
      <c r="C240" s="34" t="s">
        <v>44</v>
      </c>
      <c r="D240" s="39">
        <f>D236*1000/6*4.5</f>
        <v>1650</v>
      </c>
      <c r="E240" s="98">
        <f>12</f>
        <v>12</v>
      </c>
      <c r="F240" s="70">
        <f t="shared" si="11"/>
        <v>19800</v>
      </c>
      <c r="G240" s="71"/>
    </row>
    <row r="241" spans="1:7" ht="15" customHeight="1">
      <c r="A241" s="48" t="s">
        <v>24</v>
      </c>
      <c r="B241" s="49" t="s">
        <v>715</v>
      </c>
      <c r="C241" s="48" t="s">
        <v>716</v>
      </c>
      <c r="D241" s="48">
        <f>SUM(D242:D243)</f>
        <v>18800</v>
      </c>
      <c r="E241" s="96"/>
      <c r="F241" s="118">
        <f>SUM(F242:F243)</f>
        <v>726000</v>
      </c>
      <c r="G241" s="71"/>
    </row>
    <row r="242" spans="1:7" ht="15" customHeight="1">
      <c r="A242" s="48"/>
      <c r="B242" s="37" t="s">
        <v>717</v>
      </c>
      <c r="C242" s="120" t="s">
        <v>716</v>
      </c>
      <c r="D242" s="34">
        <f>0.68*10000</f>
        <v>6800.000000000001</v>
      </c>
      <c r="E242" s="98">
        <f>45</f>
        <v>45</v>
      </c>
      <c r="F242" s="70">
        <f t="shared" si="11"/>
        <v>306000.00000000006</v>
      </c>
      <c r="G242" s="71"/>
    </row>
    <row r="243" spans="1:7" ht="15" customHeight="1">
      <c r="A243" s="48"/>
      <c r="B243" s="37" t="s">
        <v>718</v>
      </c>
      <c r="C243" s="120" t="s">
        <v>716</v>
      </c>
      <c r="D243" s="34">
        <f>1.2*10000</f>
        <v>12000</v>
      </c>
      <c r="E243" s="98">
        <v>35</v>
      </c>
      <c r="F243" s="70">
        <f t="shared" si="11"/>
        <v>420000</v>
      </c>
      <c r="G243" s="71"/>
    </row>
    <row r="244" spans="1:7" s="12" customFormat="1" ht="15" customHeight="1">
      <c r="A244" s="54" t="s">
        <v>341</v>
      </c>
      <c r="B244" s="121" t="s">
        <v>719</v>
      </c>
      <c r="C244" s="122"/>
      <c r="D244" s="123"/>
      <c r="E244" s="103"/>
      <c r="F244" s="57">
        <f>F245+F248+F253</f>
        <v>7681679.906240089</v>
      </c>
      <c r="G244" s="124"/>
    </row>
    <row r="245" spans="1:7" s="1" customFormat="1" ht="15" customHeight="1">
      <c r="A245" s="58">
        <v>1</v>
      </c>
      <c r="B245" s="125" t="s">
        <v>720</v>
      </c>
      <c r="C245" s="126" t="s">
        <v>636</v>
      </c>
      <c r="D245" s="127">
        <v>12.6</v>
      </c>
      <c r="E245" s="100"/>
      <c r="F245" s="65">
        <f>SUM(F246:F247)</f>
        <v>7312968.621427288</v>
      </c>
      <c r="G245" s="128"/>
    </row>
    <row r="246" spans="1:7" s="1" customFormat="1" ht="15" customHeight="1">
      <c r="A246" s="58"/>
      <c r="B246" s="125" t="s">
        <v>721</v>
      </c>
      <c r="C246" s="68" t="s">
        <v>640</v>
      </c>
      <c r="D246" s="129">
        <f>1.2*8*D245*1000</f>
        <v>120960</v>
      </c>
      <c r="E246" s="100">
        <f>'[49]单价表'!G1620/100+'[49]单价汇总'!D12/100</f>
        <v>34.76102613644034</v>
      </c>
      <c r="F246" s="65">
        <f aca="true" t="shared" si="12" ref="F246:F252">D246*E246</f>
        <v>4204693.721463824</v>
      </c>
      <c r="G246" s="128"/>
    </row>
    <row r="247" spans="1:7" s="1" customFormat="1" ht="15" customHeight="1">
      <c r="A247" s="58"/>
      <c r="B247" s="76" t="s">
        <v>722</v>
      </c>
      <c r="C247" s="68" t="s">
        <v>640</v>
      </c>
      <c r="D247" s="129">
        <f>D246</f>
        <v>120960</v>
      </c>
      <c r="E247" s="100">
        <f>'[49]单价汇总'!D11/100</f>
        <v>25.696717096258798</v>
      </c>
      <c r="F247" s="65">
        <f t="shared" si="12"/>
        <v>3108274.899963464</v>
      </c>
      <c r="G247" s="128"/>
    </row>
    <row r="248" spans="1:7" s="1" customFormat="1" ht="15" customHeight="1">
      <c r="A248" s="58">
        <v>2</v>
      </c>
      <c r="B248" s="125" t="s">
        <v>723</v>
      </c>
      <c r="C248" s="126"/>
      <c r="D248" s="129"/>
      <c r="E248" s="100"/>
      <c r="F248" s="65">
        <f>SUM(F249:F252)</f>
        <v>42311.28481280042</v>
      </c>
      <c r="G248" s="128"/>
    </row>
    <row r="249" spans="1:7" s="1" customFormat="1" ht="15" customHeight="1">
      <c r="A249" s="58"/>
      <c r="B249" s="125" t="s">
        <v>46</v>
      </c>
      <c r="C249" s="68" t="s">
        <v>640</v>
      </c>
      <c r="D249" s="129">
        <f>540*3.5</f>
        <v>1890</v>
      </c>
      <c r="E249" s="100">
        <f>'[49]单价汇总'!D3/100+'[49]单价汇总'!D4/100*0.6</f>
        <v>1.8637865579595478</v>
      </c>
      <c r="F249" s="65">
        <f t="shared" si="12"/>
        <v>3522.5565945435455</v>
      </c>
      <c r="G249" s="128"/>
    </row>
    <row r="250" spans="1:7" s="1" customFormat="1" ht="15" customHeight="1">
      <c r="A250" s="58"/>
      <c r="B250" s="125" t="s">
        <v>48</v>
      </c>
      <c r="C250" s="68" t="s">
        <v>640</v>
      </c>
      <c r="D250" s="129">
        <f>D249*0.95</f>
        <v>1795.5</v>
      </c>
      <c r="E250" s="100">
        <f>'[49]单价表'!O25/100</f>
        <v>0.797286671265315</v>
      </c>
      <c r="F250" s="65">
        <f t="shared" si="12"/>
        <v>1431.528218256873</v>
      </c>
      <c r="G250" s="128"/>
    </row>
    <row r="251" spans="1:7" s="1" customFormat="1" ht="15" customHeight="1">
      <c r="A251" s="58"/>
      <c r="B251" s="125" t="s">
        <v>724</v>
      </c>
      <c r="C251" s="126" t="s">
        <v>44</v>
      </c>
      <c r="D251" s="129">
        <v>360</v>
      </c>
      <c r="E251" s="100">
        <f>'[49]PVC管材价格'!M13+3.9</f>
        <v>30.86</v>
      </c>
      <c r="F251" s="65">
        <f t="shared" si="12"/>
        <v>11109.6</v>
      </c>
      <c r="G251" s="128"/>
    </row>
    <row r="252" spans="1:10" s="1" customFormat="1" ht="15" customHeight="1">
      <c r="A252" s="58"/>
      <c r="B252" s="125" t="s">
        <v>725</v>
      </c>
      <c r="C252" s="126" t="s">
        <v>44</v>
      </c>
      <c r="D252" s="129">
        <v>180</v>
      </c>
      <c r="E252" s="100">
        <f>'[49]PVC管材价格'!M20+5.2</f>
        <v>145.82</v>
      </c>
      <c r="F252" s="65">
        <f t="shared" si="12"/>
        <v>26247.6</v>
      </c>
      <c r="G252" s="128"/>
      <c r="J252" s="1">
        <f>D251+D252</f>
        <v>540</v>
      </c>
    </row>
    <row r="253" spans="1:7" ht="15" customHeight="1">
      <c r="A253" s="58">
        <v>3</v>
      </c>
      <c r="B253" s="125" t="s">
        <v>726</v>
      </c>
      <c r="C253" s="126"/>
      <c r="D253" s="129"/>
      <c r="E253" s="100"/>
      <c r="F253" s="65">
        <f>F254</f>
        <v>326400</v>
      </c>
      <c r="G253" s="71"/>
    </row>
    <row r="254" spans="1:11" ht="15" customHeight="1">
      <c r="A254" s="24"/>
      <c r="B254" s="130" t="s">
        <v>727</v>
      </c>
      <c r="C254" s="68" t="s">
        <v>450</v>
      </c>
      <c r="D254" s="24">
        <f>48*2+20*2</f>
        <v>136</v>
      </c>
      <c r="E254" s="100">
        <v>2400</v>
      </c>
      <c r="F254" s="25">
        <f>E254*D254</f>
        <v>326400</v>
      </c>
      <c r="G254" s="131"/>
      <c r="K254" s="14">
        <f>25+23</f>
        <v>48</v>
      </c>
    </row>
    <row r="255" spans="1:7" ht="15" customHeight="1">
      <c r="A255" s="35"/>
      <c r="B255" s="30" t="s">
        <v>36</v>
      </c>
      <c r="C255" s="131"/>
      <c r="D255" s="131"/>
      <c r="E255" s="131"/>
      <c r="F255" s="31" t="e">
        <f>F241+F236+F153+F24+F4+F244</f>
        <v>#REF!</v>
      </c>
      <c r="G255" s="131"/>
    </row>
    <row r="256" spans="1:7" ht="15" customHeight="1">
      <c r="A256" s="35"/>
      <c r="B256" s="131"/>
      <c r="C256" s="131"/>
      <c r="D256" s="131"/>
      <c r="E256" s="131"/>
      <c r="F256" s="132"/>
      <c r="G256" s="131"/>
    </row>
    <row r="257" spans="1:7" ht="15" customHeight="1">
      <c r="A257" s="35"/>
      <c r="B257" s="131"/>
      <c r="C257" s="131"/>
      <c r="D257" s="131"/>
      <c r="E257" s="131"/>
      <c r="F257" s="132"/>
      <c r="G257" s="131"/>
    </row>
    <row r="260" ht="12.75">
      <c r="D260" s="133"/>
    </row>
    <row r="263" ht="12.75">
      <c r="D263" s="134"/>
    </row>
  </sheetData>
  <sheetProtection/>
  <mergeCells count="2">
    <mergeCell ref="A1:G1"/>
    <mergeCell ref="F2:G2"/>
  </mergeCells>
  <printOptions horizontalCentered="1"/>
  <pageMargins left="0.7900000000000001" right="0.7900000000000001" top="1.18" bottom="0.99" header="1.18" footer="0.7900000000000001"/>
  <pageSetup firstPageNumber="2" useFirstPageNumber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G86"/>
  <sheetViews>
    <sheetView workbookViewId="0" topLeftCell="A1">
      <selection activeCell="K45" sqref="K45"/>
    </sheetView>
  </sheetViews>
  <sheetFormatPr defaultColWidth="9.00390625" defaultRowHeight="14.25"/>
  <cols>
    <col min="1" max="1" width="6.625" style="546" customWidth="1"/>
    <col min="2" max="2" width="24.625" style="547" customWidth="1"/>
    <col min="3" max="3" width="6.625" style="546" customWidth="1"/>
    <col min="4" max="5" width="9.625" style="548" customWidth="1"/>
    <col min="6" max="6" width="9.625" style="546" customWidth="1"/>
    <col min="7" max="7" width="9.625" style="549" customWidth="1"/>
  </cols>
  <sheetData>
    <row r="1" spans="1:7" ht="30" customHeight="1">
      <c r="A1" s="550" t="s">
        <v>28</v>
      </c>
      <c r="B1" s="550"/>
      <c r="C1" s="550"/>
      <c r="D1" s="550"/>
      <c r="E1" s="550"/>
      <c r="F1" s="550"/>
      <c r="G1" s="550"/>
    </row>
    <row r="2" spans="1:7" s="522" customFormat="1" ht="19.5" customHeight="1">
      <c r="A2" s="551" t="s">
        <v>29</v>
      </c>
      <c r="B2" s="552"/>
      <c r="C2" s="552"/>
      <c r="D2" s="552"/>
      <c r="E2" s="552"/>
      <c r="F2" s="552"/>
      <c r="G2" s="553" t="s">
        <v>30</v>
      </c>
    </row>
    <row r="3" spans="1:7" s="545" customFormat="1" ht="24.75" customHeight="1">
      <c r="A3" s="554" t="s">
        <v>31</v>
      </c>
      <c r="B3" s="554" t="s">
        <v>32</v>
      </c>
      <c r="C3" s="554" t="s">
        <v>33</v>
      </c>
      <c r="D3" s="555" t="s">
        <v>34</v>
      </c>
      <c r="E3" s="555" t="s">
        <v>35</v>
      </c>
      <c r="F3" s="556" t="s">
        <v>36</v>
      </c>
      <c r="G3" s="554" t="s">
        <v>37</v>
      </c>
    </row>
    <row r="4" spans="1:7" s="488" customFormat="1" ht="21.75" customHeight="1">
      <c r="A4" s="557" t="s">
        <v>16</v>
      </c>
      <c r="B4" s="558" t="s">
        <v>38</v>
      </c>
      <c r="C4" s="557"/>
      <c r="D4" s="559"/>
      <c r="E4" s="559"/>
      <c r="F4" s="560">
        <f>F5+F38</f>
        <v>1070691.3744237137</v>
      </c>
      <c r="G4" s="561"/>
    </row>
    <row r="5" spans="1:7" s="488" customFormat="1" ht="21.75" customHeight="1">
      <c r="A5" s="562" t="s">
        <v>39</v>
      </c>
      <c r="B5" s="563" t="s">
        <v>40</v>
      </c>
      <c r="C5" s="562" t="s">
        <v>41</v>
      </c>
      <c r="D5" s="564">
        <f>(D6+D11+D16+D21+D26+D31)/1000</f>
        <v>10.28</v>
      </c>
      <c r="E5" s="564"/>
      <c r="F5" s="565">
        <f>F6+F11+F16+F21+F26+F31+F36</f>
        <v>959085.6022107017</v>
      </c>
      <c r="G5" s="566"/>
    </row>
    <row r="6" spans="1:7" s="488" customFormat="1" ht="21.75" customHeight="1">
      <c r="A6" s="567" t="s">
        <v>42</v>
      </c>
      <c r="B6" s="568" t="s">
        <v>43</v>
      </c>
      <c r="C6" s="569" t="s">
        <v>44</v>
      </c>
      <c r="D6" s="570">
        <v>480</v>
      </c>
      <c r="E6" s="571">
        <f>F6/D6</f>
        <v>119.49417715341094</v>
      </c>
      <c r="F6" s="572">
        <f>SUM(F7:F10)</f>
        <v>57357.205033637256</v>
      </c>
      <c r="G6" s="566" t="s">
        <v>45</v>
      </c>
    </row>
    <row r="7" spans="1:7" s="488" customFormat="1" ht="21.75" customHeight="1">
      <c r="A7" s="567"/>
      <c r="B7" s="568" t="s">
        <v>46</v>
      </c>
      <c r="C7" s="569" t="s">
        <v>47</v>
      </c>
      <c r="D7" s="570">
        <f>D6*1.2</f>
        <v>576</v>
      </c>
      <c r="E7" s="571">
        <f>('单价汇总'!D11*0.1+'单价汇总'!D4*0.9)/100</f>
        <v>4.732420092988815</v>
      </c>
      <c r="F7" s="572">
        <f>D7*E7</f>
        <v>2725.8739735615577</v>
      </c>
      <c r="G7" s="566"/>
    </row>
    <row r="8" spans="1:7" s="488" customFormat="1" ht="21.75" customHeight="1">
      <c r="A8" s="567"/>
      <c r="B8" s="568" t="s">
        <v>48</v>
      </c>
      <c r="C8" s="569" t="s">
        <v>47</v>
      </c>
      <c r="D8" s="570">
        <f>D6*1.5</f>
        <v>720</v>
      </c>
      <c r="E8" s="571">
        <f>'单价汇总'!D6/100</f>
        <v>6.0857406224561394</v>
      </c>
      <c r="F8" s="572">
        <f>D8*E8</f>
        <v>4381.733248168421</v>
      </c>
      <c r="G8" s="566"/>
    </row>
    <row r="9" spans="1:7" s="488" customFormat="1" ht="21.75" customHeight="1">
      <c r="A9" s="567"/>
      <c r="B9" s="568" t="s">
        <v>49</v>
      </c>
      <c r="C9" s="569" t="s">
        <v>47</v>
      </c>
      <c r="D9" s="571">
        <f>D6/9.33*1.116</f>
        <v>57.41479099678457</v>
      </c>
      <c r="E9" s="571">
        <f>'单价汇总'!D25/100</f>
        <v>859.0739762266555</v>
      </c>
      <c r="F9" s="572">
        <f>D9*E9</f>
        <v>49323.5527958301</v>
      </c>
      <c r="G9" s="566"/>
    </row>
    <row r="10" spans="1:7" s="488" customFormat="1" ht="21.75" customHeight="1">
      <c r="A10" s="567"/>
      <c r="B10" s="568" t="s">
        <v>50</v>
      </c>
      <c r="C10" s="569" t="s">
        <v>47</v>
      </c>
      <c r="D10" s="573">
        <f>D6/9.33*0.0036</f>
        <v>0.18520900321543407</v>
      </c>
      <c r="E10" s="571">
        <v>5000</v>
      </c>
      <c r="F10" s="572">
        <f>D10*E10</f>
        <v>926.0450160771703</v>
      </c>
      <c r="G10" s="566"/>
    </row>
    <row r="11" spans="1:7" s="488" customFormat="1" ht="21.75" customHeight="1">
      <c r="A11" s="567" t="s">
        <v>51</v>
      </c>
      <c r="B11" s="568" t="s">
        <v>52</v>
      </c>
      <c r="C11" s="569" t="s">
        <v>44</v>
      </c>
      <c r="D11" s="570">
        <v>510</v>
      </c>
      <c r="E11" s="571">
        <f>F11/D11</f>
        <v>117.12356885443562</v>
      </c>
      <c r="F11" s="572">
        <f>SUM(F12:F15)</f>
        <v>59733.02011576216</v>
      </c>
      <c r="G11" s="566" t="s">
        <v>45</v>
      </c>
    </row>
    <row r="12" spans="1:7" s="488" customFormat="1" ht="21.75" customHeight="1">
      <c r="A12" s="567"/>
      <c r="B12" s="568" t="s">
        <v>46</v>
      </c>
      <c r="C12" s="569" t="s">
        <v>47</v>
      </c>
      <c r="D12" s="570">
        <f>D11*1.2</f>
        <v>612</v>
      </c>
      <c r="E12" s="571">
        <f>E7</f>
        <v>4.732420092988815</v>
      </c>
      <c r="F12" s="572">
        <f>D12*E12</f>
        <v>2896.2410969091547</v>
      </c>
      <c r="G12" s="566"/>
    </row>
    <row r="13" spans="1:7" s="488" customFormat="1" ht="21.75" customHeight="1">
      <c r="A13" s="567"/>
      <c r="B13" s="568" t="s">
        <v>48</v>
      </c>
      <c r="C13" s="569" t="s">
        <v>47</v>
      </c>
      <c r="D13" s="570">
        <f>D11*1.5</f>
        <v>765</v>
      </c>
      <c r="E13" s="571">
        <f>E8</f>
        <v>6.0857406224561394</v>
      </c>
      <c r="F13" s="572">
        <f>D13*E13</f>
        <v>4655.5915761789465</v>
      </c>
      <c r="G13" s="566"/>
    </row>
    <row r="14" spans="1:7" s="488" customFormat="1" ht="21.75" customHeight="1">
      <c r="A14" s="567"/>
      <c r="B14" s="568" t="s">
        <v>49</v>
      </c>
      <c r="C14" s="569" t="s">
        <v>47</v>
      </c>
      <c r="D14" s="571">
        <f>D11/9.33*1.092</f>
        <v>59.69131832797428</v>
      </c>
      <c r="E14" s="571">
        <f>E9</f>
        <v>859.0739762266555</v>
      </c>
      <c r="F14" s="572">
        <f>D14*E14</f>
        <v>51279.2581822239</v>
      </c>
      <c r="G14" s="566"/>
    </row>
    <row r="15" spans="1:7" s="488" customFormat="1" ht="21.75" customHeight="1">
      <c r="A15" s="567"/>
      <c r="B15" s="568" t="s">
        <v>50</v>
      </c>
      <c r="C15" s="569" t="s">
        <v>47</v>
      </c>
      <c r="D15" s="573">
        <f>D11/9.33*0.0033</f>
        <v>0.18038585209003216</v>
      </c>
      <c r="E15" s="571">
        <f>E10</f>
        <v>5000</v>
      </c>
      <c r="F15" s="572">
        <f>D15*E15</f>
        <v>901.9292604501608</v>
      </c>
      <c r="G15" s="566"/>
    </row>
    <row r="16" spans="1:7" s="488" customFormat="1" ht="21.75" customHeight="1">
      <c r="A16" s="567" t="s">
        <v>53</v>
      </c>
      <c r="B16" s="568" t="s">
        <v>54</v>
      </c>
      <c r="C16" s="569" t="s">
        <v>44</v>
      </c>
      <c r="D16" s="570">
        <v>1300</v>
      </c>
      <c r="E16" s="571">
        <f>F16/D16</f>
        <v>126.03473889339473</v>
      </c>
      <c r="F16" s="572">
        <f>SUM(F17:F20)</f>
        <v>163845.16056141315</v>
      </c>
      <c r="G16" s="566"/>
    </row>
    <row r="17" spans="1:7" s="488" customFormat="1" ht="21.75" customHeight="1">
      <c r="A17" s="567"/>
      <c r="B17" s="568" t="s">
        <v>46</v>
      </c>
      <c r="C17" s="569" t="s">
        <v>47</v>
      </c>
      <c r="D17" s="570">
        <f>D16*1</f>
        <v>1300</v>
      </c>
      <c r="E17" s="571">
        <f>E7</f>
        <v>4.732420092988815</v>
      </c>
      <c r="F17" s="572">
        <f>D17*E17</f>
        <v>6152.14612088546</v>
      </c>
      <c r="G17" s="566"/>
    </row>
    <row r="18" spans="1:7" s="488" customFormat="1" ht="21.75" customHeight="1">
      <c r="A18" s="567"/>
      <c r="B18" s="568" t="s">
        <v>48</v>
      </c>
      <c r="C18" s="569" t="s">
        <v>47</v>
      </c>
      <c r="D18" s="570">
        <f>D16*1.4</f>
        <v>1819.9999999999998</v>
      </c>
      <c r="E18" s="571">
        <f>E8</f>
        <v>6.0857406224561394</v>
      </c>
      <c r="F18" s="572">
        <f>D18*E18</f>
        <v>11076.047932870173</v>
      </c>
      <c r="G18" s="566"/>
    </row>
    <row r="19" spans="1:7" s="488" customFormat="1" ht="21.75" customHeight="1">
      <c r="A19" s="567"/>
      <c r="B19" s="568" t="s">
        <v>49</v>
      </c>
      <c r="C19" s="569" t="s">
        <v>47</v>
      </c>
      <c r="D19" s="571">
        <f>D16/7.79*1</f>
        <v>166.8806161745828</v>
      </c>
      <c r="E19" s="571">
        <f>E9</f>
        <v>859.0739762266555</v>
      </c>
      <c r="F19" s="572">
        <f>D19*E19</f>
        <v>143362.79449225316</v>
      </c>
      <c r="G19" s="566"/>
    </row>
    <row r="20" spans="1:7" s="488" customFormat="1" ht="21.75" customHeight="1">
      <c r="A20" s="567"/>
      <c r="B20" s="568" t="s">
        <v>50</v>
      </c>
      <c r="C20" s="569" t="s">
        <v>47</v>
      </c>
      <c r="D20" s="573">
        <f>D16/7.79*0.0039</f>
        <v>0.6508344030808729</v>
      </c>
      <c r="E20" s="571">
        <f>E10</f>
        <v>5000</v>
      </c>
      <c r="F20" s="572">
        <f>D20*E20</f>
        <v>3254.1720154043646</v>
      </c>
      <c r="G20" s="566"/>
    </row>
    <row r="21" spans="1:7" s="488" customFormat="1" ht="21.75" customHeight="1">
      <c r="A21" s="567" t="s">
        <v>55</v>
      </c>
      <c r="B21" s="568" t="s">
        <v>56</v>
      </c>
      <c r="C21" s="569" t="s">
        <v>44</v>
      </c>
      <c r="D21" s="570">
        <v>1500</v>
      </c>
      <c r="E21" s="571">
        <f>F21/D21</f>
        <v>110.31669376606975</v>
      </c>
      <c r="F21" s="572">
        <f>SUM(F22:F25)</f>
        <v>165475.04064910463</v>
      </c>
      <c r="G21" s="566"/>
    </row>
    <row r="22" spans="1:7" s="488" customFormat="1" ht="21.75" customHeight="1">
      <c r="A22" s="567"/>
      <c r="B22" s="568" t="s">
        <v>46</v>
      </c>
      <c r="C22" s="569" t="s">
        <v>47</v>
      </c>
      <c r="D22" s="570">
        <f>D21*0.8</f>
        <v>1200</v>
      </c>
      <c r="E22" s="571">
        <f>E7</f>
        <v>4.732420092988815</v>
      </c>
      <c r="F22" s="572">
        <f>D22*E22</f>
        <v>5678.904111586578</v>
      </c>
      <c r="G22" s="566"/>
    </row>
    <row r="23" spans="1:7" s="488" customFormat="1" ht="21.75" customHeight="1">
      <c r="A23" s="567"/>
      <c r="B23" s="568" t="s">
        <v>48</v>
      </c>
      <c r="C23" s="569" t="s">
        <v>47</v>
      </c>
      <c r="D23" s="570">
        <f>D21*1.2</f>
        <v>1800</v>
      </c>
      <c r="E23" s="571">
        <f>E8</f>
        <v>6.0857406224561394</v>
      </c>
      <c r="F23" s="572">
        <f>D23*E23</f>
        <v>10954.333120421052</v>
      </c>
      <c r="G23" s="566"/>
    </row>
    <row r="24" spans="1:7" s="488" customFormat="1" ht="21.75" customHeight="1">
      <c r="A24" s="567"/>
      <c r="B24" s="568" t="s">
        <v>49</v>
      </c>
      <c r="C24" s="569" t="s">
        <v>47</v>
      </c>
      <c r="D24" s="571">
        <f>D21/7.79*0.88</f>
        <v>169.4480102695764</v>
      </c>
      <c r="E24" s="571">
        <f>E9</f>
        <v>859.0739762266555</v>
      </c>
      <c r="F24" s="572">
        <f>D24*E24</f>
        <v>145568.37594598017</v>
      </c>
      <c r="G24" s="566"/>
    </row>
    <row r="25" spans="1:7" s="488" customFormat="1" ht="21.75" customHeight="1">
      <c r="A25" s="567"/>
      <c r="B25" s="568" t="s">
        <v>50</v>
      </c>
      <c r="C25" s="569" t="s">
        <v>47</v>
      </c>
      <c r="D25" s="573">
        <f>D21/7.79*0.0034</f>
        <v>0.6546854942233633</v>
      </c>
      <c r="E25" s="571">
        <f>E10</f>
        <v>5000</v>
      </c>
      <c r="F25" s="572">
        <f>D25*E25</f>
        <v>3273.4274711168164</v>
      </c>
      <c r="G25" s="566"/>
    </row>
    <row r="26" spans="1:7" s="488" customFormat="1" ht="21.75" customHeight="1">
      <c r="A26" s="567" t="s">
        <v>57</v>
      </c>
      <c r="B26" s="568" t="s">
        <v>58</v>
      </c>
      <c r="C26" s="569" t="s">
        <v>44</v>
      </c>
      <c r="D26" s="570">
        <v>3570</v>
      </c>
      <c r="E26" s="571">
        <f>F26/D26</f>
        <v>75.96731998599525</v>
      </c>
      <c r="F26" s="572">
        <f>SUM(F27:F30)</f>
        <v>271203.332350003</v>
      </c>
      <c r="G26" s="566"/>
    </row>
    <row r="27" spans="1:7" s="488" customFormat="1" ht="21.75" customHeight="1">
      <c r="A27" s="567"/>
      <c r="B27" s="568" t="s">
        <v>46</v>
      </c>
      <c r="C27" s="569" t="s">
        <v>47</v>
      </c>
      <c r="D27" s="570">
        <f>D26*0.6</f>
        <v>2142</v>
      </c>
      <c r="E27" s="571">
        <f>E7</f>
        <v>4.732420092988815</v>
      </c>
      <c r="F27" s="572">
        <f>D27*E27</f>
        <v>10136.843839182042</v>
      </c>
      <c r="G27" s="566"/>
    </row>
    <row r="28" spans="1:7" s="488" customFormat="1" ht="21.75" customHeight="1">
      <c r="A28" s="567"/>
      <c r="B28" s="568" t="s">
        <v>48</v>
      </c>
      <c r="C28" s="569" t="s">
        <v>47</v>
      </c>
      <c r="D28" s="570">
        <f>D26*0.8</f>
        <v>2856</v>
      </c>
      <c r="E28" s="571">
        <f>E8</f>
        <v>6.0857406224561394</v>
      </c>
      <c r="F28" s="572">
        <f>D28*E28</f>
        <v>17380.875217734734</v>
      </c>
      <c r="G28" s="566"/>
    </row>
    <row r="29" spans="1:7" s="488" customFormat="1" ht="21.75" customHeight="1">
      <c r="A29" s="567"/>
      <c r="B29" s="568" t="s">
        <v>49</v>
      </c>
      <c r="C29" s="569" t="s">
        <v>47</v>
      </c>
      <c r="D29" s="571">
        <f>D26/7.79*0.605</f>
        <v>277.2593068035943</v>
      </c>
      <c r="E29" s="571">
        <f>E9</f>
        <v>859.0739762266555</v>
      </c>
      <c r="F29" s="572">
        <f>D29*E29</f>
        <v>238186.25514160996</v>
      </c>
      <c r="G29" s="566"/>
    </row>
    <row r="30" spans="1:7" s="488" customFormat="1" ht="21.75" customHeight="1">
      <c r="A30" s="567"/>
      <c r="B30" s="568" t="s">
        <v>50</v>
      </c>
      <c r="C30" s="569" t="s">
        <v>47</v>
      </c>
      <c r="D30" s="573">
        <f>D26/7.79*0.0024</f>
        <v>1.0998716302952503</v>
      </c>
      <c r="E30" s="571">
        <f>E10</f>
        <v>5000</v>
      </c>
      <c r="F30" s="572">
        <f>D30*E30</f>
        <v>5499.358151476251</v>
      </c>
      <c r="G30" s="566"/>
    </row>
    <row r="31" spans="1:7" s="488" customFormat="1" ht="21.75" customHeight="1">
      <c r="A31" s="567" t="s">
        <v>59</v>
      </c>
      <c r="B31" s="568" t="s">
        <v>60</v>
      </c>
      <c r="C31" s="569" t="s">
        <v>44</v>
      </c>
      <c r="D31" s="570">
        <v>2920</v>
      </c>
      <c r="E31" s="571">
        <f>F31/D31</f>
        <v>64.20943129856215</v>
      </c>
      <c r="F31" s="572">
        <f>SUM(F32:F35)</f>
        <v>187491.5393918015</v>
      </c>
      <c r="G31" s="566"/>
    </row>
    <row r="32" spans="1:7" s="488" customFormat="1" ht="21.75" customHeight="1">
      <c r="A32" s="567"/>
      <c r="B32" s="568" t="s">
        <v>46</v>
      </c>
      <c r="C32" s="569" t="s">
        <v>47</v>
      </c>
      <c r="D32" s="570">
        <f>D31*0.5</f>
        <v>1460</v>
      </c>
      <c r="E32" s="571">
        <f>E7</f>
        <v>4.732420092988815</v>
      </c>
      <c r="F32" s="572">
        <f>D32*E32</f>
        <v>6909.33333576367</v>
      </c>
      <c r="G32" s="566"/>
    </row>
    <row r="33" spans="1:7" s="488" customFormat="1" ht="21.75" customHeight="1">
      <c r="A33" s="567"/>
      <c r="B33" s="568" t="s">
        <v>48</v>
      </c>
      <c r="C33" s="569" t="s">
        <v>47</v>
      </c>
      <c r="D33" s="570">
        <f>D31*0.8</f>
        <v>2336</v>
      </c>
      <c r="E33" s="571">
        <f>E8</f>
        <v>6.0857406224561394</v>
      </c>
      <c r="F33" s="572">
        <f>D33*E33</f>
        <v>14216.290094057542</v>
      </c>
      <c r="G33" s="566"/>
    </row>
    <row r="34" spans="1:7" s="488" customFormat="1" ht="21.75" customHeight="1">
      <c r="A34" s="567"/>
      <c r="B34" s="568" t="s">
        <v>49</v>
      </c>
      <c r="C34" s="569" t="s">
        <v>47</v>
      </c>
      <c r="D34" s="571">
        <f>D31/7.79*0.505</f>
        <v>189.29396662387677</v>
      </c>
      <c r="E34" s="571">
        <f>E9</f>
        <v>859.0739762266555</v>
      </c>
      <c r="F34" s="572">
        <f>D34*E34</f>
        <v>162617.52058328965</v>
      </c>
      <c r="G34" s="566"/>
    </row>
    <row r="35" spans="1:7" s="488" customFormat="1" ht="21.75" customHeight="1">
      <c r="A35" s="567"/>
      <c r="B35" s="568" t="s">
        <v>50</v>
      </c>
      <c r="C35" s="569" t="s">
        <v>47</v>
      </c>
      <c r="D35" s="573">
        <f>D31/7.79*0.002</f>
        <v>0.7496790757381258</v>
      </c>
      <c r="E35" s="571">
        <f>E10</f>
        <v>5000</v>
      </c>
      <c r="F35" s="572">
        <f>D35*E35</f>
        <v>3748.3953786906286</v>
      </c>
      <c r="G35" s="566"/>
    </row>
    <row r="36" spans="1:7" s="488" customFormat="1" ht="21.75" customHeight="1">
      <c r="A36" s="569">
        <v>7</v>
      </c>
      <c r="B36" s="568" t="s">
        <v>61</v>
      </c>
      <c r="C36" s="569" t="s">
        <v>44</v>
      </c>
      <c r="D36" s="570">
        <f>D5*1000</f>
        <v>10280</v>
      </c>
      <c r="E36" s="571"/>
      <c r="F36" s="572">
        <f>SUM(F37)</f>
        <v>53980.30410898002</v>
      </c>
      <c r="G36" s="566"/>
    </row>
    <row r="37" spans="1:7" s="488" customFormat="1" ht="21.75" customHeight="1">
      <c r="A37" s="569"/>
      <c r="B37" s="568" t="s">
        <v>62</v>
      </c>
      <c r="C37" s="569" t="s">
        <v>47</v>
      </c>
      <c r="D37" s="571">
        <f>D9+D14+D19+D24+D29+D34</f>
        <v>919.9880091963892</v>
      </c>
      <c r="E37" s="571">
        <f>('单价汇总'!D28+'单价汇总'!D13)/100</f>
        <v>58.67500833639331</v>
      </c>
      <c r="F37" s="572">
        <f>D37*E37</f>
        <v>53980.30410898002</v>
      </c>
      <c r="G37" s="566"/>
    </row>
    <row r="38" spans="1:7" s="488" customFormat="1" ht="21.75" customHeight="1">
      <c r="A38" s="562" t="s">
        <v>63</v>
      </c>
      <c r="B38" s="563" t="s">
        <v>64</v>
      </c>
      <c r="C38" s="562" t="s">
        <v>65</v>
      </c>
      <c r="D38" s="574">
        <f>SUM(D39:D44)</f>
        <v>113</v>
      </c>
      <c r="E38" s="564"/>
      <c r="F38" s="565">
        <f>SUM(F39:F44)</f>
        <v>111605.77221301195</v>
      </c>
      <c r="G38" s="575"/>
    </row>
    <row r="39" spans="1:7" s="488" customFormat="1" ht="21.75" customHeight="1">
      <c r="A39" s="569">
        <v>1</v>
      </c>
      <c r="B39" s="568" t="s">
        <v>66</v>
      </c>
      <c r="C39" s="569" t="s">
        <v>65</v>
      </c>
      <c r="D39" s="570">
        <v>1</v>
      </c>
      <c r="E39" s="571">
        <f>'建筑物概 '!F51</f>
        <v>6704.404446204691</v>
      </c>
      <c r="F39" s="572">
        <f aca="true" t="shared" si="0" ref="F39:F44">D39*E39</f>
        <v>6704.404446204691</v>
      </c>
      <c r="G39" s="575"/>
    </row>
    <row r="40" spans="1:7" s="488" customFormat="1" ht="21.75" customHeight="1">
      <c r="A40" s="569">
        <v>2</v>
      </c>
      <c r="B40" s="568" t="str">
        <f>'建筑物概 '!B58</f>
        <v>4m宽U60生产桥</v>
      </c>
      <c r="C40" s="569" t="s">
        <v>65</v>
      </c>
      <c r="D40" s="570">
        <v>1</v>
      </c>
      <c r="E40" s="571">
        <f>'建筑物概 '!F58</f>
        <v>5383.819643054368</v>
      </c>
      <c r="F40" s="572">
        <f t="shared" si="0"/>
        <v>5383.819643054368</v>
      </c>
      <c r="G40" s="575"/>
    </row>
    <row r="41" spans="1:7" s="488" customFormat="1" ht="21.75" customHeight="1">
      <c r="A41" s="569">
        <v>3</v>
      </c>
      <c r="B41" s="568" t="str">
        <f>'建筑物概 '!B13</f>
        <v>600节制闸单向500斗口</v>
      </c>
      <c r="C41" s="569" t="s">
        <v>65</v>
      </c>
      <c r="D41" s="570">
        <v>2</v>
      </c>
      <c r="E41" s="571">
        <f>'建筑物概 '!F13</f>
        <v>6910.130608268322</v>
      </c>
      <c r="F41" s="572">
        <f t="shared" si="0"/>
        <v>13820.261216536644</v>
      </c>
      <c r="G41" s="566"/>
    </row>
    <row r="42" spans="1:7" s="488" customFormat="1" ht="21.75" customHeight="1">
      <c r="A42" s="569">
        <v>4</v>
      </c>
      <c r="B42" s="568" t="str">
        <f>'建筑物概 '!B22</f>
        <v>500节制闸单向400农口</v>
      </c>
      <c r="C42" s="569" t="s">
        <v>65</v>
      </c>
      <c r="D42" s="570">
        <v>14</v>
      </c>
      <c r="E42" s="571">
        <f>'建筑物概 '!F22</f>
        <v>5185.874839616698</v>
      </c>
      <c r="F42" s="572">
        <f t="shared" si="0"/>
        <v>72602.24775463378</v>
      </c>
      <c r="G42" s="566"/>
    </row>
    <row r="43" spans="1:7" s="488" customFormat="1" ht="21.75" customHeight="1">
      <c r="A43" s="569">
        <v>5</v>
      </c>
      <c r="B43" s="536" t="s">
        <v>67</v>
      </c>
      <c r="C43" s="569" t="s">
        <v>65</v>
      </c>
      <c r="D43" s="570">
        <v>64</v>
      </c>
      <c r="E43" s="571">
        <f>'建筑物概 '!F41</f>
        <v>152.90917721728232</v>
      </c>
      <c r="F43" s="572">
        <f t="shared" si="0"/>
        <v>9786.187341906068</v>
      </c>
      <c r="G43" s="566"/>
    </row>
    <row r="44" spans="1:7" s="488" customFormat="1" ht="21.75" customHeight="1">
      <c r="A44" s="569">
        <v>6</v>
      </c>
      <c r="B44" s="568" t="str">
        <f>'建筑物概 '!B46</f>
        <v>U40单向U30畦田口</v>
      </c>
      <c r="C44" s="569" t="s">
        <v>65</v>
      </c>
      <c r="D44" s="570">
        <v>31</v>
      </c>
      <c r="E44" s="571">
        <f>'建筑物概 '!F46</f>
        <v>106.73715518310951</v>
      </c>
      <c r="F44" s="572">
        <f t="shared" si="0"/>
        <v>3308.851810676395</v>
      </c>
      <c r="G44" s="566"/>
    </row>
    <row r="45" spans="1:7" s="488" customFormat="1" ht="21.75" customHeight="1">
      <c r="A45" s="557" t="s">
        <v>18</v>
      </c>
      <c r="B45" s="558" t="s">
        <v>68</v>
      </c>
      <c r="C45" s="557"/>
      <c r="D45" s="559"/>
      <c r="E45" s="559"/>
      <c r="F45" s="560">
        <f>F46+F69</f>
        <v>633235.5138574054</v>
      </c>
      <c r="G45" s="561"/>
    </row>
    <row r="46" spans="1:7" s="488" customFormat="1" ht="21.75" customHeight="1">
      <c r="A46" s="562" t="s">
        <v>39</v>
      </c>
      <c r="B46" s="563" t="s">
        <v>40</v>
      </c>
      <c r="C46" s="562" t="s">
        <v>41</v>
      </c>
      <c r="D46" s="564">
        <f>(D47+D52+D57+D62)/1000</f>
        <v>5.26</v>
      </c>
      <c r="E46" s="564"/>
      <c r="F46" s="565">
        <f>F47+F52+F57+F62+F67</f>
        <v>425141.8917310034</v>
      </c>
      <c r="G46" s="566"/>
    </row>
    <row r="47" spans="1:7" s="488" customFormat="1" ht="21.75" customHeight="1">
      <c r="A47" s="567" t="s">
        <v>42</v>
      </c>
      <c r="B47" s="568" t="s">
        <v>52</v>
      </c>
      <c r="C47" s="569" t="s">
        <v>44</v>
      </c>
      <c r="D47" s="570">
        <v>90</v>
      </c>
      <c r="E47" s="571">
        <f>F47/D47</f>
        <v>117.1235688544356</v>
      </c>
      <c r="F47" s="572">
        <f>SUM(F48:F51)</f>
        <v>10541.121196899205</v>
      </c>
      <c r="G47" s="566" t="s">
        <v>45</v>
      </c>
    </row>
    <row r="48" spans="1:7" s="488" customFormat="1" ht="21.75" customHeight="1">
      <c r="A48" s="567"/>
      <c r="B48" s="568" t="s">
        <v>46</v>
      </c>
      <c r="C48" s="569" t="s">
        <v>47</v>
      </c>
      <c r="D48" s="570">
        <f>D47*1.2</f>
        <v>108</v>
      </c>
      <c r="E48" s="571">
        <f>E7</f>
        <v>4.732420092988815</v>
      </c>
      <c r="F48" s="572">
        <f>D48*E48</f>
        <v>511.10137004279204</v>
      </c>
      <c r="G48" s="566"/>
    </row>
    <row r="49" spans="1:7" s="488" customFormat="1" ht="21.75" customHeight="1">
      <c r="A49" s="567"/>
      <c r="B49" s="568" t="s">
        <v>48</v>
      </c>
      <c r="C49" s="569" t="s">
        <v>47</v>
      </c>
      <c r="D49" s="570">
        <f>D47*1.5</f>
        <v>135</v>
      </c>
      <c r="E49" s="571">
        <f>E8</f>
        <v>6.0857406224561394</v>
      </c>
      <c r="F49" s="572">
        <f>D49*E49</f>
        <v>821.5749840315789</v>
      </c>
      <c r="G49" s="566"/>
    </row>
    <row r="50" spans="1:7" s="488" customFormat="1" ht="21.75" customHeight="1">
      <c r="A50" s="567"/>
      <c r="B50" s="568" t="s">
        <v>49</v>
      </c>
      <c r="C50" s="569" t="s">
        <v>47</v>
      </c>
      <c r="D50" s="571">
        <f>D47/9.33*1.092</f>
        <v>10.533762057877814</v>
      </c>
      <c r="E50" s="571">
        <f>E9</f>
        <v>859.0739762266555</v>
      </c>
      <c r="F50" s="572">
        <f>D50*E50</f>
        <v>9049.280855686571</v>
      </c>
      <c r="G50" s="566"/>
    </row>
    <row r="51" spans="1:7" s="488" customFormat="1" ht="21.75" customHeight="1">
      <c r="A51" s="567"/>
      <c r="B51" s="568" t="s">
        <v>50</v>
      </c>
      <c r="C51" s="569" t="s">
        <v>47</v>
      </c>
      <c r="D51" s="573">
        <f>D47/9.33*0.0033</f>
        <v>0.03183279742765273</v>
      </c>
      <c r="E51" s="571">
        <f>E10</f>
        <v>5000</v>
      </c>
      <c r="F51" s="572">
        <f>D51*E51</f>
        <v>159.16398713826365</v>
      </c>
      <c r="G51" s="566"/>
    </row>
    <row r="52" spans="1:7" s="488" customFormat="1" ht="21.75" customHeight="1">
      <c r="A52" s="567" t="s">
        <v>51</v>
      </c>
      <c r="B52" s="568" t="s">
        <v>56</v>
      </c>
      <c r="C52" s="569" t="s">
        <v>44</v>
      </c>
      <c r="D52" s="570">
        <v>1080</v>
      </c>
      <c r="E52" s="571">
        <f>F52/D52</f>
        <v>110.31669376606975</v>
      </c>
      <c r="F52" s="572">
        <f>SUM(F53:F56)</f>
        <v>119142.02926735532</v>
      </c>
      <c r="G52" s="566"/>
    </row>
    <row r="53" spans="1:7" s="488" customFormat="1" ht="21.75" customHeight="1">
      <c r="A53" s="567"/>
      <c r="B53" s="568" t="s">
        <v>46</v>
      </c>
      <c r="C53" s="569" t="s">
        <v>47</v>
      </c>
      <c r="D53" s="570">
        <f>D52*0.8</f>
        <v>864</v>
      </c>
      <c r="E53" s="571">
        <f>E48</f>
        <v>4.732420092988815</v>
      </c>
      <c r="F53" s="572">
        <f>D53*E53</f>
        <v>4088.8109603423363</v>
      </c>
      <c r="G53" s="566"/>
    </row>
    <row r="54" spans="1:7" s="488" customFormat="1" ht="21.75" customHeight="1">
      <c r="A54" s="567"/>
      <c r="B54" s="568" t="s">
        <v>48</v>
      </c>
      <c r="C54" s="569" t="s">
        <v>47</v>
      </c>
      <c r="D54" s="570">
        <f>D52*1.2</f>
        <v>1296</v>
      </c>
      <c r="E54" s="571">
        <f>E49</f>
        <v>6.0857406224561394</v>
      </c>
      <c r="F54" s="572">
        <f>D54*E54</f>
        <v>7887.119846703156</v>
      </c>
      <c r="G54" s="566"/>
    </row>
    <row r="55" spans="1:7" s="488" customFormat="1" ht="21.75" customHeight="1">
      <c r="A55" s="567"/>
      <c r="B55" s="568" t="s">
        <v>49</v>
      </c>
      <c r="C55" s="569" t="s">
        <v>47</v>
      </c>
      <c r="D55" s="571">
        <f>D52/7.79*0.88</f>
        <v>122.002567394095</v>
      </c>
      <c r="E55" s="571">
        <f>E50</f>
        <v>859.0739762266555</v>
      </c>
      <c r="F55" s="572">
        <f>D55*E55</f>
        <v>104809.2306811057</v>
      </c>
      <c r="G55" s="566"/>
    </row>
    <row r="56" spans="1:7" s="488" customFormat="1" ht="21.75" customHeight="1">
      <c r="A56" s="567"/>
      <c r="B56" s="568" t="s">
        <v>50</v>
      </c>
      <c r="C56" s="569" t="s">
        <v>47</v>
      </c>
      <c r="D56" s="573">
        <f>D52/7.79*0.0034</f>
        <v>0.4713735558408215</v>
      </c>
      <c r="E56" s="571">
        <f>E51</f>
        <v>5000</v>
      </c>
      <c r="F56" s="572">
        <f>D56*E56</f>
        <v>2356.8677792041076</v>
      </c>
      <c r="G56" s="566"/>
    </row>
    <row r="57" spans="1:7" s="488" customFormat="1" ht="21.75" customHeight="1">
      <c r="A57" s="567" t="s">
        <v>53</v>
      </c>
      <c r="B57" s="568" t="s">
        <v>58</v>
      </c>
      <c r="C57" s="569" t="s">
        <v>44</v>
      </c>
      <c r="D57" s="570">
        <v>760</v>
      </c>
      <c r="E57" s="571">
        <f>F57/D57</f>
        <v>75.96731998599525</v>
      </c>
      <c r="F57" s="572">
        <f>SUM(F58:F61)</f>
        <v>57735.16318935638</v>
      </c>
      <c r="G57" s="566"/>
    </row>
    <row r="58" spans="1:7" s="488" customFormat="1" ht="21.75" customHeight="1">
      <c r="A58" s="567"/>
      <c r="B58" s="568" t="s">
        <v>46</v>
      </c>
      <c r="C58" s="569" t="s">
        <v>47</v>
      </c>
      <c r="D58" s="570">
        <f>D57*0.6</f>
        <v>456</v>
      </c>
      <c r="E58" s="571">
        <f>E48</f>
        <v>4.732420092988815</v>
      </c>
      <c r="F58" s="572">
        <f>D58*E58</f>
        <v>2157.9835624028997</v>
      </c>
      <c r="G58" s="566"/>
    </row>
    <row r="59" spans="1:7" s="488" customFormat="1" ht="21.75" customHeight="1">
      <c r="A59" s="567"/>
      <c r="B59" s="568" t="s">
        <v>48</v>
      </c>
      <c r="C59" s="569" t="s">
        <v>47</v>
      </c>
      <c r="D59" s="570">
        <f>D57*0.8</f>
        <v>608</v>
      </c>
      <c r="E59" s="571">
        <f>E49</f>
        <v>6.0857406224561394</v>
      </c>
      <c r="F59" s="572">
        <f>D59*E59</f>
        <v>3700.1302984533327</v>
      </c>
      <c r="G59" s="566"/>
    </row>
    <row r="60" spans="1:7" s="488" customFormat="1" ht="21.75" customHeight="1">
      <c r="A60" s="567"/>
      <c r="B60" s="568" t="s">
        <v>49</v>
      </c>
      <c r="C60" s="569" t="s">
        <v>47</v>
      </c>
      <c r="D60" s="571">
        <f>D57/7.79*0.605</f>
        <v>59.02439024390244</v>
      </c>
      <c r="E60" s="571">
        <f>E50</f>
        <v>859.0739762266555</v>
      </c>
      <c r="F60" s="572">
        <f>D60*E60</f>
        <v>50706.31762118308</v>
      </c>
      <c r="G60" s="566"/>
    </row>
    <row r="61" spans="1:7" s="488" customFormat="1" ht="21.75" customHeight="1">
      <c r="A61" s="567"/>
      <c r="B61" s="568" t="s">
        <v>50</v>
      </c>
      <c r="C61" s="569" t="s">
        <v>47</v>
      </c>
      <c r="D61" s="573">
        <f>D57/7.79*0.0024</f>
        <v>0.23414634146341462</v>
      </c>
      <c r="E61" s="571">
        <f>E51</f>
        <v>5000</v>
      </c>
      <c r="F61" s="572">
        <f>D61*E61</f>
        <v>1170.7317073170732</v>
      </c>
      <c r="G61" s="566"/>
    </row>
    <row r="62" spans="1:7" s="488" customFormat="1" ht="21.75" customHeight="1">
      <c r="A62" s="567" t="s">
        <v>55</v>
      </c>
      <c r="B62" s="568" t="s">
        <v>60</v>
      </c>
      <c r="C62" s="569" t="s">
        <v>44</v>
      </c>
      <c r="D62" s="570">
        <v>3330</v>
      </c>
      <c r="E62" s="571">
        <f>F62/D62</f>
        <v>64.20943129856214</v>
      </c>
      <c r="F62" s="572">
        <f>SUM(F63:F66)</f>
        <v>213817.40622421194</v>
      </c>
      <c r="G62" s="566"/>
    </row>
    <row r="63" spans="1:7" s="488" customFormat="1" ht="21.75" customHeight="1">
      <c r="A63" s="567"/>
      <c r="B63" s="568" t="s">
        <v>46</v>
      </c>
      <c r="C63" s="569" t="s">
        <v>47</v>
      </c>
      <c r="D63" s="570">
        <f>D62*0.5</f>
        <v>1665</v>
      </c>
      <c r="E63" s="571">
        <f>E48</f>
        <v>4.732420092988815</v>
      </c>
      <c r="F63" s="572">
        <f>D63*E63</f>
        <v>7879.479454826377</v>
      </c>
      <c r="G63" s="566"/>
    </row>
    <row r="64" spans="1:7" s="488" customFormat="1" ht="21.75" customHeight="1">
      <c r="A64" s="567"/>
      <c r="B64" s="568" t="s">
        <v>48</v>
      </c>
      <c r="C64" s="569" t="s">
        <v>47</v>
      </c>
      <c r="D64" s="570">
        <f>D62*0.8</f>
        <v>2664</v>
      </c>
      <c r="E64" s="571">
        <f>E49</f>
        <v>6.0857406224561394</v>
      </c>
      <c r="F64" s="572">
        <f>D64*E64</f>
        <v>16212.413018223155</v>
      </c>
      <c r="G64" s="566"/>
    </row>
    <row r="65" spans="1:7" s="488" customFormat="1" ht="21.75" customHeight="1">
      <c r="A65" s="567"/>
      <c r="B65" s="568" t="s">
        <v>49</v>
      </c>
      <c r="C65" s="569" t="s">
        <v>47</v>
      </c>
      <c r="D65" s="571">
        <f>D62/7.79*0.505</f>
        <v>215.87291399229784</v>
      </c>
      <c r="E65" s="571">
        <f>E50</f>
        <v>859.0739762266555</v>
      </c>
      <c r="F65" s="572">
        <f>D65*E65</f>
        <v>185450.80258299812</v>
      </c>
      <c r="G65" s="566"/>
    </row>
    <row r="66" spans="1:7" s="488" customFormat="1" ht="21.75" customHeight="1">
      <c r="A66" s="567"/>
      <c r="B66" s="568" t="s">
        <v>50</v>
      </c>
      <c r="C66" s="569" t="s">
        <v>47</v>
      </c>
      <c r="D66" s="573">
        <f>D62/7.79*0.002</f>
        <v>0.8549422336328627</v>
      </c>
      <c r="E66" s="571">
        <f>E51</f>
        <v>5000</v>
      </c>
      <c r="F66" s="572">
        <f>D66*E66</f>
        <v>4274.711168164314</v>
      </c>
      <c r="G66" s="566"/>
    </row>
    <row r="67" spans="1:7" s="488" customFormat="1" ht="21.75" customHeight="1">
      <c r="A67" s="569">
        <v>5</v>
      </c>
      <c r="B67" s="568" t="s">
        <v>61</v>
      </c>
      <c r="C67" s="569" t="s">
        <v>44</v>
      </c>
      <c r="D67" s="570">
        <f>D46*1000</f>
        <v>5260</v>
      </c>
      <c r="E67" s="571"/>
      <c r="F67" s="572">
        <f>SUM(F68)</f>
        <v>23906.17185318058</v>
      </c>
      <c r="G67" s="566"/>
    </row>
    <row r="68" spans="1:7" s="488" customFormat="1" ht="21.75" customHeight="1">
      <c r="A68" s="569"/>
      <c r="B68" s="568" t="s">
        <v>62</v>
      </c>
      <c r="C68" s="569" t="s">
        <v>47</v>
      </c>
      <c r="D68" s="571">
        <f>D50+D55+D60+D65</f>
        <v>407.43363368817313</v>
      </c>
      <c r="E68" s="571">
        <f>E37</f>
        <v>58.67500833639331</v>
      </c>
      <c r="F68" s="572">
        <f>D68*E68</f>
        <v>23906.17185318058</v>
      </c>
      <c r="G68" s="566"/>
    </row>
    <row r="69" spans="1:7" s="488" customFormat="1" ht="21.75" customHeight="1">
      <c r="A69" s="562" t="s">
        <v>63</v>
      </c>
      <c r="B69" s="563" t="s">
        <v>64</v>
      </c>
      <c r="C69" s="562" t="s">
        <v>65</v>
      </c>
      <c r="D69" s="574">
        <f>SUM(D70:D75)</f>
        <v>150</v>
      </c>
      <c r="E69" s="564"/>
      <c r="F69" s="565">
        <f>SUM(F70:F75)</f>
        <v>208093.62212640204</v>
      </c>
      <c r="G69" s="575"/>
    </row>
    <row r="70" spans="1:7" s="488" customFormat="1" ht="21.75" customHeight="1">
      <c r="A70" s="569">
        <v>1</v>
      </c>
      <c r="B70" s="568" t="str">
        <f>'建筑物概 '!B58</f>
        <v>4m宽U60生产桥</v>
      </c>
      <c r="C70" s="569" t="s">
        <v>65</v>
      </c>
      <c r="D70" s="570">
        <v>19</v>
      </c>
      <c r="E70" s="571">
        <f>'建筑物概 '!F58</f>
        <v>5383.819643054368</v>
      </c>
      <c r="F70" s="572">
        <f aca="true" t="shared" si="1" ref="F70:F75">D70*E70</f>
        <v>102292.57321803298</v>
      </c>
      <c r="G70" s="575"/>
    </row>
    <row r="71" spans="1:7" s="488" customFormat="1" ht="21.75" customHeight="1">
      <c r="A71" s="569">
        <v>2</v>
      </c>
      <c r="B71" s="568" t="str">
        <f>'建筑物概 '!B13</f>
        <v>600节制闸单向500斗口</v>
      </c>
      <c r="C71" s="569" t="s">
        <v>65</v>
      </c>
      <c r="D71" s="570">
        <v>11</v>
      </c>
      <c r="E71" s="571">
        <f>'建筑物概 '!F13</f>
        <v>6910.130608268322</v>
      </c>
      <c r="F71" s="572">
        <f t="shared" si="1"/>
        <v>76011.43669095155</v>
      </c>
      <c r="G71" s="566"/>
    </row>
    <row r="72" spans="1:7" s="488" customFormat="1" ht="21.75" customHeight="1">
      <c r="A72" s="569">
        <v>3</v>
      </c>
      <c r="B72" s="568" t="str">
        <f>'建筑物概 '!B22</f>
        <v>500节制闸单向400农口</v>
      </c>
      <c r="C72" s="569" t="s">
        <v>65</v>
      </c>
      <c r="D72" s="570">
        <v>3</v>
      </c>
      <c r="E72" s="571">
        <f>'建筑物概 '!F22</f>
        <v>5185.874839616698</v>
      </c>
      <c r="F72" s="572">
        <f t="shared" si="1"/>
        <v>15557.624518850094</v>
      </c>
      <c r="G72" s="566"/>
    </row>
    <row r="73" spans="1:7" s="488" customFormat="1" ht="21.75" customHeight="1">
      <c r="A73" s="569">
        <v>4</v>
      </c>
      <c r="B73" s="536" t="str">
        <f>'建筑物概 '!B31</f>
        <v>U50双向U30畦田口</v>
      </c>
      <c r="C73" s="569" t="s">
        <v>65</v>
      </c>
      <c r="D73" s="570">
        <v>5</v>
      </c>
      <c r="E73" s="571">
        <f>'建筑物概 '!F31</f>
        <v>159.9843225931224</v>
      </c>
      <c r="F73" s="572">
        <f t="shared" si="1"/>
        <v>799.9216129656121</v>
      </c>
      <c r="G73" s="566"/>
    </row>
    <row r="74" spans="1:7" s="488" customFormat="1" ht="21.75" customHeight="1">
      <c r="A74" s="569">
        <v>5</v>
      </c>
      <c r="B74" s="568" t="str">
        <f>'建筑物概 '!B41</f>
        <v>U40双向U30畦田口</v>
      </c>
      <c r="C74" s="569" t="s">
        <v>65</v>
      </c>
      <c r="D74" s="570">
        <v>32</v>
      </c>
      <c r="E74" s="571">
        <f>'建筑物概 '!F41</f>
        <v>152.90917721728232</v>
      </c>
      <c r="F74" s="572">
        <f t="shared" si="1"/>
        <v>4893.093670953034</v>
      </c>
      <c r="G74" s="566"/>
    </row>
    <row r="75" spans="1:7" s="488" customFormat="1" ht="21.75" customHeight="1">
      <c r="A75" s="567" t="s">
        <v>59</v>
      </c>
      <c r="B75" s="568" t="str">
        <f>'建筑物概 '!B46</f>
        <v>U40单向U30畦田口</v>
      </c>
      <c r="C75" s="569" t="s">
        <v>65</v>
      </c>
      <c r="D75" s="570">
        <v>80</v>
      </c>
      <c r="E75" s="571">
        <f>'建筑物概 '!F46</f>
        <v>106.73715518310951</v>
      </c>
      <c r="F75" s="572">
        <f t="shared" si="1"/>
        <v>8538.97241464876</v>
      </c>
      <c r="G75" s="566"/>
    </row>
    <row r="76" spans="1:7" s="488" customFormat="1" ht="21.75" customHeight="1">
      <c r="A76" s="557" t="s">
        <v>20</v>
      </c>
      <c r="B76" s="558" t="s">
        <v>69</v>
      </c>
      <c r="C76" s="557"/>
      <c r="D76" s="559"/>
      <c r="E76" s="559"/>
      <c r="F76" s="560">
        <f>F77+F83</f>
        <v>74881.45189316932</v>
      </c>
      <c r="G76" s="561"/>
    </row>
    <row r="77" spans="1:7" s="488" customFormat="1" ht="21.75" customHeight="1">
      <c r="A77" s="562" t="s">
        <v>39</v>
      </c>
      <c r="B77" s="563" t="s">
        <v>40</v>
      </c>
      <c r="C77" s="562" t="s">
        <v>41</v>
      </c>
      <c r="D77" s="564">
        <f>(D78)/1000</f>
        <v>0.1</v>
      </c>
      <c r="E77" s="564"/>
      <c r="F77" s="565">
        <f>F78</f>
        <v>7596.731998599525</v>
      </c>
      <c r="G77" s="566"/>
    </row>
    <row r="78" spans="1:7" s="488" customFormat="1" ht="21.75" customHeight="1">
      <c r="A78" s="567" t="s">
        <v>42</v>
      </c>
      <c r="B78" s="568" t="s">
        <v>58</v>
      </c>
      <c r="C78" s="569" t="s">
        <v>44</v>
      </c>
      <c r="D78" s="570">
        <v>100</v>
      </c>
      <c r="E78" s="571">
        <f>F78/D78</f>
        <v>75.96731998599525</v>
      </c>
      <c r="F78" s="572">
        <f>SUM(F79:F82)</f>
        <v>7596.731998599525</v>
      </c>
      <c r="G78" s="566"/>
    </row>
    <row r="79" spans="1:7" s="488" customFormat="1" ht="21.75" customHeight="1">
      <c r="A79" s="567"/>
      <c r="B79" s="568" t="s">
        <v>46</v>
      </c>
      <c r="C79" s="569" t="s">
        <v>47</v>
      </c>
      <c r="D79" s="570">
        <f>D78*0.6</f>
        <v>60</v>
      </c>
      <c r="E79" s="571">
        <f>E7</f>
        <v>4.732420092988815</v>
      </c>
      <c r="F79" s="572">
        <f>D79*E79</f>
        <v>283.9452055793289</v>
      </c>
      <c r="G79" s="566"/>
    </row>
    <row r="80" spans="1:7" s="488" customFormat="1" ht="21.75" customHeight="1">
      <c r="A80" s="567"/>
      <c r="B80" s="568" t="s">
        <v>48</v>
      </c>
      <c r="C80" s="569" t="s">
        <v>47</v>
      </c>
      <c r="D80" s="570">
        <f>D78*0.8</f>
        <v>80</v>
      </c>
      <c r="E80" s="571">
        <f>E8</f>
        <v>6.0857406224561394</v>
      </c>
      <c r="F80" s="572">
        <f>D80*E80</f>
        <v>486.85924979649116</v>
      </c>
      <c r="G80" s="566"/>
    </row>
    <row r="81" spans="1:7" s="488" customFormat="1" ht="21.75" customHeight="1">
      <c r="A81" s="567"/>
      <c r="B81" s="568" t="s">
        <v>49</v>
      </c>
      <c r="C81" s="569" t="s">
        <v>47</v>
      </c>
      <c r="D81" s="571">
        <f>D78/7.79*0.605</f>
        <v>7.766367137355584</v>
      </c>
      <c r="E81" s="571">
        <f>E9</f>
        <v>859.0739762266555</v>
      </c>
      <c r="F81" s="572">
        <f>D81*E81</f>
        <v>6671.88389752409</v>
      </c>
      <c r="G81" s="566"/>
    </row>
    <row r="82" spans="1:7" s="488" customFormat="1" ht="21.75" customHeight="1">
      <c r="A82" s="567"/>
      <c r="B82" s="568" t="s">
        <v>50</v>
      </c>
      <c r="C82" s="569" t="s">
        <v>47</v>
      </c>
      <c r="D82" s="573">
        <f>D78/7.79*0.0024</f>
        <v>0.030808729139922976</v>
      </c>
      <c r="E82" s="571">
        <f>E10</f>
        <v>5000</v>
      </c>
      <c r="F82" s="572">
        <f>D82*E82</f>
        <v>154.04364569961487</v>
      </c>
      <c r="G82" s="566"/>
    </row>
    <row r="83" spans="1:7" s="488" customFormat="1" ht="21.75" customHeight="1">
      <c r="A83" s="562" t="s">
        <v>63</v>
      </c>
      <c r="B83" s="563" t="s">
        <v>64</v>
      </c>
      <c r="C83" s="562" t="s">
        <v>65</v>
      </c>
      <c r="D83" s="574">
        <f>SUM(D84:D85)</f>
        <v>8</v>
      </c>
      <c r="E83" s="564"/>
      <c r="F83" s="565">
        <f>SUM(F84:F85)</f>
        <v>67284.71989456979</v>
      </c>
      <c r="G83" s="566"/>
    </row>
    <row r="84" spans="1:7" s="488" customFormat="1" ht="21.75" customHeight="1">
      <c r="A84" s="569">
        <v>1</v>
      </c>
      <c r="B84" s="568" t="str">
        <f>'建筑物概 '!B58</f>
        <v>4m宽U60生产桥</v>
      </c>
      <c r="C84" s="569" t="s">
        <v>65</v>
      </c>
      <c r="D84" s="570">
        <v>1</v>
      </c>
      <c r="E84" s="571">
        <f>'建筑物概 '!F58</f>
        <v>5383.819643054368</v>
      </c>
      <c r="F84" s="572">
        <f>D84*E84</f>
        <v>5383.819643054368</v>
      </c>
      <c r="G84" s="566"/>
    </row>
    <row r="85" spans="1:7" s="488" customFormat="1" ht="21.75" customHeight="1">
      <c r="A85" s="567" t="s">
        <v>51</v>
      </c>
      <c r="B85" s="568" t="str">
        <f>'建筑物概 '!B4</f>
        <v>800节制闸单向500斗口</v>
      </c>
      <c r="C85" s="569" t="s">
        <v>65</v>
      </c>
      <c r="D85" s="570">
        <v>7</v>
      </c>
      <c r="E85" s="571">
        <f>'建筑物概 '!F4</f>
        <v>8842.985750216489</v>
      </c>
      <c r="F85" s="572">
        <f>D85*E85</f>
        <v>61900.90025151542</v>
      </c>
      <c r="G85" s="566" t="s">
        <v>70</v>
      </c>
    </row>
    <row r="86" spans="1:7" s="488" customFormat="1" ht="21.75" customHeight="1">
      <c r="A86" s="562" t="s">
        <v>71</v>
      </c>
      <c r="B86" s="562"/>
      <c r="C86" s="562"/>
      <c r="D86" s="564"/>
      <c r="E86" s="564"/>
      <c r="F86" s="574">
        <f>F4+F45+F76</f>
        <v>1778808.3401742885</v>
      </c>
      <c r="G86" s="575"/>
    </row>
  </sheetData>
  <sheetProtection/>
  <mergeCells count="3">
    <mergeCell ref="A1:G1"/>
    <mergeCell ref="A2:F2"/>
    <mergeCell ref="A86:B86"/>
  </mergeCells>
  <printOptions/>
  <pageMargins left="0.9842519685039371" right="0.7874015748031497" top="0.7874015748031497" bottom="0.7874015748031497" header="0.3937007874015748" footer="0.3937007874015748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G64"/>
  <sheetViews>
    <sheetView workbookViewId="0" topLeftCell="A1">
      <selection activeCell="J8" sqref="J8"/>
    </sheetView>
  </sheetViews>
  <sheetFormatPr defaultColWidth="9.00390625" defaultRowHeight="14.25"/>
  <cols>
    <col min="1" max="1" width="6.625" style="523" customWidth="1"/>
    <col min="2" max="2" width="25.625" style="523" customWidth="1"/>
    <col min="3" max="3" width="6.625" style="523" customWidth="1"/>
    <col min="4" max="7" width="9.625" style="523" customWidth="1"/>
    <col min="8" max="16384" width="9.00390625" style="525" customWidth="1"/>
  </cols>
  <sheetData>
    <row r="1" spans="1:7" ht="30" customHeight="1">
      <c r="A1" s="526" t="s">
        <v>72</v>
      </c>
      <c r="B1" s="526"/>
      <c r="C1" s="526"/>
      <c r="D1" s="526"/>
      <c r="E1" s="526"/>
      <c r="F1" s="526"/>
      <c r="G1" s="526"/>
    </row>
    <row r="2" spans="1:7" s="522" customFormat="1" ht="19.5" customHeight="1">
      <c r="A2" s="527" t="s">
        <v>73</v>
      </c>
      <c r="B2" s="527"/>
      <c r="C2" s="527"/>
      <c r="D2" s="527"/>
      <c r="E2" s="527"/>
      <c r="F2" s="527"/>
      <c r="G2" s="528" t="s">
        <v>30</v>
      </c>
    </row>
    <row r="3" spans="1:7" s="523" customFormat="1" ht="24.75" customHeight="1">
      <c r="A3" s="529" t="s">
        <v>31</v>
      </c>
      <c r="B3" s="529" t="s">
        <v>32</v>
      </c>
      <c r="C3" s="529" t="s">
        <v>33</v>
      </c>
      <c r="D3" s="529" t="s">
        <v>34</v>
      </c>
      <c r="E3" s="530" t="s">
        <v>35</v>
      </c>
      <c r="F3" s="531" t="s">
        <v>74</v>
      </c>
      <c r="G3" s="529" t="s">
        <v>37</v>
      </c>
    </row>
    <row r="4" spans="1:7" s="524" customFormat="1" ht="19.5" customHeight="1">
      <c r="A4" s="532">
        <v>1</v>
      </c>
      <c r="B4" s="533" t="s">
        <v>75</v>
      </c>
      <c r="C4" s="532" t="s">
        <v>65</v>
      </c>
      <c r="D4" s="532">
        <v>1</v>
      </c>
      <c r="E4" s="534"/>
      <c r="F4" s="535">
        <f>SUM(F5:F12)</f>
        <v>8842.985750216489</v>
      </c>
      <c r="G4" s="410"/>
    </row>
    <row r="5" spans="1:7" s="524" customFormat="1" ht="19.5" customHeight="1">
      <c r="A5" s="499"/>
      <c r="B5" s="536" t="str">
        <f>B14</f>
        <v>土方开挖</v>
      </c>
      <c r="C5" s="499" t="s">
        <v>47</v>
      </c>
      <c r="D5" s="537">
        <v>16</v>
      </c>
      <c r="E5" s="538">
        <f>'单价汇总'!D4/100+'单价汇总'!D5/100*0.907</f>
        <v>5.800802811270865</v>
      </c>
      <c r="F5" s="539">
        <f aca="true" t="shared" si="0" ref="F5:F12">D5*E5</f>
        <v>92.81284498033384</v>
      </c>
      <c r="G5" s="410"/>
    </row>
    <row r="6" spans="1:7" s="524" customFormat="1" ht="19.5" customHeight="1">
      <c r="A6" s="499"/>
      <c r="B6" s="536" t="str">
        <f>B15</f>
        <v>土方回填</v>
      </c>
      <c r="C6" s="499" t="s">
        <v>47</v>
      </c>
      <c r="D6" s="537">
        <v>5</v>
      </c>
      <c r="E6" s="538">
        <f>'单价汇总'!D7/100</f>
        <v>22.087821666441833</v>
      </c>
      <c r="F6" s="539">
        <f t="shared" si="0"/>
        <v>110.43910833220917</v>
      </c>
      <c r="G6" s="410"/>
    </row>
    <row r="7" spans="1:7" s="524" customFormat="1" ht="19.5" customHeight="1">
      <c r="A7" s="499"/>
      <c r="B7" s="536" t="str">
        <f>B16</f>
        <v>M7.5浆砌石</v>
      </c>
      <c r="C7" s="499" t="s">
        <v>47</v>
      </c>
      <c r="D7" s="537">
        <v>15.5</v>
      </c>
      <c r="E7" s="538">
        <f>'单价汇总'!D14/100</f>
        <v>319.6728143876425</v>
      </c>
      <c r="F7" s="539">
        <f t="shared" si="0"/>
        <v>4954.928623008459</v>
      </c>
      <c r="G7" s="410"/>
    </row>
    <row r="8" spans="1:7" s="524" customFormat="1" ht="19.5" customHeight="1">
      <c r="A8" s="499"/>
      <c r="B8" s="536" t="s">
        <v>76</v>
      </c>
      <c r="C8" s="499" t="s">
        <v>47</v>
      </c>
      <c r="D8" s="540">
        <v>0.3</v>
      </c>
      <c r="E8" s="538">
        <f>'单价汇总'!D26/100</f>
        <v>898.4456685651555</v>
      </c>
      <c r="F8" s="539">
        <f t="shared" si="0"/>
        <v>269.5337005695466</v>
      </c>
      <c r="G8" s="410"/>
    </row>
    <row r="9" spans="1:7" s="524" customFormat="1" ht="19.5" customHeight="1">
      <c r="A9" s="499"/>
      <c r="B9" s="536" t="str">
        <f>B18</f>
        <v>现浇C15砼</v>
      </c>
      <c r="C9" s="499" t="s">
        <v>47</v>
      </c>
      <c r="D9" s="540">
        <v>0.45</v>
      </c>
      <c r="E9" s="538">
        <f>'单价汇总'!D19/100</f>
        <v>492.3275388736576</v>
      </c>
      <c r="F9" s="539">
        <f t="shared" si="0"/>
        <v>221.54739249314594</v>
      </c>
      <c r="G9" s="410"/>
    </row>
    <row r="10" spans="1:7" s="524" customFormat="1" ht="19.5" customHeight="1">
      <c r="A10" s="499"/>
      <c r="B10" s="536" t="str">
        <f>B19</f>
        <v>钢筋制安</v>
      </c>
      <c r="C10" s="499" t="s">
        <v>77</v>
      </c>
      <c r="D10" s="541">
        <v>0.0135</v>
      </c>
      <c r="E10" s="538">
        <f>'单价汇总'!D18</f>
        <v>6942.524506132902</v>
      </c>
      <c r="F10" s="539">
        <f t="shared" si="0"/>
        <v>93.72408083279419</v>
      </c>
      <c r="G10" s="410"/>
    </row>
    <row r="11" spans="1:7" s="524" customFormat="1" ht="19.5" customHeight="1">
      <c r="A11" s="499"/>
      <c r="B11" s="536" t="s">
        <v>78</v>
      </c>
      <c r="C11" s="499" t="s">
        <v>79</v>
      </c>
      <c r="D11" s="539">
        <v>1</v>
      </c>
      <c r="E11" s="538">
        <v>1900</v>
      </c>
      <c r="F11" s="539">
        <f t="shared" si="0"/>
        <v>1900</v>
      </c>
      <c r="G11" s="542" t="s">
        <v>80</v>
      </c>
    </row>
    <row r="12" spans="1:7" s="524" customFormat="1" ht="19.5" customHeight="1">
      <c r="A12" s="499"/>
      <c r="B12" s="536" t="s">
        <v>81</v>
      </c>
      <c r="C12" s="499" t="s">
        <v>79</v>
      </c>
      <c r="D12" s="539">
        <v>1</v>
      </c>
      <c r="E12" s="538">
        <v>1200</v>
      </c>
      <c r="F12" s="539">
        <f t="shared" si="0"/>
        <v>1200</v>
      </c>
      <c r="G12" s="410"/>
    </row>
    <row r="13" spans="1:7" s="524" customFormat="1" ht="19.5" customHeight="1">
      <c r="A13" s="532">
        <v>2</v>
      </c>
      <c r="B13" s="533" t="s">
        <v>82</v>
      </c>
      <c r="C13" s="532" t="s">
        <v>65</v>
      </c>
      <c r="D13" s="532">
        <v>1</v>
      </c>
      <c r="E13" s="534"/>
      <c r="F13" s="535">
        <f>SUM(F14:F21)</f>
        <v>6910.130608268322</v>
      </c>
      <c r="G13" s="410"/>
    </row>
    <row r="14" spans="1:7" s="524" customFormat="1" ht="19.5" customHeight="1">
      <c r="A14" s="499"/>
      <c r="B14" s="536" t="s">
        <v>46</v>
      </c>
      <c r="C14" s="499" t="s">
        <v>47</v>
      </c>
      <c r="D14" s="537">
        <v>12</v>
      </c>
      <c r="E14" s="538">
        <f aca="true" t="shared" si="1" ref="E14:E19">E5</f>
        <v>5.800802811270865</v>
      </c>
      <c r="F14" s="539">
        <f aca="true" t="shared" si="2" ref="F14:F21">D14*E14</f>
        <v>69.60963373525038</v>
      </c>
      <c r="G14" s="410"/>
    </row>
    <row r="15" spans="1:7" s="524" customFormat="1" ht="19.5" customHeight="1">
      <c r="A15" s="499"/>
      <c r="B15" s="536" t="s">
        <v>48</v>
      </c>
      <c r="C15" s="499" t="s">
        <v>47</v>
      </c>
      <c r="D15" s="537">
        <v>3.5</v>
      </c>
      <c r="E15" s="538">
        <f t="shared" si="1"/>
        <v>22.087821666441833</v>
      </c>
      <c r="F15" s="539">
        <f t="shared" si="2"/>
        <v>77.30737583254641</v>
      </c>
      <c r="G15" s="410"/>
    </row>
    <row r="16" spans="1:7" s="524" customFormat="1" ht="19.5" customHeight="1">
      <c r="A16" s="499"/>
      <c r="B16" s="543" t="s">
        <v>83</v>
      </c>
      <c r="C16" s="499" t="s">
        <v>47</v>
      </c>
      <c r="D16" s="537">
        <v>11</v>
      </c>
      <c r="E16" s="538">
        <f t="shared" si="1"/>
        <v>319.6728143876425</v>
      </c>
      <c r="F16" s="539">
        <f t="shared" si="2"/>
        <v>3516.400958264068</v>
      </c>
      <c r="G16" s="410"/>
    </row>
    <row r="17" spans="1:7" s="524" customFormat="1" ht="19.5" customHeight="1">
      <c r="A17" s="499"/>
      <c r="B17" s="536" t="str">
        <f>B8</f>
        <v>C20砼预制闸板</v>
      </c>
      <c r="C17" s="499" t="s">
        <v>47</v>
      </c>
      <c r="D17" s="540">
        <v>0.2</v>
      </c>
      <c r="E17" s="538">
        <f t="shared" si="1"/>
        <v>898.4456685651555</v>
      </c>
      <c r="F17" s="539">
        <f t="shared" si="2"/>
        <v>179.6891337130311</v>
      </c>
      <c r="G17" s="544" t="s">
        <v>84</v>
      </c>
    </row>
    <row r="18" spans="1:7" s="524" customFormat="1" ht="19.5" customHeight="1">
      <c r="A18" s="499"/>
      <c r="B18" s="536" t="s">
        <v>85</v>
      </c>
      <c r="C18" s="499" t="s">
        <v>47</v>
      </c>
      <c r="D18" s="540">
        <v>0.3</v>
      </c>
      <c r="E18" s="538">
        <f t="shared" si="1"/>
        <v>492.3275388736576</v>
      </c>
      <c r="F18" s="539">
        <f t="shared" si="2"/>
        <v>147.69826166209728</v>
      </c>
      <c r="G18" s="410"/>
    </row>
    <row r="19" spans="1:7" s="524" customFormat="1" ht="19.5" customHeight="1">
      <c r="A19" s="499"/>
      <c r="B19" s="536" t="s">
        <v>86</v>
      </c>
      <c r="C19" s="499" t="s">
        <v>77</v>
      </c>
      <c r="D19" s="541">
        <v>0.01</v>
      </c>
      <c r="E19" s="538">
        <f t="shared" si="1"/>
        <v>6942.524506132902</v>
      </c>
      <c r="F19" s="539">
        <f t="shared" si="2"/>
        <v>69.42524506132902</v>
      </c>
      <c r="G19" s="410"/>
    </row>
    <row r="20" spans="1:7" s="524" customFormat="1" ht="19.5" customHeight="1">
      <c r="A20" s="499"/>
      <c r="B20" s="536" t="s">
        <v>87</v>
      </c>
      <c r="C20" s="499" t="s">
        <v>79</v>
      </c>
      <c r="D20" s="539">
        <v>1</v>
      </c>
      <c r="E20" s="538">
        <v>1650</v>
      </c>
      <c r="F20" s="539">
        <f t="shared" si="2"/>
        <v>1650</v>
      </c>
      <c r="G20" s="410"/>
    </row>
    <row r="21" spans="1:7" s="524" customFormat="1" ht="19.5" customHeight="1">
      <c r="A21" s="499"/>
      <c r="B21" s="536" t="s">
        <v>81</v>
      </c>
      <c r="C21" s="499" t="s">
        <v>79</v>
      </c>
      <c r="D21" s="539">
        <v>1</v>
      </c>
      <c r="E21" s="538">
        <v>1200</v>
      </c>
      <c r="F21" s="539">
        <f t="shared" si="2"/>
        <v>1200</v>
      </c>
      <c r="G21" s="410"/>
    </row>
    <row r="22" spans="1:7" s="524" customFormat="1" ht="19.5" customHeight="1">
      <c r="A22" s="532">
        <v>3</v>
      </c>
      <c r="B22" s="533" t="s">
        <v>88</v>
      </c>
      <c r="C22" s="532" t="s">
        <v>65</v>
      </c>
      <c r="D22" s="532">
        <v>1</v>
      </c>
      <c r="E22" s="534"/>
      <c r="F22" s="535">
        <f>SUM(F23:F30)</f>
        <v>5185.874839616698</v>
      </c>
      <c r="G22" s="410"/>
    </row>
    <row r="23" spans="1:7" s="524" customFormat="1" ht="19.5" customHeight="1">
      <c r="A23" s="499"/>
      <c r="B23" s="536" t="str">
        <f aca="true" t="shared" si="3" ref="B23:B28">B14</f>
        <v>土方开挖</v>
      </c>
      <c r="C23" s="499" t="s">
        <v>47</v>
      </c>
      <c r="D23" s="537">
        <v>9.5</v>
      </c>
      <c r="E23" s="538">
        <f aca="true" t="shared" si="4" ref="E23:E28">E14</f>
        <v>5.800802811270865</v>
      </c>
      <c r="F23" s="539">
        <f aca="true" t="shared" si="5" ref="F23:F30">D23*E23</f>
        <v>55.107626707073216</v>
      </c>
      <c r="G23" s="410"/>
    </row>
    <row r="24" spans="1:7" s="524" customFormat="1" ht="19.5" customHeight="1">
      <c r="A24" s="499"/>
      <c r="B24" s="536" t="str">
        <f t="shared" si="3"/>
        <v>土方回填</v>
      </c>
      <c r="C24" s="499" t="s">
        <v>47</v>
      </c>
      <c r="D24" s="537">
        <v>3</v>
      </c>
      <c r="E24" s="538">
        <f t="shared" si="4"/>
        <v>22.087821666441833</v>
      </c>
      <c r="F24" s="539">
        <f t="shared" si="5"/>
        <v>66.26346499932549</v>
      </c>
      <c r="G24" s="410"/>
    </row>
    <row r="25" spans="1:7" s="524" customFormat="1" ht="19.5" customHeight="1">
      <c r="A25" s="499"/>
      <c r="B25" s="536" t="str">
        <f t="shared" si="3"/>
        <v>M7.5浆砌石</v>
      </c>
      <c r="C25" s="499" t="s">
        <v>47</v>
      </c>
      <c r="D25" s="537">
        <v>8.5</v>
      </c>
      <c r="E25" s="538">
        <f t="shared" si="4"/>
        <v>319.6728143876425</v>
      </c>
      <c r="F25" s="539">
        <f t="shared" si="5"/>
        <v>2717.2189222949614</v>
      </c>
      <c r="G25" s="410"/>
    </row>
    <row r="26" spans="1:7" s="524" customFormat="1" ht="19.5" customHeight="1">
      <c r="A26" s="499"/>
      <c r="B26" s="536" t="str">
        <f t="shared" si="3"/>
        <v>C20砼预制闸板</v>
      </c>
      <c r="C26" s="499" t="s">
        <v>47</v>
      </c>
      <c r="D26" s="540">
        <v>0.18</v>
      </c>
      <c r="E26" s="538">
        <f t="shared" si="4"/>
        <v>898.4456685651555</v>
      </c>
      <c r="F26" s="539">
        <f t="shared" si="5"/>
        <v>161.72022034172798</v>
      </c>
      <c r="G26" s="544" t="s">
        <v>84</v>
      </c>
    </row>
    <row r="27" spans="1:7" s="524" customFormat="1" ht="19.5" customHeight="1">
      <c r="A27" s="499"/>
      <c r="B27" s="536" t="str">
        <f t="shared" si="3"/>
        <v>现浇C15砼</v>
      </c>
      <c r="C27" s="499" t="s">
        <v>47</v>
      </c>
      <c r="D27" s="540">
        <v>0.25</v>
      </c>
      <c r="E27" s="538">
        <f t="shared" si="4"/>
        <v>492.3275388736576</v>
      </c>
      <c r="F27" s="539">
        <f t="shared" si="5"/>
        <v>123.0818847184144</v>
      </c>
      <c r="G27" s="410"/>
    </row>
    <row r="28" spans="1:7" s="524" customFormat="1" ht="19.5" customHeight="1">
      <c r="A28" s="499"/>
      <c r="B28" s="536" t="str">
        <f t="shared" si="3"/>
        <v>钢筋制安</v>
      </c>
      <c r="C28" s="499" t="s">
        <v>77</v>
      </c>
      <c r="D28" s="541">
        <v>0.009</v>
      </c>
      <c r="E28" s="538">
        <f t="shared" si="4"/>
        <v>6942.524506132902</v>
      </c>
      <c r="F28" s="539">
        <f t="shared" si="5"/>
        <v>62.48272055519612</v>
      </c>
      <c r="G28" s="410"/>
    </row>
    <row r="29" spans="1:7" s="524" customFormat="1" ht="19.5" customHeight="1">
      <c r="A29" s="499"/>
      <c r="B29" s="536" t="s">
        <v>81</v>
      </c>
      <c r="C29" s="499" t="s">
        <v>79</v>
      </c>
      <c r="D29" s="539">
        <v>1</v>
      </c>
      <c r="E29" s="538">
        <v>1200</v>
      </c>
      <c r="F29" s="539">
        <f t="shared" si="5"/>
        <v>1200</v>
      </c>
      <c r="G29" s="410"/>
    </row>
    <row r="30" spans="1:7" s="524" customFormat="1" ht="19.5" customHeight="1">
      <c r="A30" s="499"/>
      <c r="B30" s="536" t="s">
        <v>89</v>
      </c>
      <c r="C30" s="499" t="s">
        <v>79</v>
      </c>
      <c r="D30" s="539">
        <v>1</v>
      </c>
      <c r="E30" s="538">
        <v>800</v>
      </c>
      <c r="F30" s="539">
        <f t="shared" si="5"/>
        <v>800</v>
      </c>
      <c r="G30" s="410"/>
    </row>
    <row r="31" spans="1:7" s="524" customFormat="1" ht="19.5" customHeight="1">
      <c r="A31" s="532">
        <v>4</v>
      </c>
      <c r="B31" s="533" t="s">
        <v>90</v>
      </c>
      <c r="C31" s="532" t="s">
        <v>65</v>
      </c>
      <c r="D31" s="532">
        <v>1</v>
      </c>
      <c r="E31" s="534"/>
      <c r="F31" s="535">
        <f>SUM(F32:F35)</f>
        <v>159.9843225931224</v>
      </c>
      <c r="G31" s="544"/>
    </row>
    <row r="32" spans="1:7" s="524" customFormat="1" ht="19.5" customHeight="1">
      <c r="A32" s="499"/>
      <c r="B32" s="536" t="s">
        <v>46</v>
      </c>
      <c r="C32" s="499" t="s">
        <v>91</v>
      </c>
      <c r="D32" s="540">
        <v>0.7</v>
      </c>
      <c r="E32" s="538">
        <f>E5</f>
        <v>5.800802811270865</v>
      </c>
      <c r="F32" s="539">
        <f>D32*E32</f>
        <v>4.060561967889605</v>
      </c>
      <c r="G32" s="544"/>
    </row>
    <row r="33" spans="1:7" s="524" customFormat="1" ht="19.5" customHeight="1">
      <c r="A33" s="499"/>
      <c r="B33" s="536" t="s">
        <v>48</v>
      </c>
      <c r="C33" s="499" t="s">
        <v>91</v>
      </c>
      <c r="D33" s="540">
        <v>0.3</v>
      </c>
      <c r="E33" s="538">
        <f>E6</f>
        <v>22.087821666441833</v>
      </c>
      <c r="F33" s="539">
        <f>D33*E33</f>
        <v>6.626346499932549</v>
      </c>
      <c r="G33" s="544"/>
    </row>
    <row r="34" spans="1:7" s="524" customFormat="1" ht="19.5" customHeight="1">
      <c r="A34" s="499"/>
      <c r="B34" s="543" t="s">
        <v>76</v>
      </c>
      <c r="C34" s="499" t="s">
        <v>92</v>
      </c>
      <c r="D34" s="537">
        <v>3</v>
      </c>
      <c r="E34" s="538">
        <v>30</v>
      </c>
      <c r="F34" s="539">
        <f>D34*E34</f>
        <v>90</v>
      </c>
      <c r="G34" s="544" t="s">
        <v>84</v>
      </c>
    </row>
    <row r="35" spans="1:7" s="524" customFormat="1" ht="19.5" customHeight="1">
      <c r="A35" s="499"/>
      <c r="B35" s="536" t="s">
        <v>93</v>
      </c>
      <c r="C35" s="499" t="s">
        <v>91</v>
      </c>
      <c r="D35" s="499">
        <v>0.11</v>
      </c>
      <c r="E35" s="538">
        <f>'单价汇总'!D26*0.6/100</f>
        <v>539.0674011390932</v>
      </c>
      <c r="F35" s="539">
        <f>D35*E35</f>
        <v>59.29741412530026</v>
      </c>
      <c r="G35" s="544"/>
    </row>
    <row r="36" spans="1:7" s="524" customFormat="1" ht="19.5" customHeight="1">
      <c r="A36" s="532">
        <v>5</v>
      </c>
      <c r="B36" s="533" t="s">
        <v>94</v>
      </c>
      <c r="C36" s="532" t="s">
        <v>65</v>
      </c>
      <c r="D36" s="532">
        <v>1</v>
      </c>
      <c r="E36" s="534"/>
      <c r="F36" s="535">
        <f>SUM(F37:F40)</f>
        <v>112.70790947562753</v>
      </c>
      <c r="G36" s="544"/>
    </row>
    <row r="37" spans="1:7" s="524" customFormat="1" ht="19.5" customHeight="1">
      <c r="A37" s="499"/>
      <c r="B37" s="536" t="s">
        <v>46</v>
      </c>
      <c r="C37" s="499" t="s">
        <v>91</v>
      </c>
      <c r="D37" s="540">
        <v>0.7</v>
      </c>
      <c r="E37" s="538">
        <f>E32</f>
        <v>5.800802811270865</v>
      </c>
      <c r="F37" s="539">
        <f>D37*E37</f>
        <v>4.060561967889605</v>
      </c>
      <c r="G37" s="544"/>
    </row>
    <row r="38" spans="1:7" s="524" customFormat="1" ht="19.5" customHeight="1">
      <c r="A38" s="499"/>
      <c r="B38" s="536" t="s">
        <v>48</v>
      </c>
      <c r="C38" s="499" t="s">
        <v>91</v>
      </c>
      <c r="D38" s="540">
        <v>0.25</v>
      </c>
      <c r="E38" s="538">
        <f>E33</f>
        <v>22.087821666441833</v>
      </c>
      <c r="F38" s="539">
        <f>D38*E38</f>
        <v>5.521955416610458</v>
      </c>
      <c r="G38" s="544"/>
    </row>
    <row r="39" spans="1:7" s="524" customFormat="1" ht="19.5" customHeight="1">
      <c r="A39" s="499"/>
      <c r="B39" s="543" t="s">
        <v>76</v>
      </c>
      <c r="C39" s="499" t="s">
        <v>92</v>
      </c>
      <c r="D39" s="537">
        <v>2</v>
      </c>
      <c r="E39" s="538">
        <f>E34</f>
        <v>30</v>
      </c>
      <c r="F39" s="539">
        <f>D39*E39</f>
        <v>60</v>
      </c>
      <c r="G39" s="544" t="s">
        <v>84</v>
      </c>
    </row>
    <row r="40" spans="1:7" s="524" customFormat="1" ht="19.5" customHeight="1">
      <c r="A40" s="499"/>
      <c r="B40" s="536" t="s">
        <v>93</v>
      </c>
      <c r="C40" s="499" t="s">
        <v>91</v>
      </c>
      <c r="D40" s="499">
        <v>0.08</v>
      </c>
      <c r="E40" s="538">
        <f>E35</f>
        <v>539.0674011390932</v>
      </c>
      <c r="F40" s="539">
        <f>D40*E40</f>
        <v>43.12539209112746</v>
      </c>
      <c r="G40" s="544"/>
    </row>
    <row r="41" spans="1:7" s="524" customFormat="1" ht="19.5" customHeight="1">
      <c r="A41" s="532">
        <v>6</v>
      </c>
      <c r="B41" s="533" t="s">
        <v>67</v>
      </c>
      <c r="C41" s="532" t="s">
        <v>65</v>
      </c>
      <c r="D41" s="532">
        <v>1</v>
      </c>
      <c r="E41" s="534"/>
      <c r="F41" s="535">
        <f>SUM(F42:F45)</f>
        <v>152.90917721728232</v>
      </c>
      <c r="G41" s="544"/>
    </row>
    <row r="42" spans="1:7" s="524" customFormat="1" ht="19.5" customHeight="1">
      <c r="A42" s="499"/>
      <c r="B42" s="536" t="s">
        <v>46</v>
      </c>
      <c r="C42" s="499" t="s">
        <v>91</v>
      </c>
      <c r="D42" s="540">
        <v>0.6</v>
      </c>
      <c r="E42" s="538">
        <f>E32</f>
        <v>5.800802811270865</v>
      </c>
      <c r="F42" s="539">
        <f>D42*E42</f>
        <v>3.4804816867625186</v>
      </c>
      <c r="G42" s="544"/>
    </row>
    <row r="43" spans="1:7" s="524" customFormat="1" ht="19.5" customHeight="1">
      <c r="A43" s="499"/>
      <c r="B43" s="536" t="s">
        <v>48</v>
      </c>
      <c r="C43" s="499" t="s">
        <v>91</v>
      </c>
      <c r="D43" s="540">
        <v>0.25</v>
      </c>
      <c r="E43" s="538">
        <f>E33</f>
        <v>22.087821666441833</v>
      </c>
      <c r="F43" s="539">
        <f>D43*E43</f>
        <v>5.521955416610458</v>
      </c>
      <c r="G43" s="544"/>
    </row>
    <row r="44" spans="1:7" s="524" customFormat="1" ht="19.5" customHeight="1">
      <c r="A44" s="499"/>
      <c r="B44" s="543" t="s">
        <v>76</v>
      </c>
      <c r="C44" s="499" t="s">
        <v>92</v>
      </c>
      <c r="D44" s="537">
        <v>3</v>
      </c>
      <c r="E44" s="538">
        <f>E34</f>
        <v>30</v>
      </c>
      <c r="F44" s="539">
        <f>D44*E44</f>
        <v>90</v>
      </c>
      <c r="G44" s="544" t="s">
        <v>84</v>
      </c>
    </row>
    <row r="45" spans="1:7" s="524" customFormat="1" ht="19.5" customHeight="1">
      <c r="A45" s="499"/>
      <c r="B45" s="536" t="s">
        <v>93</v>
      </c>
      <c r="C45" s="499" t="s">
        <v>91</v>
      </c>
      <c r="D45" s="499">
        <v>0.1</v>
      </c>
      <c r="E45" s="538">
        <f>E35</f>
        <v>539.0674011390932</v>
      </c>
      <c r="F45" s="539">
        <f>D45*E45</f>
        <v>53.90674011390933</v>
      </c>
      <c r="G45" s="544"/>
    </row>
    <row r="46" spans="1:7" s="524" customFormat="1" ht="19.5" customHeight="1">
      <c r="A46" s="532">
        <v>7</v>
      </c>
      <c r="B46" s="533" t="s">
        <v>95</v>
      </c>
      <c r="C46" s="532" t="s">
        <v>65</v>
      </c>
      <c r="D46" s="532">
        <v>1</v>
      </c>
      <c r="E46" s="534"/>
      <c r="F46" s="535">
        <f>SUM(F47:F50)</f>
        <v>106.73715518310951</v>
      </c>
      <c r="G46" s="544"/>
    </row>
    <row r="47" spans="1:7" s="524" customFormat="1" ht="19.5" customHeight="1">
      <c r="A47" s="499"/>
      <c r="B47" s="536" t="s">
        <v>46</v>
      </c>
      <c r="C47" s="499" t="s">
        <v>91</v>
      </c>
      <c r="D47" s="540">
        <v>0.6</v>
      </c>
      <c r="E47" s="538">
        <f>E32</f>
        <v>5.800802811270865</v>
      </c>
      <c r="F47" s="539">
        <f>D47*E47</f>
        <v>3.4804816867625186</v>
      </c>
      <c r="G47" s="544"/>
    </row>
    <row r="48" spans="1:7" s="524" customFormat="1" ht="19.5" customHeight="1">
      <c r="A48" s="499"/>
      <c r="B48" s="536" t="s">
        <v>48</v>
      </c>
      <c r="C48" s="499" t="s">
        <v>91</v>
      </c>
      <c r="D48" s="540">
        <v>0.25</v>
      </c>
      <c r="E48" s="538">
        <f>E33</f>
        <v>22.087821666441833</v>
      </c>
      <c r="F48" s="539">
        <f>D48*E48</f>
        <v>5.521955416610458</v>
      </c>
      <c r="G48" s="544"/>
    </row>
    <row r="49" spans="1:7" s="524" customFormat="1" ht="19.5" customHeight="1">
      <c r="A49" s="499"/>
      <c r="B49" s="543" t="s">
        <v>76</v>
      </c>
      <c r="C49" s="499" t="s">
        <v>92</v>
      </c>
      <c r="D49" s="537">
        <v>2</v>
      </c>
      <c r="E49" s="538">
        <f>E34</f>
        <v>30</v>
      </c>
      <c r="F49" s="539">
        <f>D49*E49</f>
        <v>60</v>
      </c>
      <c r="G49" s="544" t="s">
        <v>84</v>
      </c>
    </row>
    <row r="50" spans="1:7" s="524" customFormat="1" ht="19.5" customHeight="1">
      <c r="A50" s="499"/>
      <c r="B50" s="536" t="s">
        <v>93</v>
      </c>
      <c r="C50" s="499" t="s">
        <v>91</v>
      </c>
      <c r="D50" s="499">
        <v>0.07</v>
      </c>
      <c r="E50" s="538">
        <f>E35</f>
        <v>539.0674011390932</v>
      </c>
      <c r="F50" s="539">
        <f>D50*E50</f>
        <v>37.73471807973653</v>
      </c>
      <c r="G50" s="544"/>
    </row>
    <row r="51" spans="1:7" s="524" customFormat="1" ht="19.5" customHeight="1">
      <c r="A51" s="532">
        <v>8</v>
      </c>
      <c r="B51" s="533" t="s">
        <v>96</v>
      </c>
      <c r="C51" s="532" t="s">
        <v>65</v>
      </c>
      <c r="D51" s="532">
        <v>1</v>
      </c>
      <c r="E51" s="534"/>
      <c r="F51" s="535">
        <f>SUM(F52:F57)</f>
        <v>6704.404446204691</v>
      </c>
      <c r="G51" s="410"/>
    </row>
    <row r="52" spans="1:7" s="524" customFormat="1" ht="19.5" customHeight="1">
      <c r="A52" s="499"/>
      <c r="B52" s="536" t="s">
        <v>46</v>
      </c>
      <c r="C52" s="499" t="s">
        <v>47</v>
      </c>
      <c r="D52" s="537">
        <v>34</v>
      </c>
      <c r="E52" s="538">
        <f aca="true" t="shared" si="6" ref="E52:E57">E5</f>
        <v>5.800802811270865</v>
      </c>
      <c r="F52" s="539">
        <f aca="true" t="shared" si="7" ref="F52:F57">D52*E52</f>
        <v>197.2272955832094</v>
      </c>
      <c r="G52" s="410"/>
    </row>
    <row r="53" spans="1:7" s="524" customFormat="1" ht="19.5" customHeight="1">
      <c r="A53" s="499"/>
      <c r="B53" s="536" t="s">
        <v>48</v>
      </c>
      <c r="C53" s="499" t="s">
        <v>47</v>
      </c>
      <c r="D53" s="537">
        <v>22</v>
      </c>
      <c r="E53" s="538">
        <f t="shared" si="6"/>
        <v>22.087821666441833</v>
      </c>
      <c r="F53" s="539">
        <f t="shared" si="7"/>
        <v>485.9320766617203</v>
      </c>
      <c r="G53" s="410"/>
    </row>
    <row r="54" spans="1:7" s="524" customFormat="1" ht="19.5" customHeight="1">
      <c r="A54" s="499"/>
      <c r="B54" s="543" t="str">
        <f>'单价汇总'!B15</f>
        <v>M7.5浆砌石挡土墙</v>
      </c>
      <c r="C54" s="499" t="s">
        <v>47</v>
      </c>
      <c r="D54" s="537">
        <v>11.2</v>
      </c>
      <c r="E54" s="538">
        <f t="shared" si="6"/>
        <v>319.6728143876425</v>
      </c>
      <c r="F54" s="539">
        <f t="shared" si="7"/>
        <v>3580.335521141596</v>
      </c>
      <c r="G54" s="410"/>
    </row>
    <row r="55" spans="1:7" s="524" customFormat="1" ht="19.5" customHeight="1">
      <c r="A55" s="499"/>
      <c r="B55" s="536" t="s">
        <v>97</v>
      </c>
      <c r="C55" s="499" t="s">
        <v>47</v>
      </c>
      <c r="D55" s="499">
        <v>1.19</v>
      </c>
      <c r="E55" s="538">
        <f t="shared" si="6"/>
        <v>898.4456685651555</v>
      </c>
      <c r="F55" s="539">
        <f t="shared" si="7"/>
        <v>1069.1503455925351</v>
      </c>
      <c r="G55" s="410"/>
    </row>
    <row r="56" spans="1:7" s="524" customFormat="1" ht="19.5" customHeight="1">
      <c r="A56" s="499"/>
      <c r="B56" s="536" t="s">
        <v>85</v>
      </c>
      <c r="C56" s="499" t="s">
        <v>47</v>
      </c>
      <c r="D56" s="540">
        <v>1.08</v>
      </c>
      <c r="E56" s="538">
        <f t="shared" si="6"/>
        <v>492.3275388736576</v>
      </c>
      <c r="F56" s="539">
        <f t="shared" si="7"/>
        <v>531.7137419835502</v>
      </c>
      <c r="G56" s="410"/>
    </row>
    <row r="57" spans="1:7" s="524" customFormat="1" ht="19.5" customHeight="1">
      <c r="A57" s="499"/>
      <c r="B57" s="536" t="s">
        <v>86</v>
      </c>
      <c r="C57" s="499" t="s">
        <v>77</v>
      </c>
      <c r="D57" s="540">
        <v>0.121</v>
      </c>
      <c r="E57" s="538">
        <f t="shared" si="6"/>
        <v>6942.524506132902</v>
      </c>
      <c r="F57" s="539">
        <f t="shared" si="7"/>
        <v>840.0454652420811</v>
      </c>
      <c r="G57" s="410"/>
    </row>
    <row r="58" spans="1:7" s="524" customFormat="1" ht="19.5" customHeight="1">
      <c r="A58" s="532">
        <v>9</v>
      </c>
      <c r="B58" s="533" t="s">
        <v>98</v>
      </c>
      <c r="C58" s="532" t="s">
        <v>65</v>
      </c>
      <c r="D58" s="532">
        <v>1</v>
      </c>
      <c r="E58" s="534"/>
      <c r="F58" s="535">
        <f>SUM(F59:F64)</f>
        <v>5383.819643054368</v>
      </c>
      <c r="G58" s="410"/>
    </row>
    <row r="59" spans="1:7" s="524" customFormat="1" ht="19.5" customHeight="1">
      <c r="A59" s="499"/>
      <c r="B59" s="536" t="str">
        <f>B52</f>
        <v>土方开挖</v>
      </c>
      <c r="C59" s="499" t="s">
        <v>47</v>
      </c>
      <c r="D59" s="537">
        <v>32</v>
      </c>
      <c r="E59" s="538">
        <f aca="true" t="shared" si="8" ref="E59:E64">E52</f>
        <v>5.800802811270865</v>
      </c>
      <c r="F59" s="539">
        <f aca="true" t="shared" si="9" ref="F59:F64">D59*E59</f>
        <v>185.62568996066767</v>
      </c>
      <c r="G59" s="410"/>
    </row>
    <row r="60" spans="1:7" s="524" customFormat="1" ht="19.5" customHeight="1">
      <c r="A60" s="499"/>
      <c r="B60" s="536" t="str">
        <f>B53</f>
        <v>土方回填</v>
      </c>
      <c r="C60" s="499" t="s">
        <v>47</v>
      </c>
      <c r="D60" s="537">
        <v>20</v>
      </c>
      <c r="E60" s="538">
        <f t="shared" si="8"/>
        <v>22.087821666441833</v>
      </c>
      <c r="F60" s="539">
        <f t="shared" si="9"/>
        <v>441.7564333288367</v>
      </c>
      <c r="G60" s="410"/>
    </row>
    <row r="61" spans="1:7" s="524" customFormat="1" ht="19.5" customHeight="1">
      <c r="A61" s="499"/>
      <c r="B61" s="536" t="str">
        <f>B54</f>
        <v>M7.5浆砌石挡土墙</v>
      </c>
      <c r="C61" s="499" t="s">
        <v>47</v>
      </c>
      <c r="D61" s="537">
        <v>8.5</v>
      </c>
      <c r="E61" s="538">
        <f t="shared" si="8"/>
        <v>319.6728143876425</v>
      </c>
      <c r="F61" s="539">
        <f t="shared" si="9"/>
        <v>2717.2189222949614</v>
      </c>
      <c r="G61" s="410"/>
    </row>
    <row r="62" spans="1:7" s="524" customFormat="1" ht="19.5" customHeight="1">
      <c r="A62" s="499"/>
      <c r="B62" s="536" t="s">
        <v>97</v>
      </c>
      <c r="C62" s="499" t="s">
        <v>47</v>
      </c>
      <c r="D62" s="499">
        <v>0.95</v>
      </c>
      <c r="E62" s="538">
        <f t="shared" si="8"/>
        <v>898.4456685651555</v>
      </c>
      <c r="F62" s="539">
        <f t="shared" si="9"/>
        <v>853.5233851368977</v>
      </c>
      <c r="G62" s="410"/>
    </row>
    <row r="63" spans="1:7" s="524" customFormat="1" ht="19.5" customHeight="1">
      <c r="A63" s="499"/>
      <c r="B63" s="536" t="str">
        <f>B56</f>
        <v>现浇C15砼</v>
      </c>
      <c r="C63" s="499" t="s">
        <v>47</v>
      </c>
      <c r="D63" s="540">
        <v>0.97</v>
      </c>
      <c r="E63" s="538">
        <f t="shared" si="8"/>
        <v>492.3275388736576</v>
      </c>
      <c r="F63" s="539">
        <f t="shared" si="9"/>
        <v>477.5577127074479</v>
      </c>
      <c r="G63" s="410"/>
    </row>
    <row r="64" spans="1:7" s="524" customFormat="1" ht="19.5" customHeight="1">
      <c r="A64" s="499"/>
      <c r="B64" s="536" t="str">
        <f>B57</f>
        <v>钢筋制安</v>
      </c>
      <c r="C64" s="499" t="s">
        <v>77</v>
      </c>
      <c r="D64" s="541">
        <v>0.102</v>
      </c>
      <c r="E64" s="538">
        <f t="shared" si="8"/>
        <v>6942.524506132902</v>
      </c>
      <c r="F64" s="539">
        <f t="shared" si="9"/>
        <v>708.137499625556</v>
      </c>
      <c r="G64" s="410"/>
    </row>
  </sheetData>
  <sheetProtection/>
  <mergeCells count="2">
    <mergeCell ref="A1:G1"/>
    <mergeCell ref="A2:F2"/>
  </mergeCells>
  <printOptions/>
  <pageMargins left="0.9842519685039371" right="0.7874015748031497" top="0.7874015748031497" bottom="0.7874015748031497" header="0.3937007874015748" footer="0.3937007874015748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D29"/>
  <sheetViews>
    <sheetView workbookViewId="0" topLeftCell="A1">
      <selection activeCell="H11" sqref="H11"/>
    </sheetView>
  </sheetViews>
  <sheetFormatPr defaultColWidth="9.00390625" defaultRowHeight="14.25"/>
  <cols>
    <col min="1" max="1" width="8.625" style="511" customWidth="1"/>
    <col min="2" max="2" width="40.625" style="511" customWidth="1"/>
    <col min="3" max="3" width="8.625" style="511" customWidth="1"/>
    <col min="4" max="4" width="18.625" style="511" customWidth="1"/>
    <col min="5" max="16384" width="9.00390625" style="512" customWidth="1"/>
  </cols>
  <sheetData>
    <row r="1" spans="1:4" ht="30" customHeight="1">
      <c r="A1" s="513" t="s">
        <v>99</v>
      </c>
      <c r="B1" s="513"/>
      <c r="C1" s="513"/>
      <c r="D1" s="513"/>
    </row>
    <row r="2" spans="1:4" s="510" customFormat="1" ht="15" customHeight="1">
      <c r="A2" s="514" t="s">
        <v>100</v>
      </c>
      <c r="B2" s="514" t="s">
        <v>101</v>
      </c>
      <c r="C2" s="514" t="s">
        <v>102</v>
      </c>
      <c r="D2" s="514" t="s">
        <v>103</v>
      </c>
    </row>
    <row r="3" spans="1:4" s="510" customFormat="1" ht="15" customHeight="1">
      <c r="A3" s="514"/>
      <c r="B3" s="514"/>
      <c r="C3" s="514"/>
      <c r="D3" s="514"/>
    </row>
    <row r="4" spans="1:4" s="487" customFormat="1" ht="24.75" customHeight="1">
      <c r="A4" s="515">
        <v>1</v>
      </c>
      <c r="B4" s="516" t="s">
        <v>104</v>
      </c>
      <c r="C4" s="515" t="s">
        <v>105</v>
      </c>
      <c r="D4" s="517">
        <f>'单价表'!G25</f>
        <v>268.6213176330817</v>
      </c>
    </row>
    <row r="5" spans="1:4" s="487" customFormat="1" ht="24.75" customHeight="1">
      <c r="A5" s="515">
        <v>2</v>
      </c>
      <c r="B5" s="516" t="s">
        <v>106</v>
      </c>
      <c r="C5" s="515" t="s">
        <v>105</v>
      </c>
      <c r="D5" s="517">
        <f>'单价表'!G186</f>
        <v>343.39466757883656</v>
      </c>
    </row>
    <row r="6" spans="1:4" s="487" customFormat="1" ht="24.75" customHeight="1">
      <c r="A6" s="515">
        <v>3</v>
      </c>
      <c r="B6" s="518" t="s">
        <v>107</v>
      </c>
      <c r="C6" s="515" t="s">
        <v>105</v>
      </c>
      <c r="D6" s="517">
        <f>'单价表'!G219</f>
        <v>608.574062245614</v>
      </c>
    </row>
    <row r="7" spans="1:4" s="487" customFormat="1" ht="24.75" customHeight="1">
      <c r="A7" s="515">
        <v>4</v>
      </c>
      <c r="B7" s="518" t="s">
        <v>108</v>
      </c>
      <c r="C7" s="515" t="s">
        <v>105</v>
      </c>
      <c r="D7" s="517">
        <f>'单价表'!G49</f>
        <v>2208.7821666441832</v>
      </c>
    </row>
    <row r="8" spans="1:4" s="487" customFormat="1" ht="24.75" customHeight="1">
      <c r="A8" s="515">
        <v>5</v>
      </c>
      <c r="B8" s="519" t="s">
        <v>109</v>
      </c>
      <c r="C8" s="515" t="s">
        <v>105</v>
      </c>
      <c r="D8" s="517">
        <f>'单价表'!G81</f>
        <v>1047.7810478687577</v>
      </c>
    </row>
    <row r="9" spans="1:4" s="487" customFormat="1" ht="24.75" customHeight="1">
      <c r="A9" s="515">
        <v>6</v>
      </c>
      <c r="B9" s="520" t="s">
        <v>110</v>
      </c>
      <c r="C9" s="521" t="s">
        <v>111</v>
      </c>
      <c r="D9" s="517">
        <f>'单价表'!G131</f>
        <v>130.62075153808524</v>
      </c>
    </row>
    <row r="10" spans="1:4" s="487" customFormat="1" ht="24.75" customHeight="1">
      <c r="A10" s="515">
        <v>7</v>
      </c>
      <c r="B10" s="516" t="s">
        <v>112</v>
      </c>
      <c r="C10" s="515" t="s">
        <v>105</v>
      </c>
      <c r="D10" s="517">
        <f>'单价表'!G1238</f>
        <v>2622.583113216766</v>
      </c>
    </row>
    <row r="11" spans="1:4" s="487" customFormat="1" ht="24.75" customHeight="1">
      <c r="A11" s="515">
        <v>8</v>
      </c>
      <c r="B11" s="516" t="s">
        <v>113</v>
      </c>
      <c r="C11" s="515" t="s">
        <v>105</v>
      </c>
      <c r="D11" s="517">
        <f>'单价表'!G1287</f>
        <v>2314.82823429108</v>
      </c>
    </row>
    <row r="12" spans="1:4" s="487" customFormat="1" ht="24.75" customHeight="1">
      <c r="A12" s="515">
        <v>9</v>
      </c>
      <c r="B12" s="516" t="s">
        <v>114</v>
      </c>
      <c r="C12" s="515" t="s">
        <v>105</v>
      </c>
      <c r="D12" s="517">
        <f>'单价表'!W160</f>
        <v>1476.1972369318114</v>
      </c>
    </row>
    <row r="13" spans="1:4" s="487" customFormat="1" ht="24.75" customHeight="1">
      <c r="A13" s="515">
        <v>10</v>
      </c>
      <c r="B13" s="516" t="s">
        <v>115</v>
      </c>
      <c r="C13" s="515" t="s">
        <v>105</v>
      </c>
      <c r="D13" s="517">
        <f>'单价表'!O188</f>
        <v>2085.71590752865</v>
      </c>
    </row>
    <row r="14" spans="1:4" s="487" customFormat="1" ht="24.75" customHeight="1">
      <c r="A14" s="515">
        <v>11</v>
      </c>
      <c r="B14" s="516" t="s">
        <v>116</v>
      </c>
      <c r="C14" s="515" t="s">
        <v>105</v>
      </c>
      <c r="D14" s="517">
        <f>'单价表'!G494</f>
        <v>31967.28143876425</v>
      </c>
    </row>
    <row r="15" spans="1:4" s="487" customFormat="1" ht="24.75" customHeight="1">
      <c r="A15" s="515">
        <v>12</v>
      </c>
      <c r="B15" s="516" t="s">
        <v>117</v>
      </c>
      <c r="C15" s="515" t="s">
        <v>105</v>
      </c>
      <c r="D15" s="517">
        <f>'单价表'!G562</f>
        <v>33523.596645830454</v>
      </c>
    </row>
    <row r="16" spans="1:4" s="487" customFormat="1" ht="24.75" customHeight="1">
      <c r="A16" s="515">
        <v>13</v>
      </c>
      <c r="B16" s="516" t="s">
        <v>118</v>
      </c>
      <c r="C16" s="515" t="s">
        <v>105</v>
      </c>
      <c r="D16" s="517">
        <f>'单价表'!G527</f>
        <v>22536.17360107324</v>
      </c>
    </row>
    <row r="17" spans="1:4" s="487" customFormat="1" ht="24.75" customHeight="1">
      <c r="A17" s="515">
        <v>14</v>
      </c>
      <c r="B17" s="516" t="s">
        <v>119</v>
      </c>
      <c r="C17" s="515" t="s">
        <v>105</v>
      </c>
      <c r="D17" s="517">
        <f>'单价表'!G1589</f>
        <v>12301.889861301614</v>
      </c>
    </row>
    <row r="18" spans="1:4" s="487" customFormat="1" ht="24.75" customHeight="1">
      <c r="A18" s="515">
        <v>15</v>
      </c>
      <c r="B18" s="516" t="s">
        <v>120</v>
      </c>
      <c r="C18" s="515" t="s">
        <v>77</v>
      </c>
      <c r="D18" s="517">
        <f>'单价表'!G270</f>
        <v>6942.524506132902</v>
      </c>
    </row>
    <row r="19" spans="1:4" s="487" customFormat="1" ht="24.75" customHeight="1">
      <c r="A19" s="515">
        <v>16</v>
      </c>
      <c r="B19" s="516" t="s">
        <v>121</v>
      </c>
      <c r="C19" s="515" t="s">
        <v>105</v>
      </c>
      <c r="D19" s="517">
        <f>'单价表'!G319</f>
        <v>49232.75388736576</v>
      </c>
    </row>
    <row r="20" spans="1:4" s="487" customFormat="1" ht="24.75" customHeight="1">
      <c r="A20" s="515">
        <v>17</v>
      </c>
      <c r="B20" s="516" t="s">
        <v>122</v>
      </c>
      <c r="C20" s="515" t="s">
        <v>105</v>
      </c>
      <c r="D20" s="517">
        <f>'单价表'!G411</f>
        <v>54329.07216410263</v>
      </c>
    </row>
    <row r="21" spans="1:4" s="487" customFormat="1" ht="24.75" customHeight="1">
      <c r="A21" s="515">
        <v>18</v>
      </c>
      <c r="B21" s="516" t="str">
        <f>'建筑物概 '!B35</f>
        <v>现浇C20砼(闸板墩)</v>
      </c>
      <c r="C21" s="515" t="s">
        <v>105</v>
      </c>
      <c r="D21" s="517">
        <f>'单价表'!G365</f>
        <v>49321.52523114779</v>
      </c>
    </row>
    <row r="22" spans="1:4" s="487" customFormat="1" ht="24.75" customHeight="1">
      <c r="A22" s="515">
        <v>19</v>
      </c>
      <c r="B22" s="518" t="s">
        <v>123</v>
      </c>
      <c r="C22" s="515" t="s">
        <v>105</v>
      </c>
      <c r="D22" s="517">
        <f>'单价表'!P1010</f>
        <v>35358.23907528219</v>
      </c>
    </row>
    <row r="23" spans="1:4" s="487" customFormat="1" ht="24.75" customHeight="1">
      <c r="A23" s="515">
        <v>20</v>
      </c>
      <c r="B23" s="518" t="s">
        <v>124</v>
      </c>
      <c r="C23" s="515" t="s">
        <v>105</v>
      </c>
      <c r="D23" s="517">
        <f>'单价表'!G1010</f>
        <v>40454.557352019074</v>
      </c>
    </row>
    <row r="24" spans="1:4" s="487" customFormat="1" ht="24.75" customHeight="1">
      <c r="A24" s="515">
        <v>21</v>
      </c>
      <c r="B24" s="516" t="s">
        <v>125</v>
      </c>
      <c r="C24" s="515" t="s">
        <v>105</v>
      </c>
      <c r="D24" s="517">
        <f>'单价表'!G459</f>
        <v>45201.65877128936</v>
      </c>
    </row>
    <row r="25" spans="1:4" s="487" customFormat="1" ht="24.75" customHeight="1">
      <c r="A25" s="515">
        <v>22</v>
      </c>
      <c r="B25" s="518" t="s">
        <v>126</v>
      </c>
      <c r="C25" s="515" t="s">
        <v>105</v>
      </c>
      <c r="D25" s="517">
        <f>'单价表'!G939+'单价表'!O698</f>
        <v>85907.39762266555</v>
      </c>
    </row>
    <row r="26" spans="1:4" s="487" customFormat="1" ht="24.75" customHeight="1">
      <c r="A26" s="515">
        <v>23</v>
      </c>
      <c r="B26" s="516" t="s">
        <v>127</v>
      </c>
      <c r="C26" s="515" t="s">
        <v>105</v>
      </c>
      <c r="D26" s="517">
        <f>'单价表'!G666+'单价表'!O730</f>
        <v>89844.56685651555</v>
      </c>
    </row>
    <row r="27" spans="1:4" s="487" customFormat="1" ht="24.75" customHeight="1">
      <c r="A27" s="515">
        <v>24</v>
      </c>
      <c r="B27" s="516" t="s">
        <v>128</v>
      </c>
      <c r="C27" s="515" t="s">
        <v>105</v>
      </c>
      <c r="D27" s="517">
        <f>'单价表'!G1069</f>
        <v>3011.704988689644</v>
      </c>
    </row>
    <row r="28" spans="1:4" s="487" customFormat="1" ht="24.75" customHeight="1">
      <c r="A28" s="515">
        <v>25</v>
      </c>
      <c r="B28" s="516" t="s">
        <v>129</v>
      </c>
      <c r="C28" s="515" t="s">
        <v>105</v>
      </c>
      <c r="D28" s="517">
        <f>'单价表'!G1095</f>
        <v>3781.784926110681</v>
      </c>
    </row>
    <row r="29" spans="1:4" ht="24.75" customHeight="1">
      <c r="A29" s="515">
        <v>26</v>
      </c>
      <c r="B29" s="131" t="s">
        <v>130</v>
      </c>
      <c r="C29" s="35" t="s">
        <v>131</v>
      </c>
      <c r="D29" s="36">
        <f>'单价表'!G1211</f>
        <v>12308.742893143397</v>
      </c>
    </row>
  </sheetData>
  <sheetProtection/>
  <mergeCells count="5">
    <mergeCell ref="A1:D1"/>
    <mergeCell ref="A2:A3"/>
    <mergeCell ref="B2:B3"/>
    <mergeCell ref="C2:C3"/>
    <mergeCell ref="D2:D3"/>
  </mergeCells>
  <printOptions horizontalCentered="1" verticalCentered="1"/>
  <pageMargins left="0.9842519685039371" right="0.7874015748031497" top="0.7874015748031497" bottom="0.7874015748031497" header="0.3937007874015748" footer="0.3937007874015748"/>
  <pageSetup firstPageNumber="32" useFirstPageNumber="1"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P21"/>
  <sheetViews>
    <sheetView workbookViewId="0" topLeftCell="A1">
      <selection activeCell="P11" sqref="P11"/>
    </sheetView>
  </sheetViews>
  <sheetFormatPr defaultColWidth="9.00390625" defaultRowHeight="14.25"/>
  <cols>
    <col min="1" max="1" width="6.625" style="136" customWidth="1"/>
    <col min="2" max="3" width="12.625" style="136" customWidth="1"/>
    <col min="4" max="4" width="6.625" style="136" customWidth="1"/>
    <col min="5" max="5" width="8.625" style="136" customWidth="1"/>
    <col min="6" max="6" width="6.625" style="136" customWidth="1"/>
    <col min="7" max="13" width="8.625" style="136" customWidth="1"/>
    <col min="14" max="15" width="9.00390625" style="136" customWidth="1"/>
    <col min="16" max="16" width="13.75390625" style="136" bestFit="1" customWidth="1"/>
    <col min="17" max="16384" width="9.00390625" style="136" customWidth="1"/>
  </cols>
  <sheetData>
    <row r="1" spans="1:13" ht="30" customHeight="1">
      <c r="A1" s="489" t="s">
        <v>132</v>
      </c>
      <c r="B1" s="489"/>
      <c r="C1" s="489"/>
      <c r="D1" s="489"/>
      <c r="E1" s="489"/>
      <c r="F1" s="489"/>
      <c r="G1" s="489"/>
      <c r="H1" s="489"/>
      <c r="I1" s="489"/>
      <c r="J1" s="489"/>
      <c r="K1" s="489"/>
      <c r="L1" s="489"/>
      <c r="M1" s="489"/>
    </row>
    <row r="2" spans="1:13" ht="9.75" customHeight="1">
      <c r="A2" s="489"/>
      <c r="B2" s="489"/>
      <c r="C2" s="489"/>
      <c r="D2" s="489"/>
      <c r="E2" s="489"/>
      <c r="F2" s="489"/>
      <c r="G2" s="489"/>
      <c r="H2" s="489"/>
      <c r="I2" s="489"/>
      <c r="J2" s="489"/>
      <c r="K2" s="489"/>
      <c r="L2" s="489"/>
      <c r="M2" s="489"/>
    </row>
    <row r="3" spans="1:14" s="487" customFormat="1" ht="24.75" customHeight="1">
      <c r="A3" s="490" t="s">
        <v>133</v>
      </c>
      <c r="B3" s="490" t="s">
        <v>134</v>
      </c>
      <c r="C3" s="491" t="s">
        <v>135</v>
      </c>
      <c r="D3" s="490" t="s">
        <v>136</v>
      </c>
      <c r="E3" s="491" t="s">
        <v>137</v>
      </c>
      <c r="F3" s="490" t="s">
        <v>138</v>
      </c>
      <c r="G3" s="490" t="s">
        <v>139</v>
      </c>
      <c r="H3" s="490" t="s">
        <v>140</v>
      </c>
      <c r="I3" s="490" t="s">
        <v>141</v>
      </c>
      <c r="J3" s="490" t="s">
        <v>142</v>
      </c>
      <c r="K3" s="490" t="s">
        <v>143</v>
      </c>
      <c r="L3" s="490" t="s">
        <v>144</v>
      </c>
      <c r="M3" s="490" t="s">
        <v>145</v>
      </c>
      <c r="N3" s="506"/>
    </row>
    <row r="4" spans="1:16" s="487" customFormat="1" ht="24.75" customHeight="1">
      <c r="A4" s="492"/>
      <c r="B4" s="492"/>
      <c r="C4" s="493"/>
      <c r="D4" s="492"/>
      <c r="E4" s="493"/>
      <c r="F4" s="494"/>
      <c r="G4" s="494"/>
      <c r="H4" s="494"/>
      <c r="I4" s="494"/>
      <c r="J4" s="494"/>
      <c r="K4" s="494"/>
      <c r="L4" s="492"/>
      <c r="M4" s="494"/>
      <c r="N4" s="506"/>
      <c r="O4" s="439"/>
      <c r="P4" s="439"/>
    </row>
    <row r="5" spans="1:16" s="488" customFormat="1" ht="19.5" customHeight="1">
      <c r="A5" s="495">
        <v>1</v>
      </c>
      <c r="B5" s="496" t="s">
        <v>146</v>
      </c>
      <c r="C5" s="497" t="s">
        <v>147</v>
      </c>
      <c r="D5" s="496" t="s">
        <v>77</v>
      </c>
      <c r="E5" s="498">
        <v>288.5</v>
      </c>
      <c r="F5" s="496" t="s">
        <v>148</v>
      </c>
      <c r="G5" s="499">
        <v>62</v>
      </c>
      <c r="H5" s="498">
        <v>0.52</v>
      </c>
      <c r="I5" s="507">
        <f aca="true" t="shared" si="0" ref="I5:I12">H5*G5</f>
        <v>32.24</v>
      </c>
      <c r="J5" s="498">
        <v>5.5</v>
      </c>
      <c r="K5" s="507">
        <f aca="true" t="shared" si="1" ref="K5:K12">(J5+I5+E5)*0.03*1.1</f>
        <v>10.765920000000001</v>
      </c>
      <c r="L5" s="507">
        <f aca="true" t="shared" si="2" ref="L5:L12">E5+I5+J5+K5</f>
        <v>337.00592</v>
      </c>
      <c r="M5" s="496"/>
      <c r="N5" s="508"/>
      <c r="O5" s="440"/>
      <c r="P5" s="440"/>
    </row>
    <row r="6" spans="1:16" s="488" customFormat="1" ht="19.5" customHeight="1">
      <c r="A6" s="495">
        <v>2</v>
      </c>
      <c r="B6" s="496" t="s">
        <v>149</v>
      </c>
      <c r="C6" s="497" t="s">
        <v>147</v>
      </c>
      <c r="D6" s="496" t="s">
        <v>77</v>
      </c>
      <c r="E6" s="498">
        <v>323.89</v>
      </c>
      <c r="F6" s="496" t="s">
        <v>148</v>
      </c>
      <c r="G6" s="499">
        <v>62</v>
      </c>
      <c r="H6" s="498">
        <v>0.52</v>
      </c>
      <c r="I6" s="507">
        <f t="shared" si="0"/>
        <v>32.24</v>
      </c>
      <c r="J6" s="498">
        <v>5.5</v>
      </c>
      <c r="K6" s="507">
        <f t="shared" si="1"/>
        <v>11.93379</v>
      </c>
      <c r="L6" s="507">
        <f t="shared" si="2"/>
        <v>373.56379</v>
      </c>
      <c r="M6" s="496"/>
      <c r="N6" s="508"/>
      <c r="O6" s="440"/>
      <c r="P6" s="440"/>
    </row>
    <row r="7" spans="1:16" s="488" customFormat="1" ht="19.5" customHeight="1">
      <c r="A7" s="495">
        <v>3</v>
      </c>
      <c r="B7" s="496" t="s">
        <v>150</v>
      </c>
      <c r="C7" s="500" t="s">
        <v>151</v>
      </c>
      <c r="D7" s="496" t="s">
        <v>47</v>
      </c>
      <c r="E7" s="498">
        <v>43.69</v>
      </c>
      <c r="F7" s="496" t="s">
        <v>148</v>
      </c>
      <c r="G7" s="499">
        <v>30</v>
      </c>
      <c r="H7" s="498">
        <f>0.48*1.56</f>
        <v>0.7488</v>
      </c>
      <c r="I7" s="507">
        <f t="shared" si="0"/>
        <v>22.464000000000002</v>
      </c>
      <c r="J7" s="498">
        <v>3.12</v>
      </c>
      <c r="K7" s="507">
        <f t="shared" si="1"/>
        <v>2.286042</v>
      </c>
      <c r="L7" s="507">
        <f t="shared" si="2"/>
        <v>71.560042</v>
      </c>
      <c r="M7" s="496"/>
      <c r="N7" s="508"/>
      <c r="O7" s="440"/>
      <c r="P7" s="440"/>
    </row>
    <row r="8" spans="1:16" s="488" customFormat="1" ht="19.5" customHeight="1">
      <c r="A8" s="495">
        <v>4</v>
      </c>
      <c r="B8" s="496" t="s">
        <v>152</v>
      </c>
      <c r="C8" s="500" t="s">
        <v>151</v>
      </c>
      <c r="D8" s="496" t="s">
        <v>47</v>
      </c>
      <c r="E8" s="498">
        <f>25/1.03</f>
        <v>24.271844660194173</v>
      </c>
      <c r="F8" s="496" t="s">
        <v>148</v>
      </c>
      <c r="G8" s="499">
        <v>30</v>
      </c>
      <c r="H8" s="498">
        <f>0.48*1.65</f>
        <v>0.7919999999999999</v>
      </c>
      <c r="I8" s="507">
        <f t="shared" si="0"/>
        <v>23.759999999999998</v>
      </c>
      <c r="J8" s="498">
        <f>2*1.65</f>
        <v>3.3</v>
      </c>
      <c r="K8" s="507">
        <f t="shared" si="1"/>
        <v>1.6939508737864077</v>
      </c>
      <c r="L8" s="507">
        <f t="shared" si="2"/>
        <v>53.02579553398057</v>
      </c>
      <c r="M8" s="496"/>
      <c r="N8" s="508"/>
      <c r="O8" s="440"/>
      <c r="P8" s="440"/>
    </row>
    <row r="9" spans="1:16" s="488" customFormat="1" ht="19.5" customHeight="1">
      <c r="A9" s="495">
        <v>5</v>
      </c>
      <c r="B9" s="496" t="s">
        <v>153</v>
      </c>
      <c r="C9" s="500" t="str">
        <f>C7</f>
        <v>皮条沟</v>
      </c>
      <c r="D9" s="496" t="s">
        <v>47</v>
      </c>
      <c r="E9" s="498">
        <f>50/1.03</f>
        <v>48.543689320388346</v>
      </c>
      <c r="F9" s="496" t="s">
        <v>148</v>
      </c>
      <c r="G9" s="499">
        <f>G7</f>
        <v>30</v>
      </c>
      <c r="H9" s="498">
        <f>0.48*1.65</f>
        <v>0.7919999999999999</v>
      </c>
      <c r="I9" s="507">
        <f t="shared" si="0"/>
        <v>23.759999999999998</v>
      </c>
      <c r="J9" s="498">
        <v>3.3</v>
      </c>
      <c r="K9" s="507">
        <f t="shared" si="1"/>
        <v>2.4949217475728154</v>
      </c>
      <c r="L9" s="507">
        <f t="shared" si="2"/>
        <v>78.09861106796116</v>
      </c>
      <c r="M9" s="496"/>
      <c r="N9" s="508"/>
      <c r="O9" s="440"/>
      <c r="P9" s="440"/>
    </row>
    <row r="10" spans="1:16" s="488" customFormat="1" ht="19.5" customHeight="1">
      <c r="A10" s="495">
        <v>6</v>
      </c>
      <c r="B10" s="501" t="s">
        <v>154</v>
      </c>
      <c r="C10" s="500" t="s">
        <v>155</v>
      </c>
      <c r="D10" s="496" t="s">
        <v>47</v>
      </c>
      <c r="E10" s="498">
        <v>58.25</v>
      </c>
      <c r="F10" s="496" t="s">
        <v>148</v>
      </c>
      <c r="G10" s="499">
        <v>70</v>
      </c>
      <c r="H10" s="498">
        <f>0.48*1.8</f>
        <v>0.864</v>
      </c>
      <c r="I10" s="507">
        <f t="shared" si="0"/>
        <v>60.48</v>
      </c>
      <c r="J10" s="498">
        <v>3.6</v>
      </c>
      <c r="K10" s="507">
        <f t="shared" si="1"/>
        <v>4.03689</v>
      </c>
      <c r="L10" s="507">
        <f t="shared" si="2"/>
        <v>126.36688999999998</v>
      </c>
      <c r="M10" s="496"/>
      <c r="N10" s="508"/>
      <c r="O10" s="440"/>
      <c r="P10" s="440"/>
    </row>
    <row r="11" spans="1:16" s="488" customFormat="1" ht="19.5" customHeight="1">
      <c r="A11" s="495">
        <v>7</v>
      </c>
      <c r="B11" s="496" t="s">
        <v>156</v>
      </c>
      <c r="C11" s="500" t="s">
        <v>157</v>
      </c>
      <c r="D11" s="496" t="s">
        <v>77</v>
      </c>
      <c r="E11" s="502">
        <v>3941.13</v>
      </c>
      <c r="F11" s="496" t="s">
        <v>148</v>
      </c>
      <c r="G11" s="499">
        <v>75</v>
      </c>
      <c r="H11" s="498">
        <v>0.52</v>
      </c>
      <c r="I11" s="507">
        <f t="shared" si="0"/>
        <v>39</v>
      </c>
      <c r="J11" s="498">
        <f>J5</f>
        <v>5.5</v>
      </c>
      <c r="K11" s="507">
        <f t="shared" si="1"/>
        <v>131.52579</v>
      </c>
      <c r="L11" s="507">
        <f t="shared" si="2"/>
        <v>4117.15579</v>
      </c>
      <c r="M11" s="496"/>
      <c r="N11" s="508"/>
      <c r="O11" s="440"/>
      <c r="P11" s="440"/>
    </row>
    <row r="12" spans="1:16" s="488" customFormat="1" ht="19.5" customHeight="1">
      <c r="A12" s="495">
        <v>8</v>
      </c>
      <c r="B12" s="496" t="s">
        <v>158</v>
      </c>
      <c r="C12" s="501" t="str">
        <f>C11</f>
        <v>吴忠</v>
      </c>
      <c r="D12" s="496" t="s">
        <v>47</v>
      </c>
      <c r="E12" s="503">
        <v>1688</v>
      </c>
      <c r="F12" s="496" t="s">
        <v>148</v>
      </c>
      <c r="G12" s="499">
        <f>G11</f>
        <v>75</v>
      </c>
      <c r="H12" s="498">
        <f>H11</f>
        <v>0.52</v>
      </c>
      <c r="I12" s="507">
        <f t="shared" si="0"/>
        <v>39</v>
      </c>
      <c r="J12" s="498">
        <f>J6</f>
        <v>5.5</v>
      </c>
      <c r="K12" s="507">
        <f t="shared" si="1"/>
        <v>57.17250000000001</v>
      </c>
      <c r="L12" s="507">
        <f t="shared" si="2"/>
        <v>1789.6725</v>
      </c>
      <c r="M12" s="496"/>
      <c r="N12" s="508"/>
      <c r="O12" s="440"/>
      <c r="P12" s="440"/>
    </row>
    <row r="13" spans="1:16" s="488" customFormat="1" ht="19.5" customHeight="1">
      <c r="A13" s="495">
        <v>9</v>
      </c>
      <c r="B13" s="496" t="s">
        <v>159</v>
      </c>
      <c r="C13" s="496"/>
      <c r="D13" s="496" t="s">
        <v>160</v>
      </c>
      <c r="E13" s="504">
        <v>8.13</v>
      </c>
      <c r="F13" s="496"/>
      <c r="G13" s="496"/>
      <c r="H13" s="498"/>
      <c r="I13" s="496"/>
      <c r="J13" s="496"/>
      <c r="K13" s="496"/>
      <c r="L13" s="496">
        <f>E13</f>
        <v>8.13</v>
      </c>
      <c r="M13" s="496"/>
      <c r="N13" s="508"/>
      <c r="O13" s="440"/>
      <c r="P13" s="440"/>
    </row>
    <row r="14" spans="1:16" s="488" customFormat="1" ht="19.5" customHeight="1">
      <c r="A14" s="495">
        <v>10</v>
      </c>
      <c r="B14" s="496" t="s">
        <v>161</v>
      </c>
      <c r="C14" s="496"/>
      <c r="D14" s="496" t="s">
        <v>160</v>
      </c>
      <c r="E14" s="504">
        <v>6.79</v>
      </c>
      <c r="F14" s="496"/>
      <c r="G14" s="496"/>
      <c r="H14" s="496"/>
      <c r="I14" s="496"/>
      <c r="J14" s="496"/>
      <c r="K14" s="496"/>
      <c r="L14" s="498">
        <f>E14</f>
        <v>6.79</v>
      </c>
      <c r="M14" s="496"/>
      <c r="N14" s="508"/>
      <c r="O14" s="440"/>
      <c r="P14" s="440"/>
    </row>
    <row r="15" spans="1:15" s="488" customFormat="1" ht="19.5" customHeight="1">
      <c r="A15" s="495">
        <v>11</v>
      </c>
      <c r="B15" s="496" t="s">
        <v>162</v>
      </c>
      <c r="C15" s="496"/>
      <c r="D15" s="496" t="s">
        <v>163</v>
      </c>
      <c r="E15" s="505">
        <v>8.1</v>
      </c>
      <c r="F15" s="496"/>
      <c r="G15" s="496"/>
      <c r="H15" s="496"/>
      <c r="I15" s="496"/>
      <c r="J15" s="496"/>
      <c r="K15" s="496"/>
      <c r="L15" s="498">
        <f>E15</f>
        <v>8.1</v>
      </c>
      <c r="M15" s="496"/>
      <c r="N15" s="508"/>
      <c r="O15" s="509"/>
    </row>
    <row r="16" spans="1:15" s="488" customFormat="1" ht="19.5" customHeight="1">
      <c r="A16" s="495">
        <v>12</v>
      </c>
      <c r="B16" s="496" t="s">
        <v>164</v>
      </c>
      <c r="C16" s="496"/>
      <c r="D16" s="496" t="s">
        <v>163</v>
      </c>
      <c r="E16" s="504">
        <v>5.77</v>
      </c>
      <c r="F16" s="496"/>
      <c r="G16" s="496"/>
      <c r="H16" s="496"/>
      <c r="I16" s="496"/>
      <c r="J16" s="496"/>
      <c r="K16" s="496"/>
      <c r="L16" s="496">
        <f>E16</f>
        <v>5.77</v>
      </c>
      <c r="M16" s="496"/>
      <c r="N16" s="508"/>
      <c r="O16" s="509"/>
    </row>
    <row r="17" spans="1:15" s="488" customFormat="1" ht="19.5" customHeight="1">
      <c r="A17" s="495">
        <v>13</v>
      </c>
      <c r="B17" s="496" t="s">
        <v>165</v>
      </c>
      <c r="C17" s="496"/>
      <c r="D17" s="496" t="s">
        <v>166</v>
      </c>
      <c r="E17" s="505">
        <v>3.88</v>
      </c>
      <c r="F17" s="496"/>
      <c r="G17" s="496"/>
      <c r="H17" s="496"/>
      <c r="I17" s="507"/>
      <c r="J17" s="507"/>
      <c r="K17" s="507"/>
      <c r="L17" s="498">
        <f>E17</f>
        <v>3.88</v>
      </c>
      <c r="M17" s="496"/>
      <c r="N17" s="508"/>
      <c r="O17" s="509"/>
    </row>
    <row r="18" spans="1:15" s="488" customFormat="1" ht="19.5" customHeight="1">
      <c r="A18" s="495"/>
      <c r="B18" s="501"/>
      <c r="C18" s="501"/>
      <c r="D18" s="501"/>
      <c r="E18" s="501"/>
      <c r="F18" s="501"/>
      <c r="G18" s="501"/>
      <c r="H18" s="501"/>
      <c r="I18" s="501"/>
      <c r="J18" s="501"/>
      <c r="K18" s="501"/>
      <c r="L18" s="496"/>
      <c r="M18" s="501"/>
      <c r="N18" s="508"/>
      <c r="O18" s="509"/>
    </row>
    <row r="19" spans="1:15" s="488" customFormat="1" ht="19.5" customHeight="1">
      <c r="A19" s="495"/>
      <c r="B19" s="501"/>
      <c r="C19" s="501"/>
      <c r="D19" s="501"/>
      <c r="E19" s="501"/>
      <c r="F19" s="501"/>
      <c r="G19" s="501"/>
      <c r="H19" s="501"/>
      <c r="I19" s="501"/>
      <c r="J19" s="501"/>
      <c r="K19" s="501"/>
      <c r="L19" s="496"/>
      <c r="M19" s="501"/>
      <c r="O19" s="509"/>
    </row>
    <row r="20" spans="1:15" s="488" customFormat="1" ht="19.5" customHeight="1">
      <c r="A20" s="495"/>
      <c r="B20" s="501"/>
      <c r="C20" s="501"/>
      <c r="D20" s="501"/>
      <c r="E20" s="501"/>
      <c r="F20" s="501"/>
      <c r="G20" s="501"/>
      <c r="H20" s="501"/>
      <c r="I20" s="501"/>
      <c r="J20" s="501"/>
      <c r="K20" s="501"/>
      <c r="L20" s="496"/>
      <c r="M20" s="501"/>
      <c r="O20" s="509"/>
    </row>
    <row r="21" spans="1:15" s="488" customFormat="1" ht="19.5" customHeight="1">
      <c r="A21" s="457"/>
      <c r="B21" s="501"/>
      <c r="C21" s="501"/>
      <c r="D21" s="501"/>
      <c r="E21" s="501"/>
      <c r="F21" s="501"/>
      <c r="G21" s="501"/>
      <c r="H21" s="501"/>
      <c r="I21" s="501"/>
      <c r="J21" s="501"/>
      <c r="K21" s="501"/>
      <c r="L21" s="501"/>
      <c r="M21" s="501"/>
      <c r="O21" s="509"/>
    </row>
  </sheetData>
  <sheetProtection/>
  <mergeCells count="14">
    <mergeCell ref="A1:M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rintOptions horizontalCentered="1"/>
  <pageMargins left="0.7874015748031497" right="0.7874015748031497" top="0.9842519685039371" bottom="0.7874015748031497" header="0.3937007874015748" footer="0.3937007874015748"/>
  <pageSetup firstPageNumber="33" useFirstPageNumber="1" horizontalDpi="2400" verticalDpi="24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I14"/>
  <sheetViews>
    <sheetView workbookViewId="0" topLeftCell="A1">
      <selection activeCell="K10" sqref="K10"/>
    </sheetView>
  </sheetViews>
  <sheetFormatPr defaultColWidth="9.00390625" defaultRowHeight="14.25"/>
  <cols>
    <col min="1" max="1" width="6.625" style="0" customWidth="1"/>
    <col min="2" max="9" width="13.625" style="0" customWidth="1"/>
  </cols>
  <sheetData>
    <row r="1" spans="1:9" ht="30" customHeight="1">
      <c r="A1" s="464" t="s">
        <v>167</v>
      </c>
      <c r="B1" s="464"/>
      <c r="C1" s="464"/>
      <c r="D1" s="464"/>
      <c r="E1" s="464"/>
      <c r="F1" s="464"/>
      <c r="G1" s="464"/>
      <c r="H1" s="464"/>
      <c r="I1" s="464"/>
    </row>
    <row r="2" spans="1:9" ht="9.75" customHeight="1">
      <c r="A2" s="464"/>
      <c r="B2" s="464"/>
      <c r="C2" s="464"/>
      <c r="D2" s="464"/>
      <c r="E2" s="465"/>
      <c r="F2" s="465"/>
      <c r="G2" s="465"/>
      <c r="H2" s="465"/>
      <c r="I2" s="464"/>
    </row>
    <row r="3" spans="1:9" s="463" customFormat="1" ht="24.75" customHeight="1">
      <c r="A3" s="466" t="s">
        <v>31</v>
      </c>
      <c r="B3" s="466" t="s">
        <v>168</v>
      </c>
      <c r="C3" s="466" t="s">
        <v>169</v>
      </c>
      <c r="D3" s="466" t="s">
        <v>170</v>
      </c>
      <c r="E3" s="467" t="s">
        <v>171</v>
      </c>
      <c r="F3" s="468"/>
      <c r="G3" s="468"/>
      <c r="H3" s="469"/>
      <c r="I3" s="466" t="s">
        <v>172</v>
      </c>
    </row>
    <row r="4" spans="1:9" s="463" customFormat="1" ht="24.75" customHeight="1">
      <c r="A4" s="470"/>
      <c r="B4" s="470"/>
      <c r="C4" s="470"/>
      <c r="D4" s="470"/>
      <c r="E4" s="471" t="s">
        <v>173</v>
      </c>
      <c r="F4" s="471" t="s">
        <v>174</v>
      </c>
      <c r="G4" s="471" t="s">
        <v>175</v>
      </c>
      <c r="H4" s="471" t="s">
        <v>176</v>
      </c>
      <c r="I4" s="470"/>
    </row>
    <row r="5" spans="1:9" s="440" customFormat="1" ht="30" customHeight="1">
      <c r="A5" s="472">
        <v>1</v>
      </c>
      <c r="B5" s="473" t="s">
        <v>177</v>
      </c>
      <c r="C5" s="473">
        <v>32.5</v>
      </c>
      <c r="D5" s="473">
        <v>4</v>
      </c>
      <c r="E5" s="474">
        <f>152*1.1*1.07*0.86</f>
        <v>153.85744000000003</v>
      </c>
      <c r="F5" s="475">
        <f>0.37*1.1*0.98</f>
        <v>0.39886000000000005</v>
      </c>
      <c r="G5" s="475">
        <f>1.05*1.06*0.98</f>
        <v>1.0907400000000003</v>
      </c>
      <c r="H5" s="476">
        <f>0.11*1.1*1.07</f>
        <v>0.12947000000000003</v>
      </c>
      <c r="I5" s="475">
        <f>E5*0.255+F5*70+G5*70+H5*'单价分析'!E17</f>
        <v>144.00799080000004</v>
      </c>
    </row>
    <row r="6" spans="1:9" s="440" customFormat="1" ht="30" customHeight="1">
      <c r="A6" s="453">
        <v>2</v>
      </c>
      <c r="B6" s="473" t="s">
        <v>178</v>
      </c>
      <c r="C6" s="477">
        <v>32.5</v>
      </c>
      <c r="D6" s="477">
        <v>4</v>
      </c>
      <c r="E6" s="478">
        <f>179*1.1*1.07*0.86</f>
        <v>181.18738000000002</v>
      </c>
      <c r="F6" s="479">
        <f>0.36*1.1*0.98</f>
        <v>0.38808000000000004</v>
      </c>
      <c r="G6" s="479">
        <f>1.06*1.06*0.98</f>
        <v>1.101128</v>
      </c>
      <c r="H6" s="480">
        <f>0.11*1.1*1.07</f>
        <v>0.12947000000000003</v>
      </c>
      <c r="I6" s="475">
        <f>E6*0.255+F6*70+G6*70+H6*'单价分析'!E17</f>
        <v>150.94968550000002</v>
      </c>
    </row>
    <row r="7" spans="1:9" s="440" customFormat="1" ht="30" customHeight="1">
      <c r="A7" s="472">
        <v>3</v>
      </c>
      <c r="B7" s="473" t="s">
        <v>178</v>
      </c>
      <c r="C7" s="477">
        <v>32.5</v>
      </c>
      <c r="D7" s="477">
        <v>2</v>
      </c>
      <c r="E7" s="478">
        <f>242*1.1*1.07*0.86</f>
        <v>244.95724000000004</v>
      </c>
      <c r="F7" s="479">
        <f>0.52*1.1*0.98</f>
        <v>0.5605600000000001</v>
      </c>
      <c r="G7" s="479">
        <f>0.81*1.06*0.98</f>
        <v>0.8414280000000002</v>
      </c>
      <c r="H7" s="480">
        <f>0.15*1.1*1.07</f>
        <v>0.17655</v>
      </c>
      <c r="I7" s="475">
        <f>E7*0.255+F7*70+G7*70+H7*'单价分析'!E17</f>
        <v>161.28827020000003</v>
      </c>
    </row>
    <row r="8" spans="1:9" s="440" customFormat="1" ht="30" customHeight="1">
      <c r="A8" s="453">
        <v>4</v>
      </c>
      <c r="B8" s="473" t="s">
        <v>179</v>
      </c>
      <c r="C8" s="477">
        <v>42.5</v>
      </c>
      <c r="D8" s="477">
        <v>2</v>
      </c>
      <c r="E8" s="478">
        <f>261*1.1*1.07</f>
        <v>307.19700000000006</v>
      </c>
      <c r="F8" s="479">
        <f>0.51*1.1*0.98</f>
        <v>0.54978</v>
      </c>
      <c r="G8" s="479">
        <f>0.81*1.06*0.98</f>
        <v>0.8414280000000002</v>
      </c>
      <c r="H8" s="480">
        <f>0.15*1.1*1.07</f>
        <v>0.17655</v>
      </c>
      <c r="I8" s="475">
        <f>E8*0.255+F8*70+G8*70+H8*'单价分析'!E17</f>
        <v>176.40480900000003</v>
      </c>
    </row>
    <row r="9" spans="1:9" s="440" customFormat="1" ht="30" customHeight="1">
      <c r="A9" s="472">
        <v>5</v>
      </c>
      <c r="B9" s="473" t="s">
        <v>180</v>
      </c>
      <c r="C9" s="477">
        <v>42.5</v>
      </c>
      <c r="D9" s="477">
        <v>2</v>
      </c>
      <c r="E9" s="478">
        <f>289*1.1*1.07</f>
        <v>340.1530000000001</v>
      </c>
      <c r="F9" s="479">
        <f>0.49*1.1*0.98</f>
        <v>0.52822</v>
      </c>
      <c r="G9" s="479">
        <f>0.81*1.06*0.98</f>
        <v>0.8414280000000002</v>
      </c>
      <c r="H9" s="480">
        <f>0.15*1.1*1.07</f>
        <v>0.17655</v>
      </c>
      <c r="I9" s="475">
        <f>E9*0.255+F9*70+G9*70+H9*'单价分析'!E17</f>
        <v>183.29938900000005</v>
      </c>
    </row>
    <row r="10" spans="1:9" s="440" customFormat="1" ht="30" customHeight="1">
      <c r="A10" s="453">
        <v>6</v>
      </c>
      <c r="B10" s="473" t="s">
        <v>181</v>
      </c>
      <c r="C10" s="477">
        <v>42.5</v>
      </c>
      <c r="D10" s="477">
        <v>2</v>
      </c>
      <c r="E10" s="481">
        <f>310*1.1*1.07</f>
        <v>364.87</v>
      </c>
      <c r="F10" s="479">
        <f>0.47*1.1*0.98</f>
        <v>0.50666</v>
      </c>
      <c r="G10" s="479">
        <f>0.81*1.06*0.98</f>
        <v>0.8414280000000002</v>
      </c>
      <c r="H10" s="480">
        <f>0.15*1.1*1.07</f>
        <v>0.17655</v>
      </c>
      <c r="I10" s="475">
        <f>E10*0.255+F10*70+G10*70+H10*'单价分析'!E17</f>
        <v>188.093024</v>
      </c>
    </row>
    <row r="11" spans="1:9" s="463" customFormat="1" ht="30" customHeight="1">
      <c r="A11" s="482" t="s">
        <v>31</v>
      </c>
      <c r="B11" s="483" t="s">
        <v>182</v>
      </c>
      <c r="C11" s="483" t="s">
        <v>183</v>
      </c>
      <c r="D11" s="483"/>
      <c r="E11" s="471" t="s">
        <v>173</v>
      </c>
      <c r="F11" s="484" t="s">
        <v>174</v>
      </c>
      <c r="G11" s="485"/>
      <c r="H11" s="471" t="s">
        <v>176</v>
      </c>
      <c r="I11" s="471" t="s">
        <v>172</v>
      </c>
    </row>
    <row r="12" spans="1:9" s="440" customFormat="1" ht="30" customHeight="1">
      <c r="A12" s="453">
        <v>1</v>
      </c>
      <c r="B12" s="477" t="s">
        <v>184</v>
      </c>
      <c r="C12" s="477" t="s">
        <v>185</v>
      </c>
      <c r="D12" s="477"/>
      <c r="E12" s="486">
        <f>211*0.86</f>
        <v>181.46</v>
      </c>
      <c r="F12" s="479">
        <f>1.13</f>
        <v>1.13</v>
      </c>
      <c r="G12" s="477"/>
      <c r="H12" s="480">
        <f>0.127</f>
        <v>0.127</v>
      </c>
      <c r="I12" s="479">
        <f>E12*0.255+F12*70+H12*'单价分析'!E17</f>
        <v>125.86506</v>
      </c>
    </row>
    <row r="13" spans="1:9" s="440" customFormat="1" ht="30" customHeight="1">
      <c r="A13" s="453">
        <v>2</v>
      </c>
      <c r="B13" s="477" t="s">
        <v>184</v>
      </c>
      <c r="C13" s="477" t="s">
        <v>186</v>
      </c>
      <c r="D13" s="477"/>
      <c r="E13" s="486">
        <f>261*0.86</f>
        <v>224.46</v>
      </c>
      <c r="F13" s="479">
        <f>1.11</f>
        <v>1.11</v>
      </c>
      <c r="G13" s="477"/>
      <c r="H13" s="480">
        <f>0.157</f>
        <v>0.157</v>
      </c>
      <c r="I13" s="479">
        <f>E13*0.255+F13*70+H13*'单价分析'!E17</f>
        <v>135.54646</v>
      </c>
    </row>
    <row r="14" spans="1:9" s="440" customFormat="1" ht="30" customHeight="1">
      <c r="A14" s="453">
        <v>3</v>
      </c>
      <c r="B14" s="477" t="s">
        <v>184</v>
      </c>
      <c r="C14" s="477" t="s">
        <v>187</v>
      </c>
      <c r="D14" s="477"/>
      <c r="E14" s="486">
        <f>305*0.86</f>
        <v>262.3</v>
      </c>
      <c r="F14" s="479">
        <f>1.1</f>
        <v>1.1</v>
      </c>
      <c r="G14" s="477"/>
      <c r="H14" s="480">
        <f>0.183</f>
        <v>0.183</v>
      </c>
      <c r="I14" s="479">
        <f>E14*0.255+F14*70+H14*'单价分析'!E17</f>
        <v>144.59654</v>
      </c>
    </row>
    <row r="15" ht="30" customHeight="1"/>
    <row r="16" ht="21.75" customHeight="1"/>
    <row r="17" ht="21.75" customHeight="1"/>
    <row r="18" ht="21.75" customHeight="1"/>
  </sheetData>
  <sheetProtection/>
  <mergeCells count="7">
    <mergeCell ref="A1:I1"/>
    <mergeCell ref="E3:H3"/>
    <mergeCell ref="A3:A4"/>
    <mergeCell ref="B3:B4"/>
    <mergeCell ref="C3:C4"/>
    <mergeCell ref="D3:D4"/>
    <mergeCell ref="I3:I4"/>
  </mergeCells>
  <printOptions horizontalCentered="1"/>
  <pageMargins left="0.7874015748031497" right="0.7874015748031497" top="0.9842519685039371" bottom="0.7874015748031497" header="0.3937007874015748" footer="0.3937007874015748"/>
  <pageSetup firstPageNumber="35" useFirstPageNumber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F77"/>
  <sheetViews>
    <sheetView workbookViewId="0" topLeftCell="A1">
      <selection activeCell="K14" sqref="K14"/>
    </sheetView>
  </sheetViews>
  <sheetFormatPr defaultColWidth="9.00390625" defaultRowHeight="14.25"/>
  <cols>
    <col min="1" max="1" width="8.625" style="0" customWidth="1"/>
    <col min="2" max="3" width="12.625" style="442" customWidth="1"/>
    <col min="4" max="6" width="14.625" style="0" customWidth="1"/>
  </cols>
  <sheetData>
    <row r="1" spans="1:6" ht="30" customHeight="1">
      <c r="A1" s="443" t="s">
        <v>188</v>
      </c>
      <c r="B1" s="443"/>
      <c r="C1" s="443"/>
      <c r="D1" s="443"/>
      <c r="E1" s="443"/>
      <c r="F1" s="443"/>
    </row>
    <row r="2" spans="1:6" ht="19.5" customHeight="1">
      <c r="A2" s="444" t="s">
        <v>189</v>
      </c>
      <c r="B2" s="444"/>
      <c r="C2" s="444"/>
      <c r="D2" s="444"/>
      <c r="E2" s="444"/>
      <c r="F2" s="444"/>
    </row>
    <row r="3" spans="1:6" s="439" customFormat="1" ht="19.5" customHeight="1">
      <c r="A3" s="445" t="s">
        <v>100</v>
      </c>
      <c r="B3" s="446" t="s">
        <v>190</v>
      </c>
      <c r="C3" s="447"/>
      <c r="D3" s="445" t="s">
        <v>191</v>
      </c>
      <c r="E3" s="448" t="s">
        <v>192</v>
      </c>
      <c r="F3" s="449"/>
    </row>
    <row r="4" spans="1:6" s="439" customFormat="1" ht="19.5" customHeight="1">
      <c r="A4" s="450"/>
      <c r="B4" s="451"/>
      <c r="C4" s="452"/>
      <c r="D4" s="450"/>
      <c r="E4" s="452" t="s">
        <v>193</v>
      </c>
      <c r="F4" s="452" t="s">
        <v>194</v>
      </c>
    </row>
    <row r="5" spans="1:6" s="440" customFormat="1" ht="18" customHeight="1">
      <c r="A5" s="453">
        <v>1002</v>
      </c>
      <c r="B5" s="454" t="s">
        <v>195</v>
      </c>
      <c r="C5" s="455"/>
      <c r="D5" s="456">
        <f aca="true" t="shared" si="0" ref="D5:D35">E5+F5</f>
        <v>118.94887754287994</v>
      </c>
      <c r="E5" s="456">
        <f>'机械台班'!C10</f>
        <v>54.62087754287994</v>
      </c>
      <c r="F5" s="456">
        <f>'机械台班'!C17</f>
        <v>64.328</v>
      </c>
    </row>
    <row r="6" spans="1:6" s="440" customFormat="1" ht="18" customHeight="1">
      <c r="A6" s="457">
        <v>1014</v>
      </c>
      <c r="B6" s="458" t="s">
        <v>196</v>
      </c>
      <c r="C6" s="459"/>
      <c r="D6" s="456">
        <f t="shared" si="0"/>
        <v>66.38225847626644</v>
      </c>
      <c r="E6" s="456">
        <f>'机械台班'!D10</f>
        <v>21.82625847626645</v>
      </c>
      <c r="F6" s="456">
        <f>'机械台班'!D17</f>
        <v>44.556</v>
      </c>
    </row>
    <row r="7" spans="1:6" s="440" customFormat="1" ht="18" customHeight="1">
      <c r="A7" s="453">
        <v>1015</v>
      </c>
      <c r="B7" s="454" t="s">
        <v>197</v>
      </c>
      <c r="C7" s="455"/>
      <c r="D7" s="456">
        <f t="shared" si="0"/>
        <v>89.44234463502194</v>
      </c>
      <c r="E7" s="456">
        <f>'机械台班'!E10</f>
        <v>38.30834463502194</v>
      </c>
      <c r="F7" s="456">
        <f>'机械台班'!E17</f>
        <v>51.134</v>
      </c>
    </row>
    <row r="8" spans="1:6" s="440" customFormat="1" ht="18" customHeight="1">
      <c r="A8" s="453">
        <v>1010</v>
      </c>
      <c r="B8" s="454" t="s">
        <v>198</v>
      </c>
      <c r="C8" s="455"/>
      <c r="D8" s="456">
        <f t="shared" si="0"/>
        <v>54.6627510969286</v>
      </c>
      <c r="E8" s="456">
        <f>'机械台班'!F10</f>
        <v>11.6017510969286</v>
      </c>
      <c r="F8" s="456">
        <f>'机械台班'!F17</f>
        <v>43.061</v>
      </c>
    </row>
    <row r="9" spans="1:6" s="440" customFormat="1" ht="18" customHeight="1">
      <c r="A9" s="453">
        <v>1021</v>
      </c>
      <c r="B9" s="454" t="s">
        <v>199</v>
      </c>
      <c r="C9" s="460"/>
      <c r="D9" s="456">
        <f t="shared" si="0"/>
        <v>15.912301954527322</v>
      </c>
      <c r="E9" s="456">
        <f>'机械台班'!I10</f>
        <v>2.7293019545273234</v>
      </c>
      <c r="F9" s="456">
        <f>'机械台班'!I17</f>
        <v>13.183</v>
      </c>
    </row>
    <row r="10" spans="1:6" s="440" customFormat="1" ht="18" customHeight="1">
      <c r="A10" s="453">
        <f>'机械台班'!J7</f>
        <v>1030</v>
      </c>
      <c r="B10" s="454" t="s">
        <v>200</v>
      </c>
      <c r="C10" s="460"/>
      <c r="D10" s="456">
        <f t="shared" si="0"/>
        <v>2.0768248903071402</v>
      </c>
      <c r="E10" s="456">
        <f>'机械台班'!J10</f>
        <v>2.0768248903071402</v>
      </c>
      <c r="F10" s="456"/>
    </row>
    <row r="11" spans="1:6" s="440" customFormat="1" ht="18" customHeight="1">
      <c r="A11" s="453">
        <f>'机械台班'!M7</f>
        <v>1094</v>
      </c>
      <c r="B11" s="454" t="str">
        <f>'机械台班'!M5</f>
        <v>刨毛机</v>
      </c>
      <c r="C11" s="460"/>
      <c r="D11" s="456">
        <f t="shared" si="0"/>
        <v>59.19804228161149</v>
      </c>
      <c r="E11" s="456">
        <f>'机械台班'!M10</f>
        <v>17.632042281611486</v>
      </c>
      <c r="F11" s="456">
        <f>'机械台班'!M17</f>
        <v>41.566</v>
      </c>
    </row>
    <row r="12" spans="1:6" s="440" customFormat="1" ht="18" customHeight="1">
      <c r="A12" s="453">
        <f>'机械台班'!N7</f>
        <v>1034</v>
      </c>
      <c r="B12" s="454" t="s">
        <v>201</v>
      </c>
      <c r="C12" s="460"/>
      <c r="D12" s="456">
        <f t="shared" si="0"/>
        <v>19.849431591543677</v>
      </c>
      <c r="E12" s="456">
        <f>'机械台班'!N10</f>
        <v>1.0744315915436777</v>
      </c>
      <c r="F12" s="456">
        <f>'机械台班'!N17</f>
        <v>18.775</v>
      </c>
    </row>
    <row r="13" spans="1:6" s="440" customFormat="1" ht="18" customHeight="1">
      <c r="A13" s="453">
        <f>'机械台班'!O7</f>
        <v>2002</v>
      </c>
      <c r="B13" s="454" t="s">
        <v>202</v>
      </c>
      <c r="C13" s="460"/>
      <c r="D13" s="456">
        <f t="shared" si="0"/>
        <v>28.217952134024728</v>
      </c>
      <c r="E13" s="456">
        <f>'机械台班'!O10</f>
        <v>8.829952134024731</v>
      </c>
      <c r="F13" s="456">
        <f>'机械台班'!O17</f>
        <v>19.387999999999998</v>
      </c>
    </row>
    <row r="14" spans="1:6" s="440" customFormat="1" ht="18" customHeight="1">
      <c r="A14" s="453">
        <v>2009</v>
      </c>
      <c r="B14" s="454" t="s">
        <v>203</v>
      </c>
      <c r="C14" s="460"/>
      <c r="D14" s="456">
        <f t="shared" si="0"/>
        <v>2.221526924611089</v>
      </c>
      <c r="E14" s="456">
        <f>'机械台班'!Q10</f>
        <v>1.3975269246110888</v>
      </c>
      <c r="F14" s="456">
        <f>'机械台班'!Q17</f>
        <v>0.8240000000000001</v>
      </c>
    </row>
    <row r="15" spans="1:6" s="440" customFormat="1" ht="18" customHeight="1">
      <c r="A15" s="453">
        <f>'机械台班'!R7</f>
        <v>2022</v>
      </c>
      <c r="B15" s="454" t="s">
        <v>204</v>
      </c>
      <c r="C15" s="460"/>
      <c r="D15" s="456">
        <f t="shared" si="0"/>
        <v>44.85201675309134</v>
      </c>
      <c r="E15" s="456">
        <f>'机械台班'!R10</f>
        <v>0.5940167530913443</v>
      </c>
      <c r="F15" s="456">
        <f>'机械台班'!R17</f>
        <v>44.257999999999996</v>
      </c>
    </row>
    <row r="16" spans="1:6" s="440" customFormat="1" ht="18" customHeight="1">
      <c r="A16" s="453">
        <f>'机械台班'!S7</f>
        <v>3002</v>
      </c>
      <c r="B16" s="454" t="s">
        <v>205</v>
      </c>
      <c r="C16" s="460"/>
      <c r="D16" s="456">
        <f t="shared" si="0"/>
        <v>49.389824491424015</v>
      </c>
      <c r="E16" s="456">
        <f>'机械台班'!S10</f>
        <v>16.719824491424014</v>
      </c>
      <c r="F16" s="456">
        <f>'机械台班'!S17</f>
        <v>32.67</v>
      </c>
    </row>
    <row r="17" spans="1:6" s="440" customFormat="1" ht="18" customHeight="1">
      <c r="A17" s="453">
        <f>'机械台班'!T7</f>
        <v>3003</v>
      </c>
      <c r="B17" s="454" t="s">
        <v>206</v>
      </c>
      <c r="C17" s="460"/>
      <c r="D17" s="456">
        <f t="shared" si="0"/>
        <v>74.45930873554049</v>
      </c>
      <c r="E17" s="456">
        <f>'机械台班'!T10</f>
        <v>37.318308735540484</v>
      </c>
      <c r="F17" s="456">
        <f>'机械台班'!T17</f>
        <v>37.141000000000005</v>
      </c>
    </row>
    <row r="18" spans="1:6" s="440" customFormat="1" ht="18" customHeight="1">
      <c r="A18" s="453">
        <v>3005</v>
      </c>
      <c r="B18" s="454" t="s">
        <v>207</v>
      </c>
      <c r="C18" s="460"/>
      <c r="D18" s="456">
        <f t="shared" si="0"/>
        <v>51.996040287195854</v>
      </c>
      <c r="E18" s="456">
        <f>'机械台班'!W10</f>
        <v>14.257040287195853</v>
      </c>
      <c r="F18" s="456">
        <f>'机械台班'!W17</f>
        <v>37.739</v>
      </c>
    </row>
    <row r="19" spans="1:6" s="440" customFormat="1" ht="18" customHeight="1">
      <c r="A19" s="453">
        <v>3006</v>
      </c>
      <c r="B19" s="454" t="s">
        <v>208</v>
      </c>
      <c r="C19" s="460"/>
      <c r="D19" s="456">
        <f t="shared" si="0"/>
        <v>73.10267092142001</v>
      </c>
      <c r="E19" s="456">
        <f>'机械台班'!X10</f>
        <v>32.07467092142002</v>
      </c>
      <c r="F19" s="456">
        <f>'机械台班'!X17</f>
        <v>41.028</v>
      </c>
    </row>
    <row r="20" spans="1:6" s="440" customFormat="1" ht="18" customHeight="1">
      <c r="A20" s="453">
        <f>'机械台班'!Y7</f>
        <v>3031</v>
      </c>
      <c r="B20" s="454" t="s">
        <v>209</v>
      </c>
      <c r="C20" s="460"/>
      <c r="D20" s="456">
        <f t="shared" si="0"/>
        <v>0.8132429198244914</v>
      </c>
      <c r="E20" s="456">
        <f>'机械台班'!Y10</f>
        <v>0.8132429198244914</v>
      </c>
      <c r="F20" s="456"/>
    </row>
    <row r="21" spans="1:6" s="440" customFormat="1" ht="18" customHeight="1">
      <c r="A21" s="453">
        <f>'机械台班'!AA7</f>
        <v>4004</v>
      </c>
      <c r="B21" s="454" t="s">
        <v>210</v>
      </c>
      <c r="C21" s="460"/>
      <c r="D21" s="456">
        <f t="shared" si="0"/>
        <v>114.24032588751496</v>
      </c>
      <c r="E21" s="456">
        <f>'机械台班'!AA10</f>
        <v>54.56932588751496</v>
      </c>
      <c r="F21" s="456">
        <f>'机械台班'!AA17</f>
        <v>59.67100000000001</v>
      </c>
    </row>
    <row r="22" spans="1:6" s="440" customFormat="1" ht="18" customHeight="1">
      <c r="A22" s="453">
        <f>'机械台班'!AB7</f>
        <v>4017</v>
      </c>
      <c r="B22" s="454" t="s">
        <v>211</v>
      </c>
      <c r="C22" s="460"/>
      <c r="D22" s="456">
        <f t="shared" si="0"/>
        <v>65.93751136816913</v>
      </c>
      <c r="E22" s="456">
        <f>'机械台班'!AB10</f>
        <v>23.47451136816913</v>
      </c>
      <c r="F22" s="456">
        <f>'机械台班'!AB17</f>
        <v>42.463</v>
      </c>
    </row>
    <row r="23" spans="1:6" s="440" customFormat="1" ht="18" customHeight="1">
      <c r="A23" s="453">
        <f>'机械台班'!AE7</f>
        <v>4018</v>
      </c>
      <c r="B23" s="454" t="s">
        <v>212</v>
      </c>
      <c r="C23" s="460"/>
      <c r="D23" s="456">
        <f t="shared" si="0"/>
        <v>90.22726725169525</v>
      </c>
      <c r="E23" s="456">
        <f>'机械台班'!AE10</f>
        <v>45.970267251695255</v>
      </c>
      <c r="F23" s="456">
        <f>'机械台班'!AE17</f>
        <v>44.257000000000005</v>
      </c>
    </row>
    <row r="24" spans="1:6" s="440" customFormat="1" ht="18" customHeight="1">
      <c r="A24" s="453">
        <f>'机械台班'!AH7</f>
        <v>4027</v>
      </c>
      <c r="B24" s="454" t="s">
        <v>213</v>
      </c>
      <c r="C24" s="460"/>
      <c r="D24" s="456">
        <f t="shared" si="0"/>
        <v>62.33427802153969</v>
      </c>
      <c r="E24" s="456">
        <f>'机械台班'!AH10</f>
        <v>22.62927802153969</v>
      </c>
      <c r="F24" s="456">
        <f>'机械台班'!AH17</f>
        <v>39.705</v>
      </c>
    </row>
    <row r="25" spans="1:6" s="440" customFormat="1" ht="18" customHeight="1">
      <c r="A25" s="453">
        <f>'机械台班'!AI7</f>
        <v>4030</v>
      </c>
      <c r="B25" s="454" t="s">
        <v>214</v>
      </c>
      <c r="C25" s="460"/>
      <c r="D25" s="456">
        <f t="shared" si="0"/>
        <v>82.71086996410051</v>
      </c>
      <c r="E25" s="456">
        <f>'机械台班'!AI10</f>
        <v>37.81786996410052</v>
      </c>
      <c r="F25" s="456">
        <f>'机械台班'!AI17</f>
        <v>44.893</v>
      </c>
    </row>
    <row r="26" spans="1:6" s="440" customFormat="1" ht="18" customHeight="1">
      <c r="A26" s="453">
        <f>'机械台班'!AL7</f>
        <v>4070</v>
      </c>
      <c r="B26" s="454" t="s">
        <v>215</v>
      </c>
      <c r="C26" s="460"/>
      <c r="D26" s="456">
        <f t="shared" si="0"/>
        <v>22.363828879138413</v>
      </c>
      <c r="E26" s="456">
        <f>'机械台班'!AL10</f>
        <v>3.6968288791384123</v>
      </c>
      <c r="F26" s="456">
        <f>'机械台班'!AL17</f>
        <v>18.667</v>
      </c>
    </row>
    <row r="27" spans="1:6" s="440" customFormat="1" ht="18" customHeight="1">
      <c r="A27" s="453">
        <f>'机械台班'!AQ7</f>
        <v>4116</v>
      </c>
      <c r="B27" s="454" t="s">
        <v>216</v>
      </c>
      <c r="C27" s="460"/>
      <c r="D27" s="456">
        <f t="shared" si="0"/>
        <v>86.9450482648584</v>
      </c>
      <c r="E27" s="456">
        <f>'机械台班'!AQ10</f>
        <v>24.657048264858396</v>
      </c>
      <c r="F27" s="456">
        <f>'机械台班'!AQ17</f>
        <v>62.288000000000004</v>
      </c>
    </row>
    <row r="28" spans="1:6" s="440" customFormat="1" ht="18" customHeight="1">
      <c r="A28" s="453">
        <f>'机械台班'!AP7</f>
        <v>4117</v>
      </c>
      <c r="B28" s="454" t="s">
        <v>217</v>
      </c>
      <c r="C28" s="460"/>
      <c r="D28" s="456">
        <f t="shared" si="0"/>
        <v>93.59727019487507</v>
      </c>
      <c r="E28" s="456">
        <f>'机械台班'!AP10</f>
        <v>25.850270194875065</v>
      </c>
      <c r="F28" s="456">
        <f>'机械台班'!AP17</f>
        <v>67.747</v>
      </c>
    </row>
    <row r="29" spans="1:6" s="440" customFormat="1" ht="18" customHeight="1">
      <c r="A29" s="453">
        <f>'机械台班'!AR7</f>
        <v>8005</v>
      </c>
      <c r="B29" s="454" t="s">
        <v>218</v>
      </c>
      <c r="C29" s="460"/>
      <c r="D29" s="456">
        <f t="shared" si="0"/>
        <v>28.88924411647387</v>
      </c>
      <c r="E29" s="456">
        <f>'机械台班'!AR10</f>
        <v>2.394244116473873</v>
      </c>
      <c r="F29" s="456">
        <f>'机械台班'!AR17</f>
        <v>26.494999999999997</v>
      </c>
    </row>
    <row r="30" spans="1:6" s="440" customFormat="1" ht="18" customHeight="1">
      <c r="A30" s="453">
        <f>'机械台班'!AS7</f>
        <v>8035</v>
      </c>
      <c r="B30" s="454" t="s">
        <v>219</v>
      </c>
      <c r="C30" s="460"/>
      <c r="D30" s="456">
        <f t="shared" si="0"/>
        <v>22.137850019944157</v>
      </c>
      <c r="E30" s="456">
        <f>'机械台班'!AS10</f>
        <v>1.5378500199441563</v>
      </c>
      <c r="F30" s="456">
        <f>'机械台班'!AS17</f>
        <v>20.6</v>
      </c>
    </row>
    <row r="31" spans="1:6" s="440" customFormat="1" ht="18" customHeight="1">
      <c r="A31" s="453">
        <f>'机械台班'!AT7</f>
        <v>8033</v>
      </c>
      <c r="B31" s="454" t="s">
        <v>220</v>
      </c>
      <c r="C31" s="460"/>
      <c r="D31" s="456">
        <f t="shared" si="0"/>
        <v>15.587185879537296</v>
      </c>
      <c r="E31" s="456">
        <f>'机械台班'!AT10</f>
        <v>0.6521858795372956</v>
      </c>
      <c r="F31" s="456">
        <f>'机械台班'!AT17</f>
        <v>14.935</v>
      </c>
    </row>
    <row r="32" spans="1:6" s="440" customFormat="1" ht="18" customHeight="1">
      <c r="A32" s="453">
        <f>'机械台班'!AX7</f>
        <v>8042</v>
      </c>
      <c r="B32" s="454" t="s">
        <v>221</v>
      </c>
      <c r="C32" s="460"/>
      <c r="D32" s="456">
        <f t="shared" si="0"/>
        <v>137.83093</v>
      </c>
      <c r="E32" s="456">
        <f>'机械台班'!AX10</f>
        <v>5.01</v>
      </c>
      <c r="F32" s="456">
        <f>'机械台班'!AX17</f>
        <v>132.82093</v>
      </c>
    </row>
    <row r="33" spans="1:6" s="440" customFormat="1" ht="18" customHeight="1">
      <c r="A33" s="453">
        <f>'机械台班'!AW7</f>
        <v>8044</v>
      </c>
      <c r="B33" s="454" t="s">
        <v>222</v>
      </c>
      <c r="C33" s="460"/>
      <c r="D33" s="456">
        <f t="shared" si="0"/>
        <v>18.74114479457519</v>
      </c>
      <c r="E33" s="456">
        <f>'机械台班'!AW10</f>
        <v>2.031144794575189</v>
      </c>
      <c r="F33" s="456">
        <f>'机械台班'!AW17</f>
        <v>16.71</v>
      </c>
    </row>
    <row r="34" spans="1:6" s="440" customFormat="1" ht="18" customHeight="1">
      <c r="A34" s="453">
        <f>'机械台班'!AV7</f>
        <v>8047</v>
      </c>
      <c r="B34" s="454" t="s">
        <v>223</v>
      </c>
      <c r="C34" s="460"/>
      <c r="D34" s="456">
        <f t="shared" si="0"/>
        <v>31.120894295971283</v>
      </c>
      <c r="E34" s="456">
        <f>'机械台班'!AV10</f>
        <v>2.8748942959712807</v>
      </c>
      <c r="F34" s="456">
        <f>'机械台班'!AV17</f>
        <v>28.246000000000002</v>
      </c>
    </row>
    <row r="35" spans="1:6" s="440" customFormat="1" ht="18" customHeight="1">
      <c r="A35" s="453">
        <f>'机械台班'!AU7</f>
        <v>8048</v>
      </c>
      <c r="B35" s="454" t="s">
        <v>224</v>
      </c>
      <c r="C35" s="460"/>
      <c r="D35" s="456">
        <f t="shared" si="0"/>
        <v>22.245194256082968</v>
      </c>
      <c r="E35" s="456">
        <f>'机械台班'!AU10</f>
        <v>4.299194256082968</v>
      </c>
      <c r="F35" s="456">
        <f>'机械台班'!AU17</f>
        <v>17.945999999999998</v>
      </c>
    </row>
    <row r="36" spans="1:6" s="441" customFormat="1" ht="18" customHeight="1">
      <c r="A36" s="355"/>
      <c r="B36" s="352"/>
      <c r="C36" s="461"/>
      <c r="D36" s="356"/>
      <c r="E36" s="356"/>
      <c r="F36" s="356"/>
    </row>
    <row r="37" spans="1:6" s="441" customFormat="1" ht="18" customHeight="1">
      <c r="A37" s="355"/>
      <c r="B37" s="352"/>
      <c r="C37" s="461"/>
      <c r="D37" s="356"/>
      <c r="E37" s="356"/>
      <c r="F37" s="356"/>
    </row>
    <row r="38" spans="1:6" ht="14.25">
      <c r="A38" s="462"/>
      <c r="B38" s="348"/>
      <c r="C38" s="348"/>
      <c r="D38" s="462"/>
      <c r="E38" s="462"/>
      <c r="F38" s="462"/>
    </row>
    <row r="39" spans="1:6" ht="14.25">
      <c r="A39" s="462"/>
      <c r="B39" s="348"/>
      <c r="C39" s="348"/>
      <c r="D39" s="462"/>
      <c r="E39" s="462"/>
      <c r="F39" s="462"/>
    </row>
    <row r="40" spans="1:6" ht="14.25">
      <c r="A40" s="462"/>
      <c r="B40" s="348"/>
      <c r="C40" s="348"/>
      <c r="D40" s="462"/>
      <c r="E40" s="462"/>
      <c r="F40" s="462"/>
    </row>
    <row r="41" spans="1:6" ht="14.25">
      <c r="A41" s="462"/>
      <c r="B41" s="348"/>
      <c r="C41" s="348"/>
      <c r="D41" s="462"/>
      <c r="E41" s="462"/>
      <c r="F41" s="462"/>
    </row>
    <row r="42" spans="1:6" ht="14.25">
      <c r="A42" s="462"/>
      <c r="B42" s="348"/>
      <c r="C42" s="348"/>
      <c r="D42" s="462"/>
      <c r="E42" s="462"/>
      <c r="F42" s="462"/>
    </row>
    <row r="43" spans="1:6" ht="14.25">
      <c r="A43" s="462"/>
      <c r="B43" s="348"/>
      <c r="C43" s="348"/>
      <c r="D43" s="462"/>
      <c r="E43" s="462"/>
      <c r="F43" s="462"/>
    </row>
    <row r="44" spans="1:6" ht="14.25">
      <c r="A44" s="462"/>
      <c r="B44" s="348"/>
      <c r="C44" s="348"/>
      <c r="D44" s="462"/>
      <c r="E44" s="462"/>
      <c r="F44" s="462"/>
    </row>
    <row r="45" spans="1:6" ht="14.25">
      <c r="A45" s="462"/>
      <c r="B45" s="348"/>
      <c r="C45" s="348"/>
      <c r="D45" s="462"/>
      <c r="E45" s="462"/>
      <c r="F45" s="462"/>
    </row>
    <row r="46" spans="1:6" ht="14.25">
      <c r="A46" s="462"/>
      <c r="B46" s="348"/>
      <c r="C46" s="348"/>
      <c r="D46" s="462"/>
      <c r="E46" s="462"/>
      <c r="F46" s="462"/>
    </row>
    <row r="47" spans="1:6" ht="14.25">
      <c r="A47" s="462"/>
      <c r="B47" s="348"/>
      <c r="C47" s="348"/>
      <c r="D47" s="462"/>
      <c r="E47" s="462"/>
      <c r="F47" s="462"/>
    </row>
    <row r="48" spans="1:6" ht="14.25">
      <c r="A48" s="462"/>
      <c r="B48" s="348"/>
      <c r="C48" s="348"/>
      <c r="D48" s="462"/>
      <c r="E48" s="462"/>
      <c r="F48" s="462"/>
    </row>
    <row r="49" spans="1:6" ht="14.25">
      <c r="A49" s="462"/>
      <c r="B49" s="348"/>
      <c r="C49" s="348"/>
      <c r="D49" s="462"/>
      <c r="E49" s="462"/>
      <c r="F49" s="462"/>
    </row>
    <row r="50" spans="1:6" ht="14.25">
      <c r="A50" s="462"/>
      <c r="B50" s="348"/>
      <c r="C50" s="348"/>
      <c r="D50" s="462"/>
      <c r="E50" s="462"/>
      <c r="F50" s="462"/>
    </row>
    <row r="51" spans="1:6" ht="14.25">
      <c r="A51" s="462"/>
      <c r="B51" s="348"/>
      <c r="C51" s="348"/>
      <c r="D51" s="462"/>
      <c r="E51" s="462"/>
      <c r="F51" s="462"/>
    </row>
    <row r="52" spans="1:6" ht="14.25">
      <c r="A52" s="462"/>
      <c r="B52" s="348"/>
      <c r="C52" s="348"/>
      <c r="D52" s="462"/>
      <c r="E52" s="462"/>
      <c r="F52" s="462"/>
    </row>
    <row r="53" spans="1:6" ht="14.25">
      <c r="A53" s="462"/>
      <c r="B53" s="348"/>
      <c r="C53" s="348"/>
      <c r="D53" s="462"/>
      <c r="E53" s="462"/>
      <c r="F53" s="462"/>
    </row>
    <row r="54" spans="1:6" ht="14.25">
      <c r="A54" s="462"/>
      <c r="B54" s="348"/>
      <c r="C54" s="348"/>
      <c r="D54" s="462"/>
      <c r="E54" s="462"/>
      <c r="F54" s="462"/>
    </row>
    <row r="55" spans="1:6" ht="14.25">
      <c r="A55" s="462"/>
      <c r="B55" s="348"/>
      <c r="C55" s="348"/>
      <c r="D55" s="462"/>
      <c r="E55" s="462"/>
      <c r="F55" s="462"/>
    </row>
    <row r="56" spans="1:6" ht="14.25">
      <c r="A56" s="462"/>
      <c r="B56" s="348"/>
      <c r="C56" s="348"/>
      <c r="D56" s="462"/>
      <c r="E56" s="462"/>
      <c r="F56" s="462"/>
    </row>
    <row r="57" spans="1:6" ht="14.25">
      <c r="A57" s="462"/>
      <c r="B57" s="348"/>
      <c r="C57" s="348"/>
      <c r="D57" s="462"/>
      <c r="E57" s="462"/>
      <c r="F57" s="462"/>
    </row>
    <row r="58" spans="1:6" ht="14.25">
      <c r="A58" s="462"/>
      <c r="B58" s="348"/>
      <c r="C58" s="348"/>
      <c r="D58" s="462"/>
      <c r="E58" s="462"/>
      <c r="F58" s="462"/>
    </row>
    <row r="59" spans="1:6" ht="14.25">
      <c r="A59" s="462"/>
      <c r="B59" s="348"/>
      <c r="C59" s="348"/>
      <c r="D59" s="462"/>
      <c r="E59" s="462"/>
      <c r="F59" s="462"/>
    </row>
    <row r="60" spans="1:6" ht="14.25">
      <c r="A60" s="462"/>
      <c r="B60" s="348"/>
      <c r="C60" s="348"/>
      <c r="D60" s="462"/>
      <c r="E60" s="462"/>
      <c r="F60" s="462"/>
    </row>
    <row r="61" spans="1:6" ht="14.25">
      <c r="A61" s="462"/>
      <c r="B61" s="348"/>
      <c r="C61" s="348"/>
      <c r="D61" s="462"/>
      <c r="E61" s="462"/>
      <c r="F61" s="462"/>
    </row>
    <row r="62" spans="1:6" ht="14.25">
      <c r="A62" s="462"/>
      <c r="B62" s="348"/>
      <c r="C62" s="348"/>
      <c r="D62" s="462"/>
      <c r="E62" s="462"/>
      <c r="F62" s="462"/>
    </row>
    <row r="63" spans="1:6" ht="14.25">
      <c r="A63" s="462"/>
      <c r="B63" s="348"/>
      <c r="C63" s="348"/>
      <c r="D63" s="462"/>
      <c r="E63" s="462"/>
      <c r="F63" s="462"/>
    </row>
    <row r="64" spans="1:6" ht="14.25">
      <c r="A64" s="462"/>
      <c r="B64" s="348"/>
      <c r="C64" s="348"/>
      <c r="D64" s="462"/>
      <c r="E64" s="462"/>
      <c r="F64" s="462"/>
    </row>
    <row r="65" spans="1:6" ht="14.25">
      <c r="A65" s="462"/>
      <c r="B65" s="348"/>
      <c r="C65" s="348"/>
      <c r="D65" s="462"/>
      <c r="E65" s="462"/>
      <c r="F65" s="462"/>
    </row>
    <row r="66" spans="1:6" ht="14.25">
      <c r="A66" s="462"/>
      <c r="B66" s="348"/>
      <c r="C66" s="348"/>
      <c r="D66" s="462"/>
      <c r="E66" s="462"/>
      <c r="F66" s="462"/>
    </row>
    <row r="67" spans="1:6" ht="14.25">
      <c r="A67" s="462"/>
      <c r="B67" s="348"/>
      <c r="C67" s="348"/>
      <c r="D67" s="462"/>
      <c r="E67" s="462"/>
      <c r="F67" s="462"/>
    </row>
    <row r="68" spans="1:6" ht="14.25">
      <c r="A68" s="462"/>
      <c r="B68" s="348"/>
      <c r="C68" s="348"/>
      <c r="D68" s="462"/>
      <c r="E68" s="462"/>
      <c r="F68" s="462"/>
    </row>
    <row r="69" spans="1:6" ht="14.25">
      <c r="A69" s="462"/>
      <c r="B69" s="348"/>
      <c r="C69" s="348"/>
      <c r="D69" s="462"/>
      <c r="E69" s="462"/>
      <c r="F69" s="462"/>
    </row>
    <row r="70" spans="1:6" ht="14.25">
      <c r="A70" s="462"/>
      <c r="B70" s="348"/>
      <c r="C70" s="348"/>
      <c r="D70" s="462"/>
      <c r="E70" s="462"/>
      <c r="F70" s="462"/>
    </row>
    <row r="71" spans="1:6" ht="14.25">
      <c r="A71" s="462"/>
      <c r="B71" s="348"/>
      <c r="C71" s="348"/>
      <c r="D71" s="462"/>
      <c r="E71" s="462"/>
      <c r="F71" s="462"/>
    </row>
    <row r="72" spans="1:6" ht="14.25">
      <c r="A72" s="462"/>
      <c r="B72" s="348"/>
      <c r="C72" s="348"/>
      <c r="D72" s="462"/>
      <c r="E72" s="462"/>
      <c r="F72" s="462"/>
    </row>
    <row r="73" spans="1:6" ht="14.25">
      <c r="A73" s="462"/>
      <c r="B73" s="348"/>
      <c r="C73" s="348"/>
      <c r="D73" s="462"/>
      <c r="E73" s="462"/>
      <c r="F73" s="462"/>
    </row>
    <row r="74" spans="1:6" ht="14.25">
      <c r="A74" s="462"/>
      <c r="B74" s="348"/>
      <c r="C74" s="348"/>
      <c r="D74" s="462"/>
      <c r="E74" s="462"/>
      <c r="F74" s="462"/>
    </row>
    <row r="75" spans="1:6" ht="14.25">
      <c r="A75" s="462"/>
      <c r="B75" s="348"/>
      <c r="C75" s="348"/>
      <c r="D75" s="462"/>
      <c r="E75" s="462"/>
      <c r="F75" s="462"/>
    </row>
    <row r="76" spans="1:6" ht="14.25">
      <c r="A76" s="462"/>
      <c r="B76" s="348"/>
      <c r="C76" s="348"/>
      <c r="D76" s="462"/>
      <c r="E76" s="462"/>
      <c r="F76" s="462"/>
    </row>
    <row r="77" spans="1:6" ht="14.25">
      <c r="A77" s="462"/>
      <c r="B77" s="348"/>
      <c r="C77" s="348"/>
      <c r="D77" s="462"/>
      <c r="E77" s="462"/>
      <c r="F77" s="462"/>
    </row>
  </sheetData>
  <sheetProtection/>
  <mergeCells count="39">
    <mergeCell ref="A1:F1"/>
    <mergeCell ref="A2:F2"/>
    <mergeCell ref="E3:F3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A3:A4"/>
    <mergeCell ref="D3:D4"/>
    <mergeCell ref="B3:C4"/>
  </mergeCells>
  <printOptions horizontalCentered="1"/>
  <pageMargins left="0.9842519685039371" right="0.7874015748031497" top="0.7874015748031497" bottom="0.7874015748031497" header="0.3937007874015748" footer="0.3937007874015748"/>
  <pageSetup firstPageNumber="34" useFirstPageNumber="1"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Z44"/>
  <sheetViews>
    <sheetView zoomScale="75" zoomScaleNormal="75" workbookViewId="0" topLeftCell="A1">
      <selection activeCell="L24" sqref="L24"/>
    </sheetView>
  </sheetViews>
  <sheetFormatPr defaultColWidth="9.00390625" defaultRowHeight="14.25"/>
  <cols>
    <col min="1" max="1" width="11.125" style="135" customWidth="1"/>
    <col min="2" max="2" width="8.50390625" style="135" customWidth="1"/>
    <col min="3" max="9" width="11.125" style="135" customWidth="1"/>
    <col min="10" max="10" width="13.125" style="135" customWidth="1"/>
    <col min="11" max="20" width="11.625" style="135" customWidth="1"/>
    <col min="21" max="21" width="16.50390625" style="135" customWidth="1"/>
    <col min="22" max="22" width="14.625" style="135" customWidth="1"/>
    <col min="23" max="28" width="13.125" style="135" customWidth="1"/>
    <col min="29" max="37" width="11.625" style="135" customWidth="1"/>
    <col min="38" max="38" width="12.125" style="135" customWidth="1"/>
    <col min="39" max="49" width="10.625" style="135" customWidth="1"/>
    <col min="50" max="51" width="7.625" style="135" hidden="1" customWidth="1"/>
    <col min="52" max="52" width="9.00390625" style="135" hidden="1" customWidth="1"/>
    <col min="53" max="16384" width="9.00390625" style="136" customWidth="1"/>
  </cols>
  <sheetData>
    <row r="1" spans="1:52" ht="14.25" customHeight="1">
      <c r="A1" s="414" t="s">
        <v>225</v>
      </c>
      <c r="B1" s="414"/>
      <c r="C1" s="414"/>
      <c r="D1" s="414"/>
      <c r="E1" s="414"/>
      <c r="F1" s="414"/>
      <c r="G1" s="414"/>
      <c r="H1" s="414"/>
      <c r="I1" s="414"/>
      <c r="J1" s="414"/>
      <c r="K1" s="414" t="s">
        <v>225</v>
      </c>
      <c r="L1" s="414"/>
      <c r="M1" s="414"/>
      <c r="N1" s="414"/>
      <c r="O1" s="414"/>
      <c r="P1" s="414"/>
      <c r="Q1" s="414"/>
      <c r="R1" s="414"/>
      <c r="S1" s="414"/>
      <c r="T1" s="414"/>
      <c r="U1" s="414" t="s">
        <v>225</v>
      </c>
      <c r="V1" s="414"/>
      <c r="W1" s="414"/>
      <c r="X1" s="414"/>
      <c r="Y1" s="414"/>
      <c r="Z1" s="414"/>
      <c r="AA1" s="414"/>
      <c r="AB1" s="414"/>
      <c r="AC1" s="414" t="s">
        <v>225</v>
      </c>
      <c r="AD1" s="414"/>
      <c r="AE1" s="414"/>
      <c r="AF1" s="414"/>
      <c r="AG1" s="414"/>
      <c r="AH1" s="414"/>
      <c r="AI1" s="414"/>
      <c r="AJ1" s="414"/>
      <c r="AK1" s="414"/>
      <c r="AL1" s="414"/>
      <c r="AM1" s="414" t="s">
        <v>225</v>
      </c>
      <c r="AN1" s="414"/>
      <c r="AO1" s="414"/>
      <c r="AP1" s="414"/>
      <c r="AQ1" s="414"/>
      <c r="AR1" s="414"/>
      <c r="AS1" s="414"/>
      <c r="AT1" s="414"/>
      <c r="AU1" s="414"/>
      <c r="AV1" s="414"/>
      <c r="AW1" s="414"/>
      <c r="AX1" s="414"/>
      <c r="AY1" s="414"/>
      <c r="AZ1" s="414"/>
    </row>
    <row r="2" spans="1:52" ht="20.25" customHeight="1">
      <c r="A2" s="414"/>
      <c r="B2" s="414"/>
      <c r="C2" s="414"/>
      <c r="D2" s="414"/>
      <c r="E2" s="414"/>
      <c r="F2" s="414"/>
      <c r="G2" s="414"/>
      <c r="H2" s="414"/>
      <c r="I2" s="414"/>
      <c r="J2" s="414"/>
      <c r="K2" s="414"/>
      <c r="L2" s="414"/>
      <c r="M2" s="414"/>
      <c r="N2" s="414"/>
      <c r="O2" s="414"/>
      <c r="P2" s="414"/>
      <c r="Q2" s="414"/>
      <c r="R2" s="414"/>
      <c r="S2" s="414"/>
      <c r="T2" s="414"/>
      <c r="U2" s="414"/>
      <c r="V2" s="414"/>
      <c r="W2" s="414"/>
      <c r="X2" s="414"/>
      <c r="Y2" s="414"/>
      <c r="Z2" s="414"/>
      <c r="AA2" s="414"/>
      <c r="AB2" s="414"/>
      <c r="AC2" s="414"/>
      <c r="AD2" s="414"/>
      <c r="AE2" s="414"/>
      <c r="AF2" s="414"/>
      <c r="AG2" s="414"/>
      <c r="AH2" s="414"/>
      <c r="AI2" s="414"/>
      <c r="AJ2" s="414"/>
      <c r="AK2" s="414"/>
      <c r="AL2" s="414"/>
      <c r="AM2" s="414"/>
      <c r="AN2" s="414"/>
      <c r="AO2" s="414"/>
      <c r="AP2" s="414"/>
      <c r="AQ2" s="414"/>
      <c r="AR2" s="414"/>
      <c r="AS2" s="414"/>
      <c r="AT2" s="414"/>
      <c r="AU2" s="414"/>
      <c r="AV2" s="414"/>
      <c r="AW2" s="414"/>
      <c r="AX2" s="414"/>
      <c r="AY2" s="414"/>
      <c r="AZ2" s="414"/>
    </row>
    <row r="3" spans="1:51" ht="14.25">
      <c r="A3" s="159"/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  <c r="AQ3" s="159"/>
      <c r="AR3" s="159"/>
      <c r="AS3" s="159"/>
      <c r="AT3" s="159"/>
      <c r="AU3" s="159"/>
      <c r="AV3" s="159"/>
      <c r="AW3" s="159"/>
      <c r="AX3" s="159"/>
      <c r="AY3" s="13"/>
    </row>
    <row r="4" spans="1:52" ht="30" customHeight="1">
      <c r="A4" s="415" t="s">
        <v>100</v>
      </c>
      <c r="B4" s="416"/>
      <c r="C4" s="416">
        <v>1</v>
      </c>
      <c r="D4" s="416">
        <f>C4+1</f>
        <v>2</v>
      </c>
      <c r="E4" s="416">
        <f>D4+1</f>
        <v>3</v>
      </c>
      <c r="F4" s="416">
        <f>E4+1</f>
        <v>4</v>
      </c>
      <c r="G4" s="416">
        <f>F4+1</f>
        <v>5</v>
      </c>
      <c r="H4" s="416">
        <v>6</v>
      </c>
      <c r="I4" s="416">
        <f>H4+1</f>
        <v>7</v>
      </c>
      <c r="J4" s="416">
        <v>8</v>
      </c>
      <c r="K4" s="415" t="s">
        <v>100</v>
      </c>
      <c r="L4" s="416"/>
      <c r="M4" s="416">
        <f>J4+1</f>
        <v>9</v>
      </c>
      <c r="N4" s="416">
        <v>10</v>
      </c>
      <c r="O4" s="416">
        <f>N4+1</f>
        <v>11</v>
      </c>
      <c r="P4" s="416">
        <f>O4+1</f>
        <v>12</v>
      </c>
      <c r="Q4" s="416">
        <v>13</v>
      </c>
      <c r="R4" s="416">
        <v>14</v>
      </c>
      <c r="S4" s="416">
        <v>15</v>
      </c>
      <c r="T4" s="416">
        <v>16</v>
      </c>
      <c r="U4" s="415" t="s">
        <v>100</v>
      </c>
      <c r="V4" s="416"/>
      <c r="W4" s="416">
        <v>17</v>
      </c>
      <c r="X4" s="416">
        <v>18</v>
      </c>
      <c r="Y4" s="416">
        <v>19</v>
      </c>
      <c r="Z4" s="416">
        <v>20</v>
      </c>
      <c r="AA4" s="416">
        <v>21</v>
      </c>
      <c r="AB4" s="416">
        <v>22</v>
      </c>
      <c r="AC4" s="415" t="s">
        <v>100</v>
      </c>
      <c r="AD4" s="416"/>
      <c r="AE4" s="416">
        <f>AB4+1</f>
        <v>23</v>
      </c>
      <c r="AF4" s="416">
        <f>AE4+1</f>
        <v>24</v>
      </c>
      <c r="AG4" s="416">
        <f>AF4+1</f>
        <v>25</v>
      </c>
      <c r="AH4" s="416">
        <f>AG4+1</f>
        <v>26</v>
      </c>
      <c r="AI4" s="416">
        <f>AH4+1</f>
        <v>27</v>
      </c>
      <c r="AJ4" s="416"/>
      <c r="AK4" s="416">
        <v>28</v>
      </c>
      <c r="AL4" s="416">
        <v>29</v>
      </c>
      <c r="AM4" s="415" t="s">
        <v>100</v>
      </c>
      <c r="AN4" s="416"/>
      <c r="AO4" s="416">
        <v>30</v>
      </c>
      <c r="AP4" s="416">
        <f aca="true" t="shared" si="0" ref="AP4:AV4">AO4+1</f>
        <v>31</v>
      </c>
      <c r="AQ4" s="416">
        <f t="shared" si="0"/>
        <v>32</v>
      </c>
      <c r="AR4" s="416">
        <v>33</v>
      </c>
      <c r="AS4" s="416">
        <f t="shared" si="0"/>
        <v>34</v>
      </c>
      <c r="AT4" s="416">
        <f t="shared" si="0"/>
        <v>35</v>
      </c>
      <c r="AU4" s="416">
        <f t="shared" si="0"/>
        <v>36</v>
      </c>
      <c r="AV4" s="416">
        <f t="shared" si="0"/>
        <v>37</v>
      </c>
      <c r="AW4" s="416">
        <v>38</v>
      </c>
      <c r="AX4" s="416">
        <f>AW4+1</f>
        <v>39</v>
      </c>
      <c r="AY4" s="416"/>
      <c r="AZ4" s="416">
        <f>AX4+1</f>
        <v>40</v>
      </c>
    </row>
    <row r="5" spans="1:52" ht="34.5" customHeight="1">
      <c r="A5" s="415" t="s">
        <v>226</v>
      </c>
      <c r="B5" s="416"/>
      <c r="C5" s="417" t="s">
        <v>227</v>
      </c>
      <c r="D5" s="417" t="s">
        <v>228</v>
      </c>
      <c r="E5" s="417" t="s">
        <v>228</v>
      </c>
      <c r="F5" s="418" t="s">
        <v>229</v>
      </c>
      <c r="G5" s="418" t="s">
        <v>229</v>
      </c>
      <c r="H5" s="418" t="s">
        <v>230</v>
      </c>
      <c r="I5" s="418" t="s">
        <v>231</v>
      </c>
      <c r="J5" s="417" t="s">
        <v>232</v>
      </c>
      <c r="K5" s="415" t="s">
        <v>226</v>
      </c>
      <c r="L5" s="416"/>
      <c r="M5" s="417" t="s">
        <v>233</v>
      </c>
      <c r="N5" s="418" t="s">
        <v>234</v>
      </c>
      <c r="O5" s="418" t="s">
        <v>235</v>
      </c>
      <c r="P5" s="417" t="s">
        <v>236</v>
      </c>
      <c r="Q5" s="417" t="s">
        <v>236</v>
      </c>
      <c r="R5" s="418" t="s">
        <v>237</v>
      </c>
      <c r="S5" s="418" t="s">
        <v>238</v>
      </c>
      <c r="T5" s="418" t="s">
        <v>238</v>
      </c>
      <c r="U5" s="415" t="s">
        <v>226</v>
      </c>
      <c r="V5" s="416"/>
      <c r="W5" s="418" t="s">
        <v>239</v>
      </c>
      <c r="X5" s="418" t="s">
        <v>239</v>
      </c>
      <c r="Y5" s="418" t="s">
        <v>240</v>
      </c>
      <c r="Z5" s="418" t="s">
        <v>241</v>
      </c>
      <c r="AA5" s="418" t="s">
        <v>242</v>
      </c>
      <c r="AB5" s="418" t="s">
        <v>243</v>
      </c>
      <c r="AC5" s="415" t="s">
        <v>226</v>
      </c>
      <c r="AD5" s="416"/>
      <c r="AE5" s="418" t="s">
        <v>243</v>
      </c>
      <c r="AF5" s="418" t="s">
        <v>243</v>
      </c>
      <c r="AG5" s="418" t="s">
        <v>243</v>
      </c>
      <c r="AH5" s="418" t="s">
        <v>244</v>
      </c>
      <c r="AI5" s="418" t="s">
        <v>245</v>
      </c>
      <c r="AJ5" s="418" t="s">
        <v>245</v>
      </c>
      <c r="AK5" s="418" t="s">
        <v>246</v>
      </c>
      <c r="AL5" s="417" t="s">
        <v>247</v>
      </c>
      <c r="AM5" s="415" t="s">
        <v>226</v>
      </c>
      <c r="AN5" s="416"/>
      <c r="AO5" s="417" t="s">
        <v>247</v>
      </c>
      <c r="AP5" s="418" t="s">
        <v>248</v>
      </c>
      <c r="AQ5" s="418" t="s">
        <v>248</v>
      </c>
      <c r="AR5" s="418" t="s">
        <v>249</v>
      </c>
      <c r="AS5" s="418" t="s">
        <v>250</v>
      </c>
      <c r="AT5" s="418" t="s">
        <v>250</v>
      </c>
      <c r="AU5" s="418" t="s">
        <v>251</v>
      </c>
      <c r="AV5" s="418" t="s">
        <v>252</v>
      </c>
      <c r="AW5" s="418" t="s">
        <v>253</v>
      </c>
      <c r="AX5" s="418" t="s">
        <v>254</v>
      </c>
      <c r="AY5" s="418" t="s">
        <v>255</v>
      </c>
      <c r="AZ5" s="437" t="s">
        <v>253</v>
      </c>
    </row>
    <row r="6" spans="1:52" ht="24.75" customHeight="1">
      <c r="A6" s="415" t="s">
        <v>256</v>
      </c>
      <c r="B6" s="416"/>
      <c r="C6" s="417" t="s">
        <v>257</v>
      </c>
      <c r="D6" s="417" t="s">
        <v>258</v>
      </c>
      <c r="E6" s="417" t="s">
        <v>259</v>
      </c>
      <c r="F6" s="417" t="s">
        <v>258</v>
      </c>
      <c r="G6" s="417" t="s">
        <v>259</v>
      </c>
      <c r="H6" s="417" t="s">
        <v>260</v>
      </c>
      <c r="I6" s="417" t="s">
        <v>261</v>
      </c>
      <c r="J6" s="417" t="s">
        <v>262</v>
      </c>
      <c r="K6" s="415" t="s">
        <v>256</v>
      </c>
      <c r="L6" s="416"/>
      <c r="M6" s="417"/>
      <c r="N6" s="417" t="s">
        <v>263</v>
      </c>
      <c r="O6" s="417" t="s">
        <v>264</v>
      </c>
      <c r="P6" s="417" t="s">
        <v>265</v>
      </c>
      <c r="Q6" s="417" t="s">
        <v>266</v>
      </c>
      <c r="R6" s="417" t="s">
        <v>267</v>
      </c>
      <c r="S6" s="417" t="s">
        <v>268</v>
      </c>
      <c r="T6" s="417" t="s">
        <v>269</v>
      </c>
      <c r="U6" s="415" t="s">
        <v>256</v>
      </c>
      <c r="V6" s="416"/>
      <c r="W6" s="417" t="s">
        <v>268</v>
      </c>
      <c r="X6" s="417" t="s">
        <v>270</v>
      </c>
      <c r="Y6" s="417"/>
      <c r="Z6" s="418" t="s">
        <v>271</v>
      </c>
      <c r="AA6" s="417" t="s">
        <v>272</v>
      </c>
      <c r="AB6" s="417" t="s">
        <v>268</v>
      </c>
      <c r="AC6" s="415" t="s">
        <v>256</v>
      </c>
      <c r="AD6" s="416"/>
      <c r="AE6" s="417" t="s">
        <v>272</v>
      </c>
      <c r="AF6" s="417" t="s">
        <v>273</v>
      </c>
      <c r="AG6" s="417" t="s">
        <v>274</v>
      </c>
      <c r="AH6" s="417" t="s">
        <v>268</v>
      </c>
      <c r="AI6" s="417" t="s">
        <v>272</v>
      </c>
      <c r="AJ6" s="417" t="s">
        <v>275</v>
      </c>
      <c r="AK6" s="417" t="s">
        <v>276</v>
      </c>
      <c r="AL6" s="417" t="s">
        <v>268</v>
      </c>
      <c r="AM6" s="415" t="s">
        <v>256</v>
      </c>
      <c r="AN6" s="416"/>
      <c r="AO6" s="417" t="s">
        <v>277</v>
      </c>
      <c r="AP6" s="417" t="s">
        <v>278</v>
      </c>
      <c r="AQ6" s="417" t="s">
        <v>279</v>
      </c>
      <c r="AR6" s="418" t="s">
        <v>280</v>
      </c>
      <c r="AS6" s="418" t="s">
        <v>281</v>
      </c>
      <c r="AT6" s="418" t="s">
        <v>282</v>
      </c>
      <c r="AU6" s="417" t="s">
        <v>283</v>
      </c>
      <c r="AV6" s="417" t="s">
        <v>284</v>
      </c>
      <c r="AW6" s="417" t="s">
        <v>285</v>
      </c>
      <c r="AX6" s="418" t="s">
        <v>286</v>
      </c>
      <c r="AY6" s="418"/>
      <c r="AZ6" s="438"/>
    </row>
    <row r="7" spans="1:52" ht="15.75" customHeight="1">
      <c r="A7" s="415" t="s">
        <v>287</v>
      </c>
      <c r="B7" s="416"/>
      <c r="C7" s="417">
        <v>1002</v>
      </c>
      <c r="D7" s="417">
        <v>1014</v>
      </c>
      <c r="E7" s="417">
        <v>1015</v>
      </c>
      <c r="F7" s="417">
        <v>1010</v>
      </c>
      <c r="G7" s="417">
        <v>1021</v>
      </c>
      <c r="H7" s="417">
        <v>1033</v>
      </c>
      <c r="I7" s="417">
        <v>1066</v>
      </c>
      <c r="J7" s="417">
        <v>1030</v>
      </c>
      <c r="K7" s="415" t="s">
        <v>287</v>
      </c>
      <c r="L7" s="416"/>
      <c r="M7" s="417">
        <v>1094</v>
      </c>
      <c r="N7" s="417">
        <v>1034</v>
      </c>
      <c r="O7" s="417">
        <v>2002</v>
      </c>
      <c r="P7" s="417">
        <v>2011</v>
      </c>
      <c r="Q7" s="417">
        <v>2009</v>
      </c>
      <c r="R7" s="417">
        <v>2022</v>
      </c>
      <c r="S7" s="417">
        <v>3002</v>
      </c>
      <c r="T7" s="417">
        <v>3003</v>
      </c>
      <c r="U7" s="415" t="s">
        <v>287</v>
      </c>
      <c r="V7" s="416"/>
      <c r="W7" s="417">
        <v>3005</v>
      </c>
      <c r="X7" s="417">
        <v>3006</v>
      </c>
      <c r="Y7" s="417">
        <v>3031</v>
      </c>
      <c r="Z7" s="417">
        <v>4007</v>
      </c>
      <c r="AA7" s="417">
        <v>4004</v>
      </c>
      <c r="AB7" s="417">
        <v>4017</v>
      </c>
      <c r="AC7" s="415" t="s">
        <v>287</v>
      </c>
      <c r="AD7" s="416"/>
      <c r="AE7" s="417">
        <v>4018</v>
      </c>
      <c r="AF7" s="417">
        <v>4019</v>
      </c>
      <c r="AG7" s="417">
        <v>4020</v>
      </c>
      <c r="AH7" s="417">
        <v>4027</v>
      </c>
      <c r="AI7" s="417">
        <v>4030</v>
      </c>
      <c r="AJ7" s="417">
        <v>4031</v>
      </c>
      <c r="AK7" s="417">
        <v>4048</v>
      </c>
      <c r="AL7" s="417">
        <v>4070</v>
      </c>
      <c r="AM7" s="415" t="s">
        <v>287</v>
      </c>
      <c r="AN7" s="416"/>
      <c r="AO7" s="417">
        <v>4069</v>
      </c>
      <c r="AP7" s="417">
        <v>4117</v>
      </c>
      <c r="AQ7" s="417">
        <v>4116</v>
      </c>
      <c r="AR7" s="417">
        <v>8005</v>
      </c>
      <c r="AS7" s="417">
        <v>8035</v>
      </c>
      <c r="AT7" s="417">
        <v>8033</v>
      </c>
      <c r="AU7" s="417">
        <v>8048</v>
      </c>
      <c r="AV7" s="417">
        <v>8047</v>
      </c>
      <c r="AW7" s="417">
        <v>8044</v>
      </c>
      <c r="AX7" s="417">
        <v>8042</v>
      </c>
      <c r="AY7" s="417">
        <v>6004</v>
      </c>
      <c r="AZ7" s="417">
        <v>8044</v>
      </c>
    </row>
    <row r="8" spans="1:52" ht="18.75" customHeight="1">
      <c r="A8" s="419" t="s">
        <v>288</v>
      </c>
      <c r="B8" s="417" t="s">
        <v>289</v>
      </c>
      <c r="C8" s="420">
        <f>28.77/1.15+29.63/1.09+2.42</f>
        <v>54.62087754287994</v>
      </c>
      <c r="D8" s="420">
        <f>10.8/1.15+13.02/1.09+0.49</f>
        <v>21.82625847626645</v>
      </c>
      <c r="E8" s="420">
        <f>19/1.15+22.81/1.09+0.86</f>
        <v>38.30834463502194</v>
      </c>
      <c r="F8" s="417">
        <f>5.7/1.15+6.84/1.09+0.37</f>
        <v>11.6017510969286</v>
      </c>
      <c r="G8" s="420">
        <f>9.65/1.15+11.38/1.09+0.54</f>
        <v>19.37167132030315</v>
      </c>
      <c r="H8" s="420">
        <f>10.12/1.15+17.28/1.09</f>
        <v>24.653211009174314</v>
      </c>
      <c r="I8" s="434">
        <f>0.81/1.15+2.12/1.09+0.08</f>
        <v>2.7293019545273234</v>
      </c>
      <c r="J8" s="420">
        <f>1.27/1.15+1.06/1.09</f>
        <v>2.0768248903071402</v>
      </c>
      <c r="K8" s="419" t="s">
        <v>288</v>
      </c>
      <c r="L8" s="417" t="s">
        <v>289</v>
      </c>
      <c r="M8" s="420">
        <f>8.36/1.15+10.87/1.09+0.39</f>
        <v>17.632042281611486</v>
      </c>
      <c r="N8" s="420">
        <f>0.17/1.15+1.01/1.09</f>
        <v>1.0744315915436777</v>
      </c>
      <c r="O8" s="434">
        <f>3.29/1.15+5.34/1.09+1.07</f>
        <v>8.829952134024731</v>
      </c>
      <c r="P8" s="435">
        <f>0.54/1.15+1.86/1.09</f>
        <v>2.175987235739928</v>
      </c>
      <c r="Q8" s="435">
        <f>0.32/1.15+1.22/1.09</f>
        <v>1.3975269246110888</v>
      </c>
      <c r="R8" s="435">
        <f>0.24/1.15+0.42/1.09</f>
        <v>0.5940167530913443</v>
      </c>
      <c r="S8" s="435">
        <f>7.77/1.15+10.86/1.09</f>
        <v>16.719824491424014</v>
      </c>
      <c r="T8" s="435">
        <f>20.95/1.15+20.82/1.09</f>
        <v>37.318308735540484</v>
      </c>
      <c r="U8" s="419" t="s">
        <v>288</v>
      </c>
      <c r="V8" s="417" t="s">
        <v>289</v>
      </c>
      <c r="W8" s="435">
        <f>10.73/1.15+5.37/1.09</f>
        <v>14.257040287195853</v>
      </c>
      <c r="X8" s="435">
        <f>22.59/1.15+13.55/1.09</f>
        <v>32.07467092142002</v>
      </c>
      <c r="Y8" s="435">
        <f>0.26/1.15+0.64/1.09</f>
        <v>0.8132429198244914</v>
      </c>
      <c r="Z8" s="435">
        <f>102.67/1.15+33.87/1.09</f>
        <v>120.35165536497807</v>
      </c>
      <c r="AA8" s="435">
        <f>41.37/1.15+16.89/1.09+3.1</f>
        <v>54.56932588751496</v>
      </c>
      <c r="AB8" s="435">
        <f>16.23/1.15+9.55/1.09+0.6</f>
        <v>23.47451136816913</v>
      </c>
      <c r="AC8" s="419" t="s">
        <v>288</v>
      </c>
      <c r="AD8" s="417" t="s">
        <v>289</v>
      </c>
      <c r="AE8" s="435">
        <f>31.79/1.15+18.69/1.09+1.18</f>
        <v>45.970267251695255</v>
      </c>
      <c r="AF8" s="435">
        <f>37.88/1.15+22.29/1.09+1.41</f>
        <v>54.798671719186274</v>
      </c>
      <c r="AG8" s="435">
        <f>45.92/1.15+22.9/1.09+1.46</f>
        <v>62.3996090945353</v>
      </c>
      <c r="AH8" s="435">
        <f>12.92/1.15+12.42/1.09</f>
        <v>22.62927802153969</v>
      </c>
      <c r="AI8" s="435">
        <f>25.08/1.15+17.45/1.09</f>
        <v>37.81786996410052</v>
      </c>
      <c r="AJ8" s="435">
        <f>37.62/1.15+26.17/1.09</f>
        <v>56.72221779018748</v>
      </c>
      <c r="AK8" s="435">
        <f>4.71/1.15+8.59/1.09</f>
        <v>11.976386118867172</v>
      </c>
      <c r="AL8" s="435">
        <f>2.97/1.15+1.16/1.09+0.05</f>
        <v>3.6968288791384123</v>
      </c>
      <c r="AM8" s="419" t="s">
        <v>288</v>
      </c>
      <c r="AN8" s="417" t="s">
        <v>289</v>
      </c>
      <c r="AO8" s="435">
        <f>1.75/1.15+0.68/1.09+0.03</f>
        <v>2.175592341443957</v>
      </c>
      <c r="AP8" s="435">
        <f>13.62/1.15+9.27/1.091+5.51</f>
        <v>25.850270194875065</v>
      </c>
      <c r="AQ8" s="435">
        <f>12.98/1.15+8.84/1.09+5.26</f>
        <v>24.657048264858396</v>
      </c>
      <c r="AR8" s="435">
        <f>0.31/1.15+1.76/1.09+0.51</f>
        <v>2.394244116473873</v>
      </c>
      <c r="AS8" s="435">
        <f>0.94/1.15+0.6/1.09+0.17</f>
        <v>1.5378500199441563</v>
      </c>
      <c r="AT8" s="435">
        <f>0.33/1.15+0.3/1.09+0.09</f>
        <v>0.6521858795372956</v>
      </c>
      <c r="AU8" s="435">
        <f>1.6/1.15+2.69/1.09+0.44</f>
        <v>4.299194256082968</v>
      </c>
      <c r="AV8" s="435">
        <f>1.18/1.15+1.71/1.09+0.28</f>
        <v>2.8748942959712807</v>
      </c>
      <c r="AW8" s="435">
        <f>0.53/1.15+1.45/1.09+0.24</f>
        <v>2.031144794575189</v>
      </c>
      <c r="AX8" s="435">
        <v>5.01</v>
      </c>
      <c r="AY8" s="420">
        <v>102.01</v>
      </c>
      <c r="AZ8" s="420">
        <v>2.22</v>
      </c>
    </row>
    <row r="9" spans="1:52" ht="18.75" customHeight="1">
      <c r="A9" s="421"/>
      <c r="B9" s="417" t="s">
        <v>290</v>
      </c>
      <c r="C9" s="420">
        <v>1</v>
      </c>
      <c r="D9" s="420">
        <f>C9</f>
        <v>1</v>
      </c>
      <c r="E9" s="420">
        <f>D9</f>
        <v>1</v>
      </c>
      <c r="F9" s="420">
        <f>E9</f>
        <v>1</v>
      </c>
      <c r="G9" s="420">
        <f>F9</f>
        <v>1</v>
      </c>
      <c r="H9" s="420">
        <f>C9</f>
        <v>1</v>
      </c>
      <c r="I9" s="420">
        <f>G9</f>
        <v>1</v>
      </c>
      <c r="J9" s="420">
        <f aca="true" t="shared" si="1" ref="J9:P9">I9</f>
        <v>1</v>
      </c>
      <c r="K9" s="421"/>
      <c r="L9" s="417" t="s">
        <v>290</v>
      </c>
      <c r="M9" s="420">
        <f>J9</f>
        <v>1</v>
      </c>
      <c r="N9" s="420">
        <f t="shared" si="1"/>
        <v>1</v>
      </c>
      <c r="O9" s="420">
        <f t="shared" si="1"/>
        <v>1</v>
      </c>
      <c r="P9" s="435">
        <f t="shared" si="1"/>
        <v>1</v>
      </c>
      <c r="Q9" s="435">
        <v>1</v>
      </c>
      <c r="R9" s="435">
        <f>P9</f>
        <v>1</v>
      </c>
      <c r="S9" s="435">
        <f aca="true" t="shared" si="2" ref="S9:AB9">R9</f>
        <v>1</v>
      </c>
      <c r="T9" s="435">
        <f t="shared" si="2"/>
        <v>1</v>
      </c>
      <c r="U9" s="421"/>
      <c r="V9" s="417" t="s">
        <v>290</v>
      </c>
      <c r="W9" s="435">
        <f>T9</f>
        <v>1</v>
      </c>
      <c r="X9" s="435">
        <f t="shared" si="2"/>
        <v>1</v>
      </c>
      <c r="Y9" s="435">
        <f t="shared" si="2"/>
        <v>1</v>
      </c>
      <c r="Z9" s="435">
        <f t="shared" si="2"/>
        <v>1</v>
      </c>
      <c r="AA9" s="435">
        <f t="shared" si="2"/>
        <v>1</v>
      </c>
      <c r="AB9" s="435">
        <f t="shared" si="2"/>
        <v>1</v>
      </c>
      <c r="AC9" s="421"/>
      <c r="AD9" s="417" t="s">
        <v>290</v>
      </c>
      <c r="AE9" s="435">
        <f>AB9</f>
        <v>1</v>
      </c>
      <c r="AF9" s="435">
        <f>AE9</f>
        <v>1</v>
      </c>
      <c r="AG9" s="435">
        <f>AF9</f>
        <v>1</v>
      </c>
      <c r="AH9" s="435">
        <f>AG9</f>
        <v>1</v>
      </c>
      <c r="AI9" s="435">
        <f>AH9</f>
        <v>1</v>
      </c>
      <c r="AJ9" s="435">
        <f>AE9</f>
        <v>1</v>
      </c>
      <c r="AK9" s="435">
        <f>AE9</f>
        <v>1</v>
      </c>
      <c r="AL9" s="435">
        <f>AI9</f>
        <v>1</v>
      </c>
      <c r="AM9" s="421"/>
      <c r="AN9" s="417" t="s">
        <v>290</v>
      </c>
      <c r="AO9" s="435">
        <f>AL9</f>
        <v>1</v>
      </c>
      <c r="AP9" s="435">
        <f>AL9</f>
        <v>1</v>
      </c>
      <c r="AQ9" s="435">
        <f aca="true" t="shared" si="3" ref="AQ9:AX9">AP9</f>
        <v>1</v>
      </c>
      <c r="AR9" s="435">
        <f t="shared" si="3"/>
        <v>1</v>
      </c>
      <c r="AS9" s="435">
        <f t="shared" si="3"/>
        <v>1</v>
      </c>
      <c r="AT9" s="435">
        <f t="shared" si="3"/>
        <v>1</v>
      </c>
      <c r="AU9" s="435">
        <f t="shared" si="3"/>
        <v>1</v>
      </c>
      <c r="AV9" s="435">
        <f t="shared" si="3"/>
        <v>1</v>
      </c>
      <c r="AW9" s="435">
        <f t="shared" si="3"/>
        <v>1</v>
      </c>
      <c r="AX9" s="435">
        <f t="shared" si="3"/>
        <v>1</v>
      </c>
      <c r="AY9" s="420">
        <v>1</v>
      </c>
      <c r="AZ9" s="438">
        <v>1</v>
      </c>
    </row>
    <row r="10" spans="1:52" ht="18.75" customHeight="1">
      <c r="A10" s="422"/>
      <c r="B10" s="417" t="s">
        <v>291</v>
      </c>
      <c r="C10" s="420">
        <f>C9*C8</f>
        <v>54.62087754287994</v>
      </c>
      <c r="D10" s="420">
        <f>D9*D8</f>
        <v>21.82625847626645</v>
      </c>
      <c r="E10" s="420">
        <f>E9*E8</f>
        <v>38.30834463502194</v>
      </c>
      <c r="F10" s="420">
        <f>F9*F8</f>
        <v>11.6017510969286</v>
      </c>
      <c r="G10" s="420">
        <f>G9*G8</f>
        <v>19.37167132030315</v>
      </c>
      <c r="H10" s="420">
        <f>H8*H9</f>
        <v>24.653211009174314</v>
      </c>
      <c r="I10" s="420">
        <f>I9*I8</f>
        <v>2.7293019545273234</v>
      </c>
      <c r="J10" s="420">
        <f>J9*J8</f>
        <v>2.0768248903071402</v>
      </c>
      <c r="K10" s="422"/>
      <c r="L10" s="417" t="s">
        <v>291</v>
      </c>
      <c r="M10" s="420">
        <f>M9*M8</f>
        <v>17.632042281611486</v>
      </c>
      <c r="N10" s="420">
        <f aca="true" t="shared" si="4" ref="N10:T10">N9*N8</f>
        <v>1.0744315915436777</v>
      </c>
      <c r="O10" s="420">
        <f t="shared" si="4"/>
        <v>8.829952134024731</v>
      </c>
      <c r="P10" s="435">
        <f t="shared" si="4"/>
        <v>2.175987235739928</v>
      </c>
      <c r="Q10" s="435">
        <f t="shared" si="4"/>
        <v>1.3975269246110888</v>
      </c>
      <c r="R10" s="435">
        <f t="shared" si="4"/>
        <v>0.5940167530913443</v>
      </c>
      <c r="S10" s="435">
        <f t="shared" si="4"/>
        <v>16.719824491424014</v>
      </c>
      <c r="T10" s="435">
        <f t="shared" si="4"/>
        <v>37.318308735540484</v>
      </c>
      <c r="U10" s="422"/>
      <c r="V10" s="417" t="s">
        <v>291</v>
      </c>
      <c r="W10" s="435">
        <f aca="true" t="shared" si="5" ref="W10:AB10">W9*W8</f>
        <v>14.257040287195853</v>
      </c>
      <c r="X10" s="435">
        <f t="shared" si="5"/>
        <v>32.07467092142002</v>
      </c>
      <c r="Y10" s="435">
        <f t="shared" si="5"/>
        <v>0.8132429198244914</v>
      </c>
      <c r="Z10" s="435">
        <f t="shared" si="5"/>
        <v>120.35165536497807</v>
      </c>
      <c r="AA10" s="435">
        <f t="shared" si="5"/>
        <v>54.56932588751496</v>
      </c>
      <c r="AB10" s="435">
        <f t="shared" si="5"/>
        <v>23.47451136816913</v>
      </c>
      <c r="AC10" s="422"/>
      <c r="AD10" s="417" t="s">
        <v>291</v>
      </c>
      <c r="AE10" s="435">
        <f aca="true" t="shared" si="6" ref="AE10:AL10">AE9*AE8</f>
        <v>45.970267251695255</v>
      </c>
      <c r="AF10" s="435">
        <f t="shared" si="6"/>
        <v>54.798671719186274</v>
      </c>
      <c r="AG10" s="435">
        <f t="shared" si="6"/>
        <v>62.3996090945353</v>
      </c>
      <c r="AH10" s="435">
        <f t="shared" si="6"/>
        <v>22.62927802153969</v>
      </c>
      <c r="AI10" s="435">
        <f t="shared" si="6"/>
        <v>37.81786996410052</v>
      </c>
      <c r="AJ10" s="435">
        <f t="shared" si="6"/>
        <v>56.72221779018748</v>
      </c>
      <c r="AK10" s="435">
        <f t="shared" si="6"/>
        <v>11.976386118867172</v>
      </c>
      <c r="AL10" s="435">
        <f t="shared" si="6"/>
        <v>3.6968288791384123</v>
      </c>
      <c r="AM10" s="422"/>
      <c r="AN10" s="417" t="s">
        <v>291</v>
      </c>
      <c r="AO10" s="435">
        <f aca="true" t="shared" si="7" ref="AO10:AX10">AO9*AO8</f>
        <v>2.175592341443957</v>
      </c>
      <c r="AP10" s="435">
        <f t="shared" si="7"/>
        <v>25.850270194875065</v>
      </c>
      <c r="AQ10" s="435">
        <f t="shared" si="7"/>
        <v>24.657048264858396</v>
      </c>
      <c r="AR10" s="435">
        <f t="shared" si="7"/>
        <v>2.394244116473873</v>
      </c>
      <c r="AS10" s="435">
        <f t="shared" si="7"/>
        <v>1.5378500199441563</v>
      </c>
      <c r="AT10" s="435">
        <f t="shared" si="7"/>
        <v>0.6521858795372956</v>
      </c>
      <c r="AU10" s="435">
        <f t="shared" si="7"/>
        <v>4.299194256082968</v>
      </c>
      <c r="AV10" s="435">
        <f t="shared" si="7"/>
        <v>2.8748942959712807</v>
      </c>
      <c r="AW10" s="435">
        <f t="shared" si="7"/>
        <v>2.031144794575189</v>
      </c>
      <c r="AX10" s="435">
        <f t="shared" si="7"/>
        <v>5.01</v>
      </c>
      <c r="AY10" s="420">
        <f>AY8*AY9</f>
        <v>102.01</v>
      </c>
      <c r="AZ10" s="420">
        <f>AZ9*AZ8</f>
        <v>2.22</v>
      </c>
    </row>
    <row r="11" spans="1:52" ht="28.5" customHeight="1">
      <c r="A11" s="419" t="s">
        <v>292</v>
      </c>
      <c r="B11" s="418" t="s">
        <v>293</v>
      </c>
      <c r="C11" s="420">
        <v>2.7</v>
      </c>
      <c r="D11" s="420">
        <v>2.4</v>
      </c>
      <c r="E11" s="420">
        <v>2.4</v>
      </c>
      <c r="F11" s="417">
        <v>2.4</v>
      </c>
      <c r="G11" s="420">
        <v>2.4</v>
      </c>
      <c r="H11" s="420">
        <v>2.4</v>
      </c>
      <c r="I11" s="434">
        <v>1</v>
      </c>
      <c r="J11" s="420"/>
      <c r="K11" s="419" t="s">
        <v>292</v>
      </c>
      <c r="L11" s="418" t="s">
        <v>293</v>
      </c>
      <c r="M11" s="420">
        <v>2.4</v>
      </c>
      <c r="N11" s="420">
        <v>2</v>
      </c>
      <c r="O11" s="434">
        <v>1.3</v>
      </c>
      <c r="P11" s="435"/>
      <c r="Q11" s="435"/>
      <c r="R11" s="435"/>
      <c r="S11" s="435">
        <v>1.3</v>
      </c>
      <c r="T11" s="435">
        <v>1.3</v>
      </c>
      <c r="U11" s="419" t="s">
        <v>292</v>
      </c>
      <c r="V11" s="418" t="s">
        <v>293</v>
      </c>
      <c r="W11" s="435">
        <v>1.3</v>
      </c>
      <c r="X11" s="435">
        <v>1.3</v>
      </c>
      <c r="Y11" s="435"/>
      <c r="Z11" s="435">
        <v>3.9</v>
      </c>
      <c r="AA11" s="435">
        <v>2.7</v>
      </c>
      <c r="AB11" s="435">
        <v>2.4</v>
      </c>
      <c r="AC11" s="419" t="s">
        <v>292</v>
      </c>
      <c r="AD11" s="418" t="s">
        <v>293</v>
      </c>
      <c r="AE11" s="435">
        <v>2.4</v>
      </c>
      <c r="AF11" s="435">
        <v>2.4</v>
      </c>
      <c r="AG11" s="435">
        <v>2.4</v>
      </c>
      <c r="AH11" s="435">
        <v>2.7</v>
      </c>
      <c r="AI11" s="435">
        <v>2.7</v>
      </c>
      <c r="AJ11" s="435">
        <v>2.7</v>
      </c>
      <c r="AK11" s="435">
        <v>1.3</v>
      </c>
      <c r="AL11" s="435">
        <v>1.3</v>
      </c>
      <c r="AM11" s="419" t="s">
        <v>292</v>
      </c>
      <c r="AN11" s="418" t="s">
        <v>293</v>
      </c>
      <c r="AO11" s="435">
        <v>1</v>
      </c>
      <c r="AP11" s="435">
        <v>2.4</v>
      </c>
      <c r="AQ11" s="435">
        <v>2.4</v>
      </c>
      <c r="AR11" s="435">
        <v>1.3</v>
      </c>
      <c r="AS11" s="435"/>
      <c r="AT11" s="435"/>
      <c r="AU11" s="435">
        <v>1.3</v>
      </c>
      <c r="AV11" s="435">
        <v>1.3</v>
      </c>
      <c r="AW11" s="435">
        <v>1.3</v>
      </c>
      <c r="AX11" s="435">
        <v>1.3</v>
      </c>
      <c r="AY11" s="420">
        <v>6.3</v>
      </c>
      <c r="AZ11" s="420">
        <v>1.3</v>
      </c>
    </row>
    <row r="12" spans="1:52" ht="15.75" customHeight="1">
      <c r="A12" s="421"/>
      <c r="B12" s="417">
        <f>'单价分析'!E15</f>
        <v>8.1</v>
      </c>
      <c r="C12" s="420">
        <f>B12*C11</f>
        <v>21.87</v>
      </c>
      <c r="D12" s="420">
        <f>B12*D11</f>
        <v>19.439999999999998</v>
      </c>
      <c r="E12" s="420">
        <f>B12*E11</f>
        <v>19.439999999999998</v>
      </c>
      <c r="F12" s="420">
        <f>B12*F11</f>
        <v>19.439999999999998</v>
      </c>
      <c r="G12" s="420">
        <f>B12*G11</f>
        <v>19.439999999999998</v>
      </c>
      <c r="H12" s="420">
        <f>H11*B12</f>
        <v>19.439999999999998</v>
      </c>
      <c r="I12" s="417">
        <f>B12*I11</f>
        <v>8.1</v>
      </c>
      <c r="J12" s="420"/>
      <c r="K12" s="421"/>
      <c r="L12" s="417">
        <f>B12</f>
        <v>8.1</v>
      </c>
      <c r="M12" s="420">
        <f>B12*M11</f>
        <v>19.439999999999998</v>
      </c>
      <c r="N12" s="420">
        <f>B12*N11</f>
        <v>16.2</v>
      </c>
      <c r="O12" s="420">
        <f>O11*B12</f>
        <v>10.53</v>
      </c>
      <c r="P12" s="435"/>
      <c r="Q12" s="435"/>
      <c r="R12" s="435"/>
      <c r="S12" s="435">
        <f>S11*B12</f>
        <v>10.53</v>
      </c>
      <c r="T12" s="435">
        <f>T11*B12</f>
        <v>10.53</v>
      </c>
      <c r="U12" s="421"/>
      <c r="V12" s="417">
        <f>L12</f>
        <v>8.1</v>
      </c>
      <c r="W12" s="435">
        <f>B12*W11</f>
        <v>10.53</v>
      </c>
      <c r="X12" s="435">
        <f>L12*X11</f>
        <v>10.53</v>
      </c>
      <c r="Y12" s="435"/>
      <c r="Z12" s="435">
        <f>Z11*L12</f>
        <v>31.589999999999996</v>
      </c>
      <c r="AA12" s="435">
        <f>AA11*L12</f>
        <v>21.87</v>
      </c>
      <c r="AB12" s="435">
        <f>AB11*L12</f>
        <v>19.439999999999998</v>
      </c>
      <c r="AC12" s="421"/>
      <c r="AD12" s="417">
        <f>L12</f>
        <v>8.1</v>
      </c>
      <c r="AE12" s="435">
        <f>AE11*L12</f>
        <v>19.439999999999998</v>
      </c>
      <c r="AF12" s="435">
        <f>AF11*AD12</f>
        <v>19.439999999999998</v>
      </c>
      <c r="AG12" s="435">
        <f>AG11*AD12</f>
        <v>19.439999999999998</v>
      </c>
      <c r="AH12" s="435">
        <f>AH11*AD12</f>
        <v>21.87</v>
      </c>
      <c r="AI12" s="435">
        <f>AI11*AD12</f>
        <v>21.87</v>
      </c>
      <c r="AJ12" s="435">
        <f>AJ11*AD12</f>
        <v>21.87</v>
      </c>
      <c r="AK12" s="435">
        <f>AK11*AD12</f>
        <v>10.53</v>
      </c>
      <c r="AL12" s="435">
        <f>AL11*AD12</f>
        <v>10.53</v>
      </c>
      <c r="AM12" s="421"/>
      <c r="AN12" s="417">
        <f>AD12</f>
        <v>8.1</v>
      </c>
      <c r="AO12" s="435">
        <f>AO11*AD12</f>
        <v>8.1</v>
      </c>
      <c r="AP12" s="435">
        <f>AP11*AD12</f>
        <v>19.439999999999998</v>
      </c>
      <c r="AQ12" s="435">
        <f>AQ11*AD12</f>
        <v>19.439999999999998</v>
      </c>
      <c r="AR12" s="435">
        <f>AD12*AR11</f>
        <v>10.53</v>
      </c>
      <c r="AS12" s="435"/>
      <c r="AT12" s="435"/>
      <c r="AU12" s="435">
        <f>AU11*AD12</f>
        <v>10.53</v>
      </c>
      <c r="AV12" s="435">
        <f>AV11*AD12</f>
        <v>10.53</v>
      </c>
      <c r="AW12" s="435">
        <f>AW11*AD12</f>
        <v>10.53</v>
      </c>
      <c r="AX12" s="435">
        <f>AX11*AD12</f>
        <v>10.53</v>
      </c>
      <c r="AY12" s="420">
        <f>AY11*AD12</f>
        <v>51.029999999999994</v>
      </c>
      <c r="AZ12" s="420">
        <f>AZ11*AD12</f>
        <v>10.53</v>
      </c>
    </row>
    <row r="13" spans="1:52" ht="27.75" customHeight="1">
      <c r="A13" s="421"/>
      <c r="B13" s="423" t="s">
        <v>294</v>
      </c>
      <c r="C13" s="420">
        <v>14.2</v>
      </c>
      <c r="D13" s="420">
        <v>8.4</v>
      </c>
      <c r="E13" s="420">
        <v>10.6</v>
      </c>
      <c r="F13" s="417">
        <v>7.9</v>
      </c>
      <c r="G13" s="420">
        <v>9.9</v>
      </c>
      <c r="H13" s="420">
        <v>6.5</v>
      </c>
      <c r="I13" s="434">
        <v>1.7</v>
      </c>
      <c r="J13" s="420"/>
      <c r="K13" s="421"/>
      <c r="L13" s="418" t="s">
        <v>294</v>
      </c>
      <c r="M13" s="420">
        <v>7.4</v>
      </c>
      <c r="N13" s="420"/>
      <c r="O13" s="417"/>
      <c r="P13" s="435"/>
      <c r="Q13" s="435"/>
      <c r="R13" s="435"/>
      <c r="S13" s="435">
        <v>7.2</v>
      </c>
      <c r="T13" s="435">
        <v>8.9</v>
      </c>
      <c r="U13" s="421"/>
      <c r="V13" s="418" t="s">
        <v>294</v>
      </c>
      <c r="W13" s="435">
        <v>9.1</v>
      </c>
      <c r="X13" s="435">
        <v>10.2</v>
      </c>
      <c r="Y13" s="435"/>
      <c r="Z13" s="435"/>
      <c r="AA13" s="435"/>
      <c r="AB13" s="435">
        <v>7.7</v>
      </c>
      <c r="AC13" s="421"/>
      <c r="AD13" s="423" t="s">
        <v>294</v>
      </c>
      <c r="AE13" s="435">
        <v>8.3</v>
      </c>
      <c r="AF13" s="435">
        <v>11.9</v>
      </c>
      <c r="AG13" s="435">
        <v>12.4</v>
      </c>
      <c r="AH13" s="435">
        <v>5.8</v>
      </c>
      <c r="AI13" s="435">
        <v>7.7</v>
      </c>
      <c r="AJ13" s="435">
        <v>11.1</v>
      </c>
      <c r="AK13" s="435">
        <v>3.4</v>
      </c>
      <c r="AL13" s="435"/>
      <c r="AM13" s="421"/>
      <c r="AN13" s="423" t="s">
        <v>294</v>
      </c>
      <c r="AO13" s="435"/>
      <c r="AP13" s="435"/>
      <c r="AQ13" s="435"/>
      <c r="AR13" s="435"/>
      <c r="AS13" s="435"/>
      <c r="AT13" s="435"/>
      <c r="AU13" s="435"/>
      <c r="AV13" s="435"/>
      <c r="AW13" s="435"/>
      <c r="AX13" s="435">
        <f>8.1*0.11+3.2*'单价分析'!E17</f>
        <v>13.307</v>
      </c>
      <c r="AY13" s="420">
        <f>41.4</f>
        <v>41.4</v>
      </c>
      <c r="AZ13" s="438"/>
    </row>
    <row r="14" spans="1:52" ht="18.75" customHeight="1">
      <c r="A14" s="421"/>
      <c r="B14" s="424">
        <v>2.99</v>
      </c>
      <c r="C14" s="420">
        <f>C13*B14</f>
        <v>42.458</v>
      </c>
      <c r="D14" s="420">
        <f>D13*B14</f>
        <v>25.116000000000003</v>
      </c>
      <c r="E14" s="420">
        <f>E13*B14</f>
        <v>31.694000000000003</v>
      </c>
      <c r="F14" s="417">
        <f>F13*B14</f>
        <v>23.621000000000002</v>
      </c>
      <c r="G14" s="420">
        <f>G13*B14</f>
        <v>29.601000000000003</v>
      </c>
      <c r="H14" s="420">
        <f>H13*B14</f>
        <v>19.435000000000002</v>
      </c>
      <c r="I14" s="417">
        <f>I13*B14</f>
        <v>5.083</v>
      </c>
      <c r="J14" s="420"/>
      <c r="K14" s="421"/>
      <c r="L14" s="418">
        <f>B14</f>
        <v>2.99</v>
      </c>
      <c r="M14" s="420">
        <f>M13*B14</f>
        <v>22.126</v>
      </c>
      <c r="N14" s="420"/>
      <c r="O14" s="417"/>
      <c r="P14" s="435"/>
      <c r="Q14" s="435"/>
      <c r="R14" s="435"/>
      <c r="S14" s="435">
        <f>S13*3.075</f>
        <v>22.14</v>
      </c>
      <c r="T14" s="435">
        <f>T13*B14</f>
        <v>26.611000000000004</v>
      </c>
      <c r="U14" s="421"/>
      <c r="V14" s="418">
        <f>L14</f>
        <v>2.99</v>
      </c>
      <c r="W14" s="435">
        <f>W13*L14</f>
        <v>27.209</v>
      </c>
      <c r="X14" s="435">
        <f>X13*B14</f>
        <v>30.498</v>
      </c>
      <c r="Y14" s="435"/>
      <c r="Z14" s="435"/>
      <c r="AA14" s="435"/>
      <c r="AB14" s="435">
        <f>AB13*L14</f>
        <v>23.023000000000003</v>
      </c>
      <c r="AC14" s="421"/>
      <c r="AD14" s="424">
        <f>L14</f>
        <v>2.99</v>
      </c>
      <c r="AE14" s="435">
        <f>AE13*AD14</f>
        <v>24.817000000000004</v>
      </c>
      <c r="AF14" s="435">
        <f>AF13*AD14</f>
        <v>35.581</v>
      </c>
      <c r="AG14" s="435">
        <f>AG13*AD14</f>
        <v>37.076</v>
      </c>
      <c r="AH14" s="435">
        <f>AH13*3.075</f>
        <v>17.835</v>
      </c>
      <c r="AI14" s="435">
        <f>AI13*AD14</f>
        <v>23.023000000000003</v>
      </c>
      <c r="AJ14" s="435">
        <f>AJ13*AD14</f>
        <v>33.189</v>
      </c>
      <c r="AK14" s="435">
        <f>AK13*AD14</f>
        <v>10.166</v>
      </c>
      <c r="AL14" s="435"/>
      <c r="AM14" s="421"/>
      <c r="AN14" s="424">
        <f>AD14</f>
        <v>2.99</v>
      </c>
      <c r="AO14" s="435"/>
      <c r="AP14" s="435"/>
      <c r="AQ14" s="435"/>
      <c r="AR14" s="435"/>
      <c r="AS14" s="435"/>
      <c r="AT14" s="435"/>
      <c r="AU14" s="435"/>
      <c r="AV14" s="435"/>
      <c r="AW14" s="435"/>
      <c r="AX14" s="435">
        <f>AX13*AD14</f>
        <v>39.78793</v>
      </c>
      <c r="AY14" s="420">
        <f>AY13*7.44</f>
        <v>308.016</v>
      </c>
      <c r="AZ14" s="438"/>
    </row>
    <row r="15" spans="1:52" ht="30" customHeight="1">
      <c r="A15" s="421"/>
      <c r="B15" s="423" t="s">
        <v>295</v>
      </c>
      <c r="C15" s="420"/>
      <c r="D15" s="420"/>
      <c r="E15" s="420"/>
      <c r="F15" s="417"/>
      <c r="G15" s="420"/>
      <c r="H15" s="420"/>
      <c r="I15" s="417"/>
      <c r="J15" s="420"/>
      <c r="K15" s="421"/>
      <c r="L15" s="418" t="s">
        <v>295</v>
      </c>
      <c r="M15" s="420"/>
      <c r="N15" s="420">
        <v>2.5</v>
      </c>
      <c r="O15" s="434">
        <v>8.6</v>
      </c>
      <c r="P15" s="435">
        <v>1.7</v>
      </c>
      <c r="Q15" s="435">
        <v>0.8</v>
      </c>
      <c r="R15" s="435"/>
      <c r="S15" s="435"/>
      <c r="T15" s="435"/>
      <c r="U15" s="421"/>
      <c r="V15" s="418" t="s">
        <v>295</v>
      </c>
      <c r="W15" s="435"/>
      <c r="X15" s="435"/>
      <c r="Y15" s="435"/>
      <c r="Z15" s="435">
        <v>90.8</v>
      </c>
      <c r="AA15" s="435">
        <v>36.7</v>
      </c>
      <c r="AB15" s="435"/>
      <c r="AC15" s="421"/>
      <c r="AD15" s="423" t="s">
        <v>295</v>
      </c>
      <c r="AE15" s="435"/>
      <c r="AF15" s="435"/>
      <c r="AG15" s="435"/>
      <c r="AH15" s="435"/>
      <c r="AI15" s="435"/>
      <c r="AJ15" s="435"/>
      <c r="AK15" s="435"/>
      <c r="AL15" s="435">
        <v>7.9</v>
      </c>
      <c r="AM15" s="421"/>
      <c r="AN15" s="423" t="s">
        <v>295</v>
      </c>
      <c r="AO15" s="435">
        <v>5.4</v>
      </c>
      <c r="AP15" s="435">
        <v>46.9</v>
      </c>
      <c r="AQ15" s="435">
        <v>41.6</v>
      </c>
      <c r="AR15" s="435">
        <v>15.5</v>
      </c>
      <c r="AS15" s="435">
        <v>20</v>
      </c>
      <c r="AT15" s="435">
        <v>14.5</v>
      </c>
      <c r="AU15" s="435">
        <v>7.2</v>
      </c>
      <c r="AV15" s="435">
        <v>17.2</v>
      </c>
      <c r="AW15" s="435">
        <v>6</v>
      </c>
      <c r="AX15" s="435">
        <v>80.1</v>
      </c>
      <c r="AY15" s="420"/>
      <c r="AZ15" s="420">
        <v>6</v>
      </c>
    </row>
    <row r="16" spans="1:52" ht="18.75" customHeight="1">
      <c r="A16" s="421"/>
      <c r="B16" s="425">
        <v>1.03</v>
      </c>
      <c r="C16" s="420"/>
      <c r="D16" s="420"/>
      <c r="E16" s="420"/>
      <c r="F16" s="417"/>
      <c r="G16" s="420"/>
      <c r="H16" s="420"/>
      <c r="I16" s="417"/>
      <c r="J16" s="420"/>
      <c r="K16" s="421"/>
      <c r="L16" s="436">
        <f>B16</f>
        <v>1.03</v>
      </c>
      <c r="M16" s="420"/>
      <c r="N16" s="420">
        <f>N15*B16</f>
        <v>2.575</v>
      </c>
      <c r="O16" s="434">
        <f>O15*B16</f>
        <v>8.858</v>
      </c>
      <c r="P16" s="435">
        <f>P15*B16</f>
        <v>1.751</v>
      </c>
      <c r="Q16" s="435">
        <f>Q15*L16</f>
        <v>0.8240000000000001</v>
      </c>
      <c r="R16" s="435">
        <f>202.5*0.14+4.1*'单价分析'!E17</f>
        <v>44.257999999999996</v>
      </c>
      <c r="S16" s="435"/>
      <c r="T16" s="435"/>
      <c r="U16" s="421"/>
      <c r="V16" s="436">
        <f>L16</f>
        <v>1.03</v>
      </c>
      <c r="W16" s="435"/>
      <c r="X16" s="435"/>
      <c r="Y16" s="435"/>
      <c r="Z16" s="435">
        <f>Z15*L16</f>
        <v>93.524</v>
      </c>
      <c r="AA16" s="435">
        <f>AA15*L16</f>
        <v>37.801</v>
      </c>
      <c r="AB16" s="435"/>
      <c r="AC16" s="421"/>
      <c r="AD16" s="425">
        <f>L16</f>
        <v>1.03</v>
      </c>
      <c r="AE16" s="435"/>
      <c r="AF16" s="435"/>
      <c r="AG16" s="435"/>
      <c r="AH16" s="435"/>
      <c r="AI16" s="435"/>
      <c r="AJ16" s="435"/>
      <c r="AK16" s="435"/>
      <c r="AL16" s="435">
        <f>AL15*AD16</f>
        <v>8.137</v>
      </c>
      <c r="AM16" s="421"/>
      <c r="AN16" s="425">
        <f>AD16</f>
        <v>1.03</v>
      </c>
      <c r="AO16" s="435">
        <f>AO15*AD16</f>
        <v>5.562</v>
      </c>
      <c r="AP16" s="435">
        <f>AP15*AD16</f>
        <v>48.307</v>
      </c>
      <c r="AQ16" s="435">
        <f>AQ15*AD16</f>
        <v>42.848000000000006</v>
      </c>
      <c r="AR16" s="435">
        <f>AR15*AD16</f>
        <v>15.965</v>
      </c>
      <c r="AS16" s="435">
        <f>AS15*AD16</f>
        <v>20.6</v>
      </c>
      <c r="AT16" s="435">
        <f>AT15*AD16</f>
        <v>14.935</v>
      </c>
      <c r="AU16" s="435">
        <f>AU15*AD16</f>
        <v>7.416</v>
      </c>
      <c r="AV16" s="435">
        <f>AV15*AD16</f>
        <v>17.716</v>
      </c>
      <c r="AW16" s="435">
        <f>AW15*AD16</f>
        <v>6.18</v>
      </c>
      <c r="AX16" s="435">
        <f>AX15*AD16</f>
        <v>82.503</v>
      </c>
      <c r="AY16" s="420"/>
      <c r="AZ16" s="420">
        <f>AZ15*AD16</f>
        <v>6.18</v>
      </c>
    </row>
    <row r="17" spans="1:52" ht="18.75" customHeight="1">
      <c r="A17" s="422"/>
      <c r="B17" s="417" t="s">
        <v>291</v>
      </c>
      <c r="C17" s="420">
        <f aca="true" t="shared" si="8" ref="C17:J17">C16+C14+C12</f>
        <v>64.328</v>
      </c>
      <c r="D17" s="420">
        <f t="shared" si="8"/>
        <v>44.556</v>
      </c>
      <c r="E17" s="420">
        <f t="shared" si="8"/>
        <v>51.134</v>
      </c>
      <c r="F17" s="420">
        <f t="shared" si="8"/>
        <v>43.061</v>
      </c>
      <c r="G17" s="420">
        <f t="shared" si="8"/>
        <v>49.041</v>
      </c>
      <c r="H17" s="420">
        <f t="shared" si="8"/>
        <v>38.875</v>
      </c>
      <c r="I17" s="417">
        <f t="shared" si="8"/>
        <v>13.183</v>
      </c>
      <c r="J17" s="420">
        <f t="shared" si="8"/>
        <v>0</v>
      </c>
      <c r="K17" s="422"/>
      <c r="L17" s="417" t="s">
        <v>291</v>
      </c>
      <c r="M17" s="420">
        <f>M16+M14+M12</f>
        <v>41.566</v>
      </c>
      <c r="N17" s="420">
        <f>N16+N14+N12</f>
        <v>18.775</v>
      </c>
      <c r="O17" s="434">
        <f>O16+O14+O12</f>
        <v>19.387999999999998</v>
      </c>
      <c r="P17" s="435">
        <f>P16+P14+P12</f>
        <v>1.751</v>
      </c>
      <c r="Q17" s="435">
        <f>Q16+Q14+Q12</f>
        <v>0.8240000000000001</v>
      </c>
      <c r="R17" s="435">
        <f>R16+R12+R14</f>
        <v>44.257999999999996</v>
      </c>
      <c r="S17" s="435">
        <f>S16+S14+S12</f>
        <v>32.67</v>
      </c>
      <c r="T17" s="435">
        <f>T16+T14+T12</f>
        <v>37.141000000000005</v>
      </c>
      <c r="U17" s="422"/>
      <c r="V17" s="417" t="s">
        <v>291</v>
      </c>
      <c r="W17" s="435">
        <f>W16+W14+W12</f>
        <v>37.739</v>
      </c>
      <c r="X17" s="435">
        <f>X12+X14</f>
        <v>41.028</v>
      </c>
      <c r="Y17" s="435">
        <f>Y12+Y14</f>
        <v>0</v>
      </c>
      <c r="Z17" s="435">
        <f>Z14+Z12+Z16</f>
        <v>125.114</v>
      </c>
      <c r="AA17" s="435">
        <f>AA12+AA16+AA14</f>
        <v>59.67100000000001</v>
      </c>
      <c r="AB17" s="435">
        <f>AB12+AB16+AB14</f>
        <v>42.463</v>
      </c>
      <c r="AC17" s="422"/>
      <c r="AD17" s="417" t="s">
        <v>291</v>
      </c>
      <c r="AE17" s="435">
        <f>AE12+AE16+AE14</f>
        <v>44.257000000000005</v>
      </c>
      <c r="AF17" s="435">
        <f aca="true" t="shared" si="9" ref="AF17:AK17">AF14+AF12+AF16</f>
        <v>55.021</v>
      </c>
      <c r="AG17" s="435">
        <f>AG12+AG16+AG14</f>
        <v>56.516</v>
      </c>
      <c r="AH17" s="435">
        <f>AH16+AH14+AH12</f>
        <v>39.705</v>
      </c>
      <c r="AI17" s="435">
        <f t="shared" si="9"/>
        <v>44.893</v>
      </c>
      <c r="AJ17" s="435">
        <f t="shared" si="9"/>
        <v>55.059</v>
      </c>
      <c r="AK17" s="435">
        <f t="shared" si="9"/>
        <v>20.695999999999998</v>
      </c>
      <c r="AL17" s="435">
        <f>AL16+AL12+AL14</f>
        <v>18.667</v>
      </c>
      <c r="AM17" s="422"/>
      <c r="AN17" s="417" t="s">
        <v>291</v>
      </c>
      <c r="AO17" s="435">
        <f>AO16+AO12+AO14</f>
        <v>13.661999999999999</v>
      </c>
      <c r="AP17" s="435">
        <f>AP16+AP12+AP14</f>
        <v>67.747</v>
      </c>
      <c r="AQ17" s="435">
        <f aca="true" t="shared" si="10" ref="AQ17:AX17">AQ14+AQ12+AQ16</f>
        <v>62.288000000000004</v>
      </c>
      <c r="AR17" s="435">
        <f>AR16+AR12+AR14</f>
        <v>26.494999999999997</v>
      </c>
      <c r="AS17" s="435">
        <f>AS16+AS12+AS14</f>
        <v>20.6</v>
      </c>
      <c r="AT17" s="435">
        <f>AT16+AT12+AT14</f>
        <v>14.935</v>
      </c>
      <c r="AU17" s="435">
        <f t="shared" si="10"/>
        <v>17.945999999999998</v>
      </c>
      <c r="AV17" s="435">
        <f t="shared" si="10"/>
        <v>28.246000000000002</v>
      </c>
      <c r="AW17" s="435">
        <f t="shared" si="10"/>
        <v>16.71</v>
      </c>
      <c r="AX17" s="435">
        <f t="shared" si="10"/>
        <v>132.82093</v>
      </c>
      <c r="AY17" s="420"/>
      <c r="AZ17" s="420">
        <f>AZ14+AZ12+AZ16</f>
        <v>16.71</v>
      </c>
    </row>
    <row r="18" spans="1:52" ht="19.5" customHeight="1">
      <c r="A18" s="415" t="s">
        <v>296</v>
      </c>
      <c r="B18" s="416"/>
      <c r="C18" s="420">
        <f aca="true" t="shared" si="11" ref="C18:J18">C17+C10</f>
        <v>118.94887754287994</v>
      </c>
      <c r="D18" s="420">
        <f t="shared" si="11"/>
        <v>66.38225847626644</v>
      </c>
      <c r="E18" s="420">
        <f t="shared" si="11"/>
        <v>89.44234463502194</v>
      </c>
      <c r="F18" s="420">
        <f t="shared" si="11"/>
        <v>54.6627510969286</v>
      </c>
      <c r="G18" s="420">
        <f t="shared" si="11"/>
        <v>68.41267132030315</v>
      </c>
      <c r="H18" s="420">
        <f t="shared" si="11"/>
        <v>63.52821100917431</v>
      </c>
      <c r="I18" s="420">
        <f t="shared" si="11"/>
        <v>15.912301954527322</v>
      </c>
      <c r="J18" s="420">
        <f t="shared" si="11"/>
        <v>2.0768248903071402</v>
      </c>
      <c r="K18" s="415" t="s">
        <v>296</v>
      </c>
      <c r="L18" s="416"/>
      <c r="M18" s="420">
        <f aca="true" t="shared" si="12" ref="M18:T18">M17+M10</f>
        <v>59.19804228161149</v>
      </c>
      <c r="N18" s="420">
        <f t="shared" si="12"/>
        <v>19.849431591543677</v>
      </c>
      <c r="O18" s="420">
        <f t="shared" si="12"/>
        <v>28.217952134024728</v>
      </c>
      <c r="P18" s="435">
        <f t="shared" si="12"/>
        <v>3.926987235739928</v>
      </c>
      <c r="Q18" s="435">
        <f t="shared" si="12"/>
        <v>2.221526924611089</v>
      </c>
      <c r="R18" s="435">
        <f t="shared" si="12"/>
        <v>44.85201675309134</v>
      </c>
      <c r="S18" s="435">
        <f t="shared" si="12"/>
        <v>49.389824491424015</v>
      </c>
      <c r="T18" s="435">
        <f t="shared" si="12"/>
        <v>74.45930873554049</v>
      </c>
      <c r="U18" s="415" t="s">
        <v>296</v>
      </c>
      <c r="V18" s="416"/>
      <c r="W18" s="435">
        <f aca="true" t="shared" si="13" ref="W18:AB18">W17+W10</f>
        <v>51.996040287195854</v>
      </c>
      <c r="X18" s="435">
        <f t="shared" si="13"/>
        <v>73.10267092142001</v>
      </c>
      <c r="Y18" s="435">
        <f t="shared" si="13"/>
        <v>0.8132429198244914</v>
      </c>
      <c r="Z18" s="435">
        <f t="shared" si="13"/>
        <v>245.4656553649781</v>
      </c>
      <c r="AA18" s="435">
        <f t="shared" si="13"/>
        <v>114.24032588751496</v>
      </c>
      <c r="AB18" s="435">
        <f t="shared" si="13"/>
        <v>65.93751136816913</v>
      </c>
      <c r="AC18" s="415" t="s">
        <v>296</v>
      </c>
      <c r="AD18" s="416"/>
      <c r="AE18" s="435">
        <f aca="true" t="shared" si="14" ref="AE18:AL18">AE17+AE10</f>
        <v>90.22726725169525</v>
      </c>
      <c r="AF18" s="435">
        <f t="shared" si="14"/>
        <v>109.81967171918627</v>
      </c>
      <c r="AG18" s="435">
        <f t="shared" si="14"/>
        <v>118.9156090945353</v>
      </c>
      <c r="AH18" s="435">
        <f t="shared" si="14"/>
        <v>62.33427802153969</v>
      </c>
      <c r="AI18" s="435">
        <f t="shared" si="14"/>
        <v>82.71086996410051</v>
      </c>
      <c r="AJ18" s="435">
        <f t="shared" si="14"/>
        <v>111.78121779018747</v>
      </c>
      <c r="AK18" s="435">
        <f t="shared" si="14"/>
        <v>32.672386118867166</v>
      </c>
      <c r="AL18" s="435">
        <f t="shared" si="14"/>
        <v>22.363828879138413</v>
      </c>
      <c r="AM18" s="415" t="s">
        <v>296</v>
      </c>
      <c r="AN18" s="416"/>
      <c r="AO18" s="435">
        <f aca="true" t="shared" si="15" ref="AO18:AX18">AO17+AO10</f>
        <v>15.837592341443957</v>
      </c>
      <c r="AP18" s="435">
        <f t="shared" si="15"/>
        <v>93.59727019487507</v>
      </c>
      <c r="AQ18" s="435">
        <f t="shared" si="15"/>
        <v>86.9450482648584</v>
      </c>
      <c r="AR18" s="435">
        <f t="shared" si="15"/>
        <v>28.88924411647387</v>
      </c>
      <c r="AS18" s="435">
        <f t="shared" si="15"/>
        <v>22.137850019944157</v>
      </c>
      <c r="AT18" s="435">
        <f t="shared" si="15"/>
        <v>15.587185879537296</v>
      </c>
      <c r="AU18" s="435">
        <f t="shared" si="15"/>
        <v>22.245194256082968</v>
      </c>
      <c r="AV18" s="435">
        <f t="shared" si="15"/>
        <v>31.120894295971283</v>
      </c>
      <c r="AW18" s="435">
        <f t="shared" si="15"/>
        <v>18.74114479457519</v>
      </c>
      <c r="AX18" s="435">
        <f t="shared" si="15"/>
        <v>137.83093</v>
      </c>
      <c r="AY18" s="420">
        <f>AY10+AY12+AY14</f>
        <v>461.05600000000004</v>
      </c>
      <c r="AZ18" s="420">
        <f>AZ17+AZ10</f>
        <v>18.93</v>
      </c>
    </row>
    <row r="19" spans="1:50" ht="15" customHeight="1">
      <c r="A19" s="195"/>
      <c r="B19" s="194"/>
      <c r="C19" s="194"/>
      <c r="D19" s="194"/>
      <c r="E19" s="194"/>
      <c r="F19" s="194"/>
      <c r="G19" s="194"/>
      <c r="H19" s="194"/>
      <c r="I19" s="194"/>
      <c r="J19" s="194"/>
      <c r="K19" s="194"/>
      <c r="L19" s="194"/>
      <c r="M19" s="194"/>
      <c r="N19" s="194"/>
      <c r="O19" s="194"/>
      <c r="P19" s="194"/>
      <c r="Q19" s="194"/>
      <c r="R19" s="194"/>
      <c r="S19" s="194"/>
      <c r="T19" s="194"/>
      <c r="U19" s="194"/>
      <c r="V19" s="194"/>
      <c r="W19" s="194"/>
      <c r="X19" s="194"/>
      <c r="Y19" s="194"/>
      <c r="Z19" s="194"/>
      <c r="AA19" s="194"/>
      <c r="AB19" s="194"/>
      <c r="AC19" s="194"/>
      <c r="AD19" s="194"/>
      <c r="AE19" s="194"/>
      <c r="AF19" s="194"/>
      <c r="AG19" s="194"/>
      <c r="AH19" s="194"/>
      <c r="AI19" s="194"/>
      <c r="AJ19" s="194"/>
      <c r="AK19" s="194"/>
      <c r="AL19" s="194"/>
      <c r="AM19" s="194"/>
      <c r="AN19" s="194"/>
      <c r="AO19" s="194"/>
      <c r="AP19" s="194"/>
      <c r="AQ19" s="194"/>
      <c r="AR19" s="194"/>
      <c r="AS19" s="194"/>
      <c r="AT19" s="194"/>
      <c r="AU19" s="194"/>
      <c r="AV19" s="194"/>
      <c r="AW19" s="194"/>
      <c r="AX19" s="194"/>
    </row>
    <row r="20" spans="1:50" ht="12" customHeight="1">
      <c r="A20" s="195"/>
      <c r="B20" s="194"/>
      <c r="C20" s="194"/>
      <c r="D20" s="194"/>
      <c r="E20" s="194"/>
      <c r="F20" s="194"/>
      <c r="G20" s="194"/>
      <c r="H20" s="194"/>
      <c r="I20" s="194"/>
      <c r="J20" s="194"/>
      <c r="K20" s="194"/>
      <c r="L20" s="194"/>
      <c r="M20" s="194"/>
      <c r="N20" s="194"/>
      <c r="O20" s="194"/>
      <c r="P20" s="194"/>
      <c r="Q20" s="194"/>
      <c r="R20" s="194"/>
      <c r="S20" s="194"/>
      <c r="T20" s="194"/>
      <c r="U20" s="194"/>
      <c r="V20" s="194"/>
      <c r="W20" s="194"/>
      <c r="X20" s="194"/>
      <c r="Y20" s="194"/>
      <c r="Z20" s="194"/>
      <c r="AA20" s="194"/>
      <c r="AB20" s="194"/>
      <c r="AC20" s="194"/>
      <c r="AD20" s="194"/>
      <c r="AE20" s="194"/>
      <c r="AF20" s="194"/>
      <c r="AG20" s="194"/>
      <c r="AH20" s="194"/>
      <c r="AI20" s="194"/>
      <c r="AJ20" s="194"/>
      <c r="AK20" s="194"/>
      <c r="AL20" s="194"/>
      <c r="AM20" s="194"/>
      <c r="AN20" s="194"/>
      <c r="AO20" s="194"/>
      <c r="AP20" s="194"/>
      <c r="AQ20" s="194"/>
      <c r="AR20" s="194"/>
      <c r="AS20" s="194"/>
      <c r="AT20" s="194"/>
      <c r="AU20" s="194"/>
      <c r="AV20" s="194"/>
      <c r="AW20" s="194"/>
      <c r="AX20" s="194"/>
    </row>
    <row r="21" spans="1:50" ht="12.75" customHeight="1">
      <c r="A21" s="195"/>
      <c r="B21" s="194"/>
      <c r="C21" s="194"/>
      <c r="D21" s="194"/>
      <c r="E21" s="194"/>
      <c r="F21" s="194"/>
      <c r="G21" s="194"/>
      <c r="H21" s="194"/>
      <c r="I21" s="194"/>
      <c r="J21" s="194"/>
      <c r="K21" s="194"/>
      <c r="L21" s="194"/>
      <c r="M21" s="194"/>
      <c r="N21" s="194"/>
      <c r="O21" s="194"/>
      <c r="P21" s="194"/>
      <c r="Q21" s="194"/>
      <c r="R21" s="194"/>
      <c r="S21" s="194"/>
      <c r="T21" s="194"/>
      <c r="U21" s="194"/>
      <c r="V21" s="194"/>
      <c r="W21" s="194"/>
      <c r="X21" s="194"/>
      <c r="Y21" s="194"/>
      <c r="Z21" s="194"/>
      <c r="AA21" s="194"/>
      <c r="AB21" s="194"/>
      <c r="AC21" s="194"/>
      <c r="AD21" s="194"/>
      <c r="AE21" s="194"/>
      <c r="AF21" s="194"/>
      <c r="AG21" s="194"/>
      <c r="AH21" s="194"/>
      <c r="AI21" s="194"/>
      <c r="AJ21" s="194"/>
      <c r="AK21" s="194"/>
      <c r="AL21" s="194"/>
      <c r="AM21" s="194"/>
      <c r="AN21" s="194"/>
      <c r="AO21" s="194"/>
      <c r="AP21" s="194"/>
      <c r="AQ21" s="194"/>
      <c r="AR21" s="194"/>
      <c r="AS21" s="194"/>
      <c r="AT21" s="194"/>
      <c r="AU21" s="194"/>
      <c r="AV21" s="194"/>
      <c r="AW21" s="194"/>
      <c r="AX21" s="194"/>
    </row>
    <row r="22" spans="1:50" ht="9.75" customHeight="1">
      <c r="A22" s="195"/>
      <c r="B22" s="194"/>
      <c r="C22" s="194"/>
      <c r="D22" s="194"/>
      <c r="E22" s="194"/>
      <c r="F22" s="194"/>
      <c r="G22" s="194"/>
      <c r="H22" s="194"/>
      <c r="I22" s="194"/>
      <c r="J22" s="194"/>
      <c r="K22" s="194"/>
      <c r="L22" s="194"/>
      <c r="M22" s="194"/>
      <c r="N22" s="194"/>
      <c r="O22" s="194"/>
      <c r="P22" s="194"/>
      <c r="Q22" s="194"/>
      <c r="R22" s="194"/>
      <c r="S22" s="194"/>
      <c r="T22" s="194"/>
      <c r="U22" s="194"/>
      <c r="V22" s="194"/>
      <c r="W22" s="194"/>
      <c r="X22" s="194"/>
      <c r="Y22" s="194"/>
      <c r="Z22" s="194"/>
      <c r="AA22" s="194"/>
      <c r="AB22" s="194"/>
      <c r="AC22" s="194"/>
      <c r="AD22" s="194"/>
      <c r="AE22" s="194"/>
      <c r="AF22" s="194"/>
      <c r="AG22" s="194"/>
      <c r="AH22" s="194"/>
      <c r="AI22" s="194"/>
      <c r="AJ22" s="194"/>
      <c r="AK22" s="194"/>
      <c r="AL22" s="194"/>
      <c r="AM22" s="194"/>
      <c r="AN22" s="194"/>
      <c r="AO22" s="194"/>
      <c r="AP22" s="194"/>
      <c r="AQ22" s="194"/>
      <c r="AR22" s="194"/>
      <c r="AS22" s="194"/>
      <c r="AT22" s="194"/>
      <c r="AU22" s="194"/>
      <c r="AV22" s="194"/>
      <c r="AW22" s="194"/>
      <c r="AX22" s="194"/>
    </row>
    <row r="25" spans="2:3" ht="14.25">
      <c r="B25" s="136" t="s">
        <v>297</v>
      </c>
      <c r="C25" s="426" t="e">
        <f>单价分析!#REF!-255</f>
        <v>#REF!</v>
      </c>
    </row>
    <row r="26" spans="2:3" ht="14.25">
      <c r="B26" s="136" t="s">
        <v>298</v>
      </c>
      <c r="C26" s="426">
        <f>'单价分析'!L6-255</f>
        <v>118.56378999999998</v>
      </c>
    </row>
    <row r="27" spans="2:3" ht="14.25">
      <c r="B27" s="136" t="s">
        <v>299</v>
      </c>
      <c r="C27" s="426">
        <f>'单价分析'!L7-70</f>
        <v>1.5600419999999957</v>
      </c>
    </row>
    <row r="28" spans="2:3" ht="14.25">
      <c r="B28" s="136" t="s">
        <v>300</v>
      </c>
      <c r="C28" s="426">
        <f>'单价分析'!L9-70</f>
        <v>8.098611067961158</v>
      </c>
    </row>
    <row r="29" spans="2:3" ht="14.25">
      <c r="B29" s="136" t="s">
        <v>301</v>
      </c>
      <c r="C29" s="426">
        <f>'单价分析'!L10-70</f>
        <v>56.366889999999984</v>
      </c>
    </row>
    <row r="30" spans="2:3" ht="14.25">
      <c r="B30" s="136" t="s">
        <v>302</v>
      </c>
      <c r="C30" s="426">
        <f>'单价分析'!L11-2560</f>
        <v>1557.1557899999998</v>
      </c>
    </row>
    <row r="31" spans="2:3" ht="14.25">
      <c r="B31" s="136" t="s">
        <v>303</v>
      </c>
      <c r="C31" s="426">
        <f>'单价分析'!E13-3.075</f>
        <v>5.055000000000001</v>
      </c>
    </row>
    <row r="32" spans="2:3" ht="14.25">
      <c r="B32" s="136" t="s">
        <v>304</v>
      </c>
      <c r="C32" s="426">
        <f>'单价分析'!E14-2.99</f>
        <v>3.8</v>
      </c>
    </row>
    <row r="33" spans="2:3" ht="14.25">
      <c r="B33" s="136" t="s">
        <v>305</v>
      </c>
      <c r="C33" s="426"/>
    </row>
    <row r="34" spans="2:3" ht="14.25">
      <c r="B34" s="427"/>
      <c r="C34" s="136"/>
    </row>
    <row r="35" spans="2:4" ht="14.25">
      <c r="B35" s="428" t="s">
        <v>306</v>
      </c>
      <c r="C35" s="429" t="s">
        <v>307</v>
      </c>
      <c r="D35" s="430">
        <v>4.43</v>
      </c>
    </row>
    <row r="36" spans="2:4" ht="14.25">
      <c r="B36" s="428" t="s">
        <v>308</v>
      </c>
      <c r="C36" s="429" t="s">
        <v>307</v>
      </c>
      <c r="D36" s="431">
        <v>6.5</v>
      </c>
    </row>
    <row r="37" spans="2:4" ht="14.25">
      <c r="B37" s="428" t="s">
        <v>309</v>
      </c>
      <c r="C37" s="429" t="s">
        <v>307</v>
      </c>
      <c r="D37" s="431">
        <v>5.5</v>
      </c>
    </row>
    <row r="38" spans="2:4" ht="14.25">
      <c r="B38" s="428" t="s">
        <v>310</v>
      </c>
      <c r="C38" s="429" t="s">
        <v>307</v>
      </c>
      <c r="D38" s="430">
        <v>6.15</v>
      </c>
    </row>
    <row r="39" spans="2:4" ht="14.25">
      <c r="B39" s="428" t="s">
        <v>311</v>
      </c>
      <c r="C39" s="429" t="s">
        <v>307</v>
      </c>
      <c r="D39" s="432">
        <v>5.3</v>
      </c>
    </row>
    <row r="40" spans="2:4" ht="14.25">
      <c r="B40" s="428" t="s">
        <v>312</v>
      </c>
      <c r="C40" s="429" t="s">
        <v>307</v>
      </c>
      <c r="D40" s="430">
        <v>5.6</v>
      </c>
    </row>
    <row r="41" spans="2:4" ht="14.25">
      <c r="B41" s="428" t="s">
        <v>313</v>
      </c>
      <c r="C41" s="429" t="s">
        <v>307</v>
      </c>
      <c r="D41" s="430">
        <v>7</v>
      </c>
    </row>
    <row r="42" spans="2:4" ht="14.25">
      <c r="B42" s="428" t="s">
        <v>314</v>
      </c>
      <c r="C42" s="429" t="s">
        <v>307</v>
      </c>
      <c r="D42" s="430">
        <v>7</v>
      </c>
    </row>
    <row r="43" spans="2:4" ht="14.25">
      <c r="B43" s="428" t="s">
        <v>315</v>
      </c>
      <c r="C43" s="429" t="s">
        <v>307</v>
      </c>
      <c r="D43" s="432">
        <v>6.2</v>
      </c>
    </row>
    <row r="44" spans="2:4" ht="14.25">
      <c r="B44" s="433" t="s">
        <v>316</v>
      </c>
      <c r="C44" s="429" t="s">
        <v>307</v>
      </c>
      <c r="D44" s="430">
        <v>5.8</v>
      </c>
    </row>
  </sheetData>
  <sheetProtection/>
  <mergeCells count="41">
    <mergeCell ref="A3:AX3"/>
    <mergeCell ref="A4:B4"/>
    <mergeCell ref="K4:L4"/>
    <mergeCell ref="U4:V4"/>
    <mergeCell ref="AC4:AD4"/>
    <mergeCell ref="AM4:AN4"/>
    <mergeCell ref="A5:B5"/>
    <mergeCell ref="K5:L5"/>
    <mergeCell ref="U5:V5"/>
    <mergeCell ref="AC5:AD5"/>
    <mergeCell ref="AM5:AN5"/>
    <mergeCell ref="A6:B6"/>
    <mergeCell ref="K6:L6"/>
    <mergeCell ref="U6:V6"/>
    <mergeCell ref="AC6:AD6"/>
    <mergeCell ref="AM6:AN6"/>
    <mergeCell ref="A7:B7"/>
    <mergeCell ref="K7:L7"/>
    <mergeCell ref="U7:V7"/>
    <mergeCell ref="AC7:AD7"/>
    <mergeCell ref="AM7:AN7"/>
    <mergeCell ref="A18:B18"/>
    <mergeCell ref="K18:L18"/>
    <mergeCell ref="U18:V18"/>
    <mergeCell ref="AC18:AD18"/>
    <mergeCell ref="AM18:AN18"/>
    <mergeCell ref="A8:A10"/>
    <mergeCell ref="A11:A17"/>
    <mergeCell ref="K8:K10"/>
    <mergeCell ref="K11:K17"/>
    <mergeCell ref="U8:U10"/>
    <mergeCell ref="U11:U17"/>
    <mergeCell ref="AC8:AC10"/>
    <mergeCell ref="AC11:AC17"/>
    <mergeCell ref="AM8:AM10"/>
    <mergeCell ref="AM11:AM17"/>
    <mergeCell ref="A1:J2"/>
    <mergeCell ref="K1:T2"/>
    <mergeCell ref="AC1:AL2"/>
    <mergeCell ref="AM1:AZ2"/>
    <mergeCell ref="U1:AB2"/>
  </mergeCells>
  <printOptions horizontalCentered="1" verticalCentered="1"/>
  <pageMargins left="0.7900000000000001" right="0.7900000000000001" top="1.18" bottom="0.7900000000000001" header="1.18" footer="0.7900000000000001"/>
  <pageSetup horizontalDpi="180" verticalDpi="18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X1711"/>
  <sheetViews>
    <sheetView workbookViewId="0" topLeftCell="B150">
      <selection activeCell="J589" sqref="J589:P589"/>
    </sheetView>
  </sheetViews>
  <sheetFormatPr defaultColWidth="9.00390625" defaultRowHeight="14.25"/>
  <cols>
    <col min="1" max="1" width="2.75390625" style="136" hidden="1" customWidth="1"/>
    <col min="2" max="2" width="6.875" style="135" customWidth="1"/>
    <col min="3" max="3" width="22.375" style="13" customWidth="1"/>
    <col min="4" max="4" width="8.00390625" style="135" customWidth="1"/>
    <col min="5" max="5" width="8.75390625" style="137" customWidth="1"/>
    <col min="6" max="6" width="9.625" style="137" customWidth="1"/>
    <col min="7" max="7" width="11.875" style="137" customWidth="1"/>
    <col min="8" max="8" width="7.625" style="135" customWidth="1"/>
    <col min="9" max="9" width="5.375" style="135" customWidth="1"/>
    <col min="10" max="10" width="7.00390625" style="135" customWidth="1"/>
    <col min="11" max="11" width="14.00390625" style="135" customWidth="1"/>
    <col min="12" max="12" width="11.50390625" style="135" bestFit="1" customWidth="1"/>
    <col min="13" max="13" width="9.625" style="137" bestFit="1" customWidth="1"/>
    <col min="14" max="15" width="9.375" style="137" customWidth="1"/>
    <col min="16" max="17" width="9.00390625" style="135" customWidth="1"/>
    <col min="18" max="18" width="9.00390625" style="136" customWidth="1"/>
    <col min="19" max="19" width="15.875" style="136" customWidth="1"/>
    <col min="20" max="21" width="9.00390625" style="136" customWidth="1"/>
    <col min="22" max="22" width="11.125" style="136" bestFit="1" customWidth="1"/>
    <col min="23" max="23" width="9.625" style="136" bestFit="1" customWidth="1"/>
    <col min="24" max="16384" width="9.00390625" style="136" customWidth="1"/>
  </cols>
  <sheetData>
    <row r="1" spans="2:15" s="135" customFormat="1" ht="19.5" customHeight="1">
      <c r="B1" s="138" t="s">
        <v>317</v>
      </c>
      <c r="C1" s="138"/>
      <c r="D1" s="138"/>
      <c r="E1" s="138"/>
      <c r="F1" s="138"/>
      <c r="G1" s="138"/>
      <c r="H1" s="138"/>
      <c r="J1" s="136"/>
      <c r="K1" s="136"/>
      <c r="L1" s="136"/>
      <c r="M1" s="136"/>
      <c r="N1" s="136"/>
      <c r="O1" s="136"/>
    </row>
    <row r="2" spans="2:15" s="135" customFormat="1" ht="13.5" customHeight="1">
      <c r="B2" s="139" t="s">
        <v>318</v>
      </c>
      <c r="C2" s="139"/>
      <c r="D2" s="139"/>
      <c r="E2" s="139"/>
      <c r="F2" s="139"/>
      <c r="G2" s="139"/>
      <c r="H2" s="139"/>
      <c r="J2" s="136"/>
      <c r="K2" s="136"/>
      <c r="L2" s="136"/>
      <c r="M2" s="136"/>
      <c r="N2" s="136"/>
      <c r="O2" s="136"/>
    </row>
    <row r="3" spans="2:15" s="135" customFormat="1" ht="13.5" customHeight="1">
      <c r="B3" s="140" t="s">
        <v>319</v>
      </c>
      <c r="C3" s="140"/>
      <c r="D3" s="140"/>
      <c r="E3" s="140"/>
      <c r="F3" s="137"/>
      <c r="G3" s="141" t="s">
        <v>320</v>
      </c>
      <c r="H3" s="141"/>
      <c r="J3" s="136"/>
      <c r="K3" s="136"/>
      <c r="L3" s="136"/>
      <c r="M3" s="136"/>
      <c r="N3" s="136"/>
      <c r="O3" s="136"/>
    </row>
    <row r="4" spans="2:15" s="135" customFormat="1" ht="13.5" customHeight="1">
      <c r="B4" s="142" t="s">
        <v>321</v>
      </c>
      <c r="C4" s="143"/>
      <c r="D4" s="143"/>
      <c r="E4" s="143"/>
      <c r="F4" s="143"/>
      <c r="G4" s="143"/>
      <c r="H4" s="144"/>
      <c r="J4" s="136"/>
      <c r="K4" s="136"/>
      <c r="L4" s="136"/>
      <c r="M4" s="136"/>
      <c r="N4" s="136"/>
      <c r="O4" s="136"/>
    </row>
    <row r="5" spans="2:15" s="135" customFormat="1" ht="27" customHeight="1">
      <c r="B5" s="145" t="s">
        <v>3</v>
      </c>
      <c r="C5" s="146" t="s">
        <v>322</v>
      </c>
      <c r="D5" s="146" t="s">
        <v>323</v>
      </c>
      <c r="E5" s="147" t="s">
        <v>324</v>
      </c>
      <c r="F5" s="148" t="s">
        <v>325</v>
      </c>
      <c r="G5" s="148" t="s">
        <v>326</v>
      </c>
      <c r="H5" s="146" t="s">
        <v>145</v>
      </c>
      <c r="J5" s="136"/>
      <c r="K5" s="136"/>
      <c r="L5" s="136"/>
      <c r="M5" s="136"/>
      <c r="N5" s="136"/>
      <c r="O5" s="136"/>
    </row>
    <row r="6" spans="2:15" s="135" customFormat="1" ht="13.5" customHeight="1">
      <c r="B6" s="145" t="s">
        <v>16</v>
      </c>
      <c r="C6" s="146" t="s">
        <v>327</v>
      </c>
      <c r="D6" s="146"/>
      <c r="E6" s="147"/>
      <c r="F6" s="147"/>
      <c r="G6" s="147">
        <f>G7+G15+G16</f>
        <v>165.61469294610458</v>
      </c>
      <c r="H6" s="146"/>
      <c r="J6" s="136"/>
      <c r="K6" s="136"/>
      <c r="L6" s="136"/>
      <c r="M6" s="136"/>
      <c r="N6" s="136"/>
      <c r="O6" s="136"/>
    </row>
    <row r="7" spans="2:17" s="135" customFormat="1" ht="13.5" customHeight="1">
      <c r="B7" s="145" t="s">
        <v>39</v>
      </c>
      <c r="C7" s="146" t="s">
        <v>328</v>
      </c>
      <c r="D7" s="146"/>
      <c r="E7" s="147"/>
      <c r="F7" s="147"/>
      <c r="G7" s="147">
        <f>G8+G10+G11</f>
        <v>158.02928716231352</v>
      </c>
      <c r="H7" s="146"/>
      <c r="J7" s="136"/>
      <c r="K7" s="136"/>
      <c r="L7" s="136"/>
      <c r="M7" s="136"/>
      <c r="N7" s="136"/>
      <c r="O7" s="136"/>
      <c r="Q7" s="163"/>
    </row>
    <row r="8" spans="2:17" s="135" customFormat="1" ht="13.5" customHeight="1">
      <c r="B8" s="145">
        <v>1</v>
      </c>
      <c r="C8" s="146" t="s">
        <v>329</v>
      </c>
      <c r="D8" s="149"/>
      <c r="E8" s="147"/>
      <c r="F8" s="147"/>
      <c r="G8" s="147">
        <f>SUM(G9:G9)</f>
        <v>23.656999999999996</v>
      </c>
      <c r="H8" s="146"/>
      <c r="J8" s="136"/>
      <c r="K8" s="136"/>
      <c r="L8" s="136"/>
      <c r="M8" s="136"/>
      <c r="N8" s="136"/>
      <c r="O8" s="136"/>
      <c r="Q8" s="163"/>
    </row>
    <row r="9" spans="2:15" s="135" customFormat="1" ht="13.5" customHeight="1">
      <c r="B9" s="145"/>
      <c r="C9" s="149" t="s">
        <v>330</v>
      </c>
      <c r="D9" s="149" t="s">
        <v>163</v>
      </c>
      <c r="E9" s="147">
        <v>4.1</v>
      </c>
      <c r="F9" s="147">
        <f>'单价分析'!E16</f>
        <v>5.77</v>
      </c>
      <c r="G9" s="147">
        <f>F9*E9</f>
        <v>23.656999999999996</v>
      </c>
      <c r="H9" s="146"/>
      <c r="J9" s="136"/>
      <c r="K9" s="136"/>
      <c r="L9" s="136"/>
      <c r="M9" s="136"/>
      <c r="N9" s="136"/>
      <c r="O9" s="136"/>
    </row>
    <row r="10" spans="2:15" s="135" customFormat="1" ht="13.5" customHeight="1">
      <c r="B10" s="145">
        <v>2</v>
      </c>
      <c r="C10" s="146" t="s">
        <v>331</v>
      </c>
      <c r="D10" s="146" t="s">
        <v>332</v>
      </c>
      <c r="E10" s="147">
        <v>5</v>
      </c>
      <c r="F10" s="147">
        <f>G11+G8</f>
        <v>150.50408301172718</v>
      </c>
      <c r="G10" s="147">
        <f>F10*E10/100</f>
        <v>7.525204150586359</v>
      </c>
      <c r="H10" s="146"/>
      <c r="J10" s="136"/>
      <c r="K10" s="136"/>
      <c r="L10" s="136"/>
      <c r="M10" s="136"/>
      <c r="N10" s="136"/>
      <c r="O10" s="136"/>
    </row>
    <row r="11" spans="2:15" s="135" customFormat="1" ht="13.5" customHeight="1">
      <c r="B11" s="145">
        <v>3</v>
      </c>
      <c r="C11" s="146" t="s">
        <v>333</v>
      </c>
      <c r="D11" s="146"/>
      <c r="E11" s="147"/>
      <c r="F11" s="147"/>
      <c r="G11" s="147">
        <f>SUM(G12)</f>
        <v>126.84708301172716</v>
      </c>
      <c r="H11" s="146"/>
      <c r="J11" s="136"/>
      <c r="K11" s="136"/>
      <c r="L11" s="136"/>
      <c r="M11" s="136"/>
      <c r="N11" s="136"/>
      <c r="O11" s="136"/>
    </row>
    <row r="12" spans="2:15" s="135" customFormat="1" ht="13.5" customHeight="1">
      <c r="B12" s="145"/>
      <c r="C12" s="146" t="s">
        <v>334</v>
      </c>
      <c r="D12" s="146" t="s">
        <v>335</v>
      </c>
      <c r="E12" s="147">
        <f>0.86*1.24</f>
        <v>1.0664</v>
      </c>
      <c r="F12" s="147">
        <f>'机械台班'!C18</f>
        <v>118.94887754287994</v>
      </c>
      <c r="G12" s="147">
        <f>F12*E12</f>
        <v>126.84708301172716</v>
      </c>
      <c r="H12" s="146"/>
      <c r="J12" s="136"/>
      <c r="K12" s="136"/>
      <c r="L12" s="136"/>
      <c r="M12" s="136"/>
      <c r="N12" s="136"/>
      <c r="O12" s="136"/>
    </row>
    <row r="13" spans="2:15" s="135" customFormat="1" ht="13.5" customHeight="1">
      <c r="B13" s="145"/>
      <c r="C13" s="146"/>
      <c r="D13" s="146"/>
      <c r="E13" s="147"/>
      <c r="F13" s="147"/>
      <c r="G13" s="147"/>
      <c r="H13" s="146"/>
      <c r="J13" s="136"/>
      <c r="K13" s="136"/>
      <c r="L13" s="136"/>
      <c r="M13" s="136"/>
      <c r="N13" s="136"/>
      <c r="O13" s="136"/>
    </row>
    <row r="14" spans="2:15" s="135" customFormat="1" ht="13.5" customHeight="1">
      <c r="B14" s="145"/>
      <c r="C14" s="146"/>
      <c r="D14" s="146"/>
      <c r="E14" s="147"/>
      <c r="F14" s="147"/>
      <c r="G14" s="147"/>
      <c r="H14" s="146"/>
      <c r="J14" s="136"/>
      <c r="K14" s="136"/>
      <c r="L14" s="136"/>
      <c r="M14" s="136"/>
      <c r="N14" s="136"/>
      <c r="O14" s="136"/>
    </row>
    <row r="15" spans="2:15" s="135" customFormat="1" ht="13.5" customHeight="1">
      <c r="B15" s="145" t="s">
        <v>63</v>
      </c>
      <c r="C15" s="146" t="s">
        <v>336</v>
      </c>
      <c r="D15" s="150">
        <v>0.048</v>
      </c>
      <c r="E15" s="147"/>
      <c r="F15" s="147"/>
      <c r="G15" s="147">
        <f>G7*D15</f>
        <v>7.58540578379105</v>
      </c>
      <c r="H15" s="146"/>
      <c r="J15" s="136"/>
      <c r="K15" s="136"/>
      <c r="L15" s="136"/>
      <c r="M15" s="136"/>
      <c r="N15" s="136"/>
      <c r="O15" s="136"/>
    </row>
    <row r="16" spans="2:15" s="135" customFormat="1" ht="13.5" customHeight="1">
      <c r="B16" s="145"/>
      <c r="C16" s="146"/>
      <c r="D16" s="150"/>
      <c r="E16" s="147"/>
      <c r="F16" s="147"/>
      <c r="G16" s="147"/>
      <c r="H16" s="146"/>
      <c r="J16" s="136"/>
      <c r="K16" s="136"/>
      <c r="L16" s="136"/>
      <c r="M16" s="136"/>
      <c r="N16" s="136"/>
      <c r="O16" s="136"/>
    </row>
    <row r="17" spans="2:15" s="135" customFormat="1" ht="13.5" customHeight="1">
      <c r="B17" s="145" t="s">
        <v>18</v>
      </c>
      <c r="C17" s="146" t="s">
        <v>337</v>
      </c>
      <c r="D17" s="150">
        <v>0.045</v>
      </c>
      <c r="E17" s="147"/>
      <c r="F17" s="147"/>
      <c r="G17" s="147">
        <f>G6*D17</f>
        <v>7.452661182574706</v>
      </c>
      <c r="H17" s="146"/>
      <c r="J17" s="136"/>
      <c r="K17" s="136"/>
      <c r="L17" s="136"/>
      <c r="M17" s="136"/>
      <c r="N17" s="136"/>
      <c r="O17" s="136"/>
    </row>
    <row r="18" spans="2:15" s="135" customFormat="1" ht="13.5" customHeight="1">
      <c r="B18" s="145" t="s">
        <v>20</v>
      </c>
      <c r="C18" s="146" t="s">
        <v>338</v>
      </c>
      <c r="D18" s="151">
        <v>0.05</v>
      </c>
      <c r="E18" s="147"/>
      <c r="F18" s="147"/>
      <c r="G18" s="147">
        <f>(G6+G17)*D18</f>
        <v>8.653367706433965</v>
      </c>
      <c r="H18" s="146"/>
      <c r="J18" s="136"/>
      <c r="K18" s="136"/>
      <c r="L18" s="136"/>
      <c r="M18" s="136"/>
      <c r="N18" s="136"/>
      <c r="O18" s="136"/>
    </row>
    <row r="19" spans="2:15" s="135" customFormat="1" ht="13.5" customHeight="1">
      <c r="B19" s="145" t="s">
        <v>22</v>
      </c>
      <c r="C19" s="146" t="s">
        <v>339</v>
      </c>
      <c r="D19" s="152"/>
      <c r="E19" s="147"/>
      <c r="F19" s="147"/>
      <c r="G19" s="147">
        <f>G20</f>
        <v>57.542944</v>
      </c>
      <c r="H19" s="146"/>
      <c r="J19" s="136"/>
      <c r="K19" s="136"/>
      <c r="L19" s="136"/>
      <c r="M19" s="136"/>
      <c r="N19" s="136"/>
      <c r="O19" s="136"/>
    </row>
    <row r="20" spans="2:15" s="135" customFormat="1" ht="13.5" customHeight="1">
      <c r="B20" s="145"/>
      <c r="C20" s="146" t="s">
        <v>304</v>
      </c>
      <c r="D20" s="152" t="s">
        <v>307</v>
      </c>
      <c r="E20" s="147">
        <f>E12*'机械台班'!C13</f>
        <v>15.14288</v>
      </c>
      <c r="F20" s="147">
        <f>'单价分析'!L14-2.99</f>
        <v>3.8</v>
      </c>
      <c r="G20" s="147">
        <f>F20*E20</f>
        <v>57.542944</v>
      </c>
      <c r="H20" s="146"/>
      <c r="M20" s="137"/>
      <c r="N20" s="137"/>
      <c r="O20" s="137"/>
    </row>
    <row r="21" spans="2:15" s="135" customFormat="1" ht="13.5" customHeight="1">
      <c r="B21" s="145" t="s">
        <v>24</v>
      </c>
      <c r="C21" s="146" t="s">
        <v>340</v>
      </c>
      <c r="D21" s="152">
        <v>0.09</v>
      </c>
      <c r="E21" s="147"/>
      <c r="F21" s="147"/>
      <c r="G21" s="147">
        <f>(G6+G19+G17+G18)*D21</f>
        <v>21.53372992516019</v>
      </c>
      <c r="H21" s="146"/>
      <c r="M21" s="137"/>
      <c r="N21" s="137"/>
      <c r="O21" s="137"/>
    </row>
    <row r="22" spans="2:15" s="135" customFormat="1" ht="13.5" customHeight="1">
      <c r="B22" s="145"/>
      <c r="C22" s="146"/>
      <c r="D22" s="146"/>
      <c r="E22" s="147"/>
      <c r="F22" s="147"/>
      <c r="G22" s="147"/>
      <c r="H22" s="146"/>
      <c r="M22" s="137"/>
      <c r="N22" s="137"/>
      <c r="O22" s="137"/>
    </row>
    <row r="23" spans="2:15" s="135" customFormat="1" ht="13.5" customHeight="1">
      <c r="B23" s="145"/>
      <c r="C23" s="146" t="s">
        <v>36</v>
      </c>
      <c r="D23" s="146"/>
      <c r="E23" s="147"/>
      <c r="F23" s="147"/>
      <c r="G23" s="147">
        <f>G21+G19+G18++G17+G6</f>
        <v>260.79739576027345</v>
      </c>
      <c r="H23" s="146"/>
      <c r="M23" s="137"/>
      <c r="N23" s="137"/>
      <c r="O23" s="137"/>
    </row>
    <row r="24" spans="2:15" s="135" customFormat="1" ht="13.5" customHeight="1">
      <c r="B24" s="145" t="s">
        <v>341</v>
      </c>
      <c r="C24" s="146" t="s">
        <v>342</v>
      </c>
      <c r="D24" s="153">
        <v>0.03</v>
      </c>
      <c r="E24" s="147"/>
      <c r="F24" s="147"/>
      <c r="G24" s="147">
        <f>G23*D24</f>
        <v>7.823921872808203</v>
      </c>
      <c r="H24" s="146"/>
      <c r="M24" s="137"/>
      <c r="N24" s="137"/>
      <c r="O24" s="137"/>
    </row>
    <row r="25" spans="2:15" s="135" customFormat="1" ht="13.5" customHeight="1">
      <c r="B25" s="145"/>
      <c r="C25" s="146" t="s">
        <v>343</v>
      </c>
      <c r="D25" s="152"/>
      <c r="E25" s="147"/>
      <c r="F25" s="147"/>
      <c r="G25" s="147">
        <f>G23+G24</f>
        <v>268.6213176330817</v>
      </c>
      <c r="H25" s="146"/>
      <c r="M25" s="137"/>
      <c r="N25" s="137"/>
      <c r="O25" s="137"/>
    </row>
    <row r="26" spans="2:15" s="135" customFormat="1" ht="13.5" customHeight="1">
      <c r="B26" s="13"/>
      <c r="C26" s="13"/>
      <c r="D26" s="154"/>
      <c r="E26" s="155"/>
      <c r="F26" s="155"/>
      <c r="G26" s="155"/>
      <c r="H26" s="13"/>
      <c r="M26" s="137"/>
      <c r="N26" s="137"/>
      <c r="O26" s="137"/>
    </row>
    <row r="27" spans="2:15" s="135" customFormat="1" ht="13.5" customHeight="1">
      <c r="B27" s="13"/>
      <c r="C27" s="13"/>
      <c r="D27" s="154"/>
      <c r="E27" s="155"/>
      <c r="F27" s="155"/>
      <c r="G27" s="155"/>
      <c r="H27" s="13"/>
      <c r="M27" s="137"/>
      <c r="N27" s="137"/>
      <c r="O27" s="137"/>
    </row>
    <row r="28" spans="2:16" s="135" customFormat="1" ht="19.5" customHeight="1">
      <c r="B28" s="138" t="s">
        <v>317</v>
      </c>
      <c r="C28" s="138"/>
      <c r="D28" s="138"/>
      <c r="E28" s="138"/>
      <c r="F28" s="138"/>
      <c r="G28" s="138"/>
      <c r="H28" s="138"/>
      <c r="J28" s="138" t="s">
        <v>317</v>
      </c>
      <c r="K28" s="138"/>
      <c r="L28" s="138"/>
      <c r="M28" s="138"/>
      <c r="N28" s="138"/>
      <c r="O28" s="138"/>
      <c r="P28" s="138"/>
    </row>
    <row r="29" spans="2:16" s="135" customFormat="1" ht="13.5" customHeight="1">
      <c r="B29" s="139" t="s">
        <v>344</v>
      </c>
      <c r="C29" s="139"/>
      <c r="D29" s="139"/>
      <c r="E29" s="139"/>
      <c r="F29" s="139"/>
      <c r="G29" s="139"/>
      <c r="H29" s="139"/>
      <c r="J29" s="139" t="s">
        <v>345</v>
      </c>
      <c r="K29" s="139"/>
      <c r="L29" s="139"/>
      <c r="M29" s="139"/>
      <c r="N29" s="139"/>
      <c r="O29" s="139"/>
      <c r="P29" s="139"/>
    </row>
    <row r="30" spans="2:16" s="135" customFormat="1" ht="13.5" customHeight="1">
      <c r="B30" s="140" t="s">
        <v>346</v>
      </c>
      <c r="C30" s="140"/>
      <c r="D30" s="140"/>
      <c r="E30" s="140"/>
      <c r="F30" s="137"/>
      <c r="G30" s="141" t="s">
        <v>320</v>
      </c>
      <c r="H30" s="141"/>
      <c r="J30" s="140" t="s">
        <v>347</v>
      </c>
      <c r="K30" s="140"/>
      <c r="L30" s="140"/>
      <c r="M30" s="140"/>
      <c r="N30" s="137"/>
      <c r="O30" s="141" t="s">
        <v>320</v>
      </c>
      <c r="P30" s="141"/>
    </row>
    <row r="31" spans="2:16" s="135" customFormat="1" ht="13.5" customHeight="1">
      <c r="B31" s="142" t="s">
        <v>348</v>
      </c>
      <c r="C31" s="143"/>
      <c r="D31" s="143"/>
      <c r="E31" s="143"/>
      <c r="F31" s="143"/>
      <c r="G31" s="143"/>
      <c r="H31" s="144"/>
      <c r="J31" s="142" t="s">
        <v>349</v>
      </c>
      <c r="K31" s="143"/>
      <c r="L31" s="143"/>
      <c r="M31" s="143"/>
      <c r="N31" s="143"/>
      <c r="O31" s="143"/>
      <c r="P31" s="144"/>
    </row>
    <row r="32" spans="2:16" s="135" customFormat="1" ht="27.75" customHeight="1">
      <c r="B32" s="145" t="s">
        <v>3</v>
      </c>
      <c r="C32" s="146" t="s">
        <v>190</v>
      </c>
      <c r="D32" s="146" t="s">
        <v>323</v>
      </c>
      <c r="E32" s="147" t="s">
        <v>350</v>
      </c>
      <c r="F32" s="148" t="s">
        <v>325</v>
      </c>
      <c r="G32" s="148" t="s">
        <v>326</v>
      </c>
      <c r="H32" s="146" t="s">
        <v>145</v>
      </c>
      <c r="J32" s="145" t="s">
        <v>3</v>
      </c>
      <c r="K32" s="146" t="s">
        <v>322</v>
      </c>
      <c r="L32" s="146" t="s">
        <v>323</v>
      </c>
      <c r="M32" s="147" t="s">
        <v>324</v>
      </c>
      <c r="N32" s="148" t="s">
        <v>325</v>
      </c>
      <c r="O32" s="148" t="s">
        <v>326</v>
      </c>
      <c r="P32" s="146" t="s">
        <v>145</v>
      </c>
    </row>
    <row r="33" spans="2:16" s="135" customFormat="1" ht="13.5" customHeight="1">
      <c r="B33" s="145" t="s">
        <v>16</v>
      </c>
      <c r="C33" s="146" t="s">
        <v>327</v>
      </c>
      <c r="D33" s="146"/>
      <c r="E33" s="147"/>
      <c r="F33" s="147"/>
      <c r="G33" s="147">
        <f>G34+G41+G42</f>
        <v>1793.013564336019</v>
      </c>
      <c r="H33" s="146"/>
      <c r="J33" s="145" t="s">
        <v>16</v>
      </c>
      <c r="K33" s="146" t="s">
        <v>327</v>
      </c>
      <c r="L33" s="146"/>
      <c r="M33" s="147"/>
      <c r="N33" s="147"/>
      <c r="O33" s="147">
        <f>O34+O42+O43</f>
        <v>314.4720503220353</v>
      </c>
      <c r="P33" s="146"/>
    </row>
    <row r="34" spans="2:16" s="135" customFormat="1" ht="13.5" customHeight="1">
      <c r="B34" s="145" t="s">
        <v>39</v>
      </c>
      <c r="C34" s="146" t="s">
        <v>328</v>
      </c>
      <c r="D34" s="146"/>
      <c r="E34" s="147"/>
      <c r="F34" s="147"/>
      <c r="G34" s="147">
        <f>G35+G39+G40</f>
        <v>1710.8908056641403</v>
      </c>
      <c r="H34" s="146"/>
      <c r="J34" s="145" t="s">
        <v>39</v>
      </c>
      <c r="K34" s="146" t="s">
        <v>328</v>
      </c>
      <c r="L34" s="146"/>
      <c r="M34" s="147"/>
      <c r="N34" s="147"/>
      <c r="O34" s="147">
        <f>O35+O37+O38</f>
        <v>300.06875030728554</v>
      </c>
      <c r="P34" s="146"/>
    </row>
    <row r="35" spans="2:16" s="135" customFormat="1" ht="13.5" customHeight="1">
      <c r="B35" s="145">
        <v>1</v>
      </c>
      <c r="C35" s="146" t="s">
        <v>329</v>
      </c>
      <c r="D35" s="149"/>
      <c r="E35" s="147"/>
      <c r="F35" s="147"/>
      <c r="G35" s="147">
        <f>SUM(G36:G37)</f>
        <v>1343.588</v>
      </c>
      <c r="H35" s="146"/>
      <c r="J35" s="145">
        <v>1</v>
      </c>
      <c r="K35" s="146" t="s">
        <v>329</v>
      </c>
      <c r="L35" s="149"/>
      <c r="M35" s="147"/>
      <c r="N35" s="147"/>
      <c r="O35" s="147">
        <f>SUM(O36:O36)</f>
        <v>24.810999999999996</v>
      </c>
      <c r="P35" s="146"/>
    </row>
    <row r="36" spans="2:16" s="135" customFormat="1" ht="13.5" customHeight="1">
      <c r="B36" s="145"/>
      <c r="C36" s="149" t="s">
        <v>351</v>
      </c>
      <c r="D36" s="149" t="s">
        <v>163</v>
      </c>
      <c r="E36" s="147">
        <v>4.6</v>
      </c>
      <c r="F36" s="147">
        <f>'单价分析'!L15</f>
        <v>8.1</v>
      </c>
      <c r="G36" s="147">
        <f>F36*E36</f>
        <v>37.26</v>
      </c>
      <c r="H36" s="146"/>
      <c r="J36" s="145"/>
      <c r="K36" s="149" t="s">
        <v>330</v>
      </c>
      <c r="L36" s="149" t="s">
        <v>163</v>
      </c>
      <c r="M36" s="147">
        <f>4.3</f>
        <v>4.3</v>
      </c>
      <c r="N36" s="147">
        <f>'单价分析'!E16</f>
        <v>5.77</v>
      </c>
      <c r="O36" s="147">
        <f>N36*M36</f>
        <v>24.810999999999996</v>
      </c>
      <c r="P36" s="146"/>
    </row>
    <row r="37" spans="2:16" s="135" customFormat="1" ht="13.5" customHeight="1">
      <c r="B37" s="145"/>
      <c r="C37" s="149" t="s">
        <v>330</v>
      </c>
      <c r="D37" s="149" t="s">
        <v>163</v>
      </c>
      <c r="E37" s="147">
        <v>226.4</v>
      </c>
      <c r="F37" s="147">
        <f>'单价分析'!L16</f>
        <v>5.77</v>
      </c>
      <c r="G37" s="147">
        <f>F37*E37</f>
        <v>1306.328</v>
      </c>
      <c r="H37" s="146"/>
      <c r="J37" s="145">
        <v>2</v>
      </c>
      <c r="K37" s="146" t="s">
        <v>331</v>
      </c>
      <c r="L37" s="146" t="s">
        <v>332</v>
      </c>
      <c r="M37" s="147">
        <v>5</v>
      </c>
      <c r="N37" s="147">
        <f>O35+O38</f>
        <v>285.7797621974148</v>
      </c>
      <c r="O37" s="147">
        <f>N37*M37/100</f>
        <v>14.28898810987074</v>
      </c>
      <c r="P37" s="146"/>
    </row>
    <row r="38" spans="2:16" s="135" customFormat="1" ht="13.5" customHeight="1">
      <c r="B38" s="145">
        <v>2</v>
      </c>
      <c r="C38" s="146" t="s">
        <v>352</v>
      </c>
      <c r="D38" s="146"/>
      <c r="E38" s="147"/>
      <c r="F38" s="147"/>
      <c r="G38" s="147">
        <f>G39</f>
        <v>285.831814918229</v>
      </c>
      <c r="H38" s="146"/>
      <c r="J38" s="145">
        <v>3</v>
      </c>
      <c r="K38" s="146" t="s">
        <v>333</v>
      </c>
      <c r="L38" s="146"/>
      <c r="M38" s="147"/>
      <c r="N38" s="147"/>
      <c r="O38" s="147">
        <f>SUM(O39)</f>
        <v>260.96876219741483</v>
      </c>
      <c r="P38" s="146"/>
    </row>
    <row r="39" spans="2:16" s="135" customFormat="1" ht="13.5" customHeight="1">
      <c r="B39" s="145"/>
      <c r="C39" s="146" t="s">
        <v>353</v>
      </c>
      <c r="D39" s="146" t="s">
        <v>335</v>
      </c>
      <c r="E39" s="147">
        <v>14.4</v>
      </c>
      <c r="F39" s="147">
        <f>'机械台班'!N18</f>
        <v>19.849431591543677</v>
      </c>
      <c r="G39" s="147">
        <f>F39*E39</f>
        <v>285.831814918229</v>
      </c>
      <c r="H39" s="146"/>
      <c r="J39" s="145"/>
      <c r="K39" s="146" t="s">
        <v>354</v>
      </c>
      <c r="L39" s="146" t="s">
        <v>335</v>
      </c>
      <c r="M39" s="147">
        <f>2.13</f>
        <v>2.13</v>
      </c>
      <c r="N39" s="147">
        <f>35.63/1.15+25.46/1.11+2.18+2.7*'机械台班'!B12+14.9*'机械台班'!B14</f>
        <v>122.52054563258912</v>
      </c>
      <c r="O39" s="147">
        <f>N39*M39</f>
        <v>260.96876219741483</v>
      </c>
      <c r="P39" s="146"/>
    </row>
    <row r="40" spans="2:16" s="135" customFormat="1" ht="13.5" customHeight="1">
      <c r="B40" s="145">
        <v>3</v>
      </c>
      <c r="C40" s="146" t="s">
        <v>331</v>
      </c>
      <c r="D40" s="146" t="s">
        <v>332</v>
      </c>
      <c r="E40" s="147">
        <v>5</v>
      </c>
      <c r="F40" s="147">
        <f>G35+G38</f>
        <v>1629.419814918229</v>
      </c>
      <c r="G40" s="147">
        <f>(G35+G39)*E40/100</f>
        <v>81.47099074591144</v>
      </c>
      <c r="H40" s="146"/>
      <c r="J40" s="145"/>
      <c r="K40" s="146"/>
      <c r="L40" s="146"/>
      <c r="M40" s="147"/>
      <c r="N40" s="147"/>
      <c r="O40" s="147"/>
      <c r="P40" s="146"/>
    </row>
    <row r="41" spans="2:16" s="135" customFormat="1" ht="13.5" customHeight="1">
      <c r="B41" s="145" t="s">
        <v>63</v>
      </c>
      <c r="C41" s="146" t="s">
        <v>336</v>
      </c>
      <c r="D41" s="150">
        <v>0.048</v>
      </c>
      <c r="E41" s="147"/>
      <c r="F41" s="147"/>
      <c r="G41" s="147">
        <f>G34*D41</f>
        <v>82.12275867187874</v>
      </c>
      <c r="H41" s="146"/>
      <c r="J41" s="145"/>
      <c r="K41" s="146"/>
      <c r="L41" s="146"/>
      <c r="M41" s="147"/>
      <c r="N41" s="147"/>
      <c r="O41" s="147"/>
      <c r="P41" s="146"/>
    </row>
    <row r="42" spans="2:16" s="135" customFormat="1" ht="13.5" customHeight="1">
      <c r="B42" s="145" t="s">
        <v>355</v>
      </c>
      <c r="C42" s="146" t="s">
        <v>356</v>
      </c>
      <c r="D42" s="150"/>
      <c r="E42" s="147"/>
      <c r="F42" s="147"/>
      <c r="G42" s="147">
        <f>G34*D42</f>
        <v>0</v>
      </c>
      <c r="H42" s="146"/>
      <c r="J42" s="145" t="s">
        <v>63</v>
      </c>
      <c r="K42" s="146" t="s">
        <v>336</v>
      </c>
      <c r="L42" s="162">
        <v>0.048</v>
      </c>
      <c r="M42" s="147"/>
      <c r="N42" s="147"/>
      <c r="O42" s="147">
        <f>O34*L42</f>
        <v>14.403300014749707</v>
      </c>
      <c r="P42" s="146"/>
    </row>
    <row r="43" spans="2:16" s="135" customFormat="1" ht="13.5" customHeight="1">
      <c r="B43" s="145" t="s">
        <v>18</v>
      </c>
      <c r="C43" s="146" t="s">
        <v>337</v>
      </c>
      <c r="D43" s="150">
        <v>0.045</v>
      </c>
      <c r="E43" s="147"/>
      <c r="F43" s="147"/>
      <c r="G43" s="147">
        <f>G33*D43</f>
        <v>80.68561039512086</v>
      </c>
      <c r="H43" s="146"/>
      <c r="J43" s="145" t="s">
        <v>355</v>
      </c>
      <c r="K43" s="146" t="s">
        <v>356</v>
      </c>
      <c r="L43" s="162"/>
      <c r="M43" s="147"/>
      <c r="N43" s="147"/>
      <c r="O43" s="147">
        <f>O34*L43</f>
        <v>0</v>
      </c>
      <c r="P43" s="146"/>
    </row>
    <row r="44" spans="2:16" s="135" customFormat="1" ht="13.5" customHeight="1">
      <c r="B44" s="145" t="s">
        <v>20</v>
      </c>
      <c r="C44" s="146" t="s">
        <v>338</v>
      </c>
      <c r="D44" s="151">
        <v>0.05</v>
      </c>
      <c r="E44" s="147"/>
      <c r="F44" s="147"/>
      <c r="G44" s="147">
        <f>(G33+G43)*D44</f>
        <v>93.68495873655701</v>
      </c>
      <c r="H44" s="146"/>
      <c r="J44" s="145" t="s">
        <v>18</v>
      </c>
      <c r="K44" s="146" t="s">
        <v>337</v>
      </c>
      <c r="L44" s="162">
        <v>0.08</v>
      </c>
      <c r="M44" s="147"/>
      <c r="N44" s="147"/>
      <c r="O44" s="147">
        <f>O33*L44</f>
        <v>25.157764025762823</v>
      </c>
      <c r="P44" s="146"/>
    </row>
    <row r="45" spans="2:16" s="135" customFormat="1" ht="13.5" customHeight="1">
      <c r="B45" s="145" t="s">
        <v>22</v>
      </c>
      <c r="C45" s="146" t="s">
        <v>340</v>
      </c>
      <c r="D45" s="152">
        <v>0.09</v>
      </c>
      <c r="E45" s="147"/>
      <c r="F45" s="147"/>
      <c r="G45" s="147">
        <f>(G33+G43+G44)*D45</f>
        <v>177.06457201209273</v>
      </c>
      <c r="H45" s="146"/>
      <c r="J45" s="145" t="s">
        <v>20</v>
      </c>
      <c r="K45" s="146" t="s">
        <v>338</v>
      </c>
      <c r="L45" s="162">
        <v>0.05</v>
      </c>
      <c r="M45" s="147"/>
      <c r="N45" s="147"/>
      <c r="O45" s="147">
        <f>(O33+O44)*L45</f>
        <v>16.981490717389907</v>
      </c>
      <c r="P45" s="146"/>
    </row>
    <row r="46" spans="2:16" s="135" customFormat="1" ht="13.5" customHeight="1">
      <c r="B46" s="145"/>
      <c r="C46" s="146"/>
      <c r="D46" s="146"/>
      <c r="E46" s="147"/>
      <c r="F46" s="147"/>
      <c r="G46" s="147"/>
      <c r="H46" s="146"/>
      <c r="J46" s="145" t="s">
        <v>22</v>
      </c>
      <c r="K46" s="146" t="s">
        <v>339</v>
      </c>
      <c r="L46" s="152"/>
      <c r="M46" s="147"/>
      <c r="N46" s="147"/>
      <c r="O46" s="147">
        <f>O47</f>
        <v>120.60059999999999</v>
      </c>
      <c r="P46" s="146"/>
    </row>
    <row r="47" spans="2:16" s="135" customFormat="1" ht="13.5" customHeight="1">
      <c r="B47" s="145"/>
      <c r="C47" s="146" t="s">
        <v>357</v>
      </c>
      <c r="D47" s="146"/>
      <c r="E47" s="147"/>
      <c r="F47" s="147"/>
      <c r="G47" s="147">
        <f>G33++G43+G44+G45</f>
        <v>2144.4487054797896</v>
      </c>
      <c r="H47" s="146"/>
      <c r="J47" s="145"/>
      <c r="K47" s="146" t="s">
        <v>304</v>
      </c>
      <c r="L47" s="152" t="s">
        <v>307</v>
      </c>
      <c r="M47" s="147">
        <f>M39*14.9</f>
        <v>31.737</v>
      </c>
      <c r="N47" s="147">
        <f>'机械台班'!C32</f>
        <v>3.8</v>
      </c>
      <c r="O47" s="147">
        <f>N47*M47</f>
        <v>120.60059999999999</v>
      </c>
      <c r="P47" s="146"/>
    </row>
    <row r="48" spans="2:16" s="135" customFormat="1" ht="13.5" customHeight="1">
      <c r="B48" s="145" t="s">
        <v>24</v>
      </c>
      <c r="C48" s="146" t="s">
        <v>342</v>
      </c>
      <c r="D48" s="153">
        <v>0.03</v>
      </c>
      <c r="E48" s="147"/>
      <c r="F48" s="147"/>
      <c r="G48" s="147">
        <f>G47*D48</f>
        <v>64.33346116439368</v>
      </c>
      <c r="H48" s="146"/>
      <c r="J48" s="145" t="s">
        <v>24</v>
      </c>
      <c r="K48" s="146" t="s">
        <v>340</v>
      </c>
      <c r="L48" s="152">
        <v>0.09</v>
      </c>
      <c r="M48" s="147"/>
      <c r="N48" s="147"/>
      <c r="O48" s="147">
        <f>(O33+O44+O45+O46)*L48</f>
        <v>42.94907145586692</v>
      </c>
      <c r="P48" s="146"/>
    </row>
    <row r="49" spans="2:16" s="135" customFormat="1" ht="13.5" customHeight="1">
      <c r="B49" s="145"/>
      <c r="C49" s="146" t="s">
        <v>343</v>
      </c>
      <c r="D49" s="146"/>
      <c r="E49" s="147"/>
      <c r="F49" s="147"/>
      <c r="G49" s="147">
        <f>SUM(G47:G48)</f>
        <v>2208.7821666441832</v>
      </c>
      <c r="H49" s="146"/>
      <c r="J49" s="145"/>
      <c r="K49" s="146"/>
      <c r="L49" s="146"/>
      <c r="M49" s="147"/>
      <c r="N49" s="147"/>
      <c r="O49" s="147"/>
      <c r="P49" s="146"/>
    </row>
    <row r="50" spans="2:16" s="135" customFormat="1" ht="13.5" customHeight="1">
      <c r="B50" s="13"/>
      <c r="C50" s="13"/>
      <c r="D50" s="13"/>
      <c r="E50" s="155"/>
      <c r="F50" s="155"/>
      <c r="G50" s="155"/>
      <c r="H50" s="13"/>
      <c r="J50" s="145"/>
      <c r="K50" s="146" t="s">
        <v>36</v>
      </c>
      <c r="L50" s="146"/>
      <c r="M50" s="147"/>
      <c r="N50" s="147"/>
      <c r="O50" s="147">
        <f>O48+O46+O45++O44+O33</f>
        <v>520.1609765210549</v>
      </c>
      <c r="P50" s="146"/>
    </row>
    <row r="51" spans="3:16" s="135" customFormat="1" ht="19.5" customHeight="1">
      <c r="C51" s="14"/>
      <c r="E51" s="156"/>
      <c r="F51" s="156"/>
      <c r="G51" s="156"/>
      <c r="J51" s="145" t="s">
        <v>341</v>
      </c>
      <c r="K51" s="146" t="s">
        <v>342</v>
      </c>
      <c r="L51" s="153">
        <v>0.03</v>
      </c>
      <c r="M51" s="147"/>
      <c r="N51" s="147"/>
      <c r="O51" s="147">
        <f>O50*L51</f>
        <v>15.604829295631646</v>
      </c>
      <c r="P51" s="146"/>
    </row>
    <row r="52" spans="3:16" s="135" customFormat="1" ht="13.5" customHeight="1">
      <c r="C52" s="14"/>
      <c r="E52" s="156"/>
      <c r="F52" s="156"/>
      <c r="G52" s="156"/>
      <c r="J52" s="145"/>
      <c r="K52" s="146" t="s">
        <v>343</v>
      </c>
      <c r="L52" s="152"/>
      <c r="M52" s="147"/>
      <c r="N52" s="147"/>
      <c r="O52" s="147">
        <f>O50+O51</f>
        <v>535.7658058166865</v>
      </c>
      <c r="P52" s="146"/>
    </row>
    <row r="53" spans="3:15" s="135" customFormat="1" ht="13.5" customHeight="1">
      <c r="C53" s="14"/>
      <c r="E53" s="156"/>
      <c r="F53" s="156"/>
      <c r="G53" s="156"/>
      <c r="M53" s="137"/>
      <c r="N53" s="137"/>
      <c r="O53" s="137"/>
    </row>
    <row r="54" spans="2:15" s="135" customFormat="1" ht="13.5" customHeight="1">
      <c r="B54" s="138" t="s">
        <v>317</v>
      </c>
      <c r="C54" s="138"/>
      <c r="D54" s="138"/>
      <c r="E54" s="138"/>
      <c r="F54" s="138"/>
      <c r="G54" s="138"/>
      <c r="H54" s="138"/>
      <c r="M54" s="137"/>
      <c r="N54" s="137"/>
      <c r="O54" s="137"/>
    </row>
    <row r="55" spans="2:15" s="135" customFormat="1" ht="13.5" customHeight="1">
      <c r="B55" s="139" t="s">
        <v>358</v>
      </c>
      <c r="C55" s="139"/>
      <c r="D55" s="139"/>
      <c r="E55" s="157"/>
      <c r="F55" s="157"/>
      <c r="G55" s="157"/>
      <c r="H55" s="139"/>
      <c r="M55" s="137"/>
      <c r="N55" s="137"/>
      <c r="O55" s="137"/>
    </row>
    <row r="56" spans="2:15" s="135" customFormat="1" ht="13.5" customHeight="1">
      <c r="B56" s="139" t="s">
        <v>359</v>
      </c>
      <c r="C56" s="139"/>
      <c r="D56" s="139"/>
      <c r="E56" s="157"/>
      <c r="F56" s="137"/>
      <c r="G56" s="158" t="s">
        <v>320</v>
      </c>
      <c r="H56" s="159"/>
      <c r="M56" s="137"/>
      <c r="N56" s="137"/>
      <c r="O56" s="137"/>
    </row>
    <row r="57" spans="2:15" s="135" customFormat="1" ht="13.5" customHeight="1">
      <c r="B57" s="142" t="s">
        <v>360</v>
      </c>
      <c r="C57" s="143"/>
      <c r="D57" s="143"/>
      <c r="E57" s="143"/>
      <c r="F57" s="143"/>
      <c r="G57" s="143"/>
      <c r="H57" s="160"/>
      <c r="M57" s="137"/>
      <c r="N57" s="137"/>
      <c r="O57" s="137"/>
    </row>
    <row r="58" spans="2:15" s="135" customFormat="1" ht="13.5" customHeight="1">
      <c r="B58" s="145" t="s">
        <v>361</v>
      </c>
      <c r="C58" s="146" t="s">
        <v>322</v>
      </c>
      <c r="D58" s="146" t="s">
        <v>102</v>
      </c>
      <c r="E58" s="147" t="s">
        <v>324</v>
      </c>
      <c r="F58" s="161" t="s">
        <v>362</v>
      </c>
      <c r="G58" s="161" t="s">
        <v>363</v>
      </c>
      <c r="H58" s="146" t="s">
        <v>145</v>
      </c>
      <c r="M58" s="137"/>
      <c r="N58" s="137"/>
      <c r="O58" s="137"/>
    </row>
    <row r="59" spans="2:15" s="135" customFormat="1" ht="13.5" customHeight="1">
      <c r="B59" s="145" t="s">
        <v>16</v>
      </c>
      <c r="C59" s="146" t="s">
        <v>327</v>
      </c>
      <c r="D59" s="146"/>
      <c r="E59" s="147"/>
      <c r="F59" s="147"/>
      <c r="G59" s="147">
        <f>G60+G71+G72</f>
        <v>654.7604902754288</v>
      </c>
      <c r="H59" s="146"/>
      <c r="M59" s="137"/>
      <c r="N59" s="137"/>
      <c r="O59" s="137"/>
    </row>
    <row r="60" spans="2:15" s="135" customFormat="1" ht="13.5" customHeight="1">
      <c r="B60" s="145" t="s">
        <v>39</v>
      </c>
      <c r="C60" s="146" t="s">
        <v>328</v>
      </c>
      <c r="D60" s="146"/>
      <c r="E60" s="147"/>
      <c r="F60" s="147"/>
      <c r="G60" s="147">
        <f>G61+G65+G64+G63</f>
        <v>624.7714601864778</v>
      </c>
      <c r="H60" s="146"/>
      <c r="M60" s="137"/>
      <c r="N60" s="137"/>
      <c r="O60" s="137"/>
    </row>
    <row r="61" spans="2:15" s="135" customFormat="1" ht="13.5" customHeight="1">
      <c r="B61" s="145">
        <v>1</v>
      </c>
      <c r="C61" s="146" t="s">
        <v>329</v>
      </c>
      <c r="D61" s="149"/>
      <c r="E61" s="147"/>
      <c r="F61" s="147"/>
      <c r="G61" s="147">
        <f>SUM(G62:G62)</f>
        <v>126.94</v>
      </c>
      <c r="H61" s="146"/>
      <c r="M61" s="137"/>
      <c r="N61" s="137"/>
      <c r="O61" s="137"/>
    </row>
    <row r="62" spans="2:15" s="135" customFormat="1" ht="13.5" customHeight="1">
      <c r="B62" s="145"/>
      <c r="C62" s="149" t="s">
        <v>330</v>
      </c>
      <c r="D62" s="149" t="s">
        <v>163</v>
      </c>
      <c r="E62" s="147">
        <v>22</v>
      </c>
      <c r="F62" s="147">
        <f>'单价分析'!E16</f>
        <v>5.77</v>
      </c>
      <c r="G62" s="147">
        <f aca="true" t="shared" si="0" ref="G62:G69">F62*E62</f>
        <v>126.94</v>
      </c>
      <c r="H62" s="146"/>
      <c r="M62" s="137"/>
      <c r="N62" s="137"/>
      <c r="O62" s="137"/>
    </row>
    <row r="63" spans="2:15" s="135" customFormat="1" ht="13.5" customHeight="1">
      <c r="B63" s="145">
        <v>2</v>
      </c>
      <c r="C63" s="146" t="s">
        <v>364</v>
      </c>
      <c r="D63" s="146" t="s">
        <v>365</v>
      </c>
      <c r="E63" s="147"/>
      <c r="F63" s="147"/>
      <c r="G63" s="147">
        <f>E63*F63</f>
        <v>0</v>
      </c>
      <c r="H63" s="146"/>
      <c r="M63" s="137"/>
      <c r="N63" s="137"/>
      <c r="O63" s="137"/>
    </row>
    <row r="64" spans="2:15" s="135" customFormat="1" ht="13.5" customHeight="1">
      <c r="B64" s="145">
        <v>3</v>
      </c>
      <c r="C64" s="146" t="s">
        <v>331</v>
      </c>
      <c r="D64" s="146" t="s">
        <v>332</v>
      </c>
      <c r="E64" s="147">
        <v>5</v>
      </c>
      <c r="F64" s="147">
        <f>G61+G65</f>
        <v>595.020438272836</v>
      </c>
      <c r="G64" s="147">
        <f>F64*E64/100</f>
        <v>29.751021913641804</v>
      </c>
      <c r="H64" s="146"/>
      <c r="M64" s="137"/>
      <c r="N64" s="137"/>
      <c r="O64" s="137"/>
    </row>
    <row r="65" spans="2:15" s="135" customFormat="1" ht="13.5" customHeight="1">
      <c r="B65" s="145">
        <v>4</v>
      </c>
      <c r="C65" s="146" t="s">
        <v>366</v>
      </c>
      <c r="D65" s="146"/>
      <c r="E65" s="147"/>
      <c r="F65" s="147"/>
      <c r="G65" s="147">
        <f>SUM(G66:G70)</f>
        <v>468.08043827283603</v>
      </c>
      <c r="H65" s="146"/>
      <c r="M65" s="137"/>
      <c r="N65" s="137"/>
      <c r="O65" s="137"/>
    </row>
    <row r="66" spans="2:15" s="135" customFormat="1" ht="13.5" customHeight="1">
      <c r="B66" s="145"/>
      <c r="C66" s="146" t="s">
        <v>367</v>
      </c>
      <c r="D66" s="146" t="s">
        <v>335</v>
      </c>
      <c r="E66" s="147">
        <v>1.89</v>
      </c>
      <c r="F66" s="147">
        <f>'机械台班'!G18</f>
        <v>68.41267132030315</v>
      </c>
      <c r="G66" s="147">
        <f t="shared" si="0"/>
        <v>129.29994879537293</v>
      </c>
      <c r="H66" s="146"/>
      <c r="M66" s="137"/>
      <c r="N66" s="137"/>
      <c r="O66" s="137"/>
    </row>
    <row r="67" spans="2:15" s="135" customFormat="1" ht="13.5" customHeight="1">
      <c r="B67" s="145"/>
      <c r="C67" s="146" t="s">
        <v>197</v>
      </c>
      <c r="D67" s="146" t="s">
        <v>335</v>
      </c>
      <c r="E67" s="147">
        <v>3.22</v>
      </c>
      <c r="F67" s="147">
        <f>'台班总'!D7</f>
        <v>89.44234463502194</v>
      </c>
      <c r="G67" s="147">
        <f t="shared" si="0"/>
        <v>288.00434972477063</v>
      </c>
      <c r="H67" s="146"/>
      <c r="M67" s="137"/>
      <c r="N67" s="137"/>
      <c r="O67" s="137"/>
    </row>
    <row r="68" spans="2:15" s="135" customFormat="1" ht="13.5" customHeight="1">
      <c r="B68" s="145"/>
      <c r="C68" s="146" t="s">
        <v>368</v>
      </c>
      <c r="D68" s="146" t="s">
        <v>335</v>
      </c>
      <c r="E68" s="147">
        <v>1</v>
      </c>
      <c r="F68" s="147">
        <f>'台班总'!D12</f>
        <v>19.849431591543677</v>
      </c>
      <c r="G68" s="147">
        <f t="shared" si="0"/>
        <v>19.849431591543677</v>
      </c>
      <c r="H68" s="146"/>
      <c r="M68" s="137"/>
      <c r="N68" s="137"/>
      <c r="O68" s="137"/>
    </row>
    <row r="69" spans="2:15" s="135" customFormat="1" ht="13.5" customHeight="1">
      <c r="B69" s="145"/>
      <c r="C69" s="146" t="s">
        <v>369</v>
      </c>
      <c r="D69" s="146" t="s">
        <v>335</v>
      </c>
      <c r="E69" s="147">
        <v>0.26</v>
      </c>
      <c r="F69" s="147">
        <f>'台班总'!D5</f>
        <v>118.94887754287994</v>
      </c>
      <c r="G69" s="147">
        <f t="shared" si="0"/>
        <v>30.926708161148785</v>
      </c>
      <c r="H69" s="146"/>
      <c r="M69" s="137"/>
      <c r="N69" s="137"/>
      <c r="O69" s="137"/>
    </row>
    <row r="70" spans="2:15" s="135" customFormat="1" ht="13.5" customHeight="1">
      <c r="B70" s="145"/>
      <c r="C70" s="146" t="s">
        <v>370</v>
      </c>
      <c r="D70" s="146" t="s">
        <v>332</v>
      </c>
      <c r="E70" s="147"/>
      <c r="F70" s="147">
        <f>SUM(G66:G69)</f>
        <v>468.08043827283603</v>
      </c>
      <c r="G70" s="147">
        <f>F70*E70%</f>
        <v>0</v>
      </c>
      <c r="H70" s="146"/>
      <c r="M70" s="137"/>
      <c r="N70" s="137"/>
      <c r="O70" s="137"/>
    </row>
    <row r="71" spans="2:15" s="135" customFormat="1" ht="13.5" customHeight="1">
      <c r="B71" s="145" t="s">
        <v>63</v>
      </c>
      <c r="C71" s="146" t="s">
        <v>336</v>
      </c>
      <c r="D71" s="150">
        <v>0.048</v>
      </c>
      <c r="E71" s="147"/>
      <c r="F71" s="147"/>
      <c r="G71" s="147">
        <f>G60*D71</f>
        <v>29.989030088950937</v>
      </c>
      <c r="H71" s="146"/>
      <c r="M71" s="137"/>
      <c r="N71" s="137"/>
      <c r="O71" s="137"/>
    </row>
    <row r="72" spans="2:15" s="135" customFormat="1" ht="13.5" customHeight="1">
      <c r="B72" s="145" t="s">
        <v>355</v>
      </c>
      <c r="C72" s="146" t="s">
        <v>356</v>
      </c>
      <c r="D72" s="150"/>
      <c r="E72" s="147"/>
      <c r="F72" s="147"/>
      <c r="G72" s="147">
        <f>G60*D72</f>
        <v>0</v>
      </c>
      <c r="H72" s="146"/>
      <c r="M72" s="137"/>
      <c r="N72" s="137"/>
      <c r="O72" s="137"/>
    </row>
    <row r="73" spans="2:15" s="135" customFormat="1" ht="13.5" customHeight="1">
      <c r="B73" s="145" t="s">
        <v>18</v>
      </c>
      <c r="C73" s="146" t="s">
        <v>337</v>
      </c>
      <c r="D73" s="150">
        <v>0.045</v>
      </c>
      <c r="E73" s="147"/>
      <c r="F73" s="147"/>
      <c r="G73" s="147">
        <f>G59*D73</f>
        <v>29.464222062394292</v>
      </c>
      <c r="H73" s="146"/>
      <c r="M73" s="137"/>
      <c r="N73" s="137"/>
      <c r="O73" s="137"/>
    </row>
    <row r="74" spans="2:15" s="135" customFormat="1" ht="13.5" customHeight="1">
      <c r="B74" s="145" t="s">
        <v>20</v>
      </c>
      <c r="C74" s="146" t="s">
        <v>338</v>
      </c>
      <c r="D74" s="151">
        <v>0.05</v>
      </c>
      <c r="E74" s="147"/>
      <c r="F74" s="147"/>
      <c r="G74" s="147">
        <f>(G59+G73)*D74</f>
        <v>34.21123561689115</v>
      </c>
      <c r="H74" s="146"/>
      <c r="M74" s="137"/>
      <c r="N74" s="137"/>
      <c r="O74" s="137"/>
    </row>
    <row r="75" spans="2:15" s="135" customFormat="1" ht="13.5" customHeight="1">
      <c r="B75" s="145" t="s">
        <v>22</v>
      </c>
      <c r="C75" s="146" t="s">
        <v>339</v>
      </c>
      <c r="D75" s="152"/>
      <c r="E75" s="147"/>
      <c r="F75" s="147"/>
      <c r="G75" s="147">
        <f>G76</f>
        <v>214.83299999999997</v>
      </c>
      <c r="H75" s="146"/>
      <c r="M75" s="137"/>
      <c r="N75" s="137"/>
      <c r="O75" s="137"/>
    </row>
    <row r="76" spans="2:15" s="135" customFormat="1" ht="13.5" customHeight="1">
      <c r="B76" s="145"/>
      <c r="C76" s="146" t="s">
        <v>304</v>
      </c>
      <c r="D76" s="152" t="s">
        <v>307</v>
      </c>
      <c r="E76" s="147">
        <f>E66*'机械台班'!G13+E67*'机械台班'!E13+E69*'机械台班'!C13</f>
        <v>56.535</v>
      </c>
      <c r="F76" s="147">
        <f>'机械台班'!C32</f>
        <v>3.8</v>
      </c>
      <c r="G76" s="147">
        <f>F76*E76</f>
        <v>214.83299999999997</v>
      </c>
      <c r="H76" s="146"/>
      <c r="M76" s="137"/>
      <c r="N76" s="137"/>
      <c r="O76" s="137"/>
    </row>
    <row r="77" spans="2:15" s="135" customFormat="1" ht="13.5" customHeight="1">
      <c r="B77" s="145" t="s">
        <v>24</v>
      </c>
      <c r="C77" s="146" t="s">
        <v>340</v>
      </c>
      <c r="D77" s="152">
        <v>0.09</v>
      </c>
      <c r="E77" s="147"/>
      <c r="F77" s="147"/>
      <c r="G77" s="147">
        <f>(G59+G73+G74+G75)*D77</f>
        <v>83.99420531592426</v>
      </c>
      <c r="H77" s="146"/>
      <c r="M77" s="137"/>
      <c r="N77" s="137"/>
      <c r="O77" s="137"/>
    </row>
    <row r="78" spans="2:15" s="135" customFormat="1" ht="13.5" customHeight="1">
      <c r="B78" s="145"/>
      <c r="C78" s="146"/>
      <c r="D78" s="146"/>
      <c r="E78" s="147"/>
      <c r="F78" s="147"/>
      <c r="G78" s="147"/>
      <c r="H78" s="146"/>
      <c r="M78" s="137"/>
      <c r="N78" s="137"/>
      <c r="O78" s="137"/>
    </row>
    <row r="79" spans="2:15" s="135" customFormat="1" ht="13.5" customHeight="1">
      <c r="B79" s="145"/>
      <c r="C79" s="146" t="s">
        <v>36</v>
      </c>
      <c r="D79" s="146"/>
      <c r="E79" s="147"/>
      <c r="F79" s="147"/>
      <c r="G79" s="147">
        <f>G77+G75+G74++G73+G59</f>
        <v>1017.2631532706384</v>
      </c>
      <c r="H79" s="146"/>
      <c r="M79" s="137"/>
      <c r="N79" s="137"/>
      <c r="O79" s="137"/>
    </row>
    <row r="80" spans="2:15" s="135" customFormat="1" ht="13.5" customHeight="1">
      <c r="B80" s="145" t="s">
        <v>341</v>
      </c>
      <c r="C80" s="146" t="s">
        <v>342</v>
      </c>
      <c r="D80" s="153">
        <v>0.03</v>
      </c>
      <c r="E80" s="147"/>
      <c r="F80" s="147"/>
      <c r="G80" s="147">
        <f>G79*D80</f>
        <v>30.517894598119153</v>
      </c>
      <c r="H80" s="146"/>
      <c r="M80" s="137"/>
      <c r="N80" s="137"/>
      <c r="O80" s="137"/>
    </row>
    <row r="81" spans="2:15" s="135" customFormat="1" ht="13.5" customHeight="1">
      <c r="B81" s="145"/>
      <c r="C81" s="146" t="s">
        <v>343</v>
      </c>
      <c r="D81" s="146"/>
      <c r="E81" s="147"/>
      <c r="F81" s="147"/>
      <c r="G81" s="147">
        <f>SUM(G79:G80)</f>
        <v>1047.7810478687577</v>
      </c>
      <c r="H81" s="146"/>
      <c r="M81" s="137"/>
      <c r="N81" s="137"/>
      <c r="O81" s="137"/>
    </row>
    <row r="82" spans="2:15" s="135" customFormat="1" ht="19.5" customHeight="1">
      <c r="B82" s="138" t="s">
        <v>317</v>
      </c>
      <c r="C82" s="138"/>
      <c r="D82" s="138"/>
      <c r="E82" s="138"/>
      <c r="F82" s="138"/>
      <c r="G82" s="138"/>
      <c r="H82" s="138"/>
      <c r="J82" s="164"/>
      <c r="K82" s="165"/>
      <c r="L82" s="165"/>
      <c r="M82" s="165"/>
      <c r="N82" s="165"/>
      <c r="O82" s="165"/>
    </row>
    <row r="83" spans="2:15" s="135" customFormat="1" ht="13.5" customHeight="1">
      <c r="B83" s="139" t="s">
        <v>371</v>
      </c>
      <c r="C83" s="139"/>
      <c r="D83" s="139"/>
      <c r="E83" s="139"/>
      <c r="F83" s="139"/>
      <c r="G83" s="139"/>
      <c r="H83" s="139"/>
      <c r="J83" s="166"/>
      <c r="K83" s="166"/>
      <c r="L83" s="166"/>
      <c r="M83" s="166"/>
      <c r="N83" s="167"/>
      <c r="O83" s="168"/>
    </row>
    <row r="84" spans="2:15" s="135" customFormat="1" ht="13.5" customHeight="1">
      <c r="B84" s="140" t="s">
        <v>372</v>
      </c>
      <c r="C84" s="140"/>
      <c r="D84" s="140"/>
      <c r="E84" s="140"/>
      <c r="F84" s="137"/>
      <c r="G84" s="141" t="s">
        <v>320</v>
      </c>
      <c r="H84" s="141"/>
      <c r="J84" s="165"/>
      <c r="K84" s="165"/>
      <c r="L84" s="165"/>
      <c r="M84" s="165"/>
      <c r="N84" s="165"/>
      <c r="O84" s="165"/>
    </row>
    <row r="85" spans="2:15" s="135" customFormat="1" ht="13.5" customHeight="1">
      <c r="B85" s="142" t="s">
        <v>360</v>
      </c>
      <c r="C85" s="143"/>
      <c r="D85" s="143"/>
      <c r="E85" s="143"/>
      <c r="F85" s="143"/>
      <c r="G85" s="143"/>
      <c r="H85" s="144"/>
      <c r="J85" s="169"/>
      <c r="K85" s="170"/>
      <c r="L85" s="171"/>
      <c r="M85" s="171"/>
      <c r="N85" s="172"/>
      <c r="O85" s="173"/>
    </row>
    <row r="86" spans="2:15" s="135" customFormat="1" ht="27" customHeight="1">
      <c r="B86" s="145" t="s">
        <v>3</v>
      </c>
      <c r="C86" s="146" t="s">
        <v>322</v>
      </c>
      <c r="D86" s="146" t="s">
        <v>323</v>
      </c>
      <c r="E86" s="147" t="s">
        <v>324</v>
      </c>
      <c r="F86" s="148" t="s">
        <v>325</v>
      </c>
      <c r="G86" s="148" t="s">
        <v>326</v>
      </c>
      <c r="H86" s="146" t="s">
        <v>145</v>
      </c>
      <c r="J86" s="171"/>
      <c r="K86" s="171"/>
      <c r="L86" s="171"/>
      <c r="M86" s="171"/>
      <c r="N86" s="171"/>
      <c r="O86" s="174"/>
    </row>
    <row r="87" spans="2:15" s="135" customFormat="1" ht="13.5" customHeight="1">
      <c r="B87" s="145" t="s">
        <v>16</v>
      </c>
      <c r="C87" s="146" t="s">
        <v>327</v>
      </c>
      <c r="D87" s="146"/>
      <c r="E87" s="147"/>
      <c r="F87" s="147"/>
      <c r="G87" s="147">
        <f>G88+G97+G98</f>
        <v>1381.233084</v>
      </c>
      <c r="H87" s="146"/>
      <c r="J87" s="171"/>
      <c r="K87" s="171"/>
      <c r="L87" s="175"/>
      <c r="M87" s="171"/>
      <c r="N87" s="174"/>
      <c r="O87" s="174"/>
    </row>
    <row r="88" spans="2:17" s="135" customFormat="1" ht="13.5" customHeight="1">
      <c r="B88" s="145" t="s">
        <v>39</v>
      </c>
      <c r="C88" s="146" t="s">
        <v>328</v>
      </c>
      <c r="D88" s="146"/>
      <c r="E88" s="147"/>
      <c r="F88" s="147"/>
      <c r="G88" s="147">
        <f>G89+G92+G93</f>
        <v>1317.9705</v>
      </c>
      <c r="H88" s="146"/>
      <c r="J88" s="171"/>
      <c r="K88" s="175"/>
      <c r="L88" s="176"/>
      <c r="M88" s="171"/>
      <c r="N88" s="177"/>
      <c r="O88" s="174"/>
      <c r="Q88" s="163"/>
    </row>
    <row r="89" spans="2:17" s="135" customFormat="1" ht="13.5" customHeight="1">
      <c r="B89" s="145">
        <v>1</v>
      </c>
      <c r="C89" s="146" t="s">
        <v>329</v>
      </c>
      <c r="D89" s="149"/>
      <c r="E89" s="147"/>
      <c r="F89" s="147"/>
      <c r="G89" s="147">
        <f>SUM(G90:G91)</f>
        <v>635.21</v>
      </c>
      <c r="H89" s="146"/>
      <c r="J89" s="171"/>
      <c r="K89" s="175"/>
      <c r="L89" s="176"/>
      <c r="M89" s="171"/>
      <c r="N89" s="177"/>
      <c r="O89" s="174"/>
      <c r="Q89" s="163"/>
    </row>
    <row r="90" spans="2:17" s="135" customFormat="1" ht="13.5" customHeight="1">
      <c r="B90" s="145"/>
      <c r="C90" s="146" t="s">
        <v>351</v>
      </c>
      <c r="D90" s="149" t="s">
        <v>163</v>
      </c>
      <c r="E90" s="147">
        <v>2.2</v>
      </c>
      <c r="F90" s="147">
        <f>'单价分析'!E15</f>
        <v>8.1</v>
      </c>
      <c r="G90" s="147">
        <f>E90*F90</f>
        <v>17.82</v>
      </c>
      <c r="H90" s="146"/>
      <c r="J90" s="171"/>
      <c r="K90" s="175"/>
      <c r="L90" s="176"/>
      <c r="M90" s="171"/>
      <c r="N90" s="177"/>
      <c r="O90" s="174"/>
      <c r="Q90" s="163"/>
    </row>
    <row r="91" spans="2:15" s="135" customFormat="1" ht="13.5" customHeight="1">
      <c r="B91" s="145"/>
      <c r="C91" s="149" t="s">
        <v>330</v>
      </c>
      <c r="D91" s="149" t="s">
        <v>163</v>
      </c>
      <c r="E91" s="147">
        <v>107</v>
      </c>
      <c r="F91" s="147">
        <f>'单价分析'!E16</f>
        <v>5.77</v>
      </c>
      <c r="G91" s="147">
        <f>E91*F91</f>
        <v>617.39</v>
      </c>
      <c r="H91" s="146"/>
      <c r="J91" s="171"/>
      <c r="K91" s="175"/>
      <c r="L91" s="175"/>
      <c r="M91" s="171"/>
      <c r="N91" s="171"/>
      <c r="O91" s="174"/>
    </row>
    <row r="92" spans="2:15" s="135" customFormat="1" ht="13.5" customHeight="1">
      <c r="B92" s="145">
        <v>2</v>
      </c>
      <c r="C92" s="146" t="s">
        <v>331</v>
      </c>
      <c r="D92" s="146" t="s">
        <v>332</v>
      </c>
      <c r="E92" s="147">
        <v>5</v>
      </c>
      <c r="F92" s="147">
        <f>G93+G89</f>
        <v>1255.21</v>
      </c>
      <c r="G92" s="147">
        <f>F92*E92/100</f>
        <v>62.7605</v>
      </c>
      <c r="H92" s="146"/>
      <c r="J92" s="171"/>
      <c r="K92" s="178"/>
      <c r="L92" s="179"/>
      <c r="M92" s="171"/>
      <c r="N92" s="177"/>
      <c r="O92" s="174"/>
    </row>
    <row r="93" spans="2:15" s="135" customFormat="1" ht="13.5" customHeight="1">
      <c r="B93" s="145">
        <v>3</v>
      </c>
      <c r="C93" s="146" t="s">
        <v>373</v>
      </c>
      <c r="D93" s="146"/>
      <c r="E93" s="147"/>
      <c r="F93" s="147"/>
      <c r="G93" s="147">
        <f>SUM(G94)</f>
        <v>620</v>
      </c>
      <c r="H93" s="146"/>
      <c r="J93" s="171"/>
      <c r="K93" s="178"/>
      <c r="L93" s="179"/>
      <c r="M93" s="180"/>
      <c r="N93" s="181"/>
      <c r="O93" s="182"/>
    </row>
    <row r="94" spans="2:15" s="135" customFormat="1" ht="13.5" customHeight="1">
      <c r="B94" s="145"/>
      <c r="C94" s="146" t="s">
        <v>374</v>
      </c>
      <c r="D94" s="146" t="s">
        <v>365</v>
      </c>
      <c r="E94" s="147">
        <v>124</v>
      </c>
      <c r="F94" s="147">
        <v>5</v>
      </c>
      <c r="G94" s="147">
        <f>F94*E94</f>
        <v>620</v>
      </c>
      <c r="H94" s="146"/>
      <c r="J94" s="171"/>
      <c r="K94" s="178"/>
      <c r="L94" s="179"/>
      <c r="M94" s="180"/>
      <c r="N94" s="181"/>
      <c r="O94" s="182"/>
    </row>
    <row r="95" spans="2:15" s="135" customFormat="1" ht="13.5" customHeight="1">
      <c r="B95" s="145"/>
      <c r="C95" s="146"/>
      <c r="D95" s="146"/>
      <c r="E95" s="147"/>
      <c r="F95" s="147"/>
      <c r="G95" s="147"/>
      <c r="H95" s="146"/>
      <c r="J95" s="171"/>
      <c r="K95" s="183"/>
      <c r="L95" s="179"/>
      <c r="M95" s="184"/>
      <c r="N95" s="181"/>
      <c r="O95" s="182"/>
    </row>
    <row r="96" spans="2:15" s="135" customFormat="1" ht="13.5" customHeight="1">
      <c r="B96" s="145"/>
      <c r="C96" s="146"/>
      <c r="D96" s="146"/>
      <c r="E96" s="147"/>
      <c r="F96" s="147"/>
      <c r="G96" s="147"/>
      <c r="H96" s="146"/>
      <c r="J96" s="171"/>
      <c r="K96" s="175"/>
      <c r="L96" s="185"/>
      <c r="M96" s="171"/>
      <c r="N96" s="174"/>
      <c r="O96" s="174"/>
    </row>
    <row r="97" spans="2:15" s="135" customFormat="1" ht="13.5" customHeight="1">
      <c r="B97" s="145" t="s">
        <v>63</v>
      </c>
      <c r="C97" s="146" t="s">
        <v>336</v>
      </c>
      <c r="D97" s="150">
        <v>0.048</v>
      </c>
      <c r="E97" s="147"/>
      <c r="F97" s="147"/>
      <c r="G97" s="147">
        <f>G88*D97</f>
        <v>63.262584</v>
      </c>
      <c r="H97" s="146"/>
      <c r="J97" s="186"/>
      <c r="K97" s="187"/>
      <c r="L97" s="188"/>
      <c r="M97" s="186"/>
      <c r="N97" s="189"/>
      <c r="O97" s="189"/>
    </row>
    <row r="98" spans="2:15" s="135" customFormat="1" ht="13.5" customHeight="1">
      <c r="B98" s="145"/>
      <c r="C98" s="146"/>
      <c r="D98" s="150"/>
      <c r="E98" s="147"/>
      <c r="F98" s="147"/>
      <c r="G98" s="147"/>
      <c r="H98" s="146"/>
      <c r="J98" s="186"/>
      <c r="K98" s="187"/>
      <c r="L98" s="190"/>
      <c r="M98" s="186"/>
      <c r="N98" s="189"/>
      <c r="O98" s="189"/>
    </row>
    <row r="99" spans="2:15" s="135" customFormat="1" ht="13.5" customHeight="1">
      <c r="B99" s="145" t="s">
        <v>18</v>
      </c>
      <c r="C99" s="146" t="s">
        <v>337</v>
      </c>
      <c r="D99" s="150">
        <v>0.08</v>
      </c>
      <c r="E99" s="147"/>
      <c r="F99" s="147"/>
      <c r="G99" s="147">
        <f>G87*D99</f>
        <v>110.49864672</v>
      </c>
      <c r="H99" s="146"/>
      <c r="J99" s="186"/>
      <c r="K99" s="187"/>
      <c r="L99" s="188"/>
      <c r="M99" s="186"/>
      <c r="N99" s="189"/>
      <c r="O99" s="189"/>
    </row>
    <row r="100" spans="2:15" s="135" customFormat="1" ht="13.5" customHeight="1">
      <c r="B100" s="145" t="s">
        <v>20</v>
      </c>
      <c r="C100" s="146" t="s">
        <v>338</v>
      </c>
      <c r="D100" s="151">
        <v>0.05</v>
      </c>
      <c r="E100" s="147"/>
      <c r="F100" s="147"/>
      <c r="G100" s="147">
        <f>(G87+G99)*D100</f>
        <v>74.586586536</v>
      </c>
      <c r="H100" s="146"/>
      <c r="J100" s="186"/>
      <c r="K100" s="187"/>
      <c r="L100" s="191"/>
      <c r="M100" s="186"/>
      <c r="N100" s="189"/>
      <c r="O100" s="189"/>
    </row>
    <row r="101" spans="2:15" s="135" customFormat="1" ht="13.5" customHeight="1">
      <c r="B101" s="145" t="s">
        <v>22</v>
      </c>
      <c r="C101" s="146" t="s">
        <v>339</v>
      </c>
      <c r="D101" s="152"/>
      <c r="E101" s="147"/>
      <c r="F101" s="147"/>
      <c r="G101" s="147">
        <f>G102</f>
        <v>0</v>
      </c>
      <c r="H101" s="146"/>
      <c r="J101" s="186"/>
      <c r="K101" s="186"/>
      <c r="L101" s="186"/>
      <c r="M101" s="186"/>
      <c r="N101" s="186"/>
      <c r="O101" s="189"/>
    </row>
    <row r="102" spans="2:15" s="135" customFormat="1" ht="13.5" customHeight="1">
      <c r="B102" s="145"/>
      <c r="C102" s="146"/>
      <c r="D102" s="152"/>
      <c r="E102" s="147"/>
      <c r="F102" s="147"/>
      <c r="G102" s="147"/>
      <c r="H102" s="146"/>
      <c r="M102" s="137"/>
      <c r="N102" s="137"/>
      <c r="O102" s="137"/>
    </row>
    <row r="103" spans="2:15" s="135" customFormat="1" ht="13.5" customHeight="1">
      <c r="B103" s="145" t="s">
        <v>24</v>
      </c>
      <c r="C103" s="146" t="s">
        <v>340</v>
      </c>
      <c r="D103" s="152">
        <v>0.09</v>
      </c>
      <c r="E103" s="147"/>
      <c r="F103" s="147"/>
      <c r="G103" s="147">
        <f>(G87+G101+G99+G100)*D103</f>
        <v>140.96864855303997</v>
      </c>
      <c r="H103" s="146"/>
      <c r="M103" s="137"/>
      <c r="N103" s="137"/>
      <c r="O103" s="137"/>
    </row>
    <row r="104" spans="2:15" s="135" customFormat="1" ht="13.5" customHeight="1">
      <c r="B104" s="145"/>
      <c r="C104" s="146"/>
      <c r="D104" s="146"/>
      <c r="E104" s="147"/>
      <c r="F104" s="147"/>
      <c r="G104" s="147"/>
      <c r="H104" s="146"/>
      <c r="M104" s="137"/>
      <c r="N104" s="137"/>
      <c r="O104" s="137"/>
    </row>
    <row r="105" spans="2:15" s="135" customFormat="1" ht="13.5" customHeight="1">
      <c r="B105" s="145"/>
      <c r="C105" s="146" t="s">
        <v>36</v>
      </c>
      <c r="D105" s="146"/>
      <c r="E105" s="147"/>
      <c r="F105" s="147"/>
      <c r="G105" s="147">
        <f>G103+G101+G100++G99+G87</f>
        <v>1707.2869658090399</v>
      </c>
      <c r="H105" s="146"/>
      <c r="M105" s="137"/>
      <c r="N105" s="137"/>
      <c r="O105" s="137"/>
    </row>
    <row r="106" spans="2:15" s="135" customFormat="1" ht="13.5" customHeight="1">
      <c r="B106" s="145" t="s">
        <v>341</v>
      </c>
      <c r="C106" s="146" t="s">
        <v>342</v>
      </c>
      <c r="D106" s="153">
        <v>0.03</v>
      </c>
      <c r="E106" s="147"/>
      <c r="F106" s="147"/>
      <c r="G106" s="147">
        <f>G105*D106</f>
        <v>51.21860897427119</v>
      </c>
      <c r="H106" s="146"/>
      <c r="M106" s="137"/>
      <c r="N106" s="137"/>
      <c r="O106" s="137"/>
    </row>
    <row r="107" spans="2:15" s="135" customFormat="1" ht="13.5" customHeight="1">
      <c r="B107" s="145"/>
      <c r="C107" s="146" t="s">
        <v>343</v>
      </c>
      <c r="D107" s="152"/>
      <c r="E107" s="147"/>
      <c r="F107" s="147"/>
      <c r="G107" s="147">
        <f>G105+G106</f>
        <v>1758.505574783311</v>
      </c>
      <c r="H107" s="146"/>
      <c r="M107" s="137"/>
      <c r="N107" s="137"/>
      <c r="O107" s="137"/>
    </row>
    <row r="108" spans="3:15" s="135" customFormat="1" ht="13.5" customHeight="1">
      <c r="C108" s="14"/>
      <c r="E108" s="156"/>
      <c r="F108" s="156"/>
      <c r="G108" s="156"/>
      <c r="M108" s="137"/>
      <c r="N108" s="137"/>
      <c r="O108" s="137"/>
    </row>
    <row r="109" spans="2:15" s="135" customFormat="1" ht="13.5" customHeight="1">
      <c r="B109" s="13"/>
      <c r="C109" s="13"/>
      <c r="D109" s="13"/>
      <c r="E109" s="155"/>
      <c r="F109" s="155"/>
      <c r="G109" s="155"/>
      <c r="H109" s="13"/>
      <c r="M109" s="137"/>
      <c r="N109" s="137"/>
      <c r="O109" s="137"/>
    </row>
    <row r="110" spans="2:15" s="135" customFormat="1" ht="13.5" customHeight="1">
      <c r="B110" s="13"/>
      <c r="C110" s="13"/>
      <c r="D110" s="13"/>
      <c r="E110" s="155"/>
      <c r="F110" s="155"/>
      <c r="G110" s="155"/>
      <c r="H110" s="13"/>
      <c r="M110" s="137"/>
      <c r="N110" s="137"/>
      <c r="O110" s="137"/>
    </row>
    <row r="111" spans="2:15" s="135" customFormat="1" ht="13.5" customHeight="1">
      <c r="B111" s="13"/>
      <c r="C111" s="13"/>
      <c r="D111" s="13"/>
      <c r="E111" s="155"/>
      <c r="F111" s="155"/>
      <c r="G111" s="155"/>
      <c r="H111" s="13"/>
      <c r="M111" s="137"/>
      <c r="N111" s="137"/>
      <c r="O111" s="137"/>
    </row>
    <row r="112" spans="2:15" s="135" customFormat="1" ht="19.5" customHeight="1">
      <c r="B112" s="138" t="s">
        <v>317</v>
      </c>
      <c r="C112" s="138"/>
      <c r="D112" s="138"/>
      <c r="E112" s="138"/>
      <c r="F112" s="138"/>
      <c r="G112" s="138"/>
      <c r="H112" s="138"/>
      <c r="M112" s="137"/>
      <c r="N112" s="137"/>
      <c r="O112" s="137"/>
    </row>
    <row r="113" spans="2:15" s="135" customFormat="1" ht="13.5" customHeight="1">
      <c r="B113" s="139" t="s">
        <v>375</v>
      </c>
      <c r="C113" s="139"/>
      <c r="D113" s="139"/>
      <c r="E113" s="139"/>
      <c r="F113" s="139"/>
      <c r="G113" s="139"/>
      <c r="H113" s="139"/>
      <c r="M113" s="137"/>
      <c r="N113" s="137"/>
      <c r="O113" s="137"/>
    </row>
    <row r="114" spans="2:15" s="135" customFormat="1" ht="13.5" customHeight="1">
      <c r="B114" s="140" t="s">
        <v>376</v>
      </c>
      <c r="C114" s="140"/>
      <c r="D114" s="140"/>
      <c r="E114" s="140"/>
      <c r="F114" s="137"/>
      <c r="G114" s="141" t="s">
        <v>377</v>
      </c>
      <c r="H114" s="141"/>
      <c r="M114" s="137"/>
      <c r="N114" s="137"/>
      <c r="O114" s="137"/>
    </row>
    <row r="115" spans="2:15" s="135" customFormat="1" ht="13.5" customHeight="1">
      <c r="B115" s="142" t="s">
        <v>378</v>
      </c>
      <c r="C115" s="143"/>
      <c r="D115" s="143"/>
      <c r="E115" s="143"/>
      <c r="F115" s="143"/>
      <c r="G115" s="143"/>
      <c r="H115" s="144"/>
      <c r="M115" s="137"/>
      <c r="N115" s="137"/>
      <c r="O115" s="137"/>
    </row>
    <row r="116" spans="2:15" s="135" customFormat="1" ht="24.75" customHeight="1">
      <c r="B116" s="145" t="s">
        <v>3</v>
      </c>
      <c r="C116" s="146" t="s">
        <v>190</v>
      </c>
      <c r="D116" s="146" t="s">
        <v>323</v>
      </c>
      <c r="E116" s="147" t="s">
        <v>350</v>
      </c>
      <c r="F116" s="161" t="s">
        <v>362</v>
      </c>
      <c r="G116" s="161" t="s">
        <v>379</v>
      </c>
      <c r="H116" s="146" t="s">
        <v>145</v>
      </c>
      <c r="M116" s="137"/>
      <c r="N116" s="137"/>
      <c r="O116" s="137"/>
    </row>
    <row r="117" spans="2:15" s="135" customFormat="1" ht="13.5" customHeight="1">
      <c r="B117" s="145" t="s">
        <v>16</v>
      </c>
      <c r="C117" s="146" t="s">
        <v>327</v>
      </c>
      <c r="D117" s="146"/>
      <c r="E117" s="147"/>
      <c r="F117" s="147"/>
      <c r="G117" s="147">
        <f>G118+G123+G124</f>
        <v>106.03344359999998</v>
      </c>
      <c r="H117" s="146"/>
      <c r="M117" s="137"/>
      <c r="N117" s="137"/>
      <c r="O117" s="137"/>
    </row>
    <row r="118" spans="2:15" s="135" customFormat="1" ht="13.5" customHeight="1">
      <c r="B118" s="145" t="s">
        <v>39</v>
      </c>
      <c r="C118" s="146" t="s">
        <v>328</v>
      </c>
      <c r="D118" s="146"/>
      <c r="E118" s="147"/>
      <c r="F118" s="147"/>
      <c r="G118" s="147">
        <f>G119+G122</f>
        <v>101.17694999999999</v>
      </c>
      <c r="H118" s="146"/>
      <c r="M118" s="137"/>
      <c r="N118" s="137"/>
      <c r="O118" s="137"/>
    </row>
    <row r="119" spans="2:15" s="135" customFormat="1" ht="13.5" customHeight="1">
      <c r="B119" s="145">
        <v>1</v>
      </c>
      <c r="C119" s="146" t="s">
        <v>329</v>
      </c>
      <c r="D119" s="149"/>
      <c r="E119" s="147"/>
      <c r="F119" s="147"/>
      <c r="G119" s="147">
        <f>SUM(G120:G121)</f>
        <v>96.359</v>
      </c>
      <c r="H119" s="146"/>
      <c r="M119" s="137"/>
      <c r="N119" s="137"/>
      <c r="O119" s="137"/>
    </row>
    <row r="120" spans="2:15" s="135" customFormat="1" ht="13.5" customHeight="1">
      <c r="B120" s="145"/>
      <c r="C120" s="149" t="s">
        <v>351</v>
      </c>
      <c r="D120" s="149" t="s">
        <v>163</v>
      </c>
      <c r="E120" s="147"/>
      <c r="F120" s="147"/>
      <c r="G120" s="147">
        <f>F120*E120</f>
        <v>0</v>
      </c>
      <c r="H120" s="146"/>
      <c r="M120" s="137"/>
      <c r="N120" s="137"/>
      <c r="O120" s="137"/>
    </row>
    <row r="121" spans="2:15" s="135" customFormat="1" ht="13.5" customHeight="1">
      <c r="B121" s="145"/>
      <c r="C121" s="149" t="s">
        <v>330</v>
      </c>
      <c r="D121" s="149" t="s">
        <v>163</v>
      </c>
      <c r="E121" s="147">
        <v>16.7</v>
      </c>
      <c r="F121" s="147">
        <f>'单价分析'!E16</f>
        <v>5.77</v>
      </c>
      <c r="G121" s="147">
        <f>F121*E121</f>
        <v>96.359</v>
      </c>
      <c r="H121" s="146"/>
      <c r="M121" s="137"/>
      <c r="N121" s="137"/>
      <c r="O121" s="137"/>
    </row>
    <row r="122" spans="2:15" s="135" customFormat="1" ht="13.5" customHeight="1">
      <c r="B122" s="145">
        <v>2</v>
      </c>
      <c r="C122" s="146" t="s">
        <v>331</v>
      </c>
      <c r="D122" s="146" t="s">
        <v>332</v>
      </c>
      <c r="E122" s="147">
        <v>5</v>
      </c>
      <c r="F122" s="147"/>
      <c r="G122" s="147">
        <f>(G119)*E122/100</f>
        <v>4.81795</v>
      </c>
      <c r="H122" s="146"/>
      <c r="M122" s="137"/>
      <c r="N122" s="137"/>
      <c r="O122" s="137"/>
    </row>
    <row r="123" spans="2:15" s="135" customFormat="1" ht="13.5" customHeight="1">
      <c r="B123" s="145" t="s">
        <v>63</v>
      </c>
      <c r="C123" s="146" t="s">
        <v>336</v>
      </c>
      <c r="D123" s="150">
        <v>0.048</v>
      </c>
      <c r="E123" s="147"/>
      <c r="F123" s="147"/>
      <c r="G123" s="147">
        <f>G118*D123</f>
        <v>4.856493599999999</v>
      </c>
      <c r="H123" s="146"/>
      <c r="M123" s="137"/>
      <c r="N123" s="137"/>
      <c r="O123" s="137"/>
    </row>
    <row r="124" spans="2:15" s="135" customFormat="1" ht="13.5" customHeight="1">
      <c r="B124" s="145" t="s">
        <v>355</v>
      </c>
      <c r="C124" s="146" t="s">
        <v>356</v>
      </c>
      <c r="D124" s="150"/>
      <c r="E124" s="147"/>
      <c r="F124" s="147"/>
      <c r="G124" s="147">
        <f>G118*D124</f>
        <v>0</v>
      </c>
      <c r="H124" s="146"/>
      <c r="M124" s="137"/>
      <c r="N124" s="137"/>
      <c r="O124" s="137"/>
    </row>
    <row r="125" spans="2:15" s="135" customFormat="1" ht="13.5" customHeight="1">
      <c r="B125" s="145" t="s">
        <v>18</v>
      </c>
      <c r="C125" s="146" t="s">
        <v>337</v>
      </c>
      <c r="D125" s="150">
        <v>0.045</v>
      </c>
      <c r="E125" s="147"/>
      <c r="F125" s="147"/>
      <c r="G125" s="147">
        <f>G117*D125</f>
        <v>4.771504961999999</v>
      </c>
      <c r="H125" s="146"/>
      <c r="M125" s="137"/>
      <c r="N125" s="137"/>
      <c r="O125" s="137"/>
    </row>
    <row r="126" spans="2:15" s="135" customFormat="1" ht="13.5" customHeight="1">
      <c r="B126" s="145" t="s">
        <v>20</v>
      </c>
      <c r="C126" s="146" t="s">
        <v>338</v>
      </c>
      <c r="D126" s="151">
        <v>0.05</v>
      </c>
      <c r="E126" s="147"/>
      <c r="F126" s="147"/>
      <c r="G126" s="147">
        <f>(G117+G125)*D126</f>
        <v>5.540247428099999</v>
      </c>
      <c r="H126" s="146"/>
      <c r="M126" s="137"/>
      <c r="N126" s="137"/>
      <c r="O126" s="137"/>
    </row>
    <row r="127" spans="2:15" s="135" customFormat="1" ht="13.5" customHeight="1">
      <c r="B127" s="145" t="s">
        <v>22</v>
      </c>
      <c r="C127" s="146" t="s">
        <v>340</v>
      </c>
      <c r="D127" s="152">
        <v>0.09</v>
      </c>
      <c r="E127" s="147"/>
      <c r="F127" s="147"/>
      <c r="G127" s="147">
        <f>(G117+G125+G126)*D127</f>
        <v>10.471067639108998</v>
      </c>
      <c r="H127" s="146"/>
      <c r="M127" s="137"/>
      <c r="N127" s="137"/>
      <c r="O127" s="137"/>
    </row>
    <row r="128" spans="2:15" s="135" customFormat="1" ht="13.5" customHeight="1">
      <c r="B128" s="145"/>
      <c r="C128" s="146"/>
      <c r="D128" s="146"/>
      <c r="E128" s="147"/>
      <c r="F128" s="147"/>
      <c r="G128" s="147"/>
      <c r="H128" s="146"/>
      <c r="M128" s="137"/>
      <c r="N128" s="137"/>
      <c r="O128" s="137"/>
    </row>
    <row r="129" spans="2:15" s="135" customFormat="1" ht="13.5" customHeight="1">
      <c r="B129" s="145"/>
      <c r="C129" s="146" t="s">
        <v>357</v>
      </c>
      <c r="D129" s="146"/>
      <c r="E129" s="147"/>
      <c r="F129" s="147"/>
      <c r="G129" s="147">
        <f>G117++G125+G126+G127</f>
        <v>126.81626362920898</v>
      </c>
      <c r="H129" s="146"/>
      <c r="M129" s="137"/>
      <c r="N129" s="137"/>
      <c r="O129" s="137"/>
    </row>
    <row r="130" spans="2:15" s="135" customFormat="1" ht="13.5" customHeight="1">
      <c r="B130" s="145" t="s">
        <v>24</v>
      </c>
      <c r="C130" s="146" t="s">
        <v>342</v>
      </c>
      <c r="D130" s="153">
        <v>0.03</v>
      </c>
      <c r="E130" s="147"/>
      <c r="F130" s="147"/>
      <c r="G130" s="147">
        <f>G129*D130</f>
        <v>3.8044879088762693</v>
      </c>
      <c r="H130" s="146"/>
      <c r="M130" s="137"/>
      <c r="N130" s="137"/>
      <c r="O130" s="137"/>
    </row>
    <row r="131" spans="2:15" s="135" customFormat="1" ht="13.5" customHeight="1">
      <c r="B131" s="145"/>
      <c r="C131" s="146" t="s">
        <v>343</v>
      </c>
      <c r="D131" s="146"/>
      <c r="E131" s="147"/>
      <c r="F131" s="147"/>
      <c r="G131" s="147">
        <f>SUM(G129:G130)</f>
        <v>130.62075153808524</v>
      </c>
      <c r="H131" s="146"/>
      <c r="M131" s="137"/>
      <c r="N131" s="137"/>
      <c r="O131" s="137"/>
    </row>
    <row r="132" spans="2:15" s="135" customFormat="1" ht="13.5" customHeight="1">
      <c r="B132" s="13"/>
      <c r="C132" s="13"/>
      <c r="D132" s="13"/>
      <c r="E132" s="155"/>
      <c r="F132" s="155"/>
      <c r="G132" s="155"/>
      <c r="H132" s="13"/>
      <c r="M132" s="137"/>
      <c r="N132" s="137"/>
      <c r="O132" s="137"/>
    </row>
    <row r="133" spans="2:15" s="135" customFormat="1" ht="13.5" customHeight="1">
      <c r="B133" s="13"/>
      <c r="C133" s="13"/>
      <c r="D133" s="13"/>
      <c r="E133" s="155"/>
      <c r="F133" s="155"/>
      <c r="G133" s="155"/>
      <c r="H133" s="13"/>
      <c r="M133" s="137"/>
      <c r="N133" s="137"/>
      <c r="O133" s="137"/>
    </row>
    <row r="134" spans="2:24" s="135" customFormat="1" ht="19.5" customHeight="1">
      <c r="B134" s="138" t="s">
        <v>317</v>
      </c>
      <c r="C134" s="138"/>
      <c r="D134" s="138"/>
      <c r="E134" s="138"/>
      <c r="F134" s="138"/>
      <c r="G134" s="138"/>
      <c r="H134" s="138"/>
      <c r="J134" s="138" t="s">
        <v>317</v>
      </c>
      <c r="K134" s="138"/>
      <c r="L134" s="138"/>
      <c r="M134" s="138"/>
      <c r="N134" s="138"/>
      <c r="O134" s="138"/>
      <c r="P134" s="138"/>
      <c r="R134" s="138" t="s">
        <v>317</v>
      </c>
      <c r="S134" s="138"/>
      <c r="T134" s="138"/>
      <c r="U134" s="138"/>
      <c r="V134" s="138"/>
      <c r="W134" s="138"/>
      <c r="X134" s="138"/>
    </row>
    <row r="135" spans="2:24" s="135" customFormat="1" ht="13.5" customHeight="1">
      <c r="B135" s="139" t="s">
        <v>380</v>
      </c>
      <c r="C135" s="139"/>
      <c r="D135" s="139"/>
      <c r="E135" s="139"/>
      <c r="F135" s="139"/>
      <c r="G135" s="139"/>
      <c r="H135" s="139"/>
      <c r="J135" s="139" t="s">
        <v>380</v>
      </c>
      <c r="K135" s="139"/>
      <c r="L135" s="139"/>
      <c r="M135" s="139"/>
      <c r="N135" s="139"/>
      <c r="O135" s="139"/>
      <c r="P135" s="139"/>
      <c r="R135" s="139" t="s">
        <v>380</v>
      </c>
      <c r="S135" s="139"/>
      <c r="T135" s="139"/>
      <c r="U135" s="139"/>
      <c r="V135" s="139"/>
      <c r="W135" s="139"/>
      <c r="X135" s="139"/>
    </row>
    <row r="136" spans="2:24" s="135" customFormat="1" ht="13.5" customHeight="1">
      <c r="B136" s="140" t="s">
        <v>381</v>
      </c>
      <c r="C136" s="140"/>
      <c r="D136" s="140"/>
      <c r="E136" s="140"/>
      <c r="F136" s="192"/>
      <c r="G136" s="141" t="s">
        <v>320</v>
      </c>
      <c r="H136" s="141"/>
      <c r="J136" s="140" t="s">
        <v>381</v>
      </c>
      <c r="K136" s="140"/>
      <c r="L136" s="140"/>
      <c r="M136" s="140"/>
      <c r="N136" s="192"/>
      <c r="O136" s="141" t="s">
        <v>320</v>
      </c>
      <c r="P136" s="141"/>
      <c r="R136" s="140" t="s">
        <v>382</v>
      </c>
      <c r="S136" s="140"/>
      <c r="T136" s="140"/>
      <c r="U136" s="140"/>
      <c r="V136" s="192"/>
      <c r="W136" s="141" t="s">
        <v>320</v>
      </c>
      <c r="X136" s="141"/>
    </row>
    <row r="137" spans="2:24" s="135" customFormat="1" ht="13.5" customHeight="1">
      <c r="B137" s="142" t="s">
        <v>383</v>
      </c>
      <c r="C137" s="143"/>
      <c r="D137" s="143"/>
      <c r="E137" s="143"/>
      <c r="F137" s="143"/>
      <c r="G137" s="143"/>
      <c r="H137" s="144"/>
      <c r="J137" s="142" t="s">
        <v>384</v>
      </c>
      <c r="K137" s="143"/>
      <c r="L137" s="143"/>
      <c r="M137" s="143"/>
      <c r="N137" s="143"/>
      <c r="O137" s="143"/>
      <c r="P137" s="144"/>
      <c r="R137" s="142" t="s">
        <v>385</v>
      </c>
      <c r="S137" s="143"/>
      <c r="T137" s="143"/>
      <c r="U137" s="143"/>
      <c r="V137" s="143"/>
      <c r="W137" s="143"/>
      <c r="X137" s="144"/>
    </row>
    <row r="138" spans="2:24" s="135" customFormat="1" ht="31.5" customHeight="1">
      <c r="B138" s="145" t="s">
        <v>3</v>
      </c>
      <c r="C138" s="146" t="s">
        <v>322</v>
      </c>
      <c r="D138" s="146" t="s">
        <v>323</v>
      </c>
      <c r="E138" s="147" t="s">
        <v>324</v>
      </c>
      <c r="F138" s="148" t="s">
        <v>325</v>
      </c>
      <c r="G138" s="148" t="s">
        <v>326</v>
      </c>
      <c r="H138" s="146" t="s">
        <v>386</v>
      </c>
      <c r="J138" s="145" t="s">
        <v>3</v>
      </c>
      <c r="K138" s="146" t="s">
        <v>322</v>
      </c>
      <c r="L138" s="146" t="s">
        <v>323</v>
      </c>
      <c r="M138" s="147" t="s">
        <v>324</v>
      </c>
      <c r="N138" s="148" t="s">
        <v>325</v>
      </c>
      <c r="O138" s="148" t="s">
        <v>326</v>
      </c>
      <c r="P138" s="146" t="s">
        <v>386</v>
      </c>
      <c r="R138" s="145" t="s">
        <v>3</v>
      </c>
      <c r="S138" s="146" t="s">
        <v>322</v>
      </c>
      <c r="T138" s="146" t="s">
        <v>323</v>
      </c>
      <c r="U138" s="147" t="s">
        <v>324</v>
      </c>
      <c r="V138" s="148" t="s">
        <v>325</v>
      </c>
      <c r="W138" s="148" t="s">
        <v>326</v>
      </c>
      <c r="X138" s="146" t="s">
        <v>386</v>
      </c>
    </row>
    <row r="139" spans="2:24" s="135" customFormat="1" ht="13.5" customHeight="1">
      <c r="B139" s="145" t="s">
        <v>16</v>
      </c>
      <c r="C139" s="146" t="s">
        <v>327</v>
      </c>
      <c r="D139" s="146"/>
      <c r="E139" s="147"/>
      <c r="F139" s="147"/>
      <c r="G139" s="147">
        <f>G140+G149+G150</f>
        <v>1763.6840248356566</v>
      </c>
      <c r="H139" s="146"/>
      <c r="J139" s="145" t="s">
        <v>16</v>
      </c>
      <c r="K139" s="146" t="s">
        <v>327</v>
      </c>
      <c r="L139" s="146"/>
      <c r="M139" s="147"/>
      <c r="N139" s="147"/>
      <c r="O139" s="147">
        <f>O140+O149+O150</f>
        <v>2330.801387363267</v>
      </c>
      <c r="P139" s="146"/>
      <c r="R139" s="145" t="s">
        <v>16</v>
      </c>
      <c r="S139" s="146" t="s">
        <v>327</v>
      </c>
      <c r="T139" s="146"/>
      <c r="U139" s="147"/>
      <c r="V139" s="147"/>
      <c r="W139" s="147">
        <f>W140+W149+W150</f>
        <v>956.848968643893</v>
      </c>
      <c r="X139" s="146"/>
    </row>
    <row r="140" spans="2:24" s="135" customFormat="1" ht="13.5" customHeight="1">
      <c r="B140" s="145" t="s">
        <v>39</v>
      </c>
      <c r="C140" s="146" t="s">
        <v>328</v>
      </c>
      <c r="D140" s="146"/>
      <c r="E140" s="147"/>
      <c r="F140" s="147"/>
      <c r="G140" s="147">
        <f>G141+G144+G143</f>
        <v>1682.9046038508175</v>
      </c>
      <c r="H140" s="146"/>
      <c r="J140" s="145" t="s">
        <v>39</v>
      </c>
      <c r="K140" s="146" t="s">
        <v>328</v>
      </c>
      <c r="L140" s="146"/>
      <c r="M140" s="147"/>
      <c r="N140" s="147"/>
      <c r="O140" s="147">
        <f>O141+O144+O143</f>
        <v>2224.047125346629</v>
      </c>
      <c r="P140" s="146"/>
      <c r="R140" s="145" t="s">
        <v>39</v>
      </c>
      <c r="S140" s="146" t="s">
        <v>328</v>
      </c>
      <c r="T140" s="146"/>
      <c r="U140" s="147"/>
      <c r="V140" s="147"/>
      <c r="W140" s="147">
        <f>W141+W144+W143</f>
        <v>913.0238250418827</v>
      </c>
      <c r="X140" s="146"/>
    </row>
    <row r="141" spans="2:24" s="135" customFormat="1" ht="13.5" customHeight="1">
      <c r="B141" s="145">
        <v>1</v>
      </c>
      <c r="C141" s="146" t="s">
        <v>329</v>
      </c>
      <c r="D141" s="149"/>
      <c r="E141" s="147"/>
      <c r="F141" s="147"/>
      <c r="G141" s="147">
        <f>SUM(G142:G142)</f>
        <v>30.003999999999998</v>
      </c>
      <c r="H141" s="146"/>
      <c r="J141" s="145">
        <v>1</v>
      </c>
      <c r="K141" s="146" t="s">
        <v>329</v>
      </c>
      <c r="L141" s="149"/>
      <c r="M141" s="147"/>
      <c r="N141" s="147"/>
      <c r="O141" s="147">
        <f>SUM(O142:O142)</f>
        <v>30.003999999999998</v>
      </c>
      <c r="P141" s="146"/>
      <c r="R141" s="145">
        <v>1</v>
      </c>
      <c r="S141" s="146" t="s">
        <v>329</v>
      </c>
      <c r="T141" s="149"/>
      <c r="U141" s="147"/>
      <c r="V141" s="147"/>
      <c r="W141" s="147">
        <f>SUM(W142:W142)</f>
        <v>30.003999999999998</v>
      </c>
      <c r="X141" s="146"/>
    </row>
    <row r="142" spans="2:24" s="135" customFormat="1" ht="13.5" customHeight="1">
      <c r="B142" s="145"/>
      <c r="C142" s="149" t="s">
        <v>330</v>
      </c>
      <c r="D142" s="149" t="s">
        <v>163</v>
      </c>
      <c r="E142" s="147">
        <v>5.2</v>
      </c>
      <c r="F142" s="147">
        <f>'单价分析'!E16</f>
        <v>5.77</v>
      </c>
      <c r="G142" s="147">
        <f aca="true" t="shared" si="1" ref="G142:G147">F142*E142</f>
        <v>30.003999999999998</v>
      </c>
      <c r="H142" s="146"/>
      <c r="J142" s="145"/>
      <c r="K142" s="149" t="s">
        <v>330</v>
      </c>
      <c r="L142" s="149" t="s">
        <v>163</v>
      </c>
      <c r="M142" s="147">
        <v>5.2</v>
      </c>
      <c r="N142" s="147">
        <f>F142</f>
        <v>5.77</v>
      </c>
      <c r="O142" s="147">
        <f aca="true" t="shared" si="2" ref="O142:O147">N142*M142</f>
        <v>30.003999999999998</v>
      </c>
      <c r="P142" s="146"/>
      <c r="R142" s="145"/>
      <c r="S142" s="149" t="s">
        <v>330</v>
      </c>
      <c r="T142" s="149" t="s">
        <v>163</v>
      </c>
      <c r="U142" s="147">
        <v>5.2</v>
      </c>
      <c r="V142" s="147">
        <f>N142</f>
        <v>5.77</v>
      </c>
      <c r="W142" s="147">
        <f aca="true" t="shared" si="3" ref="W142:W147">V142*U142</f>
        <v>30.003999999999998</v>
      </c>
      <c r="X142" s="146"/>
    </row>
    <row r="143" spans="2:24" s="135" customFormat="1" ht="13.5" customHeight="1">
      <c r="B143" s="145">
        <v>2</v>
      </c>
      <c r="C143" s="146" t="s">
        <v>331</v>
      </c>
      <c r="D143" s="146" t="s">
        <v>332</v>
      </c>
      <c r="E143" s="147">
        <v>5</v>
      </c>
      <c r="F143" s="147">
        <f>G144+G141</f>
        <v>1602.766289381731</v>
      </c>
      <c r="G143" s="147">
        <f>F143*E143/100</f>
        <v>80.13831446908654</v>
      </c>
      <c r="H143" s="146"/>
      <c r="J143" s="145">
        <v>2</v>
      </c>
      <c r="K143" s="146" t="s">
        <v>331</v>
      </c>
      <c r="L143" s="146" t="s">
        <v>332</v>
      </c>
      <c r="M143" s="147">
        <v>5</v>
      </c>
      <c r="N143" s="147">
        <f>O144+O141</f>
        <v>2118.140119377742</v>
      </c>
      <c r="O143" s="147">
        <f>N143*M143/100</f>
        <v>105.90700596888709</v>
      </c>
      <c r="P143" s="146"/>
      <c r="R143" s="145">
        <v>2</v>
      </c>
      <c r="S143" s="146" t="s">
        <v>331</v>
      </c>
      <c r="T143" s="146" t="s">
        <v>332</v>
      </c>
      <c r="U143" s="147">
        <v>5</v>
      </c>
      <c r="V143" s="147">
        <f>W144+W141</f>
        <v>869.5465000398882</v>
      </c>
      <c r="W143" s="147">
        <f>V143*U143/100</f>
        <v>43.477325001994416</v>
      </c>
      <c r="X143" s="146"/>
    </row>
    <row r="144" spans="2:24" s="135" customFormat="1" ht="13.5" customHeight="1">
      <c r="B144" s="145">
        <v>3</v>
      </c>
      <c r="C144" s="146" t="s">
        <v>366</v>
      </c>
      <c r="D144" s="146"/>
      <c r="E144" s="147"/>
      <c r="F144" s="147"/>
      <c r="G144" s="147">
        <f>G145+G146+G147</f>
        <v>1572.762289381731</v>
      </c>
      <c r="H144" s="146"/>
      <c r="J144" s="145">
        <v>3</v>
      </c>
      <c r="K144" s="146" t="s">
        <v>366</v>
      </c>
      <c r="L144" s="146"/>
      <c r="M144" s="147"/>
      <c r="N144" s="147"/>
      <c r="O144" s="147">
        <f>O145+O146+O147</f>
        <v>2088.136119377742</v>
      </c>
      <c r="P144" s="146"/>
      <c r="R144" s="145">
        <v>3</v>
      </c>
      <c r="S144" s="146" t="s">
        <v>366</v>
      </c>
      <c r="T144" s="146"/>
      <c r="U144" s="147"/>
      <c r="V144" s="147"/>
      <c r="W144" s="147">
        <f>W145+W146+W147</f>
        <v>839.5425000398882</v>
      </c>
      <c r="X144" s="146"/>
    </row>
    <row r="145" spans="2:24" s="135" customFormat="1" ht="13.5" customHeight="1">
      <c r="B145" s="145"/>
      <c r="C145" s="146" t="s">
        <v>387</v>
      </c>
      <c r="D145" s="146" t="s">
        <v>335</v>
      </c>
      <c r="E145" s="147">
        <f>12.3+5*1.41</f>
        <v>19.35</v>
      </c>
      <c r="F145" s="147">
        <f>'台班总'!D19</f>
        <v>73.10267092142001</v>
      </c>
      <c r="G145" s="147">
        <f t="shared" si="1"/>
        <v>1414.5366823294773</v>
      </c>
      <c r="H145" s="146"/>
      <c r="J145" s="145"/>
      <c r="K145" s="146" t="s">
        <v>387</v>
      </c>
      <c r="L145" s="146" t="s">
        <v>335</v>
      </c>
      <c r="M145" s="147">
        <f>12.3+10*1.41</f>
        <v>26.4</v>
      </c>
      <c r="N145" s="147">
        <f>F145</f>
        <v>73.10267092142001</v>
      </c>
      <c r="O145" s="147">
        <f t="shared" si="2"/>
        <v>1929.9105123254883</v>
      </c>
      <c r="P145" s="146"/>
      <c r="R145" s="145"/>
      <c r="S145" s="146" t="s">
        <v>387</v>
      </c>
      <c r="T145" s="146" t="s">
        <v>335</v>
      </c>
      <c r="U145" s="147">
        <v>9.32</v>
      </c>
      <c r="V145" s="147">
        <f>N145</f>
        <v>73.10267092142001</v>
      </c>
      <c r="W145" s="147">
        <f t="shared" si="3"/>
        <v>681.3168929876346</v>
      </c>
      <c r="X145" s="146"/>
    </row>
    <row r="146" spans="2:24" s="135" customFormat="1" ht="13.5" customHeight="1">
      <c r="B146" s="145"/>
      <c r="C146" s="146" t="s">
        <v>334</v>
      </c>
      <c r="D146" s="146" t="s">
        <v>335</v>
      </c>
      <c r="E146" s="147">
        <v>1.04</v>
      </c>
      <c r="F146" s="147">
        <f>'台班总'!D5</f>
        <v>118.94887754287994</v>
      </c>
      <c r="G146" s="147">
        <f t="shared" si="1"/>
        <v>123.70683264459514</v>
      </c>
      <c r="H146" s="146"/>
      <c r="J146" s="145"/>
      <c r="K146" s="146" t="s">
        <v>334</v>
      </c>
      <c r="L146" s="146" t="s">
        <v>335</v>
      </c>
      <c r="M146" s="147">
        <v>1.04</v>
      </c>
      <c r="N146" s="147">
        <f>F146</f>
        <v>118.94887754287994</v>
      </c>
      <c r="O146" s="147">
        <f t="shared" si="2"/>
        <v>123.70683264459514</v>
      </c>
      <c r="P146" s="146"/>
      <c r="R146" s="145"/>
      <c r="S146" s="146" t="s">
        <v>334</v>
      </c>
      <c r="T146" s="146" t="s">
        <v>335</v>
      </c>
      <c r="U146" s="147">
        <v>1.04</v>
      </c>
      <c r="V146" s="147">
        <f>N146</f>
        <v>118.94887754287994</v>
      </c>
      <c r="W146" s="147">
        <f t="shared" si="3"/>
        <v>123.70683264459514</v>
      </c>
      <c r="X146" s="146"/>
    </row>
    <row r="147" spans="2:24" s="135" customFormat="1" ht="13.5" customHeight="1">
      <c r="B147" s="145"/>
      <c r="C147" s="146" t="s">
        <v>196</v>
      </c>
      <c r="D147" s="146" t="s">
        <v>335</v>
      </c>
      <c r="E147" s="147">
        <v>0.52</v>
      </c>
      <c r="F147" s="147">
        <f>'台班总'!D6</f>
        <v>66.38225847626644</v>
      </c>
      <c r="G147" s="147">
        <f t="shared" si="1"/>
        <v>34.518774407658555</v>
      </c>
      <c r="H147" s="146"/>
      <c r="J147" s="145"/>
      <c r="K147" s="146" t="s">
        <v>196</v>
      </c>
      <c r="L147" s="146" t="s">
        <v>335</v>
      </c>
      <c r="M147" s="147">
        <v>0.52</v>
      </c>
      <c r="N147" s="147">
        <f>F147</f>
        <v>66.38225847626644</v>
      </c>
      <c r="O147" s="147">
        <f t="shared" si="2"/>
        <v>34.518774407658555</v>
      </c>
      <c r="P147" s="146"/>
      <c r="R147" s="145"/>
      <c r="S147" s="146" t="s">
        <v>196</v>
      </c>
      <c r="T147" s="146" t="s">
        <v>335</v>
      </c>
      <c r="U147" s="147">
        <v>0.52</v>
      </c>
      <c r="V147" s="147">
        <f>N147</f>
        <v>66.38225847626644</v>
      </c>
      <c r="W147" s="147">
        <f t="shared" si="3"/>
        <v>34.518774407658555</v>
      </c>
      <c r="X147" s="146"/>
    </row>
    <row r="148" spans="2:24" s="135" customFormat="1" ht="13.5" customHeight="1">
      <c r="B148" s="145"/>
      <c r="C148" s="146"/>
      <c r="D148" s="146"/>
      <c r="E148" s="147"/>
      <c r="F148" s="147"/>
      <c r="G148" s="147"/>
      <c r="H148" s="146"/>
      <c r="J148" s="145"/>
      <c r="K148" s="146"/>
      <c r="L148" s="146"/>
      <c r="M148" s="147"/>
      <c r="N148" s="147"/>
      <c r="O148" s="147"/>
      <c r="P148" s="146"/>
      <c r="R148" s="145"/>
      <c r="S148" s="146"/>
      <c r="T148" s="146"/>
      <c r="U148" s="147"/>
      <c r="V148" s="147"/>
      <c r="W148" s="147"/>
      <c r="X148" s="146"/>
    </row>
    <row r="149" spans="2:24" s="135" customFormat="1" ht="13.5" customHeight="1">
      <c r="B149" s="145" t="s">
        <v>63</v>
      </c>
      <c r="C149" s="146" t="s">
        <v>336</v>
      </c>
      <c r="D149" s="150">
        <v>0.048</v>
      </c>
      <c r="E149" s="147"/>
      <c r="F149" s="147"/>
      <c r="G149" s="147">
        <f>G140*D149</f>
        <v>80.77942098483923</v>
      </c>
      <c r="H149" s="146"/>
      <c r="J149" s="145" t="s">
        <v>63</v>
      </c>
      <c r="K149" s="146" t="s">
        <v>336</v>
      </c>
      <c r="L149" s="150">
        <v>0.048</v>
      </c>
      <c r="M149" s="147"/>
      <c r="N149" s="147"/>
      <c r="O149" s="147">
        <f>O140*L149</f>
        <v>106.7542620166382</v>
      </c>
      <c r="P149" s="146"/>
      <c r="R149" s="145" t="s">
        <v>63</v>
      </c>
      <c r="S149" s="146" t="s">
        <v>336</v>
      </c>
      <c r="T149" s="150">
        <v>0.048</v>
      </c>
      <c r="U149" s="147"/>
      <c r="V149" s="147"/>
      <c r="W149" s="147">
        <f>W140*T149</f>
        <v>43.82514360201037</v>
      </c>
      <c r="X149" s="146"/>
    </row>
    <row r="150" spans="2:24" s="135" customFormat="1" ht="13.5" customHeight="1">
      <c r="B150" s="145" t="s">
        <v>355</v>
      </c>
      <c r="C150" s="146" t="s">
        <v>356</v>
      </c>
      <c r="D150" s="150"/>
      <c r="E150" s="147"/>
      <c r="F150" s="147"/>
      <c r="G150" s="147">
        <f>G140*D150</f>
        <v>0</v>
      </c>
      <c r="H150" s="146"/>
      <c r="J150" s="145" t="s">
        <v>355</v>
      </c>
      <c r="K150" s="146" t="s">
        <v>356</v>
      </c>
      <c r="L150" s="150"/>
      <c r="M150" s="147"/>
      <c r="N150" s="147"/>
      <c r="O150" s="147">
        <f>O140*L150</f>
        <v>0</v>
      </c>
      <c r="P150" s="146"/>
      <c r="R150" s="145" t="s">
        <v>355</v>
      </c>
      <c r="S150" s="146" t="s">
        <v>356</v>
      </c>
      <c r="T150" s="150"/>
      <c r="U150" s="147"/>
      <c r="V150" s="147"/>
      <c r="W150" s="147">
        <f>W140*T150</f>
        <v>0</v>
      </c>
      <c r="X150" s="146"/>
    </row>
    <row r="151" spans="2:24" s="135" customFormat="1" ht="13.5" customHeight="1">
      <c r="B151" s="145" t="s">
        <v>18</v>
      </c>
      <c r="C151" s="146" t="s">
        <v>337</v>
      </c>
      <c r="D151" s="150">
        <v>0.045</v>
      </c>
      <c r="E151" s="147"/>
      <c r="F151" s="147"/>
      <c r="G151" s="147">
        <f>G139*D151</f>
        <v>79.36578111760454</v>
      </c>
      <c r="H151" s="146"/>
      <c r="J151" s="145" t="s">
        <v>18</v>
      </c>
      <c r="K151" s="146" t="s">
        <v>337</v>
      </c>
      <c r="L151" s="150">
        <v>0.045</v>
      </c>
      <c r="M151" s="147"/>
      <c r="N151" s="147"/>
      <c r="O151" s="147">
        <f>O139*L151</f>
        <v>104.88606243134701</v>
      </c>
      <c r="P151" s="146"/>
      <c r="R151" s="145" t="s">
        <v>18</v>
      </c>
      <c r="S151" s="146" t="s">
        <v>337</v>
      </c>
      <c r="T151" s="150">
        <v>0.045</v>
      </c>
      <c r="U151" s="147"/>
      <c r="V151" s="147"/>
      <c r="W151" s="147">
        <f>W139*T151</f>
        <v>43.05820358897518</v>
      </c>
      <c r="X151" s="146"/>
    </row>
    <row r="152" spans="2:24" s="135" customFormat="1" ht="13.5" customHeight="1">
      <c r="B152" s="145" t="s">
        <v>20</v>
      </c>
      <c r="C152" s="146" t="s">
        <v>338</v>
      </c>
      <c r="D152" s="151">
        <v>0.05</v>
      </c>
      <c r="E152" s="147"/>
      <c r="F152" s="147"/>
      <c r="G152" s="147">
        <f>(G139+G151)*D152</f>
        <v>92.15249029766306</v>
      </c>
      <c r="H152" s="146"/>
      <c r="J152" s="145" t="s">
        <v>20</v>
      </c>
      <c r="K152" s="146" t="s">
        <v>338</v>
      </c>
      <c r="L152" s="151">
        <v>0.05</v>
      </c>
      <c r="M152" s="147"/>
      <c r="N152" s="147"/>
      <c r="O152" s="147">
        <f>(O139+O151)*L152</f>
        <v>121.78437248973071</v>
      </c>
      <c r="P152" s="146"/>
      <c r="R152" s="145" t="s">
        <v>20</v>
      </c>
      <c r="S152" s="146" t="s">
        <v>338</v>
      </c>
      <c r="T152" s="151">
        <v>0.05</v>
      </c>
      <c r="U152" s="147"/>
      <c r="V152" s="147"/>
      <c r="W152" s="147">
        <f>(W139+W151)*T152</f>
        <v>49.99535861164341</v>
      </c>
      <c r="X152" s="146"/>
    </row>
    <row r="153" spans="2:24" s="135" customFormat="1" ht="13.5" customHeight="1">
      <c r="B153" s="145" t="s">
        <v>22</v>
      </c>
      <c r="C153" s="146" t="s">
        <v>339</v>
      </c>
      <c r="D153" s="152"/>
      <c r="E153" s="147"/>
      <c r="F153" s="147"/>
      <c r="G153" s="147">
        <f>G154</f>
        <v>822.7228</v>
      </c>
      <c r="H153" s="146"/>
      <c r="J153" s="145" t="s">
        <v>22</v>
      </c>
      <c r="K153" s="146" t="s">
        <v>339</v>
      </c>
      <c r="L153" s="152"/>
      <c r="M153" s="147"/>
      <c r="N153" s="147"/>
      <c r="O153" s="147">
        <f>O154</f>
        <v>1095.9807999999998</v>
      </c>
      <c r="P153" s="146"/>
      <c r="R153" s="145" t="s">
        <v>22</v>
      </c>
      <c r="S153" s="146" t="s">
        <v>339</v>
      </c>
      <c r="T153" s="152"/>
      <c r="U153" s="147"/>
      <c r="V153" s="147"/>
      <c r="W153" s="147">
        <f>W154</f>
        <v>395.00239999999997</v>
      </c>
      <c r="X153" s="146"/>
    </row>
    <row r="154" spans="2:24" s="135" customFormat="1" ht="13.5" customHeight="1">
      <c r="B154" s="145"/>
      <c r="C154" s="146" t="s">
        <v>304</v>
      </c>
      <c r="D154" s="152" t="s">
        <v>307</v>
      </c>
      <c r="E154" s="147">
        <f>E145*'机械台班'!X13+'单价表'!E146*'机械台班'!C13+'单价表'!E147*'机械台班'!D13</f>
        <v>216.506</v>
      </c>
      <c r="F154" s="147">
        <f>'机械台班'!C32</f>
        <v>3.8</v>
      </c>
      <c r="G154" s="147">
        <f>F154*E154</f>
        <v>822.7228</v>
      </c>
      <c r="H154" s="146"/>
      <c r="J154" s="145"/>
      <c r="K154" s="146" t="s">
        <v>304</v>
      </c>
      <c r="L154" s="152" t="s">
        <v>307</v>
      </c>
      <c r="M154" s="147">
        <f>M145*'机械台班'!X13+M146*'机械台班'!C13+'机械台班'!D13*M147</f>
        <v>288.41599999999994</v>
      </c>
      <c r="N154" s="147">
        <f>F154</f>
        <v>3.8</v>
      </c>
      <c r="O154" s="147">
        <f>N154*M154</f>
        <v>1095.9807999999998</v>
      </c>
      <c r="P154" s="146"/>
      <c r="R154" s="145"/>
      <c r="S154" s="146" t="s">
        <v>304</v>
      </c>
      <c r="T154" s="152" t="s">
        <v>307</v>
      </c>
      <c r="U154" s="147">
        <f>U145*'机械台班'!W13+U146*'机械台班'!C13+U147*'机械台班'!D13</f>
        <v>103.948</v>
      </c>
      <c r="V154" s="147">
        <f>N154</f>
        <v>3.8</v>
      </c>
      <c r="W154" s="147">
        <f>V154*U154</f>
        <v>395.00239999999997</v>
      </c>
      <c r="X154" s="146"/>
    </row>
    <row r="155" spans="2:24" s="135" customFormat="1" ht="13.5" customHeight="1">
      <c r="B155" s="145" t="s">
        <v>24</v>
      </c>
      <c r="C155" s="146" t="s">
        <v>388</v>
      </c>
      <c r="D155" s="152">
        <v>0.09</v>
      </c>
      <c r="E155" s="147"/>
      <c r="F155" s="147"/>
      <c r="G155" s="147">
        <f>(G139+G151+G152+G153)*D155</f>
        <v>248.21325866258314</v>
      </c>
      <c r="H155" s="146"/>
      <c r="J155" s="145" t="s">
        <v>24</v>
      </c>
      <c r="K155" s="146" t="s">
        <v>388</v>
      </c>
      <c r="L155" s="152">
        <v>0.09</v>
      </c>
      <c r="M155" s="147"/>
      <c r="N155" s="147"/>
      <c r="O155" s="147">
        <f>(O139+O151+O152+O153)*L155</f>
        <v>328.810736005591</v>
      </c>
      <c r="P155" s="146"/>
      <c r="R155" s="145" t="s">
        <v>24</v>
      </c>
      <c r="S155" s="146" t="s">
        <v>388</v>
      </c>
      <c r="T155" s="152">
        <v>0.09</v>
      </c>
      <c r="U155" s="147"/>
      <c r="V155" s="147"/>
      <c r="W155" s="147">
        <f>(W139+W151+W152+W153)*T155</f>
        <v>130.04144377600602</v>
      </c>
      <c r="X155" s="146"/>
    </row>
    <row r="156" spans="2:24" s="135" customFormat="1" ht="13.5" customHeight="1">
      <c r="B156" s="145"/>
      <c r="C156" s="146"/>
      <c r="D156" s="146"/>
      <c r="E156" s="147"/>
      <c r="F156" s="147"/>
      <c r="G156" s="147"/>
      <c r="H156" s="146"/>
      <c r="J156" s="145"/>
      <c r="K156" s="146"/>
      <c r="L156" s="146"/>
      <c r="M156" s="147"/>
      <c r="N156" s="147"/>
      <c r="O156" s="147"/>
      <c r="P156" s="146"/>
      <c r="R156" s="145"/>
      <c r="S156" s="146"/>
      <c r="T156" s="146"/>
      <c r="U156" s="147"/>
      <c r="V156" s="147"/>
      <c r="W156" s="147"/>
      <c r="X156" s="146"/>
    </row>
    <row r="157" spans="2:24" s="135" customFormat="1" ht="13.5" customHeight="1">
      <c r="B157" s="145"/>
      <c r="C157" s="146" t="s">
        <v>357</v>
      </c>
      <c r="D157" s="146"/>
      <c r="E157" s="147"/>
      <c r="F157" s="147"/>
      <c r="G157" s="147">
        <f>G155+G153+G152++G151+G139</f>
        <v>3006.138354913507</v>
      </c>
      <c r="H157" s="146"/>
      <c r="J157" s="145"/>
      <c r="K157" s="146" t="s">
        <v>357</v>
      </c>
      <c r="L157" s="146"/>
      <c r="M157" s="147"/>
      <c r="N157" s="147"/>
      <c r="O157" s="147">
        <f>O155+O153+O152++O151+O139</f>
        <v>3982.2633582899357</v>
      </c>
      <c r="P157" s="146"/>
      <c r="R157" s="145"/>
      <c r="S157" s="146" t="s">
        <v>357</v>
      </c>
      <c r="T157" s="146"/>
      <c r="U157" s="147"/>
      <c r="V157" s="147"/>
      <c r="W157" s="147">
        <f>W155+W153+W152++W151+W139</f>
        <v>1574.9463746205176</v>
      </c>
      <c r="X157" s="146"/>
    </row>
    <row r="158" spans="2:24" s="135" customFormat="1" ht="13.5" customHeight="1">
      <c r="B158" s="145"/>
      <c r="C158" s="146" t="s">
        <v>389</v>
      </c>
      <c r="D158" s="146">
        <v>0.91</v>
      </c>
      <c r="E158" s="147"/>
      <c r="F158" s="147"/>
      <c r="G158" s="147">
        <f>G157*D158</f>
        <v>2735.5859029712915</v>
      </c>
      <c r="H158" s="146"/>
      <c r="J158" s="145"/>
      <c r="K158" s="146" t="s">
        <v>389</v>
      </c>
      <c r="L158" s="146">
        <v>0.91</v>
      </c>
      <c r="M158" s="147"/>
      <c r="N158" s="147"/>
      <c r="O158" s="147">
        <f>O157*L158</f>
        <v>3623.859656043842</v>
      </c>
      <c r="P158" s="146"/>
      <c r="R158" s="145"/>
      <c r="S158" s="146" t="s">
        <v>389</v>
      </c>
      <c r="T158" s="146">
        <v>0.91</v>
      </c>
      <c r="U158" s="147"/>
      <c r="V158" s="147"/>
      <c r="W158" s="147">
        <f>W157*T158</f>
        <v>1433.2012009046712</v>
      </c>
      <c r="X158" s="146"/>
    </row>
    <row r="159" spans="2:24" s="135" customFormat="1" ht="13.5" customHeight="1">
      <c r="B159" s="145" t="s">
        <v>341</v>
      </c>
      <c r="C159" s="146" t="s">
        <v>342</v>
      </c>
      <c r="D159" s="153">
        <v>0.03</v>
      </c>
      <c r="E159" s="147"/>
      <c r="F159" s="147"/>
      <c r="G159" s="147">
        <f>G158*D159</f>
        <v>82.06757708913874</v>
      </c>
      <c r="H159" s="146"/>
      <c r="J159" s="145" t="s">
        <v>341</v>
      </c>
      <c r="K159" s="146" t="s">
        <v>342</v>
      </c>
      <c r="L159" s="153">
        <v>0.03</v>
      </c>
      <c r="M159" s="147"/>
      <c r="N159" s="147"/>
      <c r="O159" s="147">
        <f>O158*L159</f>
        <v>108.71578968131526</v>
      </c>
      <c r="P159" s="146"/>
      <c r="R159" s="145" t="s">
        <v>341</v>
      </c>
      <c r="S159" s="146" t="s">
        <v>342</v>
      </c>
      <c r="T159" s="153">
        <v>0.03</v>
      </c>
      <c r="U159" s="147"/>
      <c r="V159" s="147"/>
      <c r="W159" s="147">
        <f>W158*T159</f>
        <v>42.996036027140136</v>
      </c>
      <c r="X159" s="146"/>
    </row>
    <row r="160" spans="2:24" s="135" customFormat="1" ht="13.5" customHeight="1">
      <c r="B160" s="145"/>
      <c r="C160" s="146" t="s">
        <v>343</v>
      </c>
      <c r="D160" s="146"/>
      <c r="E160" s="147"/>
      <c r="F160" s="147"/>
      <c r="G160" s="147">
        <f>SUM(G158:G159)</f>
        <v>2817.6534800604304</v>
      </c>
      <c r="H160" s="146"/>
      <c r="J160" s="145"/>
      <c r="K160" s="146" t="s">
        <v>343</v>
      </c>
      <c r="L160" s="146"/>
      <c r="M160" s="147"/>
      <c r="N160" s="147"/>
      <c r="O160" s="147">
        <f>SUM(O158:O159)</f>
        <v>3732.575445725157</v>
      </c>
      <c r="P160" s="146"/>
      <c r="R160" s="145"/>
      <c r="S160" s="146" t="s">
        <v>343</v>
      </c>
      <c r="T160" s="146"/>
      <c r="U160" s="147"/>
      <c r="V160" s="147"/>
      <c r="W160" s="147">
        <f>SUM(W158:W159)</f>
        <v>1476.1972369318114</v>
      </c>
      <c r="X160" s="146"/>
    </row>
    <row r="161" spans="2:15" s="135" customFormat="1" ht="13.5" customHeight="1">
      <c r="B161" s="13"/>
      <c r="C161" s="13"/>
      <c r="D161" s="13"/>
      <c r="E161" s="155"/>
      <c r="F161" s="155"/>
      <c r="G161" s="155"/>
      <c r="H161" s="13"/>
      <c r="M161" s="137"/>
      <c r="N161" s="137"/>
      <c r="O161" s="137"/>
    </row>
    <row r="162" spans="2:16" s="135" customFormat="1" ht="19.5" customHeight="1">
      <c r="B162" s="138" t="s">
        <v>317</v>
      </c>
      <c r="C162" s="138"/>
      <c r="D162" s="138"/>
      <c r="E162" s="138"/>
      <c r="F162" s="138"/>
      <c r="G162" s="138"/>
      <c r="H162" s="138"/>
      <c r="J162" s="138" t="s">
        <v>317</v>
      </c>
      <c r="K162" s="138"/>
      <c r="L162" s="138"/>
      <c r="M162" s="138"/>
      <c r="N162" s="138"/>
      <c r="O162" s="138"/>
      <c r="P162" s="138"/>
    </row>
    <row r="163" spans="2:16" s="135" customFormat="1" ht="13.5" customHeight="1">
      <c r="B163" s="139" t="s">
        <v>390</v>
      </c>
      <c r="C163" s="139"/>
      <c r="D163" s="139"/>
      <c r="E163" s="139"/>
      <c r="F163" s="139"/>
      <c r="G163" s="139"/>
      <c r="H163" s="139"/>
      <c r="J163" s="139" t="s">
        <v>380</v>
      </c>
      <c r="K163" s="139"/>
      <c r="L163" s="139"/>
      <c r="M163" s="139"/>
      <c r="N163" s="139"/>
      <c r="O163" s="139"/>
      <c r="P163" s="139"/>
    </row>
    <row r="164" spans="2:16" s="135" customFormat="1" ht="13.5" customHeight="1">
      <c r="B164" s="140" t="s">
        <v>391</v>
      </c>
      <c r="C164" s="140"/>
      <c r="D164" s="140"/>
      <c r="E164" s="140"/>
      <c r="F164" s="192"/>
      <c r="G164" s="141" t="s">
        <v>320</v>
      </c>
      <c r="H164" s="141"/>
      <c r="J164" s="140" t="s">
        <v>381</v>
      </c>
      <c r="K164" s="140"/>
      <c r="L164" s="140"/>
      <c r="M164" s="140"/>
      <c r="N164" s="192"/>
      <c r="O164" s="141" t="s">
        <v>320</v>
      </c>
      <c r="P164" s="141"/>
    </row>
    <row r="165" spans="2:16" s="135" customFormat="1" ht="13.5" customHeight="1">
      <c r="B165" s="142" t="s">
        <v>392</v>
      </c>
      <c r="C165" s="143"/>
      <c r="D165" s="143"/>
      <c r="E165" s="143"/>
      <c r="F165" s="143"/>
      <c r="G165" s="143"/>
      <c r="H165" s="160"/>
      <c r="J165" s="142" t="s">
        <v>393</v>
      </c>
      <c r="K165" s="143"/>
      <c r="L165" s="143"/>
      <c r="M165" s="143"/>
      <c r="N165" s="143"/>
      <c r="O165" s="143"/>
      <c r="P165" s="144"/>
    </row>
    <row r="166" spans="2:16" s="135" customFormat="1" ht="30" customHeight="1">
      <c r="B166" s="145" t="s">
        <v>361</v>
      </c>
      <c r="C166" s="146" t="s">
        <v>322</v>
      </c>
      <c r="D166" s="146" t="s">
        <v>323</v>
      </c>
      <c r="E166" s="147" t="s">
        <v>394</v>
      </c>
      <c r="F166" s="148" t="s">
        <v>325</v>
      </c>
      <c r="G166" s="148" t="s">
        <v>326</v>
      </c>
      <c r="H166" s="146" t="s">
        <v>145</v>
      </c>
      <c r="J166" s="145" t="s">
        <v>3</v>
      </c>
      <c r="K166" s="146" t="s">
        <v>322</v>
      </c>
      <c r="L166" s="146" t="s">
        <v>323</v>
      </c>
      <c r="M166" s="147" t="s">
        <v>324</v>
      </c>
      <c r="N166" s="148" t="s">
        <v>325</v>
      </c>
      <c r="O166" s="148" t="s">
        <v>326</v>
      </c>
      <c r="P166" s="146" t="s">
        <v>386</v>
      </c>
    </row>
    <row r="167" spans="2:16" s="135" customFormat="1" ht="13.5" customHeight="1">
      <c r="B167" s="145" t="s">
        <v>16</v>
      </c>
      <c r="C167" s="146" t="s">
        <v>327</v>
      </c>
      <c r="D167" s="146"/>
      <c r="E167" s="147"/>
      <c r="F167" s="147"/>
      <c r="G167" s="147">
        <f>G168+G176+G177</f>
        <v>210.10838785412366</v>
      </c>
      <c r="H167" s="146"/>
      <c r="J167" s="145" t="s">
        <v>16</v>
      </c>
      <c r="K167" s="146" t="s">
        <v>327</v>
      </c>
      <c r="L167" s="146"/>
      <c r="M167" s="147"/>
      <c r="N167" s="147"/>
      <c r="O167" s="147">
        <f>O168+O177+O178</f>
        <v>1309.9901348135684</v>
      </c>
      <c r="P167" s="146"/>
    </row>
    <row r="168" spans="2:16" s="135" customFormat="1" ht="13.5" customHeight="1">
      <c r="B168" s="145" t="s">
        <v>39</v>
      </c>
      <c r="C168" s="146" t="s">
        <v>328</v>
      </c>
      <c r="D168" s="146"/>
      <c r="E168" s="147"/>
      <c r="F168" s="147"/>
      <c r="G168" s="147">
        <f>G169+G172+G171</f>
        <v>200.48510291424014</v>
      </c>
      <c r="H168" s="146"/>
      <c r="J168" s="145" t="s">
        <v>39</v>
      </c>
      <c r="K168" s="146" t="s">
        <v>328</v>
      </c>
      <c r="L168" s="146"/>
      <c r="M168" s="147"/>
      <c r="N168" s="147"/>
      <c r="O168" s="147">
        <f>O169+O172+O171</f>
        <v>1249.9905866541683</v>
      </c>
      <c r="P168" s="146"/>
    </row>
    <row r="169" spans="2:16" s="135" customFormat="1" ht="13.5" customHeight="1">
      <c r="B169" s="145">
        <v>1</v>
      </c>
      <c r="C169" s="146" t="s">
        <v>329</v>
      </c>
      <c r="D169" s="149"/>
      <c r="E169" s="147"/>
      <c r="F169" s="147"/>
      <c r="G169" s="147">
        <f>SUM(G170:G170)</f>
        <v>15.001999999999999</v>
      </c>
      <c r="H169" s="146"/>
      <c r="J169" s="145">
        <v>1</v>
      </c>
      <c r="K169" s="146" t="s">
        <v>329</v>
      </c>
      <c r="L169" s="149"/>
      <c r="M169" s="147"/>
      <c r="N169" s="147"/>
      <c r="O169" s="147">
        <f>SUM(O170:O170)</f>
        <v>30.003999999999998</v>
      </c>
      <c r="P169" s="146"/>
    </row>
    <row r="170" spans="2:16" s="135" customFormat="1" ht="13.5" customHeight="1">
      <c r="B170" s="145"/>
      <c r="C170" s="149" t="s">
        <v>330</v>
      </c>
      <c r="D170" s="149" t="s">
        <v>163</v>
      </c>
      <c r="E170" s="147">
        <v>2.6</v>
      </c>
      <c r="F170" s="147">
        <f>'单价分析'!E16</f>
        <v>5.77</v>
      </c>
      <c r="G170" s="147">
        <f>F170*E170</f>
        <v>15.001999999999999</v>
      </c>
      <c r="H170" s="146"/>
      <c r="J170" s="145"/>
      <c r="K170" s="149" t="s">
        <v>330</v>
      </c>
      <c r="L170" s="149" t="s">
        <v>163</v>
      </c>
      <c r="M170" s="147">
        <v>5.2</v>
      </c>
      <c r="N170" s="147">
        <f>F170</f>
        <v>5.77</v>
      </c>
      <c r="O170" s="147">
        <f aca="true" t="shared" si="4" ref="O170:O175">N170*M170</f>
        <v>30.003999999999998</v>
      </c>
      <c r="P170" s="146"/>
    </row>
    <row r="171" spans="2:16" s="135" customFormat="1" ht="13.5" customHeight="1">
      <c r="B171" s="145">
        <v>2</v>
      </c>
      <c r="C171" s="146" t="s">
        <v>331</v>
      </c>
      <c r="D171" s="146" t="s">
        <v>332</v>
      </c>
      <c r="E171" s="147">
        <v>10</v>
      </c>
      <c r="F171" s="147">
        <f>G170+G172</f>
        <v>182.25918446749105</v>
      </c>
      <c r="G171" s="147">
        <f>F171*E171/100</f>
        <v>18.225918446749105</v>
      </c>
      <c r="H171" s="146"/>
      <c r="J171" s="145">
        <v>2</v>
      </c>
      <c r="K171" s="146" t="s">
        <v>331</v>
      </c>
      <c r="L171" s="146" t="s">
        <v>332</v>
      </c>
      <c r="M171" s="147">
        <v>5</v>
      </c>
      <c r="N171" s="147">
        <f>O172+O169</f>
        <v>1190.4672253849221</v>
      </c>
      <c r="O171" s="147">
        <f>N171*M171/100</f>
        <v>59.52336126924611</v>
      </c>
      <c r="P171" s="146"/>
    </row>
    <row r="172" spans="2:16" s="135" customFormat="1" ht="13.5" customHeight="1">
      <c r="B172" s="145">
        <v>3</v>
      </c>
      <c r="C172" s="146" t="s">
        <v>333</v>
      </c>
      <c r="D172" s="146"/>
      <c r="E172" s="147"/>
      <c r="F172" s="147"/>
      <c r="G172" s="147">
        <f>G173</f>
        <v>167.25718446749104</v>
      </c>
      <c r="H172" s="146"/>
      <c r="J172" s="145">
        <v>3</v>
      </c>
      <c r="K172" s="146" t="s">
        <v>366</v>
      </c>
      <c r="L172" s="146"/>
      <c r="M172" s="147"/>
      <c r="N172" s="147"/>
      <c r="O172" s="147">
        <f>O173+O174+O175</f>
        <v>1160.4632253849222</v>
      </c>
      <c r="P172" s="146"/>
    </row>
    <row r="173" spans="2:16" s="135" customFormat="1" ht="13.5" customHeight="1">
      <c r="B173" s="145"/>
      <c r="C173" s="146" t="s">
        <v>395</v>
      </c>
      <c r="D173" s="146" t="s">
        <v>335</v>
      </c>
      <c r="E173" s="147">
        <v>1.87</v>
      </c>
      <c r="F173" s="147">
        <f>'台班总'!D7</f>
        <v>89.44234463502194</v>
      </c>
      <c r="G173" s="147">
        <f>F173*E173</f>
        <v>167.25718446749104</v>
      </c>
      <c r="H173" s="146"/>
      <c r="J173" s="145"/>
      <c r="K173" s="146" t="s">
        <v>387</v>
      </c>
      <c r="L173" s="146" t="s">
        <v>335</v>
      </c>
      <c r="M173" s="147">
        <f>12.3+1.41</f>
        <v>13.71</v>
      </c>
      <c r="N173" s="147">
        <f>N145</f>
        <v>73.10267092142001</v>
      </c>
      <c r="O173" s="147">
        <f t="shared" si="4"/>
        <v>1002.2376183326685</v>
      </c>
      <c r="P173" s="146"/>
    </row>
    <row r="174" spans="2:16" s="135" customFormat="1" ht="13.5" customHeight="1">
      <c r="B174" s="145"/>
      <c r="C174" s="13"/>
      <c r="D174" s="145"/>
      <c r="E174" s="147"/>
      <c r="F174" s="147"/>
      <c r="G174" s="147"/>
      <c r="H174" s="146"/>
      <c r="J174" s="145"/>
      <c r="K174" s="146" t="s">
        <v>334</v>
      </c>
      <c r="L174" s="146" t="s">
        <v>335</v>
      </c>
      <c r="M174" s="147">
        <v>1.04</v>
      </c>
      <c r="N174" s="147">
        <f>N146</f>
        <v>118.94887754287994</v>
      </c>
      <c r="O174" s="147">
        <f t="shared" si="4"/>
        <v>123.70683264459514</v>
      </c>
      <c r="P174" s="146"/>
    </row>
    <row r="175" spans="2:16" s="135" customFormat="1" ht="13.5" customHeight="1">
      <c r="B175" s="145"/>
      <c r="C175" s="193"/>
      <c r="D175" s="146"/>
      <c r="E175" s="147"/>
      <c r="F175" s="147"/>
      <c r="G175" s="147"/>
      <c r="H175" s="146"/>
      <c r="J175" s="145"/>
      <c r="K175" s="146" t="s">
        <v>196</v>
      </c>
      <c r="L175" s="146" t="s">
        <v>335</v>
      </c>
      <c r="M175" s="147">
        <v>0.52</v>
      </c>
      <c r="N175" s="147">
        <f>N147</f>
        <v>66.38225847626644</v>
      </c>
      <c r="O175" s="147">
        <f t="shared" si="4"/>
        <v>34.518774407658555</v>
      </c>
      <c r="P175" s="146"/>
    </row>
    <row r="176" spans="2:16" s="135" customFormat="1" ht="13.5" customHeight="1">
      <c r="B176" s="145" t="s">
        <v>63</v>
      </c>
      <c r="C176" s="146" t="s">
        <v>336</v>
      </c>
      <c r="D176" s="150">
        <v>0.048</v>
      </c>
      <c r="E176" s="147"/>
      <c r="F176" s="147"/>
      <c r="G176" s="147">
        <f>G168*D176</f>
        <v>9.623284939883527</v>
      </c>
      <c r="H176" s="146"/>
      <c r="J176" s="145"/>
      <c r="K176" s="146"/>
      <c r="L176" s="146"/>
      <c r="M176" s="147"/>
      <c r="N176" s="147"/>
      <c r="O176" s="147"/>
      <c r="P176" s="146"/>
    </row>
    <row r="177" spans="2:16" s="135" customFormat="1" ht="13.5" customHeight="1">
      <c r="B177" s="145" t="s">
        <v>355</v>
      </c>
      <c r="C177" s="146" t="s">
        <v>356</v>
      </c>
      <c r="D177" s="150"/>
      <c r="E177" s="147"/>
      <c r="F177" s="147"/>
      <c r="G177" s="147">
        <f>G168*D177</f>
        <v>0</v>
      </c>
      <c r="H177" s="146"/>
      <c r="J177" s="145" t="s">
        <v>63</v>
      </c>
      <c r="K177" s="146" t="s">
        <v>336</v>
      </c>
      <c r="L177" s="150">
        <v>0.048</v>
      </c>
      <c r="M177" s="147"/>
      <c r="N177" s="147"/>
      <c r="O177" s="147">
        <f>O168*L177</f>
        <v>59.99954815940008</v>
      </c>
      <c r="P177" s="146"/>
    </row>
    <row r="178" spans="2:16" s="135" customFormat="1" ht="13.5" customHeight="1">
      <c r="B178" s="145" t="s">
        <v>18</v>
      </c>
      <c r="C178" s="146" t="s">
        <v>337</v>
      </c>
      <c r="D178" s="150">
        <v>0.045</v>
      </c>
      <c r="E178" s="147"/>
      <c r="F178" s="147"/>
      <c r="G178" s="147">
        <f>G167*D178</f>
        <v>9.454877453435564</v>
      </c>
      <c r="H178" s="146"/>
      <c r="J178" s="145" t="s">
        <v>355</v>
      </c>
      <c r="K178" s="146" t="s">
        <v>356</v>
      </c>
      <c r="L178" s="150"/>
      <c r="M178" s="147"/>
      <c r="N178" s="147"/>
      <c r="O178" s="147">
        <f>O168*L178</f>
        <v>0</v>
      </c>
      <c r="P178" s="146"/>
    </row>
    <row r="179" spans="2:16" s="135" customFormat="1" ht="13.5" customHeight="1">
      <c r="B179" s="145" t="s">
        <v>20</v>
      </c>
      <c r="C179" s="146" t="s">
        <v>338</v>
      </c>
      <c r="D179" s="151">
        <v>0.05</v>
      </c>
      <c r="E179" s="147"/>
      <c r="F179" s="147"/>
      <c r="G179" s="147">
        <f>(G167+G178)*D179</f>
        <v>10.978163265377962</v>
      </c>
      <c r="H179" s="146"/>
      <c r="J179" s="145" t="s">
        <v>18</v>
      </c>
      <c r="K179" s="146" t="s">
        <v>337</v>
      </c>
      <c r="L179" s="150">
        <v>0.045</v>
      </c>
      <c r="M179" s="147"/>
      <c r="N179" s="147"/>
      <c r="O179" s="147">
        <f>O167*L179</f>
        <v>58.949556066610576</v>
      </c>
      <c r="P179" s="146"/>
    </row>
    <row r="180" spans="2:16" s="135" customFormat="1" ht="13.5" customHeight="1">
      <c r="B180" s="145" t="s">
        <v>22</v>
      </c>
      <c r="C180" s="146" t="s">
        <v>339</v>
      </c>
      <c r="D180" s="152"/>
      <c r="E180" s="147"/>
      <c r="F180" s="147"/>
      <c r="G180" s="147">
        <f>G181</f>
        <v>75.3236</v>
      </c>
      <c r="H180" s="146"/>
      <c r="J180" s="145" t="s">
        <v>20</v>
      </c>
      <c r="K180" s="146" t="s">
        <v>338</v>
      </c>
      <c r="L180" s="151">
        <v>0.05</v>
      </c>
      <c r="M180" s="147"/>
      <c r="N180" s="147"/>
      <c r="O180" s="147">
        <f>(O167+O179)*L180</f>
        <v>68.44698454400894</v>
      </c>
      <c r="P180" s="146"/>
    </row>
    <row r="181" spans="2:16" s="135" customFormat="1" ht="13.5" customHeight="1">
      <c r="B181" s="145"/>
      <c r="C181" s="146" t="s">
        <v>304</v>
      </c>
      <c r="D181" s="152" t="s">
        <v>307</v>
      </c>
      <c r="E181" s="147">
        <f>E173*'机械台班'!E13</f>
        <v>19.822</v>
      </c>
      <c r="F181" s="147">
        <f>'机械台班'!C32</f>
        <v>3.8</v>
      </c>
      <c r="G181" s="147">
        <f>F181*E181</f>
        <v>75.3236</v>
      </c>
      <c r="H181" s="146"/>
      <c r="J181" s="145" t="s">
        <v>22</v>
      </c>
      <c r="K181" s="146" t="s">
        <v>339</v>
      </c>
      <c r="L181" s="152"/>
      <c r="M181" s="147"/>
      <c r="N181" s="147"/>
      <c r="O181" s="147">
        <f>O182</f>
        <v>604.1164</v>
      </c>
      <c r="P181" s="146"/>
    </row>
    <row r="182" spans="2:16" s="135" customFormat="1" ht="13.5" customHeight="1">
      <c r="B182" s="145" t="s">
        <v>24</v>
      </c>
      <c r="C182" s="146" t="s">
        <v>340</v>
      </c>
      <c r="D182" s="152">
        <v>0.09</v>
      </c>
      <c r="E182" s="147"/>
      <c r="F182" s="147"/>
      <c r="G182" s="147">
        <f>(G167+G178+G179+G180)*D182</f>
        <v>27.527852571564342</v>
      </c>
      <c r="H182" s="146"/>
      <c r="J182" s="145"/>
      <c r="K182" s="146" t="s">
        <v>304</v>
      </c>
      <c r="L182" s="152" t="s">
        <v>307</v>
      </c>
      <c r="M182" s="147">
        <f>M173*'机械台班'!X13+M174*'机械台班'!C13+M175*'机械台班'!D13</f>
        <v>158.978</v>
      </c>
      <c r="N182" s="147">
        <f>N154</f>
        <v>3.8</v>
      </c>
      <c r="O182" s="147">
        <f>N182*M182</f>
        <v>604.1164</v>
      </c>
      <c r="P182" s="146"/>
    </row>
    <row r="183" spans="2:16" s="135" customFormat="1" ht="13.5" customHeight="1">
      <c r="B183" s="145"/>
      <c r="C183" s="146"/>
      <c r="D183" s="146"/>
      <c r="E183" s="147"/>
      <c r="F183" s="147"/>
      <c r="G183" s="147"/>
      <c r="H183" s="146"/>
      <c r="J183" s="145" t="s">
        <v>24</v>
      </c>
      <c r="K183" s="146" t="s">
        <v>388</v>
      </c>
      <c r="L183" s="152">
        <v>0.09</v>
      </c>
      <c r="M183" s="147"/>
      <c r="N183" s="147"/>
      <c r="O183" s="147">
        <f>(O167+O179+O180+O181)*L183</f>
        <v>183.73527678817692</v>
      </c>
      <c r="P183" s="146"/>
    </row>
    <row r="184" spans="2:16" s="135" customFormat="1" ht="13.5" customHeight="1">
      <c r="B184" s="145"/>
      <c r="C184" s="146" t="s">
        <v>357</v>
      </c>
      <c r="D184" s="146"/>
      <c r="E184" s="147"/>
      <c r="F184" s="147"/>
      <c r="G184" s="147">
        <f>G182+G180+G179++G178+G167</f>
        <v>333.39288114450153</v>
      </c>
      <c r="H184" s="146"/>
      <c r="J184" s="145"/>
      <c r="K184" s="146"/>
      <c r="L184" s="146"/>
      <c r="M184" s="147"/>
      <c r="N184" s="147"/>
      <c r="O184" s="147"/>
      <c r="P184" s="146"/>
    </row>
    <row r="185" spans="2:16" s="135" customFormat="1" ht="13.5" customHeight="1">
      <c r="B185" s="145" t="s">
        <v>341</v>
      </c>
      <c r="C185" s="146" t="s">
        <v>342</v>
      </c>
      <c r="D185" s="153">
        <v>0.03</v>
      </c>
      <c r="E185" s="147"/>
      <c r="F185" s="147"/>
      <c r="G185" s="147">
        <f>G184*D185</f>
        <v>10.001786434335045</v>
      </c>
      <c r="H185" s="194"/>
      <c r="J185" s="145"/>
      <c r="K185" s="146" t="s">
        <v>357</v>
      </c>
      <c r="L185" s="146"/>
      <c r="M185" s="147"/>
      <c r="N185" s="147"/>
      <c r="O185" s="147">
        <f>O183+O181+O180++O179+O167</f>
        <v>2225.238352212365</v>
      </c>
      <c r="P185" s="146"/>
    </row>
    <row r="186" spans="2:16" s="135" customFormat="1" ht="13.5" customHeight="1">
      <c r="B186" s="195"/>
      <c r="C186" s="146" t="s">
        <v>343</v>
      </c>
      <c r="D186" s="194"/>
      <c r="E186" s="196"/>
      <c r="F186" s="196"/>
      <c r="G186" s="147">
        <f>SUM(G184:G185)</f>
        <v>343.39466757883656</v>
      </c>
      <c r="H186" s="194"/>
      <c r="J186" s="145"/>
      <c r="K186" s="146" t="s">
        <v>389</v>
      </c>
      <c r="L186" s="146">
        <v>0.91</v>
      </c>
      <c r="M186" s="147"/>
      <c r="N186" s="147"/>
      <c r="O186" s="147">
        <f>O185*L186</f>
        <v>2024.9669005132523</v>
      </c>
      <c r="P186" s="146"/>
    </row>
    <row r="187" spans="3:16" s="135" customFormat="1" ht="13.5" customHeight="1">
      <c r="C187" s="13"/>
      <c r="E187" s="137"/>
      <c r="F187" s="137"/>
      <c r="G187" s="155"/>
      <c r="J187" s="145" t="s">
        <v>341</v>
      </c>
      <c r="K187" s="146" t="s">
        <v>342</v>
      </c>
      <c r="L187" s="153">
        <v>0.03</v>
      </c>
      <c r="M187" s="147"/>
      <c r="N187" s="147"/>
      <c r="O187" s="147">
        <f>O186*L187</f>
        <v>60.74900701539757</v>
      </c>
      <c r="P187" s="146"/>
    </row>
    <row r="188" spans="3:16" s="135" customFormat="1" ht="13.5" customHeight="1">
      <c r="C188" s="13"/>
      <c r="E188" s="137"/>
      <c r="F188" s="137"/>
      <c r="G188" s="155"/>
      <c r="J188" s="145"/>
      <c r="K188" s="146" t="s">
        <v>343</v>
      </c>
      <c r="L188" s="146"/>
      <c r="M188" s="147"/>
      <c r="N188" s="147"/>
      <c r="O188" s="147">
        <f>SUM(O186:O187)</f>
        <v>2085.71590752865</v>
      </c>
      <c r="P188" s="146"/>
    </row>
    <row r="189" spans="3:15" s="135" customFormat="1" ht="13.5" customHeight="1">
      <c r="C189" s="13"/>
      <c r="E189" s="137"/>
      <c r="F189" s="137"/>
      <c r="G189" s="155"/>
      <c r="M189" s="137"/>
      <c r="N189" s="137"/>
      <c r="O189" s="137"/>
    </row>
    <row r="190" spans="3:15" s="135" customFormat="1" ht="13.5" customHeight="1">
      <c r="C190" s="13"/>
      <c r="E190" s="137"/>
      <c r="F190" s="137"/>
      <c r="G190" s="155"/>
      <c r="M190" s="137"/>
      <c r="N190" s="137"/>
      <c r="O190" s="137"/>
    </row>
    <row r="191" spans="3:15" s="135" customFormat="1" ht="13.5" customHeight="1">
      <c r="C191" s="13"/>
      <c r="E191" s="137"/>
      <c r="F191" s="137"/>
      <c r="G191" s="155"/>
      <c r="M191" s="137"/>
      <c r="N191" s="137"/>
      <c r="O191" s="137"/>
    </row>
    <row r="192" spans="2:15" s="135" customFormat="1" ht="19.5" customHeight="1">
      <c r="B192" s="138" t="s">
        <v>317</v>
      </c>
      <c r="C192" s="138"/>
      <c r="D192" s="138"/>
      <c r="E192" s="138"/>
      <c r="F192" s="138"/>
      <c r="G192" s="138"/>
      <c r="H192" s="138"/>
      <c r="M192" s="137"/>
      <c r="N192" s="137"/>
      <c r="O192" s="137"/>
    </row>
    <row r="193" spans="2:15" s="135" customFormat="1" ht="13.5" customHeight="1">
      <c r="B193" s="139" t="s">
        <v>396</v>
      </c>
      <c r="C193" s="139"/>
      <c r="D193" s="139"/>
      <c r="E193" s="157"/>
      <c r="F193" s="157"/>
      <c r="G193" s="157"/>
      <c r="H193" s="139"/>
      <c r="M193" s="137"/>
      <c r="N193" s="137"/>
      <c r="O193" s="137"/>
    </row>
    <row r="194" spans="2:15" s="135" customFormat="1" ht="13.5" customHeight="1">
      <c r="B194" s="139" t="s">
        <v>397</v>
      </c>
      <c r="C194" s="139"/>
      <c r="D194" s="139"/>
      <c r="E194" s="157"/>
      <c r="F194" s="137"/>
      <c r="G194" s="158" t="s">
        <v>320</v>
      </c>
      <c r="H194" s="159"/>
      <c r="M194" s="137"/>
      <c r="N194" s="137"/>
      <c r="O194" s="137"/>
    </row>
    <row r="195" spans="2:15" s="135" customFormat="1" ht="13.5" customHeight="1">
      <c r="B195" s="142" t="s">
        <v>398</v>
      </c>
      <c r="C195" s="143"/>
      <c r="D195" s="143"/>
      <c r="E195" s="143"/>
      <c r="F195" s="143"/>
      <c r="G195" s="143"/>
      <c r="H195" s="160"/>
      <c r="M195" s="137"/>
      <c r="N195" s="137"/>
      <c r="O195" s="137"/>
    </row>
    <row r="196" spans="2:15" s="135" customFormat="1" ht="31.5" customHeight="1">
      <c r="B196" s="145" t="s">
        <v>361</v>
      </c>
      <c r="C196" s="146" t="s">
        <v>322</v>
      </c>
      <c r="D196" s="146" t="s">
        <v>102</v>
      </c>
      <c r="E196" s="147" t="s">
        <v>324</v>
      </c>
      <c r="F196" s="161" t="s">
        <v>362</v>
      </c>
      <c r="G196" s="161" t="s">
        <v>363</v>
      </c>
      <c r="H196" s="146" t="s">
        <v>145</v>
      </c>
      <c r="M196" s="137"/>
      <c r="N196" s="137"/>
      <c r="O196" s="137"/>
    </row>
    <row r="197" spans="2:15" s="135" customFormat="1" ht="13.5" customHeight="1">
      <c r="B197" s="145" t="s">
        <v>16</v>
      </c>
      <c r="C197" s="146" t="s">
        <v>327</v>
      </c>
      <c r="D197" s="146"/>
      <c r="E197" s="147"/>
      <c r="F197" s="147"/>
      <c r="G197" s="147">
        <f>G198+G209+G210</f>
        <v>398.0507081899539</v>
      </c>
      <c r="H197" s="146"/>
      <c r="M197" s="137"/>
      <c r="N197" s="137"/>
      <c r="O197" s="137"/>
    </row>
    <row r="198" spans="2:15" s="135" customFormat="1" ht="13.5" customHeight="1">
      <c r="B198" s="145" t="s">
        <v>39</v>
      </c>
      <c r="C198" s="146" t="s">
        <v>328</v>
      </c>
      <c r="D198" s="146"/>
      <c r="E198" s="147"/>
      <c r="F198" s="147"/>
      <c r="G198" s="147">
        <f>G199+G203+G202+G201</f>
        <v>379.81937804384916</v>
      </c>
      <c r="H198" s="146"/>
      <c r="M198" s="137"/>
      <c r="N198" s="137"/>
      <c r="O198" s="137"/>
    </row>
    <row r="199" spans="2:15" s="135" customFormat="1" ht="13.5" customHeight="1">
      <c r="B199" s="145">
        <v>1</v>
      </c>
      <c r="C199" s="146" t="s">
        <v>329</v>
      </c>
      <c r="D199" s="149"/>
      <c r="E199" s="147"/>
      <c r="F199" s="147"/>
      <c r="G199" s="147">
        <f>SUM(G200:G200)</f>
        <v>139.634</v>
      </c>
      <c r="H199" s="146"/>
      <c r="M199" s="137"/>
      <c r="N199" s="137"/>
      <c r="O199" s="137"/>
    </row>
    <row r="200" spans="2:15" s="135" customFormat="1" ht="13.5" customHeight="1">
      <c r="B200" s="145"/>
      <c r="C200" s="149" t="s">
        <v>330</v>
      </c>
      <c r="D200" s="149" t="s">
        <v>163</v>
      </c>
      <c r="E200" s="147">
        <f>24.2</f>
        <v>24.2</v>
      </c>
      <c r="F200" s="147">
        <f>'单价分析'!E16</f>
        <v>5.77</v>
      </c>
      <c r="G200" s="147">
        <f aca="true" t="shared" si="5" ref="G200:G207">F200*E200</f>
        <v>139.634</v>
      </c>
      <c r="H200" s="146"/>
      <c r="M200" s="137"/>
      <c r="N200" s="137"/>
      <c r="O200" s="137"/>
    </row>
    <row r="201" spans="2:15" s="135" customFormat="1" ht="13.5" customHeight="1">
      <c r="B201" s="145">
        <v>2</v>
      </c>
      <c r="C201" s="146" t="s">
        <v>364</v>
      </c>
      <c r="D201" s="146" t="s">
        <v>365</v>
      </c>
      <c r="E201" s="147"/>
      <c r="F201" s="147">
        <f>'单价分析'!E17</f>
        <v>3.88</v>
      </c>
      <c r="G201" s="147">
        <f>E201*F201</f>
        <v>0</v>
      </c>
      <c r="H201" s="146"/>
      <c r="M201" s="137"/>
      <c r="N201" s="137"/>
      <c r="O201" s="137"/>
    </row>
    <row r="202" spans="2:15" s="135" customFormat="1" ht="13.5" customHeight="1">
      <c r="B202" s="145">
        <v>3</v>
      </c>
      <c r="C202" s="146" t="s">
        <v>331</v>
      </c>
      <c r="D202" s="146" t="s">
        <v>332</v>
      </c>
      <c r="E202" s="147">
        <v>10</v>
      </c>
      <c r="F202" s="147">
        <f>G199+G203</f>
        <v>345.2903436762265</v>
      </c>
      <c r="G202" s="147">
        <f>F202*E202/100</f>
        <v>34.52903436762265</v>
      </c>
      <c r="H202" s="146"/>
      <c r="M202" s="137"/>
      <c r="N202" s="137"/>
      <c r="O202" s="137"/>
    </row>
    <row r="203" spans="2:15" s="135" customFormat="1" ht="13.5" customHeight="1">
      <c r="B203" s="145">
        <v>4</v>
      </c>
      <c r="C203" s="146" t="s">
        <v>366</v>
      </c>
      <c r="D203" s="146"/>
      <c r="E203" s="147"/>
      <c r="F203" s="147"/>
      <c r="G203" s="147">
        <f>SUM(G204:G208)</f>
        <v>205.65634367622653</v>
      </c>
      <c r="H203" s="146"/>
      <c r="M203" s="137"/>
      <c r="N203" s="137"/>
      <c r="O203" s="137"/>
    </row>
    <row r="204" spans="2:15" s="135" customFormat="1" ht="13.5" customHeight="1">
      <c r="B204" s="145"/>
      <c r="C204" s="146" t="s">
        <v>367</v>
      </c>
      <c r="D204" s="146" t="s">
        <v>335</v>
      </c>
      <c r="E204" s="147">
        <v>1.89</v>
      </c>
      <c r="F204" s="147">
        <f>'机械台班'!G18</f>
        <v>68.41267132030315</v>
      </c>
      <c r="G204" s="147">
        <f t="shared" si="5"/>
        <v>129.29994879537293</v>
      </c>
      <c r="H204" s="146"/>
      <c r="M204" s="137"/>
      <c r="N204" s="137"/>
      <c r="O204" s="137"/>
    </row>
    <row r="205" spans="2:15" s="135" customFormat="1" ht="13.5" customHeight="1">
      <c r="B205" s="145"/>
      <c r="C205" s="146" t="s">
        <v>197</v>
      </c>
      <c r="D205" s="146" t="s">
        <v>335</v>
      </c>
      <c r="E205" s="147">
        <v>0.5</v>
      </c>
      <c r="F205" s="147">
        <f>'台班总'!D7</f>
        <v>89.44234463502194</v>
      </c>
      <c r="G205" s="147">
        <f t="shared" si="5"/>
        <v>44.72117231751097</v>
      </c>
      <c r="H205" s="146"/>
      <c r="M205" s="137"/>
      <c r="N205" s="137"/>
      <c r="O205" s="137"/>
    </row>
    <row r="206" spans="2:15" s="135" customFormat="1" ht="13.5" customHeight="1">
      <c r="B206" s="145"/>
      <c r="C206" s="146" t="s">
        <v>368</v>
      </c>
      <c r="D206" s="146" t="s">
        <v>335</v>
      </c>
      <c r="E206" s="147"/>
      <c r="F206" s="147">
        <f>'台班总'!D12</f>
        <v>19.849431591543677</v>
      </c>
      <c r="G206" s="147">
        <f t="shared" si="5"/>
        <v>0</v>
      </c>
      <c r="H206" s="146"/>
      <c r="M206" s="137"/>
      <c r="N206" s="137"/>
      <c r="O206" s="137"/>
    </row>
    <row r="207" spans="2:15" s="135" customFormat="1" ht="13.5" customHeight="1">
      <c r="B207" s="145"/>
      <c r="C207" s="146" t="s">
        <v>233</v>
      </c>
      <c r="D207" s="146" t="s">
        <v>335</v>
      </c>
      <c r="E207" s="147">
        <v>0.5</v>
      </c>
      <c r="F207" s="147">
        <f>'台班总'!D11</f>
        <v>59.19804228161149</v>
      </c>
      <c r="G207" s="147">
        <f t="shared" si="5"/>
        <v>29.599021140805746</v>
      </c>
      <c r="H207" s="146"/>
      <c r="M207" s="137"/>
      <c r="N207" s="137"/>
      <c r="O207" s="137"/>
    </row>
    <row r="208" spans="2:15" s="135" customFormat="1" ht="13.5" customHeight="1">
      <c r="B208" s="145"/>
      <c r="C208" s="146" t="s">
        <v>370</v>
      </c>
      <c r="D208" s="146" t="s">
        <v>332</v>
      </c>
      <c r="E208" s="147">
        <v>1</v>
      </c>
      <c r="F208" s="147">
        <f>SUM(G204:G207)</f>
        <v>203.62014225368964</v>
      </c>
      <c r="G208" s="147">
        <f>F208*E208%</f>
        <v>2.0362014225368963</v>
      </c>
      <c r="H208" s="146"/>
      <c r="M208" s="137"/>
      <c r="N208" s="137"/>
      <c r="O208" s="137"/>
    </row>
    <row r="209" spans="2:15" s="135" customFormat="1" ht="13.5" customHeight="1">
      <c r="B209" s="145" t="s">
        <v>63</v>
      </c>
      <c r="C209" s="146" t="s">
        <v>336</v>
      </c>
      <c r="D209" s="150">
        <v>0.048</v>
      </c>
      <c r="E209" s="147"/>
      <c r="F209" s="147"/>
      <c r="G209" s="147">
        <f>G198*D209</f>
        <v>18.23133014610476</v>
      </c>
      <c r="H209" s="146"/>
      <c r="M209" s="137"/>
      <c r="N209" s="137"/>
      <c r="O209" s="137"/>
    </row>
    <row r="210" spans="2:15" s="135" customFormat="1" ht="13.5" customHeight="1">
      <c r="B210" s="145" t="s">
        <v>355</v>
      </c>
      <c r="C210" s="146" t="s">
        <v>356</v>
      </c>
      <c r="D210" s="150"/>
      <c r="E210" s="147"/>
      <c r="F210" s="147"/>
      <c r="G210" s="147">
        <f>G198*D210</f>
        <v>0</v>
      </c>
      <c r="H210" s="146"/>
      <c r="M210" s="137"/>
      <c r="N210" s="137"/>
      <c r="O210" s="137"/>
    </row>
    <row r="211" spans="2:15" s="135" customFormat="1" ht="13.5" customHeight="1">
      <c r="B211" s="145" t="s">
        <v>18</v>
      </c>
      <c r="C211" s="146" t="s">
        <v>337</v>
      </c>
      <c r="D211" s="150">
        <v>0.045</v>
      </c>
      <c r="E211" s="147"/>
      <c r="F211" s="147"/>
      <c r="G211" s="147">
        <f>G197*D211</f>
        <v>17.912281868547925</v>
      </c>
      <c r="H211" s="146"/>
      <c r="M211" s="137"/>
      <c r="N211" s="137"/>
      <c r="O211" s="137"/>
    </row>
    <row r="212" spans="2:15" s="135" customFormat="1" ht="13.5" customHeight="1">
      <c r="B212" s="145" t="s">
        <v>20</v>
      </c>
      <c r="C212" s="146" t="s">
        <v>338</v>
      </c>
      <c r="D212" s="151">
        <v>0.05</v>
      </c>
      <c r="E212" s="147"/>
      <c r="F212" s="147"/>
      <c r="G212" s="147">
        <f>(G197+G211)*D212</f>
        <v>20.798149502925096</v>
      </c>
      <c r="H212" s="146"/>
      <c r="M212" s="137"/>
      <c r="N212" s="137"/>
      <c r="O212" s="137"/>
    </row>
    <row r="213" spans="2:15" s="135" customFormat="1" ht="13.5" customHeight="1">
      <c r="B213" s="145" t="s">
        <v>22</v>
      </c>
      <c r="C213" s="146" t="s">
        <v>339</v>
      </c>
      <c r="D213" s="152"/>
      <c r="E213" s="147"/>
      <c r="F213" s="147"/>
      <c r="G213" s="147">
        <f>G214</f>
        <v>105.30179999999999</v>
      </c>
      <c r="H213" s="146"/>
      <c r="M213" s="137"/>
      <c r="N213" s="137"/>
      <c r="O213" s="137"/>
    </row>
    <row r="214" spans="2:15" s="135" customFormat="1" ht="13.5" customHeight="1">
      <c r="B214" s="145"/>
      <c r="C214" s="146" t="s">
        <v>304</v>
      </c>
      <c r="D214" s="152" t="s">
        <v>307</v>
      </c>
      <c r="E214" s="147">
        <f>E204*'机械台班'!G13+'单价表'!E205*'机械台班'!E13+E207*'机械台班'!M13</f>
        <v>27.711</v>
      </c>
      <c r="F214" s="147">
        <f>'机械台班'!C32</f>
        <v>3.8</v>
      </c>
      <c r="G214" s="147">
        <f>F214*E214</f>
        <v>105.30179999999999</v>
      </c>
      <c r="H214" s="146"/>
      <c r="M214" s="137"/>
      <c r="N214" s="137"/>
      <c r="O214" s="137"/>
    </row>
    <row r="215" spans="2:15" s="135" customFormat="1" ht="13.5" customHeight="1">
      <c r="B215" s="145" t="s">
        <v>24</v>
      </c>
      <c r="C215" s="146" t="s">
        <v>340</v>
      </c>
      <c r="D215" s="152">
        <v>0.09</v>
      </c>
      <c r="E215" s="147"/>
      <c r="F215" s="147"/>
      <c r="G215" s="147">
        <f>(G197+G211+G212+G213)*D215</f>
        <v>48.78566456052842</v>
      </c>
      <c r="H215" s="146"/>
      <c r="M215" s="137"/>
      <c r="N215" s="137"/>
      <c r="O215" s="137"/>
    </row>
    <row r="216" spans="2:15" s="135" customFormat="1" ht="13.5" customHeight="1">
      <c r="B216" s="145"/>
      <c r="C216" s="146"/>
      <c r="D216" s="146"/>
      <c r="E216" s="147"/>
      <c r="F216" s="147"/>
      <c r="G216" s="147"/>
      <c r="H216" s="146"/>
      <c r="M216" s="137"/>
      <c r="N216" s="137"/>
      <c r="O216" s="137"/>
    </row>
    <row r="217" spans="2:15" s="135" customFormat="1" ht="13.5" customHeight="1">
      <c r="B217" s="145"/>
      <c r="C217" s="146" t="s">
        <v>36</v>
      </c>
      <c r="D217" s="146"/>
      <c r="E217" s="147"/>
      <c r="F217" s="147"/>
      <c r="G217" s="147">
        <f>G215+G213+G212++G211+G197</f>
        <v>590.8486041219553</v>
      </c>
      <c r="H217" s="146"/>
      <c r="M217" s="137"/>
      <c r="N217" s="137"/>
      <c r="O217" s="137"/>
    </row>
    <row r="218" spans="2:15" s="135" customFormat="1" ht="13.5" customHeight="1">
      <c r="B218" s="145" t="s">
        <v>341</v>
      </c>
      <c r="C218" s="146" t="s">
        <v>342</v>
      </c>
      <c r="D218" s="153">
        <v>0.03</v>
      </c>
      <c r="E218" s="147"/>
      <c r="F218" s="147"/>
      <c r="G218" s="147">
        <f>G217*D218</f>
        <v>17.725458123658658</v>
      </c>
      <c r="H218" s="146"/>
      <c r="M218" s="137"/>
      <c r="N218" s="137"/>
      <c r="O218" s="137"/>
    </row>
    <row r="219" spans="2:15" s="135" customFormat="1" ht="13.5" customHeight="1">
      <c r="B219" s="145"/>
      <c r="C219" s="146" t="s">
        <v>343</v>
      </c>
      <c r="D219" s="146"/>
      <c r="E219" s="147"/>
      <c r="F219" s="147"/>
      <c r="G219" s="147">
        <f>SUM(G217:G218)</f>
        <v>608.574062245614</v>
      </c>
      <c r="H219" s="146"/>
      <c r="M219" s="137"/>
      <c r="N219" s="137"/>
      <c r="O219" s="137"/>
    </row>
    <row r="220" spans="2:15" s="135" customFormat="1" ht="13.5" customHeight="1">
      <c r="B220" s="13"/>
      <c r="C220" s="13"/>
      <c r="D220" s="13"/>
      <c r="E220" s="155"/>
      <c r="F220" s="155"/>
      <c r="G220" s="155"/>
      <c r="H220" s="13"/>
      <c r="M220" s="137"/>
      <c r="N220" s="137"/>
      <c r="O220" s="137"/>
    </row>
    <row r="221" spans="2:15" s="135" customFormat="1" ht="13.5" customHeight="1">
      <c r="B221" s="13"/>
      <c r="C221" s="13"/>
      <c r="D221" s="13"/>
      <c r="E221" s="155"/>
      <c r="F221" s="155"/>
      <c r="G221" s="155"/>
      <c r="H221" s="13"/>
      <c r="M221" s="137"/>
      <c r="N221" s="137"/>
      <c r="O221" s="137"/>
    </row>
    <row r="222" spans="2:15" s="135" customFormat="1" ht="13.5" customHeight="1">
      <c r="B222" s="13"/>
      <c r="C222" s="13"/>
      <c r="D222" s="13"/>
      <c r="E222" s="155"/>
      <c r="F222" s="155"/>
      <c r="G222" s="155"/>
      <c r="H222" s="13"/>
      <c r="M222" s="137"/>
      <c r="N222" s="137"/>
      <c r="O222" s="137"/>
    </row>
    <row r="223" spans="2:15" s="135" customFormat="1" ht="13.5" customHeight="1">
      <c r="B223" s="13"/>
      <c r="C223" s="13"/>
      <c r="D223" s="13"/>
      <c r="E223" s="155"/>
      <c r="F223" s="155"/>
      <c r="G223" s="155"/>
      <c r="H223" s="13"/>
      <c r="M223" s="137"/>
      <c r="N223" s="137"/>
      <c r="O223" s="137"/>
    </row>
    <row r="224" spans="2:15" s="135" customFormat="1" ht="13.5" customHeight="1">
      <c r="B224" s="13"/>
      <c r="C224" s="13"/>
      <c r="D224" s="13"/>
      <c r="E224" s="155"/>
      <c r="F224" s="155"/>
      <c r="G224" s="155"/>
      <c r="H224" s="13"/>
      <c r="M224" s="137"/>
      <c r="N224" s="137"/>
      <c r="O224" s="137"/>
    </row>
    <row r="225" spans="2:15" s="135" customFormat="1" ht="13.5" customHeight="1">
      <c r="B225" s="13"/>
      <c r="C225" s="13"/>
      <c r="D225" s="13"/>
      <c r="E225" s="155"/>
      <c r="F225" s="155"/>
      <c r="G225" s="155"/>
      <c r="H225" s="13"/>
      <c r="M225" s="137"/>
      <c r="N225" s="137"/>
      <c r="O225" s="137"/>
    </row>
    <row r="226" spans="2:15" s="135" customFormat="1" ht="13.5" customHeight="1">
      <c r="B226" s="13"/>
      <c r="C226" s="13"/>
      <c r="D226" s="13"/>
      <c r="E226" s="155"/>
      <c r="F226" s="155"/>
      <c r="G226" s="155"/>
      <c r="H226" s="13"/>
      <c r="M226" s="137"/>
      <c r="N226" s="137"/>
      <c r="O226" s="137"/>
    </row>
    <row r="227" spans="2:15" s="135" customFormat="1" ht="13.5" customHeight="1">
      <c r="B227" s="13"/>
      <c r="C227" s="13"/>
      <c r="D227" s="13"/>
      <c r="E227" s="155"/>
      <c r="F227" s="155"/>
      <c r="G227" s="155"/>
      <c r="H227" s="13"/>
      <c r="M227" s="137"/>
      <c r="N227" s="137"/>
      <c r="O227" s="137"/>
    </row>
    <row r="228" spans="2:15" s="135" customFormat="1" ht="13.5" customHeight="1">
      <c r="B228" s="13"/>
      <c r="C228" s="13"/>
      <c r="D228" s="13"/>
      <c r="E228" s="155"/>
      <c r="F228" s="155"/>
      <c r="G228" s="155"/>
      <c r="H228" s="13"/>
      <c r="M228" s="137"/>
      <c r="N228" s="137"/>
      <c r="O228" s="137"/>
    </row>
    <row r="229" spans="2:15" s="135" customFormat="1" ht="13.5" customHeight="1">
      <c r="B229" s="13"/>
      <c r="C229" s="13"/>
      <c r="D229" s="13"/>
      <c r="E229" s="155"/>
      <c r="F229" s="155"/>
      <c r="G229" s="155"/>
      <c r="H229" s="13"/>
      <c r="M229" s="137"/>
      <c r="N229" s="137"/>
      <c r="O229" s="137"/>
    </row>
    <row r="230" spans="2:15" s="135" customFormat="1" ht="13.5" customHeight="1">
      <c r="B230" s="13"/>
      <c r="C230" s="13"/>
      <c r="D230" s="13"/>
      <c r="E230" s="155"/>
      <c r="F230" s="155"/>
      <c r="G230" s="155"/>
      <c r="H230" s="13"/>
      <c r="M230" s="137"/>
      <c r="N230" s="137"/>
      <c r="O230" s="137"/>
    </row>
    <row r="231" spans="2:15" s="135" customFormat="1" ht="13.5" customHeight="1">
      <c r="B231" s="13"/>
      <c r="C231" s="13"/>
      <c r="D231" s="13"/>
      <c r="E231" s="155"/>
      <c r="F231" s="155"/>
      <c r="G231" s="155"/>
      <c r="H231" s="13"/>
      <c r="M231" s="137"/>
      <c r="N231" s="137"/>
      <c r="O231" s="137"/>
    </row>
    <row r="232" spans="2:15" s="135" customFormat="1" ht="19.5" customHeight="1">
      <c r="B232" s="138" t="s">
        <v>317</v>
      </c>
      <c r="C232" s="138"/>
      <c r="D232" s="138"/>
      <c r="E232" s="138"/>
      <c r="F232" s="138"/>
      <c r="G232" s="138"/>
      <c r="H232" s="138"/>
      <c r="M232" s="137"/>
      <c r="N232" s="137"/>
      <c r="O232" s="137"/>
    </row>
    <row r="233" spans="2:15" s="135" customFormat="1" ht="13.5" customHeight="1">
      <c r="B233" s="139" t="s">
        <v>399</v>
      </c>
      <c r="C233" s="139"/>
      <c r="D233" s="139"/>
      <c r="E233" s="139"/>
      <c r="F233" s="139"/>
      <c r="G233" s="139"/>
      <c r="H233" s="139"/>
      <c r="M233" s="137"/>
      <c r="N233" s="137"/>
      <c r="O233" s="137"/>
    </row>
    <row r="234" spans="2:15" s="135" customFormat="1" ht="13.5" customHeight="1">
      <c r="B234" s="140" t="s">
        <v>400</v>
      </c>
      <c r="C234" s="140"/>
      <c r="D234" s="140"/>
      <c r="E234" s="140"/>
      <c r="F234" s="137"/>
      <c r="G234" s="141" t="s">
        <v>401</v>
      </c>
      <c r="H234" s="141"/>
      <c r="M234" s="137"/>
      <c r="N234" s="137"/>
      <c r="O234" s="137"/>
    </row>
    <row r="235" spans="2:15" s="135" customFormat="1" ht="13.5" customHeight="1">
      <c r="B235" s="142" t="s">
        <v>402</v>
      </c>
      <c r="C235" s="143"/>
      <c r="D235" s="143"/>
      <c r="E235" s="143"/>
      <c r="F235" s="143"/>
      <c r="G235" s="143"/>
      <c r="H235" s="144"/>
      <c r="M235" s="137"/>
      <c r="N235" s="137"/>
      <c r="O235" s="137"/>
    </row>
    <row r="236" spans="2:15" s="135" customFormat="1" ht="27.75" customHeight="1">
      <c r="B236" s="145" t="s">
        <v>3</v>
      </c>
      <c r="C236" s="146" t="s">
        <v>322</v>
      </c>
      <c r="D236" s="146" t="s">
        <v>323</v>
      </c>
      <c r="E236" s="147" t="s">
        <v>324</v>
      </c>
      <c r="F236" s="148" t="s">
        <v>325</v>
      </c>
      <c r="G236" s="148" t="s">
        <v>326</v>
      </c>
      <c r="H236" s="146" t="s">
        <v>145</v>
      </c>
      <c r="M236" s="137"/>
      <c r="N236" s="137"/>
      <c r="O236" s="137"/>
    </row>
    <row r="237" spans="2:15" s="135" customFormat="1" ht="13.5" customHeight="1">
      <c r="B237" s="145" t="s">
        <v>16</v>
      </c>
      <c r="C237" s="146" t="s">
        <v>327</v>
      </c>
      <c r="D237" s="146"/>
      <c r="E237" s="147"/>
      <c r="F237" s="147"/>
      <c r="G237" s="147">
        <f>G238+G258+G259</f>
        <v>4075.7438126888565</v>
      </c>
      <c r="H237" s="194"/>
      <c r="M237" s="137"/>
      <c r="N237" s="137"/>
      <c r="O237" s="137"/>
    </row>
    <row r="238" spans="2:15" s="135" customFormat="1" ht="13.5" customHeight="1">
      <c r="B238" s="145" t="s">
        <v>39</v>
      </c>
      <c r="C238" s="146" t="s">
        <v>328</v>
      </c>
      <c r="D238" s="146"/>
      <c r="E238" s="147"/>
      <c r="F238" s="147"/>
      <c r="G238" s="147">
        <f>G239+G242+G247</f>
        <v>3889.068523558069</v>
      </c>
      <c r="H238" s="194"/>
      <c r="M238" s="137"/>
      <c r="N238" s="137"/>
      <c r="O238" s="137"/>
    </row>
    <row r="239" spans="2:15" s="135" customFormat="1" ht="13.5" customHeight="1">
      <c r="B239" s="145">
        <v>1</v>
      </c>
      <c r="C239" s="146" t="s">
        <v>329</v>
      </c>
      <c r="D239" s="149"/>
      <c r="E239" s="147"/>
      <c r="F239" s="147"/>
      <c r="G239" s="147">
        <f>SUM(G240:G241)</f>
        <v>814.076</v>
      </c>
      <c r="H239" s="194"/>
      <c r="M239" s="137"/>
      <c r="N239" s="137"/>
      <c r="O239" s="137"/>
    </row>
    <row r="240" spans="2:15" s="135" customFormat="1" ht="13.5" customHeight="1">
      <c r="B240" s="145"/>
      <c r="C240" s="149" t="s">
        <v>351</v>
      </c>
      <c r="D240" s="149" t="s">
        <v>163</v>
      </c>
      <c r="E240" s="147">
        <v>80.7</v>
      </c>
      <c r="F240" s="147">
        <f>'单价分析'!E15</f>
        <v>8.1</v>
      </c>
      <c r="G240" s="147">
        <f aca="true" t="shared" si="6" ref="G240:G245">F240*E240</f>
        <v>653.67</v>
      </c>
      <c r="H240" s="194"/>
      <c r="M240" s="137"/>
      <c r="N240" s="137"/>
      <c r="O240" s="137"/>
    </row>
    <row r="241" spans="2:15" s="135" customFormat="1" ht="13.5" customHeight="1">
      <c r="B241" s="145"/>
      <c r="C241" s="149" t="s">
        <v>330</v>
      </c>
      <c r="D241" s="149" t="s">
        <v>163</v>
      </c>
      <c r="E241" s="147">
        <v>27.8</v>
      </c>
      <c r="F241" s="147">
        <f>'单价分析'!E16</f>
        <v>5.77</v>
      </c>
      <c r="G241" s="147">
        <f t="shared" si="6"/>
        <v>160.406</v>
      </c>
      <c r="H241" s="194"/>
      <c r="M241" s="137"/>
      <c r="N241" s="137"/>
      <c r="O241" s="137"/>
    </row>
    <row r="242" spans="2:15" s="135" customFormat="1" ht="13.5" customHeight="1">
      <c r="B242" s="145">
        <v>2</v>
      </c>
      <c r="C242" s="146" t="s">
        <v>373</v>
      </c>
      <c r="D242" s="146"/>
      <c r="E242" s="147"/>
      <c r="F242" s="147"/>
      <c r="G242" s="147">
        <f>SUM(G243:G246)</f>
        <v>2710.4390299999995</v>
      </c>
      <c r="H242" s="194"/>
      <c r="M242" s="137"/>
      <c r="N242" s="137"/>
      <c r="O242" s="137"/>
    </row>
    <row r="243" spans="2:15" s="135" customFormat="1" ht="13.5" customHeight="1">
      <c r="B243" s="145"/>
      <c r="C243" s="146" t="s">
        <v>302</v>
      </c>
      <c r="D243" s="146" t="s">
        <v>77</v>
      </c>
      <c r="E243" s="147">
        <v>1.02</v>
      </c>
      <c r="F243" s="147">
        <v>2560</v>
      </c>
      <c r="G243" s="147">
        <f t="shared" si="6"/>
        <v>2611.2</v>
      </c>
      <c r="H243" s="194"/>
      <c r="M243" s="137"/>
      <c r="N243" s="137"/>
      <c r="O243" s="137"/>
    </row>
    <row r="244" spans="2:15" s="135" customFormat="1" ht="13.5" customHeight="1">
      <c r="B244" s="145"/>
      <c r="C244" s="146" t="s">
        <v>313</v>
      </c>
      <c r="D244" s="146" t="s">
        <v>403</v>
      </c>
      <c r="E244" s="147">
        <v>4</v>
      </c>
      <c r="F244" s="147">
        <f>'机械台班'!D41</f>
        <v>7</v>
      </c>
      <c r="G244" s="147">
        <f t="shared" si="6"/>
        <v>28</v>
      </c>
      <c r="H244" s="194"/>
      <c r="M244" s="137"/>
      <c r="N244" s="137"/>
      <c r="O244" s="137"/>
    </row>
    <row r="245" spans="2:15" s="135" customFormat="1" ht="13.5" customHeight="1">
      <c r="B245" s="145"/>
      <c r="C245" s="146" t="s">
        <v>310</v>
      </c>
      <c r="D245" s="146" t="s">
        <v>403</v>
      </c>
      <c r="E245" s="147">
        <v>7.22</v>
      </c>
      <c r="F245" s="147">
        <f>'机械台班'!D38</f>
        <v>6.15</v>
      </c>
      <c r="G245" s="147">
        <f t="shared" si="6"/>
        <v>44.403</v>
      </c>
      <c r="H245" s="194"/>
      <c r="M245" s="137"/>
      <c r="N245" s="137"/>
      <c r="O245" s="137"/>
    </row>
    <row r="246" spans="2:15" s="135" customFormat="1" ht="13.5" customHeight="1">
      <c r="B246" s="145"/>
      <c r="C246" s="146" t="s">
        <v>404</v>
      </c>
      <c r="D246" s="146" t="s">
        <v>332</v>
      </c>
      <c r="E246" s="147">
        <v>1</v>
      </c>
      <c r="F246" s="147">
        <f>SUM(G243:G245)</f>
        <v>2683.6029999999996</v>
      </c>
      <c r="G246" s="147">
        <f>F246*E246/100</f>
        <v>26.836029999999997</v>
      </c>
      <c r="H246" s="194"/>
      <c r="M246" s="137"/>
      <c r="N246" s="137"/>
      <c r="O246" s="137"/>
    </row>
    <row r="247" spans="2:15" s="135" customFormat="1" ht="13.5" customHeight="1">
      <c r="B247" s="145">
        <v>3</v>
      </c>
      <c r="C247" s="146" t="s">
        <v>333</v>
      </c>
      <c r="D247" s="146"/>
      <c r="E247" s="147"/>
      <c r="F247" s="147"/>
      <c r="G247" s="147">
        <f>SUM(G248:G256)</f>
        <v>364.5534935580694</v>
      </c>
      <c r="H247" s="194"/>
      <c r="M247" s="137"/>
      <c r="N247" s="137"/>
      <c r="O247" s="137"/>
    </row>
    <row r="248" spans="2:15" s="135" customFormat="1" ht="13.5" customHeight="1">
      <c r="B248" s="145"/>
      <c r="C248" s="146" t="s">
        <v>224</v>
      </c>
      <c r="D248" s="146" t="s">
        <v>335</v>
      </c>
      <c r="E248" s="147">
        <v>0.6</v>
      </c>
      <c r="F248" s="147">
        <f>'机械台班'!AU18</f>
        <v>22.245194256082968</v>
      </c>
      <c r="G248" s="147">
        <f aca="true" t="shared" si="7" ref="G248:G255">F248*E248</f>
        <v>13.34711655364978</v>
      </c>
      <c r="H248" s="194"/>
      <c r="M248" s="137"/>
      <c r="N248" s="137"/>
      <c r="O248" s="137"/>
    </row>
    <row r="249" spans="2:15" s="135" customFormat="1" ht="13.5" customHeight="1">
      <c r="B249" s="145"/>
      <c r="C249" s="197" t="s">
        <v>237</v>
      </c>
      <c r="D249" s="146" t="s">
        <v>335</v>
      </c>
      <c r="E249" s="147">
        <v>1.5</v>
      </c>
      <c r="F249" s="147">
        <f>'机械台班'!R18</f>
        <v>44.85201675309134</v>
      </c>
      <c r="G249" s="147">
        <f t="shared" si="7"/>
        <v>67.27802512963702</v>
      </c>
      <c r="H249" s="194"/>
      <c r="M249" s="137"/>
      <c r="N249" s="137"/>
      <c r="O249" s="137"/>
    </row>
    <row r="250" spans="2:15" s="135" customFormat="1" ht="13.5" customHeight="1">
      <c r="B250" s="145"/>
      <c r="C250" s="146" t="s">
        <v>223</v>
      </c>
      <c r="D250" s="146" t="s">
        <v>335</v>
      </c>
      <c r="E250" s="147">
        <v>0.4</v>
      </c>
      <c r="F250" s="147">
        <f>'机械台班'!AV18</f>
        <v>31.120894295971283</v>
      </c>
      <c r="G250" s="147">
        <f t="shared" si="7"/>
        <v>12.448357718388515</v>
      </c>
      <c r="H250" s="194"/>
      <c r="M250" s="137"/>
      <c r="N250" s="137"/>
      <c r="O250" s="137"/>
    </row>
    <row r="251" spans="2:15" s="135" customFormat="1" ht="13.5" customHeight="1">
      <c r="B251" s="145"/>
      <c r="C251" s="146" t="s">
        <v>222</v>
      </c>
      <c r="D251" s="146" t="s">
        <v>335</v>
      </c>
      <c r="E251" s="147">
        <v>1.05</v>
      </c>
      <c r="F251" s="147">
        <f>'机械台班'!AW18</f>
        <v>18.74114479457519</v>
      </c>
      <c r="G251" s="147">
        <f t="shared" si="7"/>
        <v>19.67820203430395</v>
      </c>
      <c r="H251" s="194"/>
      <c r="M251" s="137"/>
      <c r="N251" s="137"/>
      <c r="O251" s="137"/>
    </row>
    <row r="252" spans="2:15" s="135" customFormat="1" ht="13.5" customHeight="1">
      <c r="B252" s="145"/>
      <c r="C252" s="146" t="s">
        <v>221</v>
      </c>
      <c r="D252" s="146" t="s">
        <v>335</v>
      </c>
      <c r="E252" s="147">
        <v>0.4</v>
      </c>
      <c r="F252" s="147">
        <f>'机械台班'!AX18</f>
        <v>137.83093</v>
      </c>
      <c r="G252" s="147">
        <f t="shared" si="7"/>
        <v>55.132372000000004</v>
      </c>
      <c r="H252" s="194"/>
      <c r="M252" s="137"/>
      <c r="N252" s="137"/>
      <c r="O252" s="137"/>
    </row>
    <row r="253" spans="2:15" s="135" customFormat="1" ht="13.5" customHeight="1">
      <c r="B253" s="145"/>
      <c r="C253" s="146" t="s">
        <v>220</v>
      </c>
      <c r="D253" s="146" t="s">
        <v>335</v>
      </c>
      <c r="E253" s="147">
        <v>10</v>
      </c>
      <c r="F253" s="147">
        <f>'机械台班'!AT18</f>
        <v>15.587185879537296</v>
      </c>
      <c r="G253" s="147">
        <f t="shared" si="7"/>
        <v>155.87185879537296</v>
      </c>
      <c r="H253" s="194"/>
      <c r="M253" s="137"/>
      <c r="N253" s="137"/>
      <c r="O253" s="137"/>
    </row>
    <row r="254" spans="2:15" s="135" customFormat="1" ht="13.5" customHeight="1">
      <c r="B254" s="145"/>
      <c r="C254" s="146" t="s">
        <v>405</v>
      </c>
      <c r="D254" s="146" t="s">
        <v>335</v>
      </c>
      <c r="E254" s="147">
        <v>0.45</v>
      </c>
      <c r="F254" s="147">
        <f>'机械台班'!S18</f>
        <v>49.389824491424015</v>
      </c>
      <c r="G254" s="147">
        <f t="shared" si="7"/>
        <v>22.225421021140807</v>
      </c>
      <c r="H254" s="194"/>
      <c r="M254" s="137"/>
      <c r="N254" s="137"/>
      <c r="O254" s="137"/>
    </row>
    <row r="255" spans="2:15" s="135" customFormat="1" ht="13.5" customHeight="1">
      <c r="B255" s="145"/>
      <c r="C255" s="146" t="s">
        <v>406</v>
      </c>
      <c r="D255" s="146" t="s">
        <v>335</v>
      </c>
      <c r="E255" s="147">
        <v>0.1</v>
      </c>
      <c r="F255" s="147">
        <f>'机械台班'!AA18</f>
        <v>114.24032588751496</v>
      </c>
      <c r="G255" s="147">
        <f t="shared" si="7"/>
        <v>11.424032588751496</v>
      </c>
      <c r="H255" s="194"/>
      <c r="M255" s="137"/>
      <c r="N255" s="137"/>
      <c r="O255" s="137"/>
    </row>
    <row r="256" spans="2:15" s="135" customFormat="1" ht="13.5" customHeight="1">
      <c r="B256" s="145"/>
      <c r="C256" s="146" t="s">
        <v>370</v>
      </c>
      <c r="D256" s="146" t="s">
        <v>332</v>
      </c>
      <c r="E256" s="147">
        <v>2</v>
      </c>
      <c r="F256" s="147">
        <f>SUM(G248:G255)</f>
        <v>357.40538584124454</v>
      </c>
      <c r="G256" s="147">
        <f>F256*E256/100</f>
        <v>7.1481077168248905</v>
      </c>
      <c r="H256" s="194"/>
      <c r="M256" s="137"/>
      <c r="N256" s="137"/>
      <c r="O256" s="137"/>
    </row>
    <row r="257" spans="2:15" s="135" customFormat="1" ht="13.5" customHeight="1">
      <c r="B257" s="145"/>
      <c r="C257" s="146"/>
      <c r="D257" s="146"/>
      <c r="E257" s="147"/>
      <c r="F257" s="147"/>
      <c r="G257" s="147"/>
      <c r="H257" s="194"/>
      <c r="M257" s="137"/>
      <c r="N257" s="137"/>
      <c r="O257" s="137"/>
    </row>
    <row r="258" spans="2:15" s="135" customFormat="1" ht="13.5" customHeight="1">
      <c r="B258" s="145" t="s">
        <v>63</v>
      </c>
      <c r="C258" s="146" t="s">
        <v>336</v>
      </c>
      <c r="D258" s="150">
        <v>0.048</v>
      </c>
      <c r="E258" s="147"/>
      <c r="F258" s="147"/>
      <c r="G258" s="147">
        <f>G238*D258</f>
        <v>186.67528913078732</v>
      </c>
      <c r="H258" s="194"/>
      <c r="M258" s="137"/>
      <c r="N258" s="137"/>
      <c r="O258" s="137"/>
    </row>
    <row r="259" spans="2:15" s="135" customFormat="1" ht="13.5" customHeight="1">
      <c r="B259" s="145" t="s">
        <v>355</v>
      </c>
      <c r="C259" s="146" t="s">
        <v>356</v>
      </c>
      <c r="D259" s="150"/>
      <c r="E259" s="147"/>
      <c r="F259" s="147"/>
      <c r="G259" s="147">
        <f>G238*D259</f>
        <v>0</v>
      </c>
      <c r="H259" s="194"/>
      <c r="M259" s="137"/>
      <c r="N259" s="137"/>
      <c r="O259" s="137"/>
    </row>
    <row r="260" spans="2:15" s="135" customFormat="1" ht="13.5" customHeight="1">
      <c r="B260" s="145" t="s">
        <v>18</v>
      </c>
      <c r="C260" s="146" t="s">
        <v>337</v>
      </c>
      <c r="D260" s="150">
        <v>0.05</v>
      </c>
      <c r="E260" s="147"/>
      <c r="F260" s="147"/>
      <c r="G260" s="147">
        <f>G237*D260</f>
        <v>203.78719063444282</v>
      </c>
      <c r="H260" s="194"/>
      <c r="M260" s="137"/>
      <c r="N260" s="137"/>
      <c r="O260" s="137"/>
    </row>
    <row r="261" spans="2:15" s="135" customFormat="1" ht="13.5" customHeight="1">
      <c r="B261" s="145" t="s">
        <v>20</v>
      </c>
      <c r="C261" s="146" t="s">
        <v>338</v>
      </c>
      <c r="D261" s="151">
        <v>0.07</v>
      </c>
      <c r="E261" s="147"/>
      <c r="F261" s="147"/>
      <c r="G261" s="147">
        <f>(G237+G260)*D261</f>
        <v>299.567170232631</v>
      </c>
      <c r="H261" s="194"/>
      <c r="M261" s="137"/>
      <c r="N261" s="137"/>
      <c r="O261" s="137"/>
    </row>
    <row r="262" spans="2:15" s="135" customFormat="1" ht="13.5" customHeight="1">
      <c r="B262" s="145" t="s">
        <v>22</v>
      </c>
      <c r="C262" s="146" t="s">
        <v>339</v>
      </c>
      <c r="D262" s="152"/>
      <c r="E262" s="147"/>
      <c r="F262" s="147"/>
      <c r="G262" s="147">
        <f>SUM(G263:G264)</f>
        <v>1604.6771058</v>
      </c>
      <c r="H262" s="194"/>
      <c r="M262" s="137"/>
      <c r="N262" s="137"/>
      <c r="O262" s="137"/>
    </row>
    <row r="263" spans="2:15" s="135" customFormat="1" ht="13.5" customHeight="1">
      <c r="B263" s="145"/>
      <c r="C263" s="146" t="s">
        <v>302</v>
      </c>
      <c r="D263" s="146" t="s">
        <v>77</v>
      </c>
      <c r="E263" s="147">
        <f>E243</f>
        <v>1.02</v>
      </c>
      <c r="F263" s="147">
        <f>'机械台班'!C30</f>
        <v>1557.1557899999998</v>
      </c>
      <c r="G263" s="147">
        <f>F263*E263</f>
        <v>1588.2989057999998</v>
      </c>
      <c r="H263" s="194"/>
      <c r="M263" s="137"/>
      <c r="N263" s="137"/>
      <c r="O263" s="137"/>
    </row>
    <row r="264" spans="2:15" s="135" customFormat="1" ht="13.5" customHeight="1">
      <c r="B264" s="145"/>
      <c r="C264" s="146" t="s">
        <v>303</v>
      </c>
      <c r="D264" s="152" t="s">
        <v>307</v>
      </c>
      <c r="E264" s="147">
        <f>E254*'机械台班'!S13</f>
        <v>3.24</v>
      </c>
      <c r="F264" s="147">
        <f>'机械台班'!C31</f>
        <v>5.055000000000001</v>
      </c>
      <c r="G264" s="147">
        <f>F264*E264</f>
        <v>16.378200000000003</v>
      </c>
      <c r="H264" s="194"/>
      <c r="M264" s="137"/>
      <c r="N264" s="137"/>
      <c r="O264" s="137"/>
    </row>
    <row r="265" spans="2:15" s="135" customFormat="1" ht="13.5" customHeight="1">
      <c r="B265" s="145"/>
      <c r="C265" s="146"/>
      <c r="D265" s="152"/>
      <c r="E265" s="147"/>
      <c r="F265" s="147"/>
      <c r="G265" s="147"/>
      <c r="H265" s="194"/>
      <c r="M265" s="137"/>
      <c r="N265" s="137"/>
      <c r="O265" s="137"/>
    </row>
    <row r="266" spans="2:15" s="135" customFormat="1" ht="13.5" customHeight="1">
      <c r="B266" s="145" t="s">
        <v>24</v>
      </c>
      <c r="C266" s="146" t="s">
        <v>340</v>
      </c>
      <c r="D266" s="152">
        <v>0.09</v>
      </c>
      <c r="E266" s="147"/>
      <c r="F266" s="147"/>
      <c r="G266" s="147">
        <f>(G237+G260+G261+G262)*D266</f>
        <v>556.5397751420337</v>
      </c>
      <c r="H266" s="194"/>
      <c r="M266" s="137"/>
      <c r="N266" s="137"/>
      <c r="O266" s="137"/>
    </row>
    <row r="267" spans="2:15" s="135" customFormat="1" ht="13.5" customHeight="1">
      <c r="B267" s="145"/>
      <c r="C267" s="146"/>
      <c r="D267" s="146"/>
      <c r="E267" s="147"/>
      <c r="F267" s="147"/>
      <c r="G267" s="147"/>
      <c r="H267" s="194"/>
      <c r="M267" s="137"/>
      <c r="N267" s="137"/>
      <c r="O267" s="137"/>
    </row>
    <row r="268" spans="2:15" s="135" customFormat="1" ht="13.5" customHeight="1">
      <c r="B268" s="145"/>
      <c r="C268" s="146" t="s">
        <v>36</v>
      </c>
      <c r="D268" s="146"/>
      <c r="E268" s="147"/>
      <c r="F268" s="147"/>
      <c r="G268" s="147">
        <f>G266+G261+G260+G237+G262</f>
        <v>6740.3150544979635</v>
      </c>
      <c r="H268" s="194"/>
      <c r="M268" s="137"/>
      <c r="N268" s="137"/>
      <c r="O268" s="137"/>
    </row>
    <row r="269" spans="2:15" s="135" customFormat="1" ht="13.5" customHeight="1">
      <c r="B269" s="145" t="s">
        <v>341</v>
      </c>
      <c r="C269" s="146" t="s">
        <v>342</v>
      </c>
      <c r="D269" s="153">
        <v>0.03</v>
      </c>
      <c r="E269" s="147"/>
      <c r="F269" s="147"/>
      <c r="G269" s="147">
        <f>G268*D269</f>
        <v>202.2094516349389</v>
      </c>
      <c r="H269" s="194"/>
      <c r="M269" s="137"/>
      <c r="N269" s="137"/>
      <c r="O269" s="137"/>
    </row>
    <row r="270" spans="2:15" s="135" customFormat="1" ht="13.5" customHeight="1">
      <c r="B270" s="145"/>
      <c r="C270" s="146" t="s">
        <v>343</v>
      </c>
      <c r="D270" s="146"/>
      <c r="E270" s="147"/>
      <c r="F270" s="147"/>
      <c r="G270" s="147">
        <f>SUM(G268:G269)</f>
        <v>6942.524506132902</v>
      </c>
      <c r="H270" s="194"/>
      <c r="M270" s="137"/>
      <c r="N270" s="137"/>
      <c r="O270" s="137"/>
    </row>
    <row r="271" spans="2:15" s="135" customFormat="1" ht="13.5" customHeight="1">
      <c r="B271" s="13"/>
      <c r="C271" s="13"/>
      <c r="D271" s="13"/>
      <c r="E271" s="155"/>
      <c r="F271" s="155"/>
      <c r="G271" s="155"/>
      <c r="M271" s="137"/>
      <c r="N271" s="137"/>
      <c r="O271" s="137"/>
    </row>
    <row r="272" spans="2:15" s="135" customFormat="1" ht="13.5" customHeight="1">
      <c r="B272" s="13"/>
      <c r="C272" s="13"/>
      <c r="D272" s="13"/>
      <c r="E272" s="155"/>
      <c r="F272" s="155"/>
      <c r="G272" s="155"/>
      <c r="M272" s="137"/>
      <c r="N272" s="137"/>
      <c r="O272" s="137"/>
    </row>
    <row r="273" spans="2:15" s="135" customFormat="1" ht="13.5" customHeight="1">
      <c r="B273" s="13"/>
      <c r="C273" s="13"/>
      <c r="D273" s="13"/>
      <c r="E273" s="155"/>
      <c r="F273" s="155"/>
      <c r="G273" s="155"/>
      <c r="M273" s="137"/>
      <c r="N273" s="137"/>
      <c r="O273" s="137"/>
    </row>
    <row r="274" spans="2:16" s="135" customFormat="1" ht="19.5" customHeight="1">
      <c r="B274" s="138" t="s">
        <v>317</v>
      </c>
      <c r="C274" s="138"/>
      <c r="D274" s="138"/>
      <c r="E274" s="138"/>
      <c r="F274" s="138"/>
      <c r="G274" s="138"/>
      <c r="H274" s="138"/>
      <c r="J274" s="136"/>
      <c r="K274" s="136"/>
      <c r="L274" s="136"/>
      <c r="M274" s="136"/>
      <c r="N274" s="136"/>
      <c r="O274" s="136"/>
      <c r="P274" s="136"/>
    </row>
    <row r="275" spans="2:16" s="135" customFormat="1" ht="13.5" customHeight="1">
      <c r="B275" s="139" t="s">
        <v>407</v>
      </c>
      <c r="C275" s="139"/>
      <c r="D275" s="139"/>
      <c r="E275" s="139"/>
      <c r="F275" s="139"/>
      <c r="G275" s="139"/>
      <c r="H275" s="139"/>
      <c r="J275" s="136"/>
      <c r="K275" s="136"/>
      <c r="L275" s="136"/>
      <c r="M275" s="136"/>
      <c r="N275" s="136"/>
      <c r="O275" s="136"/>
      <c r="P275" s="136"/>
    </row>
    <row r="276" spans="2:16" s="135" customFormat="1" ht="13.5" customHeight="1">
      <c r="B276" s="140" t="s">
        <v>408</v>
      </c>
      <c r="C276" s="140"/>
      <c r="D276" s="140"/>
      <c r="E276" s="140"/>
      <c r="F276" s="137"/>
      <c r="G276" s="141" t="s">
        <v>320</v>
      </c>
      <c r="H276" s="141"/>
      <c r="J276" s="136"/>
      <c r="K276" s="136"/>
      <c r="L276" s="136"/>
      <c r="M276" s="136"/>
      <c r="N276" s="136"/>
      <c r="O276" s="136"/>
      <c r="P276" s="136"/>
    </row>
    <row r="277" spans="2:16" s="135" customFormat="1" ht="13.5" customHeight="1">
      <c r="B277" s="142" t="s">
        <v>409</v>
      </c>
      <c r="C277" s="143"/>
      <c r="D277" s="143"/>
      <c r="E277" s="143"/>
      <c r="F277" s="143"/>
      <c r="G277" s="143"/>
      <c r="H277" s="144"/>
      <c r="J277" s="136"/>
      <c r="K277" s="136"/>
      <c r="L277" s="136"/>
      <c r="M277" s="136"/>
      <c r="N277" s="136"/>
      <c r="O277" s="136"/>
      <c r="P277" s="136"/>
    </row>
    <row r="278" spans="2:16" s="135" customFormat="1" ht="26.25" customHeight="1">
      <c r="B278" s="145" t="s">
        <v>3</v>
      </c>
      <c r="C278" s="146" t="s">
        <v>322</v>
      </c>
      <c r="D278" s="146" t="s">
        <v>102</v>
      </c>
      <c r="E278" s="147" t="s">
        <v>324</v>
      </c>
      <c r="F278" s="148" t="s">
        <v>325</v>
      </c>
      <c r="G278" s="148" t="s">
        <v>326</v>
      </c>
      <c r="H278" s="146" t="s">
        <v>386</v>
      </c>
      <c r="J278" s="136"/>
      <c r="K278" s="136"/>
      <c r="L278" s="136"/>
      <c r="M278" s="136"/>
      <c r="N278" s="136"/>
      <c r="O278" s="136"/>
      <c r="P278" s="136"/>
    </row>
    <row r="279" spans="2:16" s="135" customFormat="1" ht="13.5" customHeight="1">
      <c r="B279" s="145" t="s">
        <v>16</v>
      </c>
      <c r="C279" s="146" t="s">
        <v>327</v>
      </c>
      <c r="D279" s="146"/>
      <c r="E279" s="147"/>
      <c r="F279" s="147"/>
      <c r="G279" s="147">
        <f>G280+G305+G306</f>
        <v>35127.05165571253</v>
      </c>
      <c r="H279" s="146"/>
      <c r="J279" s="136"/>
      <c r="K279" s="136"/>
      <c r="L279" s="136"/>
      <c r="M279" s="136"/>
      <c r="N279" s="136"/>
      <c r="O279" s="136"/>
      <c r="P279" s="136"/>
    </row>
    <row r="280" spans="2:16" s="135" customFormat="1" ht="13.5" customHeight="1">
      <c r="B280" s="145" t="s">
        <v>39</v>
      </c>
      <c r="C280" s="146" t="s">
        <v>328</v>
      </c>
      <c r="D280" s="146"/>
      <c r="E280" s="147"/>
      <c r="F280" s="147"/>
      <c r="G280" s="147">
        <f>G281+G284+G294+G302</f>
        <v>33518.1790607944</v>
      </c>
      <c r="H280" s="146"/>
      <c r="J280" s="136"/>
      <c r="K280" s="136"/>
      <c r="L280" s="136"/>
      <c r="M280" s="136"/>
      <c r="N280" s="136"/>
      <c r="O280" s="136"/>
      <c r="P280" s="136"/>
    </row>
    <row r="281" spans="2:16" s="135" customFormat="1" ht="13.5" customHeight="1">
      <c r="B281" s="145">
        <v>1</v>
      </c>
      <c r="C281" s="146" t="s">
        <v>329</v>
      </c>
      <c r="D281" s="146"/>
      <c r="E281" s="147"/>
      <c r="F281" s="147"/>
      <c r="G281" s="147">
        <f>G282+G283</f>
        <v>11700.706999999999</v>
      </c>
      <c r="H281" s="146"/>
      <c r="J281" s="136"/>
      <c r="K281" s="136"/>
      <c r="L281" s="136"/>
      <c r="M281" s="136"/>
      <c r="N281" s="136"/>
      <c r="O281" s="136"/>
      <c r="P281" s="136"/>
    </row>
    <row r="282" spans="2:16" s="135" customFormat="1" ht="13.5" customHeight="1">
      <c r="B282" s="145"/>
      <c r="C282" s="149" t="s">
        <v>351</v>
      </c>
      <c r="D282" s="149" t="s">
        <v>163</v>
      </c>
      <c r="E282" s="147">
        <v>1031.3</v>
      </c>
      <c r="F282" s="147">
        <f>'单价分析'!L15</f>
        <v>8.1</v>
      </c>
      <c r="G282" s="147">
        <f>F282*E282</f>
        <v>8353.529999999999</v>
      </c>
      <c r="H282" s="146"/>
      <c r="J282" s="136"/>
      <c r="K282" s="136"/>
      <c r="L282" s="136"/>
      <c r="M282" s="136"/>
      <c r="N282" s="136"/>
      <c r="O282" s="136"/>
      <c r="P282" s="136"/>
    </row>
    <row r="283" spans="2:16" s="135" customFormat="1" ht="13.5" customHeight="1">
      <c r="B283" s="145"/>
      <c r="C283" s="149" t="s">
        <v>330</v>
      </c>
      <c r="D283" s="149" t="s">
        <v>163</v>
      </c>
      <c r="E283" s="147">
        <v>580.1</v>
      </c>
      <c r="F283" s="147">
        <f>'单价分析'!L16</f>
        <v>5.77</v>
      </c>
      <c r="G283" s="147">
        <f>F283*E283</f>
        <v>3347.1769999999997</v>
      </c>
      <c r="H283" s="146"/>
      <c r="J283" s="136"/>
      <c r="K283" s="136"/>
      <c r="L283" s="136"/>
      <c r="M283" s="136"/>
      <c r="N283" s="136"/>
      <c r="O283" s="136"/>
      <c r="P283" s="136"/>
    </row>
    <row r="284" spans="2:16" s="135" customFormat="1" ht="13.5" customHeight="1">
      <c r="B284" s="145">
        <v>2</v>
      </c>
      <c r="C284" s="146" t="s">
        <v>373</v>
      </c>
      <c r="D284" s="146"/>
      <c r="E284" s="147"/>
      <c r="F284" s="147"/>
      <c r="G284" s="147">
        <f>SUM(G285:G293)</f>
        <v>18056.0886935325</v>
      </c>
      <c r="H284" s="146"/>
      <c r="J284" s="136"/>
      <c r="K284" s="136"/>
      <c r="L284" s="136"/>
      <c r="M284" s="136"/>
      <c r="N284" s="136"/>
      <c r="O284" s="136"/>
      <c r="P284" s="136"/>
    </row>
    <row r="285" spans="2:16" s="135" customFormat="1" ht="13.5" customHeight="1">
      <c r="B285" s="145"/>
      <c r="C285" s="146" t="s">
        <v>410</v>
      </c>
      <c r="D285" s="146" t="s">
        <v>307</v>
      </c>
      <c r="E285" s="147">
        <v>63.56</v>
      </c>
      <c r="F285" s="147">
        <f>'机械台班'!D35</f>
        <v>4.43</v>
      </c>
      <c r="G285" s="147">
        <f aca="true" t="shared" si="8" ref="G285:G292">F285*E285</f>
        <v>281.5708</v>
      </c>
      <c r="H285" s="146"/>
      <c r="J285" s="136"/>
      <c r="K285" s="136"/>
      <c r="L285" s="136"/>
      <c r="M285" s="136"/>
      <c r="N285" s="136"/>
      <c r="O285" s="136"/>
      <c r="P285" s="136"/>
    </row>
    <row r="286" spans="2:16" s="135" customFormat="1" ht="13.5" customHeight="1">
      <c r="B286" s="145"/>
      <c r="C286" s="146" t="s">
        <v>309</v>
      </c>
      <c r="D286" s="146" t="s">
        <v>307</v>
      </c>
      <c r="E286" s="147">
        <v>27.24</v>
      </c>
      <c r="F286" s="147">
        <f>'机械台班'!D37</f>
        <v>5.5</v>
      </c>
      <c r="G286" s="147">
        <f t="shared" si="8"/>
        <v>149.82</v>
      </c>
      <c r="H286" s="146"/>
      <c r="J286" s="136"/>
      <c r="K286" s="136"/>
      <c r="L286" s="136"/>
      <c r="M286" s="136"/>
      <c r="N286" s="136"/>
      <c r="O286" s="136"/>
      <c r="P286" s="136"/>
    </row>
    <row r="287" spans="2:16" s="135" customFormat="1" ht="13.5" customHeight="1">
      <c r="B287" s="145"/>
      <c r="C287" s="146" t="s">
        <v>308</v>
      </c>
      <c r="D287" s="146" t="s">
        <v>307</v>
      </c>
      <c r="E287" s="147">
        <v>51.5</v>
      </c>
      <c r="F287" s="147">
        <f>'机械台班'!D36</f>
        <v>6.5</v>
      </c>
      <c r="G287" s="147">
        <f t="shared" si="8"/>
        <v>334.75</v>
      </c>
      <c r="H287" s="146"/>
      <c r="J287" s="136"/>
      <c r="K287" s="136"/>
      <c r="L287" s="136"/>
      <c r="M287" s="136"/>
      <c r="N287" s="136"/>
      <c r="O287" s="136"/>
      <c r="P287" s="136"/>
    </row>
    <row r="288" spans="2:16" s="135" customFormat="1" ht="13.5" customHeight="1">
      <c r="B288" s="145"/>
      <c r="C288" s="146" t="s">
        <v>312</v>
      </c>
      <c r="D288" s="146" t="s">
        <v>307</v>
      </c>
      <c r="E288" s="147">
        <v>82.1</v>
      </c>
      <c r="F288" s="147">
        <f>'机械台班'!D40</f>
        <v>5.6</v>
      </c>
      <c r="G288" s="147">
        <f t="shared" si="8"/>
        <v>459.75999999999993</v>
      </c>
      <c r="H288" s="146"/>
      <c r="J288" s="136"/>
      <c r="K288" s="136"/>
      <c r="L288" s="136"/>
      <c r="M288" s="136"/>
      <c r="N288" s="136"/>
      <c r="O288" s="136"/>
      <c r="P288" s="136"/>
    </row>
    <row r="289" spans="2:16" s="135" customFormat="1" ht="13.5" customHeight="1">
      <c r="B289" s="145"/>
      <c r="C289" s="146" t="s">
        <v>310</v>
      </c>
      <c r="D289" s="146" t="s">
        <v>307</v>
      </c>
      <c r="E289" s="147">
        <v>1.8</v>
      </c>
      <c r="F289" s="147">
        <f>'机械台班'!D38</f>
        <v>6.15</v>
      </c>
      <c r="G289" s="147">
        <f t="shared" si="8"/>
        <v>11.07</v>
      </c>
      <c r="H289" s="146"/>
      <c r="J289" s="136"/>
      <c r="K289" s="136"/>
      <c r="L289" s="136"/>
      <c r="M289" s="136"/>
      <c r="N289" s="136"/>
      <c r="O289" s="136"/>
      <c r="P289" s="136"/>
    </row>
    <row r="290" spans="2:16" s="135" customFormat="1" ht="13.5" customHeight="1">
      <c r="B290" s="145"/>
      <c r="C290" s="146" t="s">
        <v>411</v>
      </c>
      <c r="D290" s="146" t="s">
        <v>365</v>
      </c>
      <c r="E290" s="147">
        <v>0.4</v>
      </c>
      <c r="F290" s="147">
        <f>'单价分析'!L12</f>
        <v>1789.6725</v>
      </c>
      <c r="G290" s="147">
        <f t="shared" si="8"/>
        <v>715.869</v>
      </c>
      <c r="H290" s="146"/>
      <c r="J290" s="136"/>
      <c r="K290" s="136"/>
      <c r="L290" s="136"/>
      <c r="M290" s="136"/>
      <c r="N290" s="136"/>
      <c r="O290" s="136"/>
      <c r="P290" s="136"/>
    </row>
    <row r="291" spans="2:16" s="135" customFormat="1" ht="13.5" customHeight="1">
      <c r="B291" s="145"/>
      <c r="C291" s="146" t="s">
        <v>412</v>
      </c>
      <c r="D291" s="146" t="s">
        <v>365</v>
      </c>
      <c r="E291" s="147">
        <v>103</v>
      </c>
      <c r="F291" s="147">
        <f>'配合'!I6</f>
        <v>150.94968550000002</v>
      </c>
      <c r="G291" s="147">
        <f t="shared" si="8"/>
        <v>15547.8176065</v>
      </c>
      <c r="H291" s="146"/>
      <c r="J291" s="136"/>
      <c r="K291" s="136"/>
      <c r="L291" s="136"/>
      <c r="M291" s="136"/>
      <c r="N291" s="136"/>
      <c r="O291" s="136"/>
      <c r="P291" s="136"/>
    </row>
    <row r="292" spans="2:16" s="135" customFormat="1" ht="13.5" customHeight="1">
      <c r="B292" s="145"/>
      <c r="C292" s="146" t="s">
        <v>413</v>
      </c>
      <c r="D292" s="146" t="s">
        <v>365</v>
      </c>
      <c r="E292" s="147">
        <v>120</v>
      </c>
      <c r="F292" s="147">
        <f>'单价分析'!L17</f>
        <v>3.88</v>
      </c>
      <c r="G292" s="147">
        <f t="shared" si="8"/>
        <v>465.59999999999997</v>
      </c>
      <c r="H292" s="146"/>
      <c r="J292" s="136"/>
      <c r="K292" s="136"/>
      <c r="L292" s="136"/>
      <c r="M292" s="136"/>
      <c r="N292" s="136"/>
      <c r="O292" s="136"/>
      <c r="P292" s="136"/>
    </row>
    <row r="293" spans="2:16" s="135" customFormat="1" ht="13.5" customHeight="1">
      <c r="B293" s="145"/>
      <c r="C293" s="146" t="s">
        <v>404</v>
      </c>
      <c r="D293" s="146" t="s">
        <v>332</v>
      </c>
      <c r="E293" s="147">
        <v>0.5</v>
      </c>
      <c r="F293" s="147">
        <f>SUM(G285:G292)</f>
        <v>17966.2574065</v>
      </c>
      <c r="G293" s="147">
        <f>F293*E293/100</f>
        <v>89.8312870325</v>
      </c>
      <c r="H293" s="146"/>
      <c r="J293" s="136"/>
      <c r="K293" s="136"/>
      <c r="L293" s="136"/>
      <c r="M293" s="136"/>
      <c r="N293" s="136"/>
      <c r="O293" s="136"/>
      <c r="P293" s="136"/>
    </row>
    <row r="294" spans="2:16" s="135" customFormat="1" ht="13.5" customHeight="1">
      <c r="B294" s="145">
        <v>3</v>
      </c>
      <c r="C294" s="146" t="s">
        <v>352</v>
      </c>
      <c r="D294" s="146"/>
      <c r="E294" s="147"/>
      <c r="F294" s="147"/>
      <c r="G294" s="147">
        <f>SUM(G295:G301)</f>
        <v>871.1020324888311</v>
      </c>
      <c r="H294" s="146"/>
      <c r="J294" s="136"/>
      <c r="K294" s="136"/>
      <c r="L294" s="136"/>
      <c r="M294" s="136"/>
      <c r="N294" s="136"/>
      <c r="O294" s="136"/>
      <c r="P294" s="136"/>
    </row>
    <row r="295" spans="2:16" s="135" customFormat="1" ht="13.5" customHeight="1">
      <c r="B295" s="145"/>
      <c r="C295" s="146" t="s">
        <v>414</v>
      </c>
      <c r="D295" s="146" t="s">
        <v>335</v>
      </c>
      <c r="E295" s="147">
        <v>18.54</v>
      </c>
      <c r="F295" s="147">
        <f>'机械台班'!O18</f>
        <v>28.217952134024728</v>
      </c>
      <c r="G295" s="147">
        <f aca="true" t="shared" si="9" ref="G295:G300">F295*E295</f>
        <v>523.1608325648184</v>
      </c>
      <c r="H295" s="146"/>
      <c r="J295" s="136"/>
      <c r="K295" s="136"/>
      <c r="L295" s="136"/>
      <c r="M295" s="136"/>
      <c r="N295" s="136"/>
      <c r="O295" s="136"/>
      <c r="P295" s="136"/>
    </row>
    <row r="296" spans="2:16" s="135" customFormat="1" ht="13.5" customHeight="1">
      <c r="B296" s="145"/>
      <c r="C296" s="146" t="s">
        <v>209</v>
      </c>
      <c r="D296" s="146" t="s">
        <v>335</v>
      </c>
      <c r="E296" s="147">
        <v>83</v>
      </c>
      <c r="F296" s="147">
        <f>'机械台班'!Y18</f>
        <v>0.8132429198244914</v>
      </c>
      <c r="G296" s="147">
        <f t="shared" si="9"/>
        <v>67.49916234543278</v>
      </c>
      <c r="H296" s="194"/>
      <c r="J296" s="136"/>
      <c r="K296" s="136"/>
      <c r="L296" s="136"/>
      <c r="M296" s="136"/>
      <c r="N296" s="136"/>
      <c r="O296" s="136"/>
      <c r="P296" s="136"/>
    </row>
    <row r="297" spans="2:16" s="135" customFormat="1" ht="13.5" customHeight="1">
      <c r="B297" s="145"/>
      <c r="C297" s="146" t="s">
        <v>405</v>
      </c>
      <c r="D297" s="146" t="s">
        <v>335</v>
      </c>
      <c r="E297" s="147">
        <v>1.5</v>
      </c>
      <c r="F297" s="147">
        <f>'机械台班'!S18</f>
        <v>49.389824491424015</v>
      </c>
      <c r="G297" s="147">
        <f t="shared" si="9"/>
        <v>74.08473673713603</v>
      </c>
      <c r="H297" s="194"/>
      <c r="J297" s="136"/>
      <c r="K297" s="136"/>
      <c r="L297" s="136"/>
      <c r="M297" s="136"/>
      <c r="N297" s="136"/>
      <c r="O297" s="136"/>
      <c r="P297" s="136"/>
    </row>
    <row r="298" spans="2:16" s="135" customFormat="1" ht="13.5" customHeight="1">
      <c r="B298" s="145"/>
      <c r="C298" s="146" t="s">
        <v>415</v>
      </c>
      <c r="D298" s="146" t="s">
        <v>335</v>
      </c>
      <c r="E298" s="147">
        <v>3.35</v>
      </c>
      <c r="F298" s="147">
        <f>'机械台班'!AT18</f>
        <v>15.587185879537296</v>
      </c>
      <c r="G298" s="147">
        <f t="shared" si="9"/>
        <v>52.21707269644995</v>
      </c>
      <c r="H298" s="194"/>
      <c r="J298" s="136"/>
      <c r="K298" s="136"/>
      <c r="L298" s="136"/>
      <c r="M298" s="136"/>
      <c r="N298" s="136"/>
      <c r="O298" s="136"/>
      <c r="P298" s="136"/>
    </row>
    <row r="299" spans="2:16" s="135" customFormat="1" ht="13.5" customHeight="1">
      <c r="B299" s="145"/>
      <c r="C299" s="146" t="s">
        <v>416</v>
      </c>
      <c r="D299" s="146" t="s">
        <v>335</v>
      </c>
      <c r="E299" s="147">
        <v>0.38</v>
      </c>
      <c r="F299" s="147">
        <f>'机械台班'!AH18</f>
        <v>62.33427802153969</v>
      </c>
      <c r="G299" s="147">
        <f t="shared" si="9"/>
        <v>23.68702564818508</v>
      </c>
      <c r="H299" s="194"/>
      <c r="J299" s="136"/>
      <c r="K299" s="136"/>
      <c r="L299" s="136"/>
      <c r="M299" s="136"/>
      <c r="N299" s="136"/>
      <c r="O299" s="136"/>
      <c r="P299" s="136"/>
    </row>
    <row r="300" spans="2:16" s="135" customFormat="1" ht="13.5" customHeight="1">
      <c r="B300" s="145"/>
      <c r="C300" s="146" t="s">
        <v>417</v>
      </c>
      <c r="D300" s="146" t="s">
        <v>335</v>
      </c>
      <c r="E300" s="147">
        <v>40.05</v>
      </c>
      <c r="F300" s="147">
        <f>'机械台班'!Q18</f>
        <v>2.221526924611089</v>
      </c>
      <c r="G300" s="147">
        <f t="shared" si="9"/>
        <v>88.9721533306741</v>
      </c>
      <c r="H300" s="194"/>
      <c r="J300" s="136"/>
      <c r="K300" s="136"/>
      <c r="L300" s="136"/>
      <c r="M300" s="136"/>
      <c r="N300" s="136"/>
      <c r="O300" s="136"/>
      <c r="P300" s="136"/>
    </row>
    <row r="301" spans="2:16" s="135" customFormat="1" ht="13.5" customHeight="1">
      <c r="B301" s="145"/>
      <c r="C301" s="146" t="s">
        <v>370</v>
      </c>
      <c r="D301" s="146" t="s">
        <v>332</v>
      </c>
      <c r="E301" s="147">
        <v>5</v>
      </c>
      <c r="F301" s="147">
        <f>SUM(G295:G300)</f>
        <v>829.6209833226964</v>
      </c>
      <c r="G301" s="147">
        <f>F301*E301%</f>
        <v>41.481049166134824</v>
      </c>
      <c r="H301" s="194"/>
      <c r="J301" s="136"/>
      <c r="K301" s="136"/>
      <c r="L301" s="136"/>
      <c r="M301" s="136"/>
      <c r="N301" s="136"/>
      <c r="O301" s="136"/>
      <c r="P301" s="136"/>
    </row>
    <row r="302" spans="2:16" s="135" customFormat="1" ht="13.5" customHeight="1">
      <c r="B302" s="145">
        <v>4</v>
      </c>
      <c r="C302" s="146" t="s">
        <v>418</v>
      </c>
      <c r="D302" s="194"/>
      <c r="E302" s="196"/>
      <c r="F302" s="147"/>
      <c r="G302" s="147">
        <f>G303+G304</f>
        <v>2890.281334773067</v>
      </c>
      <c r="H302" s="194"/>
      <c r="J302" s="136"/>
      <c r="K302" s="136"/>
      <c r="L302" s="136"/>
      <c r="M302" s="136"/>
      <c r="N302" s="136"/>
      <c r="O302" s="136"/>
      <c r="P302" s="136"/>
    </row>
    <row r="303" spans="2:16" s="135" customFormat="1" ht="13.5" customHeight="1">
      <c r="B303" s="145"/>
      <c r="C303" s="146" t="s">
        <v>419</v>
      </c>
      <c r="D303" s="146" t="s">
        <v>365</v>
      </c>
      <c r="E303" s="147">
        <v>103</v>
      </c>
      <c r="F303" s="147">
        <f>O612/100</f>
        <v>6.7016673898683665</v>
      </c>
      <c r="G303" s="147">
        <f>F303*E303</f>
        <v>690.2717411564417</v>
      </c>
      <c r="H303" s="194"/>
      <c r="J303" s="136"/>
      <c r="K303" s="136"/>
      <c r="L303" s="136"/>
      <c r="M303" s="136"/>
      <c r="N303" s="136"/>
      <c r="O303" s="136"/>
      <c r="P303" s="136"/>
    </row>
    <row r="304" spans="2:16" s="135" customFormat="1" ht="13.5" customHeight="1">
      <c r="B304" s="145"/>
      <c r="C304" s="146" t="s">
        <v>420</v>
      </c>
      <c r="D304" s="146" t="s">
        <v>365</v>
      </c>
      <c r="E304" s="147">
        <v>103</v>
      </c>
      <c r="F304" s="147">
        <f>O594/100</f>
        <v>21.35931644287986</v>
      </c>
      <c r="G304" s="147">
        <f>F304*E304</f>
        <v>2200.0095936166254</v>
      </c>
      <c r="H304" s="194"/>
      <c r="J304" s="136"/>
      <c r="K304" s="136"/>
      <c r="L304" s="136"/>
      <c r="M304" s="136"/>
      <c r="N304" s="136"/>
      <c r="O304" s="136"/>
      <c r="P304" s="136"/>
    </row>
    <row r="305" spans="2:16" s="135" customFormat="1" ht="13.5" customHeight="1">
      <c r="B305" s="145" t="s">
        <v>63</v>
      </c>
      <c r="C305" s="146" t="s">
        <v>336</v>
      </c>
      <c r="D305" s="198">
        <v>0.048</v>
      </c>
      <c r="E305" s="147"/>
      <c r="F305" s="147"/>
      <c r="G305" s="147">
        <f>(G280)*D305</f>
        <v>1608.8725949181312</v>
      </c>
      <c r="H305" s="194"/>
      <c r="J305" s="136"/>
      <c r="K305" s="136"/>
      <c r="L305" s="136"/>
      <c r="M305" s="136"/>
      <c r="N305" s="136"/>
      <c r="O305" s="136"/>
      <c r="P305" s="136"/>
    </row>
    <row r="306" spans="2:16" s="135" customFormat="1" ht="13.5" customHeight="1">
      <c r="B306" s="145" t="s">
        <v>355</v>
      </c>
      <c r="C306" s="146" t="s">
        <v>356</v>
      </c>
      <c r="D306" s="198"/>
      <c r="E306" s="147"/>
      <c r="F306" s="147"/>
      <c r="G306" s="147">
        <f>G280*D306</f>
        <v>0</v>
      </c>
      <c r="H306" s="194"/>
      <c r="J306" s="136"/>
      <c r="K306" s="136"/>
      <c r="L306" s="136"/>
      <c r="M306" s="136"/>
      <c r="N306" s="136"/>
      <c r="O306" s="136"/>
      <c r="P306" s="136"/>
    </row>
    <row r="307" spans="2:16" s="135" customFormat="1" ht="13.5" customHeight="1">
      <c r="B307" s="145" t="s">
        <v>18</v>
      </c>
      <c r="C307" s="146" t="s">
        <v>337</v>
      </c>
      <c r="D307" s="150">
        <v>0.08</v>
      </c>
      <c r="E307" s="147"/>
      <c r="F307" s="147"/>
      <c r="G307" s="147">
        <f>G279*D307</f>
        <v>2810.1641324570023</v>
      </c>
      <c r="H307" s="194"/>
      <c r="J307" s="136"/>
      <c r="K307" s="136"/>
      <c r="L307" s="136"/>
      <c r="M307" s="136"/>
      <c r="N307" s="136"/>
      <c r="O307" s="136"/>
      <c r="P307" s="136"/>
    </row>
    <row r="308" spans="2:16" s="135" customFormat="1" ht="13.5" customHeight="1">
      <c r="B308" s="145" t="s">
        <v>20</v>
      </c>
      <c r="C308" s="146" t="s">
        <v>338</v>
      </c>
      <c r="D308" s="199">
        <v>0.07</v>
      </c>
      <c r="E308" s="147"/>
      <c r="F308" s="147"/>
      <c r="G308" s="147">
        <f>(G279+G307)*D308</f>
        <v>2655.6051051718673</v>
      </c>
      <c r="H308" s="194"/>
      <c r="J308" s="136"/>
      <c r="K308" s="136"/>
      <c r="L308" s="136"/>
      <c r="M308" s="136"/>
      <c r="N308" s="136"/>
      <c r="O308" s="136"/>
      <c r="P308" s="136"/>
    </row>
    <row r="309" spans="2:16" s="135" customFormat="1" ht="13.5" customHeight="1">
      <c r="B309" s="145" t="s">
        <v>22</v>
      </c>
      <c r="C309" s="146" t="s">
        <v>339</v>
      </c>
      <c r="D309" s="152"/>
      <c r="E309" s="147"/>
      <c r="F309" s="147"/>
      <c r="G309" s="147">
        <f>SUM(G310:G314)</f>
        <v>3259.2801909783298</v>
      </c>
      <c r="H309" s="194"/>
      <c r="J309" s="136"/>
      <c r="K309" s="136"/>
      <c r="L309" s="136"/>
      <c r="M309" s="136"/>
      <c r="N309" s="136"/>
      <c r="O309" s="136"/>
      <c r="P309" s="136"/>
    </row>
    <row r="310" spans="2:16" s="135" customFormat="1" ht="13.5" customHeight="1">
      <c r="B310" s="145"/>
      <c r="C310" s="146" t="s">
        <v>298</v>
      </c>
      <c r="D310" s="152" t="s">
        <v>77</v>
      </c>
      <c r="E310" s="147">
        <f>E291*'配合'!E6/1000</f>
        <v>18.662300140000003</v>
      </c>
      <c r="F310" s="147">
        <f>'机械台班'!C26</f>
        <v>118.56378999999998</v>
      </c>
      <c r="G310" s="147">
        <f>F310*E310</f>
        <v>2212.6730347159305</v>
      </c>
      <c r="H310" s="194"/>
      <c r="J310" s="136"/>
      <c r="K310" s="136"/>
      <c r="L310" s="136"/>
      <c r="M310" s="136"/>
      <c r="N310" s="136"/>
      <c r="O310" s="136"/>
      <c r="P310" s="136"/>
    </row>
    <row r="311" spans="2:16" s="135" customFormat="1" ht="13.5" customHeight="1">
      <c r="B311" s="145"/>
      <c r="C311" s="146" t="s">
        <v>299</v>
      </c>
      <c r="D311" s="146" t="s">
        <v>365</v>
      </c>
      <c r="E311" s="147">
        <f>E291*'配合'!F6</f>
        <v>39.972240000000006</v>
      </c>
      <c r="F311" s="147">
        <f>'单价分析'!L7-70</f>
        <v>1.5600419999999957</v>
      </c>
      <c r="G311" s="147">
        <f>F311*E311</f>
        <v>62.35837323407984</v>
      </c>
      <c r="H311" s="194"/>
      <c r="J311" s="136"/>
      <c r="K311" s="136"/>
      <c r="L311" s="136"/>
      <c r="M311" s="136"/>
      <c r="N311" s="136"/>
      <c r="O311" s="136"/>
      <c r="P311" s="136"/>
    </row>
    <row r="312" spans="2:16" s="135" customFormat="1" ht="13.5" customHeight="1">
      <c r="B312" s="145"/>
      <c r="C312" s="146" t="s">
        <v>300</v>
      </c>
      <c r="D312" s="146" t="s">
        <v>365</v>
      </c>
      <c r="E312" s="147">
        <f>E291*'配合'!G6</f>
        <v>113.41618400000002</v>
      </c>
      <c r="F312" s="147">
        <f>'机械台班'!C28</f>
        <v>8.098611067961158</v>
      </c>
      <c r="G312" s="147">
        <f>F312*E312</f>
        <v>918.5135630283194</v>
      </c>
      <c r="H312" s="194"/>
      <c r="J312" s="136"/>
      <c r="K312" s="136"/>
      <c r="L312" s="136"/>
      <c r="M312" s="136"/>
      <c r="N312" s="136"/>
      <c r="O312" s="136"/>
      <c r="P312" s="136"/>
    </row>
    <row r="313" spans="2:16" s="135" customFormat="1" ht="13.5" customHeight="1">
      <c r="B313" s="145"/>
      <c r="C313" s="146" t="s">
        <v>411</v>
      </c>
      <c r="D313" s="146" t="s">
        <v>365</v>
      </c>
      <c r="E313" s="147">
        <f>E290</f>
        <v>0.4</v>
      </c>
      <c r="F313" s="147">
        <f>'机械台班'!C33</f>
        <v>0</v>
      </c>
      <c r="G313" s="147">
        <f>F313*E313</f>
        <v>0</v>
      </c>
      <c r="H313" s="194"/>
      <c r="J313" s="136"/>
      <c r="K313" s="136"/>
      <c r="L313" s="136"/>
      <c r="M313" s="136"/>
      <c r="N313" s="136"/>
      <c r="O313" s="136"/>
      <c r="P313" s="136"/>
    </row>
    <row r="314" spans="2:16" s="135" customFormat="1" ht="13.5" customHeight="1">
      <c r="B314" s="145"/>
      <c r="C314" s="146" t="s">
        <v>303</v>
      </c>
      <c r="D314" s="146" t="s">
        <v>307</v>
      </c>
      <c r="E314" s="147">
        <f>E297*'机械台班'!S13+'单价表'!E299*'机械台班'!AH13</f>
        <v>13.004000000000001</v>
      </c>
      <c r="F314" s="147">
        <f>'机械台班'!C31</f>
        <v>5.055000000000001</v>
      </c>
      <c r="G314" s="147">
        <f>F314*E314</f>
        <v>65.73522000000001</v>
      </c>
      <c r="H314" s="194"/>
      <c r="J314" s="136"/>
      <c r="K314" s="136"/>
      <c r="L314" s="136"/>
      <c r="M314" s="136"/>
      <c r="N314" s="136"/>
      <c r="O314" s="136"/>
      <c r="P314" s="136"/>
    </row>
    <row r="315" spans="2:16" s="135" customFormat="1" ht="13.5" customHeight="1">
      <c r="B315" s="145"/>
      <c r="C315" s="146" t="s">
        <v>304</v>
      </c>
      <c r="D315" s="152" t="s">
        <v>307</v>
      </c>
      <c r="E315" s="147"/>
      <c r="F315" s="147"/>
      <c r="G315" s="147"/>
      <c r="H315" s="194"/>
      <c r="J315" s="136"/>
      <c r="K315" s="136"/>
      <c r="L315" s="136"/>
      <c r="M315" s="136"/>
      <c r="N315" s="136"/>
      <c r="O315" s="136"/>
      <c r="P315" s="136"/>
    </row>
    <row r="316" spans="2:16" s="135" customFormat="1" ht="13.5" customHeight="1">
      <c r="B316" s="145" t="s">
        <v>24</v>
      </c>
      <c r="C316" s="146" t="s">
        <v>340</v>
      </c>
      <c r="D316" s="152">
        <v>0.09</v>
      </c>
      <c r="E316" s="147"/>
      <c r="F316" s="147"/>
      <c r="G316" s="147">
        <f>(G279+G307+G308+G309)*D316</f>
        <v>3946.6890975887754</v>
      </c>
      <c r="H316" s="194"/>
      <c r="J316" s="136"/>
      <c r="K316" s="136"/>
      <c r="L316" s="136"/>
      <c r="M316" s="136"/>
      <c r="N316" s="136"/>
      <c r="O316" s="136"/>
      <c r="P316" s="136"/>
    </row>
    <row r="317" spans="2:16" s="135" customFormat="1" ht="13.5" customHeight="1">
      <c r="B317" s="195"/>
      <c r="C317" s="146" t="s">
        <v>36</v>
      </c>
      <c r="D317" s="146"/>
      <c r="E317" s="147"/>
      <c r="F317" s="147"/>
      <c r="G317" s="147">
        <f>(G308+G309+G307++G316+G279)</f>
        <v>47798.79018190851</v>
      </c>
      <c r="H317" s="194"/>
      <c r="J317" s="136"/>
      <c r="K317" s="136"/>
      <c r="L317" s="136"/>
      <c r="M317" s="136"/>
      <c r="N317" s="136"/>
      <c r="O317" s="136"/>
      <c r="P317" s="136"/>
    </row>
    <row r="318" spans="2:16" s="135" customFormat="1" ht="13.5" customHeight="1">
      <c r="B318" s="195"/>
      <c r="C318" s="146" t="s">
        <v>421</v>
      </c>
      <c r="D318" s="153">
        <v>0.03</v>
      </c>
      <c r="E318" s="147"/>
      <c r="F318" s="147"/>
      <c r="G318" s="147">
        <f>G317*D318</f>
        <v>1433.9637054572552</v>
      </c>
      <c r="H318" s="194"/>
      <c r="J318" s="136"/>
      <c r="K318" s="136"/>
      <c r="L318" s="136"/>
      <c r="M318" s="136"/>
      <c r="N318" s="136"/>
      <c r="O318" s="136"/>
      <c r="P318" s="136"/>
    </row>
    <row r="319" spans="2:16" s="135" customFormat="1" ht="13.5" customHeight="1">
      <c r="B319" s="195"/>
      <c r="C319" s="146" t="s">
        <v>343</v>
      </c>
      <c r="D319" s="194"/>
      <c r="E319" s="196"/>
      <c r="F319" s="196"/>
      <c r="G319" s="147">
        <f>G317+G318</f>
        <v>49232.75388736576</v>
      </c>
      <c r="H319" s="194"/>
      <c r="J319" s="136"/>
      <c r="K319" s="136"/>
      <c r="L319" s="136"/>
      <c r="M319" s="136"/>
      <c r="N319" s="136"/>
      <c r="O319" s="136"/>
      <c r="P319" s="136"/>
    </row>
    <row r="320" spans="3:15" s="135" customFormat="1" ht="13.5" customHeight="1">
      <c r="C320" s="13"/>
      <c r="E320" s="137"/>
      <c r="F320" s="137"/>
      <c r="G320" s="155"/>
      <c r="M320" s="137"/>
      <c r="N320" s="137"/>
      <c r="O320" s="137"/>
    </row>
    <row r="321" spans="2:15" s="135" customFormat="1" ht="19.5" customHeight="1">
      <c r="B321" s="138" t="s">
        <v>317</v>
      </c>
      <c r="C321" s="138"/>
      <c r="D321" s="138"/>
      <c r="E321" s="138"/>
      <c r="F321" s="138"/>
      <c r="G321" s="138"/>
      <c r="H321" s="138"/>
      <c r="M321" s="137"/>
      <c r="N321" s="137"/>
      <c r="O321" s="137"/>
    </row>
    <row r="322" spans="2:15" s="135" customFormat="1" ht="13.5" customHeight="1">
      <c r="B322" s="139" t="s">
        <v>422</v>
      </c>
      <c r="C322" s="139"/>
      <c r="D322" s="139"/>
      <c r="E322" s="139"/>
      <c r="F322" s="139"/>
      <c r="G322" s="139"/>
      <c r="H322" s="139"/>
      <c r="M322" s="137"/>
      <c r="N322" s="137"/>
      <c r="O322" s="137"/>
    </row>
    <row r="323" spans="2:15" s="135" customFormat="1" ht="13.5" customHeight="1">
      <c r="B323" s="140" t="s">
        <v>423</v>
      </c>
      <c r="C323" s="140"/>
      <c r="D323" s="140"/>
      <c r="E323" s="140"/>
      <c r="F323" s="137"/>
      <c r="G323" s="141" t="s">
        <v>320</v>
      </c>
      <c r="H323" s="141"/>
      <c r="M323" s="137"/>
      <c r="N323" s="137"/>
      <c r="O323" s="137"/>
    </row>
    <row r="324" spans="2:15" s="135" customFormat="1" ht="13.5" customHeight="1">
      <c r="B324" s="142" t="s">
        <v>424</v>
      </c>
      <c r="C324" s="143"/>
      <c r="D324" s="143"/>
      <c r="E324" s="143"/>
      <c r="F324" s="143"/>
      <c r="G324" s="143"/>
      <c r="H324" s="144"/>
      <c r="M324" s="137"/>
      <c r="N324" s="137"/>
      <c r="O324" s="137"/>
    </row>
    <row r="325" spans="2:15" s="135" customFormat="1" ht="32.25" customHeight="1">
      <c r="B325" s="145" t="s">
        <v>3</v>
      </c>
      <c r="C325" s="146" t="s">
        <v>322</v>
      </c>
      <c r="D325" s="146" t="s">
        <v>102</v>
      </c>
      <c r="E325" s="147" t="s">
        <v>324</v>
      </c>
      <c r="F325" s="148" t="s">
        <v>325</v>
      </c>
      <c r="G325" s="148" t="s">
        <v>326</v>
      </c>
      <c r="H325" s="146" t="s">
        <v>386</v>
      </c>
      <c r="M325" s="137"/>
      <c r="N325" s="137"/>
      <c r="O325" s="137"/>
    </row>
    <row r="326" spans="2:15" s="135" customFormat="1" ht="13.5" customHeight="1">
      <c r="B326" s="145" t="s">
        <v>16</v>
      </c>
      <c r="C326" s="146" t="s">
        <v>327</v>
      </c>
      <c r="D326" s="146"/>
      <c r="E326" s="147"/>
      <c r="F326" s="147"/>
      <c r="G326" s="147">
        <f>G327+G352+G353</f>
        <v>34675.37422522917</v>
      </c>
      <c r="H326" s="146"/>
      <c r="M326" s="137"/>
      <c r="N326" s="137"/>
      <c r="O326" s="137"/>
    </row>
    <row r="327" spans="2:15" s="135" customFormat="1" ht="13.5" customHeight="1">
      <c r="B327" s="145" t="s">
        <v>39</v>
      </c>
      <c r="C327" s="146" t="s">
        <v>328</v>
      </c>
      <c r="D327" s="146"/>
      <c r="E327" s="147"/>
      <c r="F327" s="147"/>
      <c r="G327" s="147">
        <f>G328+G331+G341+G349</f>
        <v>33087.18914621104</v>
      </c>
      <c r="H327" s="146"/>
      <c r="M327" s="137"/>
      <c r="N327" s="137"/>
      <c r="O327" s="137"/>
    </row>
    <row r="328" spans="2:15" s="135" customFormat="1" ht="13.5" customHeight="1">
      <c r="B328" s="145">
        <v>1</v>
      </c>
      <c r="C328" s="146" t="s">
        <v>329</v>
      </c>
      <c r="D328" s="146"/>
      <c r="E328" s="147"/>
      <c r="F328" s="147"/>
      <c r="G328" s="147">
        <f>G329+G330</f>
        <v>8086.0960000000005</v>
      </c>
      <c r="H328" s="146"/>
      <c r="M328" s="137"/>
      <c r="N328" s="137"/>
      <c r="O328" s="137"/>
    </row>
    <row r="329" spans="2:15" s="135" customFormat="1" ht="13.5" customHeight="1">
      <c r="B329" s="145"/>
      <c r="C329" s="149" t="s">
        <v>351</v>
      </c>
      <c r="D329" s="149" t="s">
        <v>163</v>
      </c>
      <c r="E329" s="147">
        <v>714.2</v>
      </c>
      <c r="F329" s="147">
        <f>'单价分析'!E15</f>
        <v>8.1</v>
      </c>
      <c r="G329" s="147">
        <f>F329*E329</f>
        <v>5785.02</v>
      </c>
      <c r="H329" s="146"/>
      <c r="M329" s="137"/>
      <c r="N329" s="137"/>
      <c r="O329" s="137"/>
    </row>
    <row r="330" spans="2:15" s="135" customFormat="1" ht="13.5" customHeight="1">
      <c r="B330" s="145"/>
      <c r="C330" s="149" t="s">
        <v>330</v>
      </c>
      <c r="D330" s="149" t="s">
        <v>163</v>
      </c>
      <c r="E330" s="147">
        <v>398.8</v>
      </c>
      <c r="F330" s="147">
        <f>'单价分析'!E16</f>
        <v>5.77</v>
      </c>
      <c r="G330" s="147">
        <f>F330*E330</f>
        <v>2301.076</v>
      </c>
      <c r="H330" s="146"/>
      <c r="M330" s="137"/>
      <c r="N330" s="137"/>
      <c r="O330" s="137"/>
    </row>
    <row r="331" spans="2:15" s="135" customFormat="1" ht="13.5" customHeight="1">
      <c r="B331" s="145">
        <v>2</v>
      </c>
      <c r="C331" s="146" t="s">
        <v>373</v>
      </c>
      <c r="D331" s="146"/>
      <c r="E331" s="147"/>
      <c r="F331" s="147"/>
      <c r="G331" s="147">
        <f>SUM(G332:G340)</f>
        <v>21058.991966712005</v>
      </c>
      <c r="H331" s="146"/>
      <c r="M331" s="137"/>
      <c r="N331" s="137"/>
      <c r="O331" s="137"/>
    </row>
    <row r="332" spans="2:15" s="135" customFormat="1" ht="13.5" customHeight="1">
      <c r="B332" s="145"/>
      <c r="C332" s="146" t="s">
        <v>410</v>
      </c>
      <c r="D332" s="146" t="s">
        <v>307</v>
      </c>
      <c r="E332" s="147">
        <v>49.98</v>
      </c>
      <c r="F332" s="147">
        <f>'机械台班'!D35</f>
        <v>4.43</v>
      </c>
      <c r="G332" s="147">
        <f aca="true" t="shared" si="10" ref="G332:G339">F332*E332</f>
        <v>221.41139999999996</v>
      </c>
      <c r="H332" s="146"/>
      <c r="M332" s="137"/>
      <c r="N332" s="137"/>
      <c r="O332" s="137"/>
    </row>
    <row r="333" spans="2:15" s="135" customFormat="1" ht="13.5" customHeight="1">
      <c r="B333" s="145"/>
      <c r="C333" s="146" t="s">
        <v>309</v>
      </c>
      <c r="D333" s="146" t="s">
        <v>307</v>
      </c>
      <c r="E333" s="147">
        <v>160.33</v>
      </c>
      <c r="F333" s="147">
        <f>'机械台班'!D37</f>
        <v>5.5</v>
      </c>
      <c r="G333" s="147">
        <f t="shared" si="10"/>
        <v>881.815</v>
      </c>
      <c r="H333" s="146"/>
      <c r="M333" s="137"/>
      <c r="N333" s="137"/>
      <c r="O333" s="137"/>
    </row>
    <row r="334" spans="2:15" s="135" customFormat="1" ht="13.5" customHeight="1">
      <c r="B334" s="145"/>
      <c r="C334" s="146" t="s">
        <v>308</v>
      </c>
      <c r="D334" s="146" t="s">
        <v>307</v>
      </c>
      <c r="E334" s="147">
        <v>157.88</v>
      </c>
      <c r="F334" s="147">
        <f>'机械台班'!D36</f>
        <v>6.5</v>
      </c>
      <c r="G334" s="147">
        <f t="shared" si="10"/>
        <v>1026.22</v>
      </c>
      <c r="H334" s="146"/>
      <c r="M334" s="137"/>
      <c r="N334" s="137"/>
      <c r="O334" s="137"/>
    </row>
    <row r="335" spans="2:15" s="135" customFormat="1" ht="13.5" customHeight="1">
      <c r="B335" s="145"/>
      <c r="C335" s="146" t="s">
        <v>312</v>
      </c>
      <c r="D335" s="146" t="s">
        <v>307</v>
      </c>
      <c r="E335" s="147">
        <v>41.07</v>
      </c>
      <c r="F335" s="147">
        <f>'机械台班'!D40</f>
        <v>5.6</v>
      </c>
      <c r="G335" s="147">
        <f t="shared" si="10"/>
        <v>229.992</v>
      </c>
      <c r="H335" s="146"/>
      <c r="M335" s="137"/>
      <c r="N335" s="137"/>
      <c r="O335" s="137"/>
    </row>
    <row r="336" spans="2:15" s="135" customFormat="1" ht="13.5" customHeight="1">
      <c r="B336" s="145"/>
      <c r="C336" s="146" t="s">
        <v>310</v>
      </c>
      <c r="D336" s="146" t="s">
        <v>307</v>
      </c>
      <c r="E336" s="147">
        <v>3.95</v>
      </c>
      <c r="F336" s="147">
        <f>'机械台班'!D38</f>
        <v>6.15</v>
      </c>
      <c r="G336" s="147">
        <f t="shared" si="10"/>
        <v>24.292500000000004</v>
      </c>
      <c r="H336" s="146"/>
      <c r="M336" s="137"/>
      <c r="N336" s="137"/>
      <c r="O336" s="137"/>
    </row>
    <row r="337" spans="2:15" s="135" customFormat="1" ht="13.5" customHeight="1">
      <c r="B337" s="145"/>
      <c r="C337" s="146" t="s">
        <v>411</v>
      </c>
      <c r="D337" s="146" t="s">
        <v>365</v>
      </c>
      <c r="E337" s="147">
        <v>0.77</v>
      </c>
      <c r="F337" s="147">
        <f>'单价分析'!L12</f>
        <v>1789.6725</v>
      </c>
      <c r="G337" s="147">
        <f t="shared" si="10"/>
        <v>1378.0478249999999</v>
      </c>
      <c r="H337" s="146"/>
      <c r="M337" s="137"/>
      <c r="N337" s="137"/>
      <c r="O337" s="137"/>
    </row>
    <row r="338" spans="2:15" s="135" customFormat="1" ht="13.5" customHeight="1">
      <c r="B338" s="145"/>
      <c r="C338" s="146" t="s">
        <v>412</v>
      </c>
      <c r="D338" s="146" t="s">
        <v>365</v>
      </c>
      <c r="E338" s="147">
        <v>103</v>
      </c>
      <c r="F338" s="147">
        <f>'配合'!I7</f>
        <v>161.28827020000003</v>
      </c>
      <c r="G338" s="147">
        <f t="shared" si="10"/>
        <v>16612.691830600004</v>
      </c>
      <c r="H338" s="146"/>
      <c r="M338" s="137"/>
      <c r="N338" s="137"/>
      <c r="O338" s="137"/>
    </row>
    <row r="339" spans="2:15" s="135" customFormat="1" ht="13.5" customHeight="1">
      <c r="B339" s="145"/>
      <c r="C339" s="146" t="s">
        <v>413</v>
      </c>
      <c r="D339" s="146" t="s">
        <v>365</v>
      </c>
      <c r="E339" s="147">
        <v>70</v>
      </c>
      <c r="F339" s="147">
        <f>'单价分析'!E17</f>
        <v>3.88</v>
      </c>
      <c r="G339" s="147">
        <f t="shared" si="10"/>
        <v>271.59999999999997</v>
      </c>
      <c r="H339" s="146"/>
      <c r="M339" s="137"/>
      <c r="N339" s="137"/>
      <c r="O339" s="137"/>
    </row>
    <row r="340" spans="2:15" s="135" customFormat="1" ht="13.5" customHeight="1">
      <c r="B340" s="145"/>
      <c r="C340" s="146" t="s">
        <v>404</v>
      </c>
      <c r="D340" s="146" t="s">
        <v>332</v>
      </c>
      <c r="E340" s="147">
        <v>2</v>
      </c>
      <c r="F340" s="147">
        <f>SUM(G332:G339)</f>
        <v>20646.070555600003</v>
      </c>
      <c r="G340" s="147">
        <f>F340*E340/100</f>
        <v>412.92141111200004</v>
      </c>
      <c r="H340" s="146"/>
      <c r="M340" s="137"/>
      <c r="N340" s="137"/>
      <c r="O340" s="137"/>
    </row>
    <row r="341" spans="2:15" s="135" customFormat="1" ht="13.5" customHeight="1">
      <c r="B341" s="145">
        <v>3</v>
      </c>
      <c r="C341" s="146" t="s">
        <v>352</v>
      </c>
      <c r="D341" s="146"/>
      <c r="E341" s="147"/>
      <c r="F341" s="147"/>
      <c r="G341" s="147">
        <f>SUM(G342:G348)</f>
        <v>1051.8198447259672</v>
      </c>
      <c r="H341" s="146"/>
      <c r="M341" s="137"/>
      <c r="N341" s="137"/>
      <c r="O341" s="137"/>
    </row>
    <row r="342" spans="2:15" s="135" customFormat="1" ht="13.5" customHeight="1">
      <c r="B342" s="145"/>
      <c r="C342" s="146" t="s">
        <v>414</v>
      </c>
      <c r="D342" s="146" t="s">
        <v>335</v>
      </c>
      <c r="E342" s="147">
        <v>18.54</v>
      </c>
      <c r="F342" s="147">
        <f>'台班总'!D13</f>
        <v>28.217952134024728</v>
      </c>
      <c r="G342" s="147">
        <f aca="true" t="shared" si="11" ref="G342:G347">F342*E342</f>
        <v>523.1608325648184</v>
      </c>
      <c r="H342" s="146"/>
      <c r="M342" s="137"/>
      <c r="N342" s="137"/>
      <c r="O342" s="137"/>
    </row>
    <row r="343" spans="2:15" s="135" customFormat="1" ht="13.5" customHeight="1">
      <c r="B343" s="145"/>
      <c r="C343" s="146" t="s">
        <v>209</v>
      </c>
      <c r="D343" s="146" t="s">
        <v>335</v>
      </c>
      <c r="E343" s="147">
        <v>83</v>
      </c>
      <c r="F343" s="147">
        <f>'台班总'!D20</f>
        <v>0.8132429198244914</v>
      </c>
      <c r="G343" s="147">
        <f t="shared" si="11"/>
        <v>67.49916234543278</v>
      </c>
      <c r="H343" s="194"/>
      <c r="M343" s="137"/>
      <c r="N343" s="137"/>
      <c r="O343" s="137"/>
    </row>
    <row r="344" spans="2:15" s="135" customFormat="1" ht="13.5" customHeight="1">
      <c r="B344" s="145"/>
      <c r="C344" s="146" t="s">
        <v>405</v>
      </c>
      <c r="D344" s="146" t="s">
        <v>335</v>
      </c>
      <c r="E344" s="147">
        <v>1.92</v>
      </c>
      <c r="F344" s="147">
        <f>'台班总'!D16</f>
        <v>49.389824491424015</v>
      </c>
      <c r="G344" s="147">
        <f t="shared" si="11"/>
        <v>94.82846302353411</v>
      </c>
      <c r="H344" s="194"/>
      <c r="M344" s="137"/>
      <c r="N344" s="137"/>
      <c r="O344" s="137"/>
    </row>
    <row r="345" spans="2:15" s="135" customFormat="1" ht="13.5" customHeight="1">
      <c r="B345" s="145"/>
      <c r="C345" s="146" t="s">
        <v>415</v>
      </c>
      <c r="D345" s="146" t="s">
        <v>335</v>
      </c>
      <c r="E345" s="147">
        <v>7.02</v>
      </c>
      <c r="F345" s="147">
        <f>'台班总'!D31</f>
        <v>15.587185879537296</v>
      </c>
      <c r="G345" s="147">
        <f t="shared" si="11"/>
        <v>109.42204487435181</v>
      </c>
      <c r="H345" s="194"/>
      <c r="M345" s="137"/>
      <c r="N345" s="137"/>
      <c r="O345" s="137"/>
    </row>
    <row r="346" spans="2:15" s="135" customFormat="1" ht="13.5" customHeight="1">
      <c r="B346" s="145"/>
      <c r="C346" s="146" t="s">
        <v>416</v>
      </c>
      <c r="D346" s="146" t="s">
        <v>335</v>
      </c>
      <c r="E346" s="147">
        <v>0.24</v>
      </c>
      <c r="F346" s="147">
        <f>'台班总'!D24</f>
        <v>62.33427802153969</v>
      </c>
      <c r="G346" s="147">
        <f t="shared" si="11"/>
        <v>14.960226725169525</v>
      </c>
      <c r="H346" s="194"/>
      <c r="M346" s="137"/>
      <c r="N346" s="137"/>
      <c r="O346" s="137"/>
    </row>
    <row r="347" spans="2:15" s="135" customFormat="1" ht="13.5" customHeight="1">
      <c r="B347" s="145"/>
      <c r="C347" s="146" t="s">
        <v>417</v>
      </c>
      <c r="D347" s="146" t="s">
        <v>335</v>
      </c>
      <c r="E347" s="147">
        <v>30</v>
      </c>
      <c r="F347" s="147">
        <f>'台班总'!D14</f>
        <v>2.221526924611089</v>
      </c>
      <c r="G347" s="147">
        <f t="shared" si="11"/>
        <v>66.64580773833266</v>
      </c>
      <c r="H347" s="194"/>
      <c r="M347" s="137"/>
      <c r="N347" s="137"/>
      <c r="O347" s="137"/>
    </row>
    <row r="348" spans="2:15" s="135" customFormat="1" ht="13.5" customHeight="1">
      <c r="B348" s="145"/>
      <c r="C348" s="146" t="s">
        <v>370</v>
      </c>
      <c r="D348" s="146" t="s">
        <v>332</v>
      </c>
      <c r="E348" s="147">
        <v>20</v>
      </c>
      <c r="F348" s="147">
        <f>SUM(G342:G347)</f>
        <v>876.5165372716393</v>
      </c>
      <c r="G348" s="147">
        <f>F348*E348%</f>
        <v>175.30330745432786</v>
      </c>
      <c r="H348" s="194"/>
      <c r="M348" s="137"/>
      <c r="N348" s="137"/>
      <c r="O348" s="137"/>
    </row>
    <row r="349" spans="2:15" s="135" customFormat="1" ht="13.5" customHeight="1">
      <c r="B349" s="145">
        <v>4</v>
      </c>
      <c r="C349" s="146" t="s">
        <v>418</v>
      </c>
      <c r="D349" s="194"/>
      <c r="E349" s="196"/>
      <c r="F349" s="147"/>
      <c r="G349" s="147">
        <f>G350+G351</f>
        <v>2890.281334773067</v>
      </c>
      <c r="H349" s="194"/>
      <c r="M349" s="137"/>
      <c r="N349" s="137"/>
      <c r="O349" s="137"/>
    </row>
    <row r="350" spans="2:15" s="135" customFormat="1" ht="13.5" customHeight="1">
      <c r="B350" s="145"/>
      <c r="C350" s="146" t="s">
        <v>419</v>
      </c>
      <c r="D350" s="146" t="s">
        <v>365</v>
      </c>
      <c r="E350" s="147">
        <v>103</v>
      </c>
      <c r="F350" s="147">
        <f>O612/100</f>
        <v>6.7016673898683665</v>
      </c>
      <c r="G350" s="147">
        <f>F350*E350</f>
        <v>690.2717411564417</v>
      </c>
      <c r="H350" s="194"/>
      <c r="M350" s="137"/>
      <c r="N350" s="137"/>
      <c r="O350" s="137"/>
    </row>
    <row r="351" spans="2:15" s="135" customFormat="1" ht="13.5" customHeight="1">
      <c r="B351" s="145"/>
      <c r="C351" s="146" t="s">
        <v>420</v>
      </c>
      <c r="D351" s="146" t="s">
        <v>365</v>
      </c>
      <c r="E351" s="147">
        <v>103</v>
      </c>
      <c r="F351" s="147">
        <f>O594/100</f>
        <v>21.35931644287986</v>
      </c>
      <c r="G351" s="147">
        <f>F351*E351</f>
        <v>2200.0095936166254</v>
      </c>
      <c r="H351" s="194"/>
      <c r="M351" s="137"/>
      <c r="N351" s="137"/>
      <c r="O351" s="137"/>
    </row>
    <row r="352" spans="2:15" s="135" customFormat="1" ht="13.5" customHeight="1">
      <c r="B352" s="145" t="s">
        <v>63</v>
      </c>
      <c r="C352" s="146" t="s">
        <v>336</v>
      </c>
      <c r="D352" s="198">
        <v>0.048</v>
      </c>
      <c r="E352" s="147"/>
      <c r="F352" s="147"/>
      <c r="G352" s="147">
        <f>(G327)*D352</f>
        <v>1588.1850790181302</v>
      </c>
      <c r="H352" s="194"/>
      <c r="M352" s="137"/>
      <c r="N352" s="137"/>
      <c r="O352" s="137"/>
    </row>
    <row r="353" spans="2:15" s="135" customFormat="1" ht="13.5" customHeight="1">
      <c r="B353" s="145" t="s">
        <v>355</v>
      </c>
      <c r="C353" s="146" t="s">
        <v>356</v>
      </c>
      <c r="D353" s="198"/>
      <c r="E353" s="147"/>
      <c r="F353" s="147"/>
      <c r="G353" s="147">
        <f>G327*D353</f>
        <v>0</v>
      </c>
      <c r="H353" s="194"/>
      <c r="M353" s="137"/>
      <c r="N353" s="137"/>
      <c r="O353" s="137"/>
    </row>
    <row r="354" spans="2:15" s="135" customFormat="1" ht="13.5" customHeight="1">
      <c r="B354" s="145" t="s">
        <v>18</v>
      </c>
      <c r="C354" s="146" t="s">
        <v>337</v>
      </c>
      <c r="D354" s="150">
        <v>0.08</v>
      </c>
      <c r="E354" s="147"/>
      <c r="F354" s="147"/>
      <c r="G354" s="147">
        <f>G326*D354</f>
        <v>2774.0299380183337</v>
      </c>
      <c r="H354" s="194"/>
      <c r="M354" s="137"/>
      <c r="N354" s="137"/>
      <c r="O354" s="137"/>
    </row>
    <row r="355" spans="2:15" s="135" customFormat="1" ht="13.5" customHeight="1">
      <c r="B355" s="145" t="s">
        <v>20</v>
      </c>
      <c r="C355" s="146" t="s">
        <v>338</v>
      </c>
      <c r="D355" s="199">
        <v>0.07</v>
      </c>
      <c r="E355" s="147"/>
      <c r="F355" s="147"/>
      <c r="G355" s="147">
        <f>(G326+G354)*D355</f>
        <v>2621.4582914273255</v>
      </c>
      <c r="H355" s="194"/>
      <c r="M355" s="137"/>
      <c r="N355" s="137"/>
      <c r="O355" s="137"/>
    </row>
    <row r="356" spans="2:15" s="135" customFormat="1" ht="13.5" customHeight="1">
      <c r="B356" s="145" t="s">
        <v>22</v>
      </c>
      <c r="C356" s="146" t="s">
        <v>339</v>
      </c>
      <c r="D356" s="152"/>
      <c r="E356" s="147"/>
      <c r="F356" s="147"/>
      <c r="G356" s="147">
        <f>SUM(G357:G361)</f>
        <v>3860.3081440138585</v>
      </c>
      <c r="H356" s="194"/>
      <c r="M356" s="137"/>
      <c r="N356" s="137"/>
      <c r="O356" s="137"/>
    </row>
    <row r="357" spans="2:15" s="135" customFormat="1" ht="13.5" customHeight="1">
      <c r="B357" s="145"/>
      <c r="C357" s="146" t="s">
        <v>298</v>
      </c>
      <c r="D357" s="152" t="s">
        <v>77</v>
      </c>
      <c r="E357" s="147">
        <f>E338*'配合'!E7/1000</f>
        <v>25.230595720000004</v>
      </c>
      <c r="F357" s="147">
        <f>'机械台班'!C26</f>
        <v>118.56378999999998</v>
      </c>
      <c r="G357" s="147">
        <f>F357*E357</f>
        <v>2991.435052520979</v>
      </c>
      <c r="H357" s="194"/>
      <c r="M357" s="137"/>
      <c r="N357" s="137"/>
      <c r="O357" s="137"/>
    </row>
    <row r="358" spans="2:15" s="135" customFormat="1" ht="13.5" customHeight="1">
      <c r="B358" s="145"/>
      <c r="C358" s="146" t="s">
        <v>299</v>
      </c>
      <c r="D358" s="146" t="s">
        <v>365</v>
      </c>
      <c r="E358" s="147">
        <f>E338*'配合'!F7</f>
        <v>57.737680000000005</v>
      </c>
      <c r="F358" s="147">
        <f>'机械台班'!C27</f>
        <v>1.5600419999999957</v>
      </c>
      <c r="G358" s="147">
        <f>F358*E358</f>
        <v>90.07320578255975</v>
      </c>
      <c r="H358" s="194"/>
      <c r="M358" s="137"/>
      <c r="N358" s="137"/>
      <c r="O358" s="137"/>
    </row>
    <row r="359" spans="2:15" s="135" customFormat="1" ht="13.5" customHeight="1">
      <c r="B359" s="145"/>
      <c r="C359" s="146" t="s">
        <v>300</v>
      </c>
      <c r="D359" s="146" t="s">
        <v>365</v>
      </c>
      <c r="E359" s="147">
        <f>E338*'配合'!G7</f>
        <v>86.66708400000002</v>
      </c>
      <c r="F359" s="147">
        <f>'机械台班'!C28</f>
        <v>8.098611067961158</v>
      </c>
      <c r="G359" s="147">
        <f>F359*E359</f>
        <v>701.8830057103196</v>
      </c>
      <c r="H359" s="194"/>
      <c r="M359" s="137"/>
      <c r="N359" s="137"/>
      <c r="O359" s="137"/>
    </row>
    <row r="360" spans="2:15" s="135" customFormat="1" ht="13.5" customHeight="1">
      <c r="B360" s="145"/>
      <c r="C360" s="146" t="s">
        <v>411</v>
      </c>
      <c r="D360" s="146" t="s">
        <v>365</v>
      </c>
      <c r="E360" s="147">
        <f>E337</f>
        <v>0.77</v>
      </c>
      <c r="F360" s="147">
        <f>'机械台班'!C33</f>
        <v>0</v>
      </c>
      <c r="G360" s="147">
        <f>F360*E360</f>
        <v>0</v>
      </c>
      <c r="H360" s="194"/>
      <c r="M360" s="137"/>
      <c r="N360" s="137"/>
      <c r="O360" s="137"/>
    </row>
    <row r="361" spans="2:15" s="135" customFormat="1" ht="13.5" customHeight="1">
      <c r="B361" s="145"/>
      <c r="C361" s="146" t="s">
        <v>303</v>
      </c>
      <c r="D361" s="146" t="s">
        <v>307</v>
      </c>
      <c r="E361" s="147">
        <f>E344*'机械台班'!S13+'单价表'!E346*'机械台班'!AH13</f>
        <v>15.216</v>
      </c>
      <c r="F361" s="147">
        <f>'机械台班'!C31</f>
        <v>5.055000000000001</v>
      </c>
      <c r="G361" s="147">
        <f>F361*E361</f>
        <v>76.91688</v>
      </c>
      <c r="H361" s="194"/>
      <c r="M361" s="137"/>
      <c r="N361" s="137"/>
      <c r="O361" s="137"/>
    </row>
    <row r="362" spans="2:15" s="135" customFormat="1" ht="13.5" customHeight="1">
      <c r="B362" s="145" t="s">
        <v>24</v>
      </c>
      <c r="C362" s="146" t="s">
        <v>340</v>
      </c>
      <c r="D362" s="152">
        <v>0.09</v>
      </c>
      <c r="E362" s="147"/>
      <c r="F362" s="147"/>
      <c r="G362" s="147">
        <f>(G326+G354+G355+G356)*D362</f>
        <v>3953.805353881982</v>
      </c>
      <c r="H362" s="194"/>
      <c r="M362" s="137"/>
      <c r="N362" s="137"/>
      <c r="O362" s="137"/>
    </row>
    <row r="363" spans="2:15" s="135" customFormat="1" ht="13.5" customHeight="1">
      <c r="B363" s="195"/>
      <c r="C363" s="146" t="s">
        <v>36</v>
      </c>
      <c r="D363" s="146"/>
      <c r="E363" s="147"/>
      <c r="F363" s="147"/>
      <c r="G363" s="147">
        <f>(G355+G354++G362+G326+G356)</f>
        <v>47884.97595257067</v>
      </c>
      <c r="H363" s="194"/>
      <c r="M363" s="137"/>
      <c r="N363" s="137"/>
      <c r="O363" s="137"/>
    </row>
    <row r="364" spans="2:15" s="135" customFormat="1" ht="13.5" customHeight="1">
      <c r="B364" s="195"/>
      <c r="C364" s="146" t="s">
        <v>421</v>
      </c>
      <c r="D364" s="153">
        <v>0.03</v>
      </c>
      <c r="E364" s="147"/>
      <c r="F364" s="147"/>
      <c r="G364" s="147">
        <f>G363*D364</f>
        <v>1436.54927857712</v>
      </c>
      <c r="H364" s="194"/>
      <c r="M364" s="137"/>
      <c r="N364" s="137"/>
      <c r="O364" s="137"/>
    </row>
    <row r="365" spans="2:15" s="135" customFormat="1" ht="13.5" customHeight="1">
      <c r="B365" s="195"/>
      <c r="C365" s="146" t="s">
        <v>343</v>
      </c>
      <c r="D365" s="194"/>
      <c r="E365" s="196"/>
      <c r="F365" s="196"/>
      <c r="G365" s="147">
        <f>G363+G364</f>
        <v>49321.52523114779</v>
      </c>
      <c r="H365" s="194"/>
      <c r="M365" s="137"/>
      <c r="N365" s="137"/>
      <c r="O365" s="137"/>
    </row>
    <row r="366" spans="3:15" s="135" customFormat="1" ht="13.5" customHeight="1">
      <c r="C366" s="13"/>
      <c r="E366" s="137"/>
      <c r="F366" s="137"/>
      <c r="G366" s="155"/>
      <c r="M366" s="137"/>
      <c r="N366" s="137"/>
      <c r="O366" s="137"/>
    </row>
    <row r="367" spans="2:15" s="135" customFormat="1" ht="19.5" customHeight="1">
      <c r="B367" s="138" t="s">
        <v>317</v>
      </c>
      <c r="C367" s="138"/>
      <c r="D367" s="138"/>
      <c r="E367" s="138"/>
      <c r="F367" s="138"/>
      <c r="G367" s="138"/>
      <c r="H367" s="138"/>
      <c r="M367" s="137"/>
      <c r="N367" s="137"/>
      <c r="O367" s="137"/>
    </row>
    <row r="368" spans="2:15" s="135" customFormat="1" ht="13.5" customHeight="1">
      <c r="B368" s="139" t="s">
        <v>407</v>
      </c>
      <c r="C368" s="139"/>
      <c r="D368" s="139"/>
      <c r="E368" s="139"/>
      <c r="F368" s="139"/>
      <c r="G368" s="139"/>
      <c r="H368" s="139"/>
      <c r="M368" s="137"/>
      <c r="N368" s="137"/>
      <c r="O368" s="137"/>
    </row>
    <row r="369" spans="2:15" s="135" customFormat="1" ht="13.5" customHeight="1">
      <c r="B369" s="140" t="s">
        <v>408</v>
      </c>
      <c r="C369" s="140"/>
      <c r="D369" s="140"/>
      <c r="E369" s="140"/>
      <c r="F369" s="137"/>
      <c r="G369" s="141" t="s">
        <v>320</v>
      </c>
      <c r="H369" s="141"/>
      <c r="M369" s="137"/>
      <c r="N369" s="137"/>
      <c r="O369" s="137"/>
    </row>
    <row r="370" spans="2:15" s="135" customFormat="1" ht="13.5" customHeight="1">
      <c r="B370" s="142" t="s">
        <v>409</v>
      </c>
      <c r="C370" s="143"/>
      <c r="D370" s="143"/>
      <c r="E370" s="143"/>
      <c r="F370" s="143"/>
      <c r="G370" s="143"/>
      <c r="H370" s="144"/>
      <c r="M370" s="137"/>
      <c r="N370" s="137"/>
      <c r="O370" s="137"/>
    </row>
    <row r="371" spans="2:15" s="135" customFormat="1" ht="26.25" customHeight="1">
      <c r="B371" s="145" t="s">
        <v>3</v>
      </c>
      <c r="C371" s="146" t="s">
        <v>322</v>
      </c>
      <c r="D371" s="146" t="s">
        <v>102</v>
      </c>
      <c r="E371" s="147" t="s">
        <v>324</v>
      </c>
      <c r="F371" s="148" t="s">
        <v>325</v>
      </c>
      <c r="G371" s="148" t="s">
        <v>326</v>
      </c>
      <c r="H371" s="146" t="s">
        <v>386</v>
      </c>
      <c r="M371" s="137"/>
      <c r="N371" s="137"/>
      <c r="O371" s="137"/>
    </row>
    <row r="372" spans="2:15" s="135" customFormat="1" ht="13.5" customHeight="1">
      <c r="B372" s="145" t="s">
        <v>16</v>
      </c>
      <c r="C372" s="146" t="s">
        <v>327</v>
      </c>
      <c r="D372" s="146"/>
      <c r="E372" s="147"/>
      <c r="F372" s="147"/>
      <c r="G372" s="147">
        <f>G373+G398+G399</f>
        <v>37888.51814605195</v>
      </c>
      <c r="H372" s="146"/>
      <c r="M372" s="137"/>
      <c r="N372" s="137"/>
      <c r="O372" s="137"/>
    </row>
    <row r="373" spans="2:15" s="135" customFormat="1" ht="13.5" customHeight="1">
      <c r="B373" s="145" t="s">
        <v>39</v>
      </c>
      <c r="C373" s="146" t="s">
        <v>328</v>
      </c>
      <c r="D373" s="146"/>
      <c r="E373" s="147"/>
      <c r="F373" s="147"/>
      <c r="G373" s="147">
        <f>G374+G377+G387+G395</f>
        <v>36153.166169896904</v>
      </c>
      <c r="H373" s="146"/>
      <c r="M373" s="137"/>
      <c r="N373" s="137"/>
      <c r="O373" s="137"/>
    </row>
    <row r="374" spans="2:15" s="135" customFormat="1" ht="13.5" customHeight="1">
      <c r="B374" s="145">
        <v>1</v>
      </c>
      <c r="C374" s="146" t="s">
        <v>329</v>
      </c>
      <c r="D374" s="146"/>
      <c r="E374" s="147"/>
      <c r="F374" s="147"/>
      <c r="G374" s="147">
        <f>G375+G376</f>
        <v>11700.706999999999</v>
      </c>
      <c r="H374" s="146"/>
      <c r="M374" s="137"/>
      <c r="N374" s="137"/>
      <c r="O374" s="137"/>
    </row>
    <row r="375" spans="2:15" s="135" customFormat="1" ht="13.5" customHeight="1">
      <c r="B375" s="145"/>
      <c r="C375" s="149" t="s">
        <v>351</v>
      </c>
      <c r="D375" s="149" t="s">
        <v>163</v>
      </c>
      <c r="E375" s="147">
        <v>1031.3</v>
      </c>
      <c r="F375" s="147">
        <f>'单价分析'!E15</f>
        <v>8.1</v>
      </c>
      <c r="G375" s="147">
        <f>F375*E375</f>
        <v>8353.529999999999</v>
      </c>
      <c r="H375" s="146"/>
      <c r="M375" s="137"/>
      <c r="N375" s="137"/>
      <c r="O375" s="137"/>
    </row>
    <row r="376" spans="2:15" s="135" customFormat="1" ht="13.5" customHeight="1">
      <c r="B376" s="145"/>
      <c r="C376" s="149" t="s">
        <v>330</v>
      </c>
      <c r="D376" s="149" t="s">
        <v>163</v>
      </c>
      <c r="E376" s="147">
        <v>580.1</v>
      </c>
      <c r="F376" s="147">
        <f>'单价分析'!E16</f>
        <v>5.77</v>
      </c>
      <c r="G376" s="147">
        <f>F376*E376</f>
        <v>3347.1769999999997</v>
      </c>
      <c r="H376" s="146"/>
      <c r="M376" s="137"/>
      <c r="N376" s="137"/>
      <c r="O376" s="137"/>
    </row>
    <row r="377" spans="2:15" s="135" customFormat="1" ht="13.5" customHeight="1">
      <c r="B377" s="145">
        <v>2</v>
      </c>
      <c r="C377" s="146" t="s">
        <v>373</v>
      </c>
      <c r="D377" s="146"/>
      <c r="E377" s="147"/>
      <c r="F377" s="147"/>
      <c r="G377" s="147">
        <f>SUM(G378:G386)</f>
        <v>20691.075802635</v>
      </c>
      <c r="H377" s="146"/>
      <c r="M377" s="137"/>
      <c r="N377" s="137"/>
      <c r="O377" s="137"/>
    </row>
    <row r="378" spans="2:15" s="135" customFormat="1" ht="13.5" customHeight="1">
      <c r="B378" s="145"/>
      <c r="C378" s="146" t="s">
        <v>410</v>
      </c>
      <c r="D378" s="146" t="s">
        <v>307</v>
      </c>
      <c r="E378" s="147">
        <v>63.56</v>
      </c>
      <c r="F378" s="147">
        <f>'机械台班'!D35</f>
        <v>4.43</v>
      </c>
      <c r="G378" s="147">
        <f aca="true" t="shared" si="12" ref="G378:G385">F378*E378</f>
        <v>281.5708</v>
      </c>
      <c r="H378" s="146"/>
      <c r="M378" s="137"/>
      <c r="N378" s="137"/>
      <c r="O378" s="137"/>
    </row>
    <row r="379" spans="2:15" s="135" customFormat="1" ht="13.5" customHeight="1">
      <c r="B379" s="145"/>
      <c r="C379" s="146" t="s">
        <v>309</v>
      </c>
      <c r="D379" s="146" t="s">
        <v>307</v>
      </c>
      <c r="E379" s="147">
        <v>27.24</v>
      </c>
      <c r="F379" s="147">
        <f>'机械台班'!D37</f>
        <v>5.5</v>
      </c>
      <c r="G379" s="147">
        <f t="shared" si="12"/>
        <v>149.82</v>
      </c>
      <c r="H379" s="146"/>
      <c r="M379" s="137"/>
      <c r="N379" s="137"/>
      <c r="O379" s="137"/>
    </row>
    <row r="380" spans="2:15" s="135" customFormat="1" ht="13.5" customHeight="1">
      <c r="B380" s="145"/>
      <c r="C380" s="146" t="s">
        <v>308</v>
      </c>
      <c r="D380" s="146" t="s">
        <v>307</v>
      </c>
      <c r="E380" s="147">
        <v>51.5</v>
      </c>
      <c r="F380" s="147">
        <f>'机械台班'!D36</f>
        <v>6.5</v>
      </c>
      <c r="G380" s="147">
        <f t="shared" si="12"/>
        <v>334.75</v>
      </c>
      <c r="H380" s="146"/>
      <c r="M380" s="137"/>
      <c r="N380" s="137"/>
      <c r="O380" s="137"/>
    </row>
    <row r="381" spans="2:15" s="135" customFormat="1" ht="13.5" customHeight="1">
      <c r="B381" s="145"/>
      <c r="C381" s="146" t="s">
        <v>312</v>
      </c>
      <c r="D381" s="146" t="s">
        <v>307</v>
      </c>
      <c r="E381" s="147">
        <v>82.1</v>
      </c>
      <c r="F381" s="147">
        <f>'机械台班'!D40</f>
        <v>5.6</v>
      </c>
      <c r="G381" s="147">
        <f t="shared" si="12"/>
        <v>459.75999999999993</v>
      </c>
      <c r="H381" s="146"/>
      <c r="M381" s="137"/>
      <c r="N381" s="137"/>
      <c r="O381" s="137"/>
    </row>
    <row r="382" spans="2:15" s="135" customFormat="1" ht="13.5" customHeight="1">
      <c r="B382" s="145"/>
      <c r="C382" s="146" t="s">
        <v>310</v>
      </c>
      <c r="D382" s="146" t="s">
        <v>307</v>
      </c>
      <c r="E382" s="147">
        <v>1.8</v>
      </c>
      <c r="F382" s="147">
        <f>'机械台班'!D38</f>
        <v>6.15</v>
      </c>
      <c r="G382" s="147">
        <f t="shared" si="12"/>
        <v>11.07</v>
      </c>
      <c r="H382" s="146"/>
      <c r="M382" s="137"/>
      <c r="N382" s="137"/>
      <c r="O382" s="137"/>
    </row>
    <row r="383" spans="2:15" s="135" customFormat="1" ht="13.5" customHeight="1">
      <c r="B383" s="145"/>
      <c r="C383" s="146" t="s">
        <v>411</v>
      </c>
      <c r="D383" s="146" t="s">
        <v>365</v>
      </c>
      <c r="E383" s="147">
        <v>0.4</v>
      </c>
      <c r="F383" s="147">
        <f>'单价分析'!L12</f>
        <v>1789.6725</v>
      </c>
      <c r="G383" s="147">
        <f t="shared" si="12"/>
        <v>715.869</v>
      </c>
      <c r="H383" s="146"/>
      <c r="M383" s="137"/>
      <c r="N383" s="137"/>
      <c r="O383" s="137"/>
    </row>
    <row r="384" spans="2:15" s="135" customFormat="1" ht="13.5" customHeight="1">
      <c r="B384" s="145"/>
      <c r="C384" s="146" t="s">
        <v>425</v>
      </c>
      <c r="D384" s="146" t="s">
        <v>365</v>
      </c>
      <c r="E384" s="147">
        <v>103</v>
      </c>
      <c r="F384" s="147">
        <f>'配合'!I8</f>
        <v>176.40480900000003</v>
      </c>
      <c r="G384" s="147">
        <f t="shared" si="12"/>
        <v>18169.695327</v>
      </c>
      <c r="H384" s="146"/>
      <c r="M384" s="137"/>
      <c r="N384" s="137"/>
      <c r="O384" s="137"/>
    </row>
    <row r="385" spans="2:15" s="135" customFormat="1" ht="13.5" customHeight="1">
      <c r="B385" s="145"/>
      <c r="C385" s="146" t="s">
        <v>413</v>
      </c>
      <c r="D385" s="146" t="s">
        <v>365</v>
      </c>
      <c r="E385" s="147">
        <v>120</v>
      </c>
      <c r="F385" s="147">
        <f>'单价分析'!E17</f>
        <v>3.88</v>
      </c>
      <c r="G385" s="147">
        <f t="shared" si="12"/>
        <v>465.59999999999997</v>
      </c>
      <c r="H385" s="146"/>
      <c r="M385" s="137"/>
      <c r="N385" s="137"/>
      <c r="O385" s="137"/>
    </row>
    <row r="386" spans="2:15" s="135" customFormat="1" ht="13.5" customHeight="1">
      <c r="B386" s="145"/>
      <c r="C386" s="146" t="s">
        <v>404</v>
      </c>
      <c r="D386" s="146" t="s">
        <v>332</v>
      </c>
      <c r="E386" s="147">
        <v>0.5</v>
      </c>
      <c r="F386" s="147">
        <f>SUM(G378:G385)</f>
        <v>20588.135127</v>
      </c>
      <c r="G386" s="147">
        <f>F386*E386/100</f>
        <v>102.940675635</v>
      </c>
      <c r="H386" s="146"/>
      <c r="M386" s="137"/>
      <c r="N386" s="137"/>
      <c r="O386" s="137"/>
    </row>
    <row r="387" spans="2:15" s="135" customFormat="1" ht="13.5" customHeight="1">
      <c r="B387" s="145">
        <v>3</v>
      </c>
      <c r="C387" s="146" t="s">
        <v>352</v>
      </c>
      <c r="D387" s="146"/>
      <c r="E387" s="147"/>
      <c r="F387" s="147"/>
      <c r="G387" s="147">
        <f>SUM(G388:G394)</f>
        <v>871.1020324888311</v>
      </c>
      <c r="H387" s="146"/>
      <c r="M387" s="137"/>
      <c r="N387" s="137"/>
      <c r="O387" s="137"/>
    </row>
    <row r="388" spans="2:15" s="135" customFormat="1" ht="13.5" customHeight="1">
      <c r="B388" s="145"/>
      <c r="C388" s="146" t="s">
        <v>414</v>
      </c>
      <c r="D388" s="146" t="s">
        <v>335</v>
      </c>
      <c r="E388" s="147">
        <v>18.54</v>
      </c>
      <c r="F388" s="147">
        <f>'台班总'!D13</f>
        <v>28.217952134024728</v>
      </c>
      <c r="G388" s="147">
        <f aca="true" t="shared" si="13" ref="G388:G393">F388*E388</f>
        <v>523.1608325648184</v>
      </c>
      <c r="H388" s="146"/>
      <c r="M388" s="137"/>
      <c r="N388" s="137"/>
      <c r="O388" s="137"/>
    </row>
    <row r="389" spans="2:15" s="135" customFormat="1" ht="13.5" customHeight="1">
      <c r="B389" s="145"/>
      <c r="C389" s="146" t="s">
        <v>209</v>
      </c>
      <c r="D389" s="146" t="s">
        <v>335</v>
      </c>
      <c r="E389" s="147">
        <v>83</v>
      </c>
      <c r="F389" s="147">
        <f>'台班总'!D20</f>
        <v>0.8132429198244914</v>
      </c>
      <c r="G389" s="147">
        <f t="shared" si="13"/>
        <v>67.49916234543278</v>
      </c>
      <c r="H389" s="194"/>
      <c r="M389" s="137"/>
      <c r="N389" s="137"/>
      <c r="O389" s="137"/>
    </row>
    <row r="390" spans="2:15" s="135" customFormat="1" ht="13.5" customHeight="1">
      <c r="B390" s="145"/>
      <c r="C390" s="146" t="s">
        <v>405</v>
      </c>
      <c r="D390" s="146" t="s">
        <v>335</v>
      </c>
      <c r="E390" s="147">
        <v>1.5</v>
      </c>
      <c r="F390" s="147">
        <f>'台班总'!D16</f>
        <v>49.389824491424015</v>
      </c>
      <c r="G390" s="147">
        <f t="shared" si="13"/>
        <v>74.08473673713603</v>
      </c>
      <c r="H390" s="194"/>
      <c r="M390" s="137"/>
      <c r="N390" s="137"/>
      <c r="O390" s="137"/>
    </row>
    <row r="391" spans="2:15" s="135" customFormat="1" ht="13.5" customHeight="1">
      <c r="B391" s="145"/>
      <c r="C391" s="146" t="s">
        <v>415</v>
      </c>
      <c r="D391" s="146" t="s">
        <v>335</v>
      </c>
      <c r="E391" s="147">
        <v>3.35</v>
      </c>
      <c r="F391" s="147">
        <f>'台班总'!D31</f>
        <v>15.587185879537296</v>
      </c>
      <c r="G391" s="147">
        <f t="shared" si="13"/>
        <v>52.21707269644995</v>
      </c>
      <c r="H391" s="194"/>
      <c r="M391" s="137"/>
      <c r="N391" s="137"/>
      <c r="O391" s="137"/>
    </row>
    <row r="392" spans="2:15" s="135" customFormat="1" ht="13.5" customHeight="1">
      <c r="B392" s="145"/>
      <c r="C392" s="146" t="s">
        <v>416</v>
      </c>
      <c r="D392" s="146" t="s">
        <v>335</v>
      </c>
      <c r="E392" s="147">
        <v>0.38</v>
      </c>
      <c r="F392" s="147">
        <f>'台班总'!D24</f>
        <v>62.33427802153969</v>
      </c>
      <c r="G392" s="147">
        <f t="shared" si="13"/>
        <v>23.68702564818508</v>
      </c>
      <c r="H392" s="194"/>
      <c r="M392" s="137"/>
      <c r="N392" s="137"/>
      <c r="O392" s="137"/>
    </row>
    <row r="393" spans="2:15" s="135" customFormat="1" ht="13.5" customHeight="1">
      <c r="B393" s="145"/>
      <c r="C393" s="146" t="s">
        <v>417</v>
      </c>
      <c r="D393" s="146" t="s">
        <v>335</v>
      </c>
      <c r="E393" s="147">
        <v>40.05</v>
      </c>
      <c r="F393" s="147">
        <f>'台班总'!D14</f>
        <v>2.221526924611089</v>
      </c>
      <c r="G393" s="147">
        <f t="shared" si="13"/>
        <v>88.9721533306741</v>
      </c>
      <c r="H393" s="194"/>
      <c r="M393" s="137"/>
      <c r="N393" s="137"/>
      <c r="O393" s="137"/>
    </row>
    <row r="394" spans="2:15" s="135" customFormat="1" ht="13.5" customHeight="1">
      <c r="B394" s="145"/>
      <c r="C394" s="146" t="s">
        <v>370</v>
      </c>
      <c r="D394" s="146" t="s">
        <v>332</v>
      </c>
      <c r="E394" s="147">
        <v>5</v>
      </c>
      <c r="F394" s="147">
        <f>SUM(G388:G393)</f>
        <v>829.6209833226964</v>
      </c>
      <c r="G394" s="147">
        <f>F394*E394%</f>
        <v>41.481049166134824</v>
      </c>
      <c r="H394" s="194"/>
      <c r="M394" s="137"/>
      <c r="N394" s="137"/>
      <c r="O394" s="137"/>
    </row>
    <row r="395" spans="2:15" s="135" customFormat="1" ht="13.5" customHeight="1">
      <c r="B395" s="145">
        <v>4</v>
      </c>
      <c r="C395" s="146" t="s">
        <v>418</v>
      </c>
      <c r="D395" s="194"/>
      <c r="E395" s="196"/>
      <c r="F395" s="147"/>
      <c r="G395" s="147">
        <f>G396+G397</f>
        <v>2890.281334773067</v>
      </c>
      <c r="H395" s="194"/>
      <c r="M395" s="137"/>
      <c r="N395" s="137"/>
      <c r="O395" s="137"/>
    </row>
    <row r="396" spans="2:15" s="135" customFormat="1" ht="13.5" customHeight="1">
      <c r="B396" s="145"/>
      <c r="C396" s="146" t="s">
        <v>419</v>
      </c>
      <c r="D396" s="146" t="s">
        <v>365</v>
      </c>
      <c r="E396" s="147">
        <v>103</v>
      </c>
      <c r="F396" s="147">
        <f>O612/100</f>
        <v>6.7016673898683665</v>
      </c>
      <c r="G396" s="147">
        <f>F396*E396</f>
        <v>690.2717411564417</v>
      </c>
      <c r="H396" s="194"/>
      <c r="M396" s="137"/>
      <c r="N396" s="137"/>
      <c r="O396" s="137"/>
    </row>
    <row r="397" spans="2:15" s="135" customFormat="1" ht="13.5" customHeight="1">
      <c r="B397" s="145"/>
      <c r="C397" s="146" t="s">
        <v>420</v>
      </c>
      <c r="D397" s="146" t="s">
        <v>365</v>
      </c>
      <c r="E397" s="147">
        <v>103</v>
      </c>
      <c r="F397" s="147">
        <f>O594/100</f>
        <v>21.35931644287986</v>
      </c>
      <c r="G397" s="147">
        <f>F397*E397</f>
        <v>2200.0095936166254</v>
      </c>
      <c r="H397" s="194"/>
      <c r="M397" s="137"/>
      <c r="N397" s="137"/>
      <c r="O397" s="137"/>
    </row>
    <row r="398" spans="2:15" s="135" customFormat="1" ht="13.5" customHeight="1">
      <c r="B398" s="145" t="s">
        <v>63</v>
      </c>
      <c r="C398" s="146" t="s">
        <v>336</v>
      </c>
      <c r="D398" s="198">
        <v>0.048</v>
      </c>
      <c r="E398" s="147"/>
      <c r="F398" s="147"/>
      <c r="G398" s="147">
        <f>(G373)*D398</f>
        <v>1735.3519761550515</v>
      </c>
      <c r="H398" s="194"/>
      <c r="M398" s="137"/>
      <c r="N398" s="137"/>
      <c r="O398" s="137"/>
    </row>
    <row r="399" spans="2:15" s="135" customFormat="1" ht="13.5" customHeight="1">
      <c r="B399" s="145" t="s">
        <v>355</v>
      </c>
      <c r="C399" s="146" t="s">
        <v>356</v>
      </c>
      <c r="D399" s="198"/>
      <c r="E399" s="147"/>
      <c r="F399" s="147"/>
      <c r="G399" s="147">
        <f>G373*D399</f>
        <v>0</v>
      </c>
      <c r="H399" s="194"/>
      <c r="M399" s="137"/>
      <c r="N399" s="137"/>
      <c r="O399" s="137"/>
    </row>
    <row r="400" spans="2:15" s="135" customFormat="1" ht="13.5" customHeight="1">
      <c r="B400" s="145" t="s">
        <v>18</v>
      </c>
      <c r="C400" s="146" t="s">
        <v>337</v>
      </c>
      <c r="D400" s="150">
        <v>0.08</v>
      </c>
      <c r="E400" s="147"/>
      <c r="F400" s="147"/>
      <c r="G400" s="147">
        <f>G372*D400</f>
        <v>3031.081451684156</v>
      </c>
      <c r="H400" s="194"/>
      <c r="M400" s="137"/>
      <c r="N400" s="137"/>
      <c r="O400" s="137"/>
    </row>
    <row r="401" spans="2:15" s="135" customFormat="1" ht="13.5" customHeight="1">
      <c r="B401" s="145" t="s">
        <v>20</v>
      </c>
      <c r="C401" s="146" t="s">
        <v>338</v>
      </c>
      <c r="D401" s="199">
        <v>0.07</v>
      </c>
      <c r="E401" s="147"/>
      <c r="F401" s="147"/>
      <c r="G401" s="147">
        <f>(G372+G400)*D401</f>
        <v>2864.3719718415277</v>
      </c>
      <c r="H401" s="194"/>
      <c r="M401" s="137"/>
      <c r="N401" s="137"/>
      <c r="O401" s="137"/>
    </row>
    <row r="402" spans="2:15" s="135" customFormat="1" ht="13.5" customHeight="1">
      <c r="B402" s="145" t="s">
        <v>22</v>
      </c>
      <c r="C402" s="146" t="s">
        <v>339</v>
      </c>
      <c r="D402" s="152"/>
      <c r="E402" s="147"/>
      <c r="F402" s="147"/>
      <c r="G402" s="147">
        <f>SUM(G403:G407)</f>
        <v>4607.470635911489</v>
      </c>
      <c r="H402" s="194"/>
      <c r="M402" s="137"/>
      <c r="N402" s="137"/>
      <c r="O402" s="137"/>
    </row>
    <row r="403" spans="2:15" s="135" customFormat="1" ht="13.5" customHeight="1">
      <c r="B403" s="145"/>
      <c r="C403" s="146" t="s">
        <v>298</v>
      </c>
      <c r="D403" s="152" t="s">
        <v>77</v>
      </c>
      <c r="E403" s="147">
        <f>E384*'配合'!E8/1000</f>
        <v>31.641291000000006</v>
      </c>
      <c r="F403" s="147">
        <f>'机械台班'!C26</f>
        <v>118.56378999999998</v>
      </c>
      <c r="G403" s="147">
        <f>F403*E403</f>
        <v>3751.51138145289</v>
      </c>
      <c r="H403" s="194"/>
      <c r="M403" s="137"/>
      <c r="N403" s="137"/>
      <c r="O403" s="137"/>
    </row>
    <row r="404" spans="2:15" s="135" customFormat="1" ht="13.5" customHeight="1">
      <c r="B404" s="145"/>
      <c r="C404" s="146" t="s">
        <v>299</v>
      </c>
      <c r="D404" s="146" t="s">
        <v>365</v>
      </c>
      <c r="E404" s="147">
        <f>E384*'配合'!F8</f>
        <v>56.627340000000004</v>
      </c>
      <c r="F404" s="147">
        <f>'机械台班'!C27</f>
        <v>1.5600419999999957</v>
      </c>
      <c r="G404" s="147">
        <f>F404*E404</f>
        <v>88.34102874827977</v>
      </c>
      <c r="H404" s="194"/>
      <c r="M404" s="137"/>
      <c r="N404" s="137"/>
      <c r="O404" s="137"/>
    </row>
    <row r="405" spans="2:15" s="135" customFormat="1" ht="13.5" customHeight="1">
      <c r="B405" s="145"/>
      <c r="C405" s="146" t="s">
        <v>300</v>
      </c>
      <c r="D405" s="146" t="s">
        <v>365</v>
      </c>
      <c r="E405" s="147">
        <f>E384*'配合'!G8</f>
        <v>86.66708400000002</v>
      </c>
      <c r="F405" s="147">
        <f>'机械台班'!C28</f>
        <v>8.098611067961158</v>
      </c>
      <c r="G405" s="147">
        <f>F405*E405</f>
        <v>701.8830057103196</v>
      </c>
      <c r="H405" s="194"/>
      <c r="M405" s="137"/>
      <c r="N405" s="137"/>
      <c r="O405" s="137"/>
    </row>
    <row r="406" spans="2:15" s="135" customFormat="1" ht="13.5" customHeight="1">
      <c r="B406" s="145"/>
      <c r="C406" s="146" t="s">
        <v>411</v>
      </c>
      <c r="D406" s="146" t="s">
        <v>365</v>
      </c>
      <c r="E406" s="147">
        <f>E383</f>
        <v>0.4</v>
      </c>
      <c r="F406" s="147">
        <f>'机械台班'!C33</f>
        <v>0</v>
      </c>
      <c r="G406" s="147">
        <f>F406*E406</f>
        <v>0</v>
      </c>
      <c r="H406" s="194"/>
      <c r="M406" s="137"/>
      <c r="N406" s="137"/>
      <c r="O406" s="137"/>
    </row>
    <row r="407" spans="2:15" s="135" customFormat="1" ht="13.5" customHeight="1">
      <c r="B407" s="145"/>
      <c r="C407" s="146" t="s">
        <v>303</v>
      </c>
      <c r="D407" s="146" t="s">
        <v>307</v>
      </c>
      <c r="E407" s="147">
        <f>E390*'机械台班'!S13+'机械台班'!AH13*'单价表'!E392</f>
        <v>13.004000000000001</v>
      </c>
      <c r="F407" s="147">
        <f>'机械台班'!C31</f>
        <v>5.055000000000001</v>
      </c>
      <c r="G407" s="147">
        <f>F407*E407</f>
        <v>65.73522000000001</v>
      </c>
      <c r="H407" s="194"/>
      <c r="M407" s="137"/>
      <c r="N407" s="137"/>
      <c r="O407" s="137"/>
    </row>
    <row r="408" spans="2:15" s="135" customFormat="1" ht="13.5" customHeight="1">
      <c r="B408" s="145" t="s">
        <v>24</v>
      </c>
      <c r="C408" s="146" t="s">
        <v>340</v>
      </c>
      <c r="D408" s="152">
        <v>0.09</v>
      </c>
      <c r="E408" s="147"/>
      <c r="F408" s="147"/>
      <c r="G408" s="147">
        <f>(G372+G400+G401+G402)*D408</f>
        <v>4355.229798494021</v>
      </c>
      <c r="H408" s="194"/>
      <c r="M408" s="137"/>
      <c r="N408" s="137"/>
      <c r="O408" s="137"/>
    </row>
    <row r="409" spans="2:15" s="135" customFormat="1" ht="13.5" customHeight="1">
      <c r="B409" s="195"/>
      <c r="C409" s="146" t="s">
        <v>36</v>
      </c>
      <c r="D409" s="146"/>
      <c r="E409" s="147"/>
      <c r="F409" s="147"/>
      <c r="G409" s="147">
        <f>(G401+G400++G408+G372+G402)</f>
        <v>52746.67200398314</v>
      </c>
      <c r="H409" s="194"/>
      <c r="M409" s="137"/>
      <c r="N409" s="137"/>
      <c r="O409" s="137"/>
    </row>
    <row r="410" spans="2:15" s="135" customFormat="1" ht="13.5" customHeight="1">
      <c r="B410" s="195"/>
      <c r="C410" s="146" t="s">
        <v>421</v>
      </c>
      <c r="D410" s="153">
        <v>0.03</v>
      </c>
      <c r="E410" s="147"/>
      <c r="F410" s="147"/>
      <c r="G410" s="147">
        <f>G409*D410</f>
        <v>1582.400160119494</v>
      </c>
      <c r="H410" s="194"/>
      <c r="M410" s="137"/>
      <c r="N410" s="137"/>
      <c r="O410" s="137"/>
    </row>
    <row r="411" spans="2:15" s="135" customFormat="1" ht="13.5" customHeight="1">
      <c r="B411" s="195"/>
      <c r="C411" s="146" t="s">
        <v>343</v>
      </c>
      <c r="D411" s="194"/>
      <c r="E411" s="196"/>
      <c r="F411" s="196"/>
      <c r="G411" s="147">
        <f>G409+G410</f>
        <v>54329.07216410263</v>
      </c>
      <c r="H411" s="194"/>
      <c r="M411" s="137"/>
      <c r="N411" s="137"/>
      <c r="O411" s="137"/>
    </row>
    <row r="412" spans="3:15" s="135" customFormat="1" ht="13.5" customHeight="1">
      <c r="C412" s="13"/>
      <c r="E412" s="137"/>
      <c r="F412" s="137"/>
      <c r="G412" s="155"/>
      <c r="M412" s="137"/>
      <c r="N412" s="137"/>
      <c r="O412" s="137"/>
    </row>
    <row r="413" spans="3:15" s="135" customFormat="1" ht="13.5" customHeight="1">
      <c r="C413" s="13"/>
      <c r="E413" s="137"/>
      <c r="F413" s="137"/>
      <c r="G413" s="155"/>
      <c r="M413" s="137"/>
      <c r="N413" s="137"/>
      <c r="O413" s="137"/>
    </row>
    <row r="414" spans="2:15" s="135" customFormat="1" ht="19.5" customHeight="1">
      <c r="B414" s="138" t="s">
        <v>317</v>
      </c>
      <c r="C414" s="138"/>
      <c r="D414" s="138"/>
      <c r="E414" s="138"/>
      <c r="F414" s="138"/>
      <c r="G414" s="138"/>
      <c r="H414" s="138"/>
      <c r="M414" s="137"/>
      <c r="N414" s="137"/>
      <c r="O414" s="137"/>
    </row>
    <row r="415" spans="2:15" s="135" customFormat="1" ht="13.5" customHeight="1">
      <c r="B415" s="139" t="s">
        <v>426</v>
      </c>
      <c r="C415" s="139"/>
      <c r="D415" s="139"/>
      <c r="E415" s="139"/>
      <c r="F415" s="139"/>
      <c r="G415" s="139"/>
      <c r="H415" s="139"/>
      <c r="M415" s="137"/>
      <c r="N415" s="137"/>
      <c r="O415" s="137"/>
    </row>
    <row r="416" spans="2:15" s="135" customFormat="1" ht="13.5" customHeight="1">
      <c r="B416" s="140" t="s">
        <v>427</v>
      </c>
      <c r="C416" s="140"/>
      <c r="D416" s="140"/>
      <c r="E416" s="140"/>
      <c r="F416" s="137"/>
      <c r="G416" s="141" t="s">
        <v>320</v>
      </c>
      <c r="H416" s="141"/>
      <c r="M416" s="137"/>
      <c r="N416" s="137"/>
      <c r="O416" s="137"/>
    </row>
    <row r="417" spans="2:15" s="135" customFormat="1" ht="13.5" customHeight="1">
      <c r="B417" s="142" t="s">
        <v>360</v>
      </c>
      <c r="C417" s="143"/>
      <c r="D417" s="143"/>
      <c r="E417" s="143"/>
      <c r="F417" s="143"/>
      <c r="G417" s="143"/>
      <c r="H417" s="144"/>
      <c r="M417" s="137"/>
      <c r="N417" s="137"/>
      <c r="O417" s="137"/>
    </row>
    <row r="418" spans="2:15" s="135" customFormat="1" ht="30" customHeight="1">
      <c r="B418" s="145" t="s">
        <v>3</v>
      </c>
      <c r="C418" s="146" t="s">
        <v>322</v>
      </c>
      <c r="D418" s="146" t="s">
        <v>102</v>
      </c>
      <c r="E418" s="147" t="s">
        <v>324</v>
      </c>
      <c r="F418" s="148" t="s">
        <v>325</v>
      </c>
      <c r="G418" s="148" t="s">
        <v>326</v>
      </c>
      <c r="H418" s="146" t="s">
        <v>386</v>
      </c>
      <c r="M418" s="137"/>
      <c r="N418" s="137"/>
      <c r="O418" s="137"/>
    </row>
    <row r="419" spans="2:15" s="135" customFormat="1" ht="13.5" customHeight="1">
      <c r="B419" s="145" t="s">
        <v>16</v>
      </c>
      <c r="C419" s="146" t="s">
        <v>327</v>
      </c>
      <c r="D419" s="146"/>
      <c r="E419" s="147"/>
      <c r="F419" s="147"/>
      <c r="G419" s="147">
        <f>G420+G446+G447</f>
        <v>30559.365490321405</v>
      </c>
      <c r="H419" s="146"/>
      <c r="M419" s="137"/>
      <c r="N419" s="137"/>
      <c r="O419" s="137"/>
    </row>
    <row r="420" spans="2:15" s="135" customFormat="1" ht="13.5" customHeight="1">
      <c r="B420" s="145" t="s">
        <v>39</v>
      </c>
      <c r="C420" s="146" t="s">
        <v>328</v>
      </c>
      <c r="D420" s="146"/>
      <c r="E420" s="147"/>
      <c r="F420" s="147"/>
      <c r="G420" s="147">
        <f>G421+G424+G435+G443</f>
        <v>29159.699895344853</v>
      </c>
      <c r="H420" s="146"/>
      <c r="M420" s="137"/>
      <c r="N420" s="137"/>
      <c r="O420" s="137"/>
    </row>
    <row r="421" spans="2:15" s="135" customFormat="1" ht="13.5" customHeight="1">
      <c r="B421" s="145">
        <v>1</v>
      </c>
      <c r="C421" s="146" t="s">
        <v>329</v>
      </c>
      <c r="D421" s="146"/>
      <c r="E421" s="147"/>
      <c r="F421" s="147"/>
      <c r="G421" s="147">
        <f>G422+G423</f>
        <v>5985.0779999999995</v>
      </c>
      <c r="H421" s="146"/>
      <c r="M421" s="137"/>
      <c r="N421" s="137"/>
      <c r="O421" s="137"/>
    </row>
    <row r="422" spans="2:15" s="135" customFormat="1" ht="13.5" customHeight="1">
      <c r="B422" s="145"/>
      <c r="C422" s="149" t="s">
        <v>351</v>
      </c>
      <c r="D422" s="149" t="s">
        <v>163</v>
      </c>
      <c r="E422" s="147">
        <v>512.8</v>
      </c>
      <c r="F422" s="147">
        <f>'单价分析'!E15</f>
        <v>8.1</v>
      </c>
      <c r="G422" s="147">
        <f>F422*E422</f>
        <v>4153.679999999999</v>
      </c>
      <c r="H422" s="146"/>
      <c r="M422" s="137"/>
      <c r="N422" s="137"/>
      <c r="O422" s="137"/>
    </row>
    <row r="423" spans="2:15" s="135" customFormat="1" ht="13.5" customHeight="1">
      <c r="B423" s="145"/>
      <c r="C423" s="149" t="s">
        <v>330</v>
      </c>
      <c r="D423" s="149" t="s">
        <v>163</v>
      </c>
      <c r="E423" s="147">
        <v>317.4</v>
      </c>
      <c r="F423" s="147">
        <f>'单价分析'!E16</f>
        <v>5.77</v>
      </c>
      <c r="G423" s="147">
        <f>F423*E423</f>
        <v>1831.3979999999997</v>
      </c>
      <c r="H423" s="146"/>
      <c r="M423" s="137"/>
      <c r="N423" s="137"/>
      <c r="O423" s="137"/>
    </row>
    <row r="424" spans="2:15" s="135" customFormat="1" ht="13.5" customHeight="1">
      <c r="B424" s="145">
        <v>2</v>
      </c>
      <c r="C424" s="146" t="s">
        <v>373</v>
      </c>
      <c r="D424" s="146"/>
      <c r="E424" s="147"/>
      <c r="F424" s="147"/>
      <c r="G424" s="147">
        <f>SUM(G425:G434)</f>
        <v>19556.759955210004</v>
      </c>
      <c r="H424" s="146"/>
      <c r="M424" s="137"/>
      <c r="N424" s="137"/>
      <c r="O424" s="137"/>
    </row>
    <row r="425" spans="2:15" s="135" customFormat="1" ht="13.5" customHeight="1">
      <c r="B425" s="145"/>
      <c r="C425" s="146" t="s">
        <v>410</v>
      </c>
      <c r="D425" s="146" t="s">
        <v>307</v>
      </c>
      <c r="E425" s="147">
        <v>0.98</v>
      </c>
      <c r="F425" s="147">
        <f>'机械台班'!D35</f>
        <v>4.43</v>
      </c>
      <c r="G425" s="147">
        <f aca="true" t="shared" si="14" ref="G425:G433">F425*E425</f>
        <v>4.341399999999999</v>
      </c>
      <c r="H425" s="146"/>
      <c r="M425" s="137"/>
      <c r="N425" s="137"/>
      <c r="O425" s="137"/>
    </row>
    <row r="426" spans="2:15" s="135" customFormat="1" ht="13.5" customHeight="1">
      <c r="B426" s="145"/>
      <c r="C426" s="146" t="s">
        <v>309</v>
      </c>
      <c r="D426" s="146" t="s">
        <v>307</v>
      </c>
      <c r="E426" s="147">
        <v>3.14</v>
      </c>
      <c r="F426" s="147">
        <f>'机械台班'!D37</f>
        <v>5.5</v>
      </c>
      <c r="G426" s="147">
        <f t="shared" si="14"/>
        <v>17.27</v>
      </c>
      <c r="H426" s="146"/>
      <c r="M426" s="137"/>
      <c r="N426" s="137"/>
      <c r="O426" s="137"/>
    </row>
    <row r="427" spans="2:15" s="135" customFormat="1" ht="13.5" customHeight="1">
      <c r="B427" s="145"/>
      <c r="C427" s="146" t="s">
        <v>308</v>
      </c>
      <c r="D427" s="146" t="s">
        <v>307</v>
      </c>
      <c r="E427" s="147">
        <v>2.34</v>
      </c>
      <c r="F427" s="147">
        <f>'机械台班'!D36</f>
        <v>6.5</v>
      </c>
      <c r="G427" s="147">
        <f t="shared" si="14"/>
        <v>15.209999999999999</v>
      </c>
      <c r="H427" s="146"/>
      <c r="M427" s="137"/>
      <c r="N427" s="137"/>
      <c r="O427" s="137"/>
    </row>
    <row r="428" spans="2:15" s="135" customFormat="1" ht="13.5" customHeight="1">
      <c r="B428" s="145"/>
      <c r="C428" s="146" t="s">
        <v>310</v>
      </c>
      <c r="D428" s="146" t="s">
        <v>307</v>
      </c>
      <c r="E428" s="147">
        <v>0.08</v>
      </c>
      <c r="F428" s="147">
        <f>'机械台班'!D38</f>
        <v>6.15</v>
      </c>
      <c r="G428" s="147">
        <f t="shared" si="14"/>
        <v>0.49200000000000005</v>
      </c>
      <c r="H428" s="146"/>
      <c r="M428" s="137"/>
      <c r="N428" s="137"/>
      <c r="O428" s="137"/>
    </row>
    <row r="429" spans="2:15" s="135" customFormat="1" ht="13.5" customHeight="1">
      <c r="B429" s="145"/>
      <c r="C429" s="146" t="s">
        <v>411</v>
      </c>
      <c r="D429" s="146" t="s">
        <v>365</v>
      </c>
      <c r="E429" s="147">
        <v>0.03</v>
      </c>
      <c r="F429" s="147">
        <f>'单价分析'!L12</f>
        <v>1789.6725</v>
      </c>
      <c r="G429" s="147">
        <f t="shared" si="14"/>
        <v>53.690174999999996</v>
      </c>
      <c r="H429" s="146"/>
      <c r="M429" s="137"/>
      <c r="N429" s="137"/>
      <c r="O429" s="137"/>
    </row>
    <row r="430" spans="2:15" s="135" customFormat="1" ht="13.5" customHeight="1">
      <c r="B430" s="145"/>
      <c r="C430" s="146" t="s">
        <v>312</v>
      </c>
      <c r="D430" s="146" t="s">
        <v>307</v>
      </c>
      <c r="E430" s="147">
        <v>0.07</v>
      </c>
      <c r="F430" s="147">
        <f>'机械台班'!D40</f>
        <v>5.6</v>
      </c>
      <c r="G430" s="147">
        <f t="shared" si="14"/>
        <v>0.392</v>
      </c>
      <c r="H430" s="146"/>
      <c r="M430" s="137"/>
      <c r="N430" s="137"/>
      <c r="O430" s="137"/>
    </row>
    <row r="431" spans="2:15" s="135" customFormat="1" ht="13.5" customHeight="1">
      <c r="B431" s="145"/>
      <c r="C431" s="146" t="s">
        <v>315</v>
      </c>
      <c r="D431" s="146" t="s">
        <v>307</v>
      </c>
      <c r="E431" s="147">
        <v>3.65</v>
      </c>
      <c r="F431" s="147">
        <f>'机械台班'!D43</f>
        <v>6.2</v>
      </c>
      <c r="G431" s="147">
        <f t="shared" si="14"/>
        <v>22.63</v>
      </c>
      <c r="H431" s="146"/>
      <c r="M431" s="137"/>
      <c r="N431" s="137"/>
      <c r="O431" s="137"/>
    </row>
    <row r="432" spans="2:15" s="135" customFormat="1" ht="13.5" customHeight="1">
      <c r="B432" s="145"/>
      <c r="C432" s="146" t="s">
        <v>428</v>
      </c>
      <c r="D432" s="146" t="s">
        <v>365</v>
      </c>
      <c r="E432" s="147">
        <v>103</v>
      </c>
      <c r="F432" s="147">
        <f>'配合'!I9</f>
        <v>183.29938900000005</v>
      </c>
      <c r="G432" s="147">
        <f t="shared" si="14"/>
        <v>18879.837067000004</v>
      </c>
      <c r="H432" s="146"/>
      <c r="M432" s="137"/>
      <c r="N432" s="137"/>
      <c r="O432" s="137"/>
    </row>
    <row r="433" spans="2:15" s="135" customFormat="1" ht="13.5" customHeight="1">
      <c r="B433" s="145"/>
      <c r="C433" s="146" t="s">
        <v>413</v>
      </c>
      <c r="D433" s="146" t="s">
        <v>365</v>
      </c>
      <c r="E433" s="147">
        <v>120</v>
      </c>
      <c r="F433" s="147">
        <f>'单价分析'!E17</f>
        <v>3.88</v>
      </c>
      <c r="G433" s="147">
        <f t="shared" si="14"/>
        <v>465.59999999999997</v>
      </c>
      <c r="H433" s="146"/>
      <c r="M433" s="137"/>
      <c r="N433" s="137"/>
      <c r="O433" s="137"/>
    </row>
    <row r="434" spans="2:15" s="135" customFormat="1" ht="13.5" customHeight="1">
      <c r="B434" s="145"/>
      <c r="C434" s="146" t="s">
        <v>404</v>
      </c>
      <c r="D434" s="146" t="s">
        <v>332</v>
      </c>
      <c r="E434" s="147">
        <v>0.5</v>
      </c>
      <c r="F434" s="147">
        <f>SUM(G425:G433)</f>
        <v>19459.462642000002</v>
      </c>
      <c r="G434" s="147">
        <f>F434*E434/100</f>
        <v>97.29731321000001</v>
      </c>
      <c r="H434" s="146"/>
      <c r="M434" s="137"/>
      <c r="N434" s="137"/>
      <c r="O434" s="137"/>
    </row>
    <row r="435" spans="2:15" s="135" customFormat="1" ht="13.5" customHeight="1">
      <c r="B435" s="145">
        <v>3</v>
      </c>
      <c r="C435" s="146" t="s">
        <v>352</v>
      </c>
      <c r="D435" s="146"/>
      <c r="E435" s="147"/>
      <c r="F435" s="147"/>
      <c r="G435" s="147">
        <f>SUM(G436:G442)</f>
        <v>727.5806053617869</v>
      </c>
      <c r="H435" s="146"/>
      <c r="M435" s="137"/>
      <c r="N435" s="137"/>
      <c r="O435" s="137"/>
    </row>
    <row r="436" spans="2:15" s="135" customFormat="1" ht="13.5" customHeight="1">
      <c r="B436" s="145"/>
      <c r="C436" s="146" t="s">
        <v>414</v>
      </c>
      <c r="D436" s="146" t="s">
        <v>335</v>
      </c>
      <c r="E436" s="147">
        <v>18.54</v>
      </c>
      <c r="F436" s="147">
        <f>'台班总'!D13</f>
        <v>28.217952134024728</v>
      </c>
      <c r="G436" s="147">
        <f aca="true" t="shared" si="15" ref="G436:G441">F436*E436</f>
        <v>523.1608325648184</v>
      </c>
      <c r="H436" s="146"/>
      <c r="M436" s="137"/>
      <c r="N436" s="137"/>
      <c r="O436" s="137"/>
    </row>
    <row r="437" spans="2:15" s="135" customFormat="1" ht="13.5" customHeight="1">
      <c r="B437" s="145"/>
      <c r="C437" s="146" t="s">
        <v>209</v>
      </c>
      <c r="D437" s="146" t="s">
        <v>335</v>
      </c>
      <c r="E437" s="147">
        <v>83</v>
      </c>
      <c r="F437" s="147">
        <f>'台班总'!D20</f>
        <v>0.8132429198244914</v>
      </c>
      <c r="G437" s="147">
        <f t="shared" si="15"/>
        <v>67.49916234543278</v>
      </c>
      <c r="H437" s="194"/>
      <c r="M437" s="137"/>
      <c r="N437" s="137"/>
      <c r="O437" s="137"/>
    </row>
    <row r="438" spans="2:15" s="135" customFormat="1" ht="13.5" customHeight="1">
      <c r="B438" s="145"/>
      <c r="C438" s="146" t="s">
        <v>405</v>
      </c>
      <c r="D438" s="146" t="s">
        <v>335</v>
      </c>
      <c r="E438" s="147">
        <v>0.08</v>
      </c>
      <c r="F438" s="147">
        <f>'台班总'!D16</f>
        <v>49.389824491424015</v>
      </c>
      <c r="G438" s="147">
        <f t="shared" si="15"/>
        <v>3.9511859593139214</v>
      </c>
      <c r="H438" s="194"/>
      <c r="M438" s="137"/>
      <c r="N438" s="137"/>
      <c r="O438" s="137"/>
    </row>
    <row r="439" spans="2:15" s="135" customFormat="1" ht="13.5" customHeight="1">
      <c r="B439" s="145"/>
      <c r="C439" s="146" t="s">
        <v>415</v>
      </c>
      <c r="D439" s="146" t="s">
        <v>335</v>
      </c>
      <c r="E439" s="147">
        <v>0.12</v>
      </c>
      <c r="F439" s="147">
        <f>'台班总'!D31</f>
        <v>15.587185879537296</v>
      </c>
      <c r="G439" s="147">
        <f t="shared" si="15"/>
        <v>1.8704623055444756</v>
      </c>
      <c r="H439" s="194"/>
      <c r="M439" s="137"/>
      <c r="N439" s="137"/>
      <c r="O439" s="137"/>
    </row>
    <row r="440" spans="2:15" s="135" customFormat="1" ht="13.5" customHeight="1">
      <c r="B440" s="145"/>
      <c r="C440" s="146" t="s">
        <v>416</v>
      </c>
      <c r="D440" s="146" t="s">
        <v>335</v>
      </c>
      <c r="E440" s="147">
        <v>0.12</v>
      </c>
      <c r="F440" s="147">
        <f>'台班总'!D24</f>
        <v>62.33427802153969</v>
      </c>
      <c r="G440" s="147">
        <f t="shared" si="15"/>
        <v>7.4801133625847624</v>
      </c>
      <c r="H440" s="194"/>
      <c r="M440" s="137"/>
      <c r="N440" s="137"/>
      <c r="O440" s="137"/>
    </row>
    <row r="441" spans="2:15" s="135" customFormat="1" ht="13.5" customHeight="1">
      <c r="B441" s="145"/>
      <c r="C441" s="146" t="s">
        <v>417</v>
      </c>
      <c r="D441" s="146" t="s">
        <v>335</v>
      </c>
      <c r="E441" s="147">
        <v>40.05</v>
      </c>
      <c r="F441" s="147">
        <f>'台班总'!D14</f>
        <v>2.221526924611089</v>
      </c>
      <c r="G441" s="147">
        <f t="shared" si="15"/>
        <v>88.9721533306741</v>
      </c>
      <c r="H441" s="194"/>
      <c r="M441" s="137"/>
      <c r="N441" s="137"/>
      <c r="O441" s="137"/>
    </row>
    <row r="442" spans="2:15" s="135" customFormat="1" ht="13.5" customHeight="1">
      <c r="B442" s="145"/>
      <c r="C442" s="146" t="s">
        <v>370</v>
      </c>
      <c r="D442" s="146" t="s">
        <v>332</v>
      </c>
      <c r="E442" s="147">
        <v>5</v>
      </c>
      <c r="F442" s="147">
        <f>SUM(G436:G441)</f>
        <v>692.9339098683685</v>
      </c>
      <c r="G442" s="147">
        <f>F442*E442%</f>
        <v>34.64669549341843</v>
      </c>
      <c r="H442" s="194"/>
      <c r="M442" s="137"/>
      <c r="N442" s="137"/>
      <c r="O442" s="137"/>
    </row>
    <row r="443" spans="2:15" s="135" customFormat="1" ht="13.5" customHeight="1">
      <c r="B443" s="145">
        <v>4</v>
      </c>
      <c r="C443" s="146" t="s">
        <v>418</v>
      </c>
      <c r="D443" s="194"/>
      <c r="E443" s="196"/>
      <c r="F443" s="147"/>
      <c r="G443" s="147">
        <f>G444+G445</f>
        <v>2890.281334773067</v>
      </c>
      <c r="H443" s="194"/>
      <c r="M443" s="137"/>
      <c r="N443" s="137"/>
      <c r="O443" s="137"/>
    </row>
    <row r="444" spans="2:15" s="135" customFormat="1" ht="13.5" customHeight="1">
      <c r="B444" s="145"/>
      <c r="C444" s="146" t="s">
        <v>419</v>
      </c>
      <c r="D444" s="146" t="s">
        <v>365</v>
      </c>
      <c r="E444" s="147">
        <v>103</v>
      </c>
      <c r="F444" s="147">
        <f>O612/100</f>
        <v>6.7016673898683665</v>
      </c>
      <c r="G444" s="147">
        <f>F444*E444</f>
        <v>690.2717411564417</v>
      </c>
      <c r="H444" s="194"/>
      <c r="M444" s="137"/>
      <c r="N444" s="137"/>
      <c r="O444" s="137"/>
    </row>
    <row r="445" spans="2:15" s="135" customFormat="1" ht="13.5" customHeight="1">
      <c r="B445" s="145"/>
      <c r="C445" s="146" t="s">
        <v>420</v>
      </c>
      <c r="D445" s="146" t="s">
        <v>365</v>
      </c>
      <c r="E445" s="147">
        <v>103</v>
      </c>
      <c r="F445" s="147">
        <f>O594/100</f>
        <v>21.35931644287986</v>
      </c>
      <c r="G445" s="147">
        <f>F445*E445</f>
        <v>2200.0095936166254</v>
      </c>
      <c r="H445" s="194"/>
      <c r="M445" s="137"/>
      <c r="N445" s="137"/>
      <c r="O445" s="137"/>
    </row>
    <row r="446" spans="2:15" s="135" customFormat="1" ht="13.5" customHeight="1">
      <c r="B446" s="145" t="s">
        <v>63</v>
      </c>
      <c r="C446" s="146" t="s">
        <v>336</v>
      </c>
      <c r="D446" s="198">
        <v>0.048</v>
      </c>
      <c r="E446" s="147"/>
      <c r="F446" s="147"/>
      <c r="G446" s="147">
        <f>(G420)*D446</f>
        <v>1399.665594976553</v>
      </c>
      <c r="H446" s="194"/>
      <c r="M446" s="137"/>
      <c r="N446" s="137"/>
      <c r="O446" s="137"/>
    </row>
    <row r="447" spans="2:15" s="135" customFormat="1" ht="13.5" customHeight="1">
      <c r="B447" s="145" t="s">
        <v>355</v>
      </c>
      <c r="C447" s="146" t="s">
        <v>356</v>
      </c>
      <c r="D447" s="198"/>
      <c r="E447" s="147"/>
      <c r="F447" s="147"/>
      <c r="G447" s="147">
        <f>G420*D447</f>
        <v>0</v>
      </c>
      <c r="H447" s="194"/>
      <c r="M447" s="137"/>
      <c r="N447" s="137"/>
      <c r="O447" s="137"/>
    </row>
    <row r="448" spans="2:15" s="135" customFormat="1" ht="13.5" customHeight="1">
      <c r="B448" s="145" t="s">
        <v>18</v>
      </c>
      <c r="C448" s="146" t="s">
        <v>337</v>
      </c>
      <c r="D448" s="150">
        <v>0.08</v>
      </c>
      <c r="E448" s="147"/>
      <c r="F448" s="147"/>
      <c r="G448" s="147">
        <f>G419*D448</f>
        <v>2444.7492392257122</v>
      </c>
      <c r="H448" s="194"/>
      <c r="M448" s="137"/>
      <c r="N448" s="137"/>
      <c r="O448" s="137"/>
    </row>
    <row r="449" spans="2:15" s="135" customFormat="1" ht="13.5" customHeight="1">
      <c r="B449" s="145" t="s">
        <v>20</v>
      </c>
      <c r="C449" s="146" t="s">
        <v>338</v>
      </c>
      <c r="D449" s="199">
        <v>0.07</v>
      </c>
      <c r="E449" s="147"/>
      <c r="F449" s="147"/>
      <c r="G449" s="147">
        <f>(G419+G448)*D449</f>
        <v>2310.2880310682986</v>
      </c>
      <c r="H449" s="194"/>
      <c r="M449" s="137"/>
      <c r="N449" s="137"/>
      <c r="O449" s="137"/>
    </row>
    <row r="450" spans="2:15" s="135" customFormat="1" ht="13.5" customHeight="1">
      <c r="B450" s="145" t="s">
        <v>22</v>
      </c>
      <c r="C450" s="146" t="s">
        <v>339</v>
      </c>
      <c r="D450" s="152"/>
      <c r="E450" s="147"/>
      <c r="F450" s="147"/>
      <c r="G450" s="147">
        <f>SUM(G451:G455)</f>
        <v>4947.16201295665</v>
      </c>
      <c r="H450" s="194"/>
      <c r="M450" s="137"/>
      <c r="N450" s="137"/>
      <c r="O450" s="137"/>
    </row>
    <row r="451" spans="2:15" s="135" customFormat="1" ht="13.5" customHeight="1">
      <c r="B451" s="145"/>
      <c r="C451" s="146" t="s">
        <v>298</v>
      </c>
      <c r="D451" s="152" t="s">
        <v>77</v>
      </c>
      <c r="E451" s="147">
        <f>E432*'配合'!E9/1000</f>
        <v>35.035759000000006</v>
      </c>
      <c r="F451" s="147">
        <f>'机械台班'!C26</f>
        <v>118.56378999999998</v>
      </c>
      <c r="G451" s="147">
        <f>F451*E451</f>
        <v>4153.97237256661</v>
      </c>
      <c r="H451" s="194"/>
      <c r="M451" s="137"/>
      <c r="N451" s="137"/>
      <c r="O451" s="137"/>
    </row>
    <row r="452" spans="2:15" s="135" customFormat="1" ht="13.5" customHeight="1">
      <c r="B452" s="145"/>
      <c r="C452" s="146" t="s">
        <v>299</v>
      </c>
      <c r="D452" s="146" t="s">
        <v>365</v>
      </c>
      <c r="E452" s="147">
        <f>E432*'配合'!F9</f>
        <v>54.40666</v>
      </c>
      <c r="F452" s="147">
        <f>'机械台班'!C27</f>
        <v>1.5600419999999957</v>
      </c>
      <c r="G452" s="147">
        <f>F452*E452</f>
        <v>84.87667467971977</v>
      </c>
      <c r="H452" s="194"/>
      <c r="M452" s="137"/>
      <c r="N452" s="137"/>
      <c r="O452" s="137"/>
    </row>
    <row r="453" spans="2:15" s="135" customFormat="1" ht="13.5" customHeight="1">
      <c r="B453" s="145"/>
      <c r="C453" s="146" t="s">
        <v>300</v>
      </c>
      <c r="D453" s="146" t="s">
        <v>365</v>
      </c>
      <c r="E453" s="147">
        <f>E432*'配合'!G9</f>
        <v>86.66708400000002</v>
      </c>
      <c r="F453" s="147">
        <f>'机械台班'!C28</f>
        <v>8.098611067961158</v>
      </c>
      <c r="G453" s="147">
        <f>F453*E453</f>
        <v>701.8830057103196</v>
      </c>
      <c r="H453" s="194"/>
      <c r="M453" s="137"/>
      <c r="N453" s="137"/>
      <c r="O453" s="137"/>
    </row>
    <row r="454" spans="2:15" s="135" customFormat="1" ht="13.5" customHeight="1">
      <c r="B454" s="145"/>
      <c r="C454" s="146" t="s">
        <v>411</v>
      </c>
      <c r="D454" s="146" t="s">
        <v>365</v>
      </c>
      <c r="E454" s="147">
        <f>E429</f>
        <v>0.03</v>
      </c>
      <c r="F454" s="147">
        <f>'机械台班'!C33</f>
        <v>0</v>
      </c>
      <c r="G454" s="147">
        <f>F454*E454</f>
        <v>0</v>
      </c>
      <c r="H454" s="194"/>
      <c r="M454" s="137"/>
      <c r="N454" s="137"/>
      <c r="O454" s="137"/>
    </row>
    <row r="455" spans="2:15" s="135" customFormat="1" ht="13.5" customHeight="1">
      <c r="B455" s="145"/>
      <c r="C455" s="146" t="s">
        <v>303</v>
      </c>
      <c r="D455" s="146" t="s">
        <v>307</v>
      </c>
      <c r="E455" s="147">
        <f>E438*'机械台班'!S13+'单价表'!E440*'机械台班'!AH13</f>
        <v>1.272</v>
      </c>
      <c r="F455" s="147">
        <f>'机械台班'!C31</f>
        <v>5.055000000000001</v>
      </c>
      <c r="G455" s="147">
        <f>F455*E455</f>
        <v>6.429960000000001</v>
      </c>
      <c r="H455" s="194"/>
      <c r="M455" s="137"/>
      <c r="N455" s="137"/>
      <c r="O455" s="137"/>
    </row>
    <row r="456" spans="2:15" s="135" customFormat="1" ht="13.5" customHeight="1">
      <c r="B456" s="145" t="s">
        <v>24</v>
      </c>
      <c r="C456" s="146" t="s">
        <v>340</v>
      </c>
      <c r="D456" s="152">
        <v>0.09</v>
      </c>
      <c r="E456" s="147"/>
      <c r="F456" s="147"/>
      <c r="G456" s="147">
        <f>(G419+G448+G449+G450)*D456</f>
        <v>3623.5408296214855</v>
      </c>
      <c r="H456" s="194"/>
      <c r="M456" s="137"/>
      <c r="N456" s="137"/>
      <c r="O456" s="137"/>
    </row>
    <row r="457" spans="2:15" s="135" customFormat="1" ht="13.5" customHeight="1">
      <c r="B457" s="195"/>
      <c r="C457" s="146" t="s">
        <v>36</v>
      </c>
      <c r="D457" s="146"/>
      <c r="E457" s="147"/>
      <c r="F457" s="147"/>
      <c r="G457" s="147">
        <f>(G449+G448++G456+G419+G450)</f>
        <v>43885.10560319355</v>
      </c>
      <c r="H457" s="194"/>
      <c r="M457" s="137"/>
      <c r="N457" s="137"/>
      <c r="O457" s="137"/>
    </row>
    <row r="458" spans="2:15" s="135" customFormat="1" ht="13.5" customHeight="1">
      <c r="B458" s="195"/>
      <c r="C458" s="146" t="s">
        <v>421</v>
      </c>
      <c r="D458" s="153">
        <v>0.03</v>
      </c>
      <c r="E458" s="147"/>
      <c r="F458" s="147"/>
      <c r="G458" s="147">
        <f>G457*D458</f>
        <v>1316.5531680958065</v>
      </c>
      <c r="H458" s="194"/>
      <c r="M458" s="137"/>
      <c r="N458" s="137"/>
      <c r="O458" s="137"/>
    </row>
    <row r="459" spans="2:15" s="135" customFormat="1" ht="13.5" customHeight="1">
      <c r="B459" s="195"/>
      <c r="C459" s="146" t="s">
        <v>343</v>
      </c>
      <c r="D459" s="194"/>
      <c r="E459" s="196"/>
      <c r="F459" s="196"/>
      <c r="G459" s="147">
        <f>G457+G458</f>
        <v>45201.65877128936</v>
      </c>
      <c r="H459" s="194"/>
      <c r="M459" s="137"/>
      <c r="N459" s="137"/>
      <c r="O459" s="137"/>
    </row>
    <row r="460" spans="3:15" s="135" customFormat="1" ht="13.5" customHeight="1">
      <c r="C460" s="13"/>
      <c r="E460" s="137"/>
      <c r="F460" s="137"/>
      <c r="G460" s="155"/>
      <c r="M460" s="137"/>
      <c r="N460" s="137"/>
      <c r="O460" s="137"/>
    </row>
    <row r="461" spans="3:15" s="135" customFormat="1" ht="13.5" customHeight="1">
      <c r="C461" s="13"/>
      <c r="E461" s="137"/>
      <c r="F461" s="137"/>
      <c r="G461" s="155"/>
      <c r="M461" s="137"/>
      <c r="N461" s="137"/>
      <c r="O461" s="137"/>
    </row>
    <row r="462" spans="3:15" s="135" customFormat="1" ht="13.5" customHeight="1">
      <c r="C462" s="13"/>
      <c r="E462" s="137"/>
      <c r="F462" s="137"/>
      <c r="G462" s="155"/>
      <c r="M462" s="137"/>
      <c r="N462" s="137"/>
      <c r="O462" s="137"/>
    </row>
    <row r="463" spans="3:15" s="135" customFormat="1" ht="13.5" customHeight="1">
      <c r="C463" s="13"/>
      <c r="E463" s="137"/>
      <c r="F463" s="137"/>
      <c r="G463" s="155"/>
      <c r="M463" s="137"/>
      <c r="N463" s="137"/>
      <c r="O463" s="137"/>
    </row>
    <row r="464" spans="2:15" s="135" customFormat="1" ht="19.5" customHeight="1">
      <c r="B464" s="138" t="s">
        <v>317</v>
      </c>
      <c r="C464" s="138"/>
      <c r="D464" s="138"/>
      <c r="E464" s="138"/>
      <c r="F464" s="138"/>
      <c r="G464" s="138"/>
      <c r="H464" s="138"/>
      <c r="M464" s="137"/>
      <c r="N464" s="137"/>
      <c r="O464" s="137"/>
    </row>
    <row r="465" spans="2:15" s="135" customFormat="1" ht="13.5" customHeight="1">
      <c r="B465" s="139" t="s">
        <v>429</v>
      </c>
      <c r="C465" s="139"/>
      <c r="D465" s="139"/>
      <c r="E465" s="139"/>
      <c r="F465" s="139"/>
      <c r="G465" s="139"/>
      <c r="H465" s="139"/>
      <c r="M465" s="137"/>
      <c r="N465" s="137"/>
      <c r="O465" s="137"/>
    </row>
    <row r="466" spans="2:15" s="135" customFormat="1" ht="13.5" customHeight="1">
      <c r="B466" s="140" t="s">
        <v>430</v>
      </c>
      <c r="C466" s="140"/>
      <c r="D466" s="140"/>
      <c r="E466" s="140"/>
      <c r="F466" s="137"/>
      <c r="G466" s="141" t="s">
        <v>320</v>
      </c>
      <c r="H466" s="141"/>
      <c r="M466" s="137"/>
      <c r="N466" s="137"/>
      <c r="O466" s="137"/>
    </row>
    <row r="467" spans="2:15" s="135" customFormat="1" ht="13.5" customHeight="1">
      <c r="B467" s="142" t="s">
        <v>431</v>
      </c>
      <c r="C467" s="143"/>
      <c r="D467" s="143"/>
      <c r="E467" s="143"/>
      <c r="F467" s="143"/>
      <c r="G467" s="143"/>
      <c r="H467" s="144"/>
      <c r="M467" s="137"/>
      <c r="N467" s="137"/>
      <c r="O467" s="137"/>
    </row>
    <row r="468" spans="2:15" s="135" customFormat="1" ht="27.75" customHeight="1">
      <c r="B468" s="145" t="s">
        <v>361</v>
      </c>
      <c r="C468" s="146" t="s">
        <v>322</v>
      </c>
      <c r="D468" s="146" t="s">
        <v>323</v>
      </c>
      <c r="E468" s="147" t="s">
        <v>350</v>
      </c>
      <c r="F468" s="148" t="s">
        <v>325</v>
      </c>
      <c r="G468" s="148" t="s">
        <v>326</v>
      </c>
      <c r="H468" s="146" t="s">
        <v>386</v>
      </c>
      <c r="M468" s="137"/>
      <c r="N468" s="137"/>
      <c r="O468" s="137"/>
    </row>
    <row r="469" spans="2:15" s="135" customFormat="1" ht="13.5" customHeight="1">
      <c r="B469" s="145" t="s">
        <v>16</v>
      </c>
      <c r="C469" s="146" t="s">
        <v>327</v>
      </c>
      <c r="D469" s="194"/>
      <c r="E469" s="147"/>
      <c r="F469" s="147"/>
      <c r="G469" s="147">
        <f>G470+G481+G482</f>
        <v>18126.0423574706</v>
      </c>
      <c r="H469" s="194"/>
      <c r="M469" s="137"/>
      <c r="N469" s="137"/>
      <c r="O469" s="137"/>
    </row>
    <row r="470" spans="2:15" s="135" customFormat="1" ht="13.5" customHeight="1">
      <c r="B470" s="145" t="s">
        <v>39</v>
      </c>
      <c r="C470" s="146" t="s">
        <v>328</v>
      </c>
      <c r="D470" s="194"/>
      <c r="E470" s="147"/>
      <c r="F470" s="147"/>
      <c r="G470" s="147">
        <f>G471+G474+G478</f>
        <v>17295.841944151336</v>
      </c>
      <c r="H470" s="194"/>
      <c r="M470" s="137"/>
      <c r="N470" s="137"/>
      <c r="O470" s="137"/>
    </row>
    <row r="471" spans="2:15" s="135" customFormat="1" ht="13.5" customHeight="1">
      <c r="B471" s="145">
        <v>1</v>
      </c>
      <c r="C471" s="146" t="s">
        <v>329</v>
      </c>
      <c r="D471" s="149"/>
      <c r="E471" s="147"/>
      <c r="F471" s="147"/>
      <c r="G471" s="147">
        <f>SUM(G472:G473)</f>
        <v>4415.5</v>
      </c>
      <c r="H471" s="194"/>
      <c r="M471" s="137"/>
      <c r="N471" s="137"/>
      <c r="O471" s="137"/>
    </row>
    <row r="472" spans="2:15" s="135" customFormat="1" ht="13.5" customHeight="1">
      <c r="B472" s="145"/>
      <c r="C472" s="149" t="s">
        <v>351</v>
      </c>
      <c r="D472" s="149" t="s">
        <v>163</v>
      </c>
      <c r="E472" s="147">
        <v>249.5</v>
      </c>
      <c r="F472" s="147">
        <f>'单价分析'!E15</f>
        <v>8.1</v>
      </c>
      <c r="G472" s="147">
        <f>F472*E472</f>
        <v>2020.9499999999998</v>
      </c>
      <c r="H472" s="194"/>
      <c r="M472" s="137"/>
      <c r="N472" s="137"/>
      <c r="O472" s="137"/>
    </row>
    <row r="473" spans="2:15" s="135" customFormat="1" ht="13.5" customHeight="1">
      <c r="B473" s="145"/>
      <c r="C473" s="149" t="s">
        <v>330</v>
      </c>
      <c r="D473" s="149" t="s">
        <v>163</v>
      </c>
      <c r="E473" s="147">
        <v>415</v>
      </c>
      <c r="F473" s="147">
        <f>'单价分析'!E16</f>
        <v>5.77</v>
      </c>
      <c r="G473" s="147">
        <f>F473*E473</f>
        <v>2394.5499999999997</v>
      </c>
      <c r="H473" s="194"/>
      <c r="M473" s="137"/>
      <c r="N473" s="137"/>
      <c r="O473" s="137"/>
    </row>
    <row r="474" spans="2:15" s="135" customFormat="1" ht="13.5" customHeight="1">
      <c r="B474" s="145">
        <v>2</v>
      </c>
      <c r="C474" s="146" t="s">
        <v>373</v>
      </c>
      <c r="D474" s="194"/>
      <c r="E474" s="147"/>
      <c r="F474" s="147"/>
      <c r="G474" s="147">
        <f>SUM(G475:G477)</f>
        <v>12581.1725382</v>
      </c>
      <c r="H474" s="194"/>
      <c r="M474" s="137"/>
      <c r="N474" s="137"/>
      <c r="O474" s="137"/>
    </row>
    <row r="475" spans="2:15" s="135" customFormat="1" ht="13.5" customHeight="1">
      <c r="B475" s="145"/>
      <c r="C475" s="146" t="s">
        <v>432</v>
      </c>
      <c r="D475" s="146" t="s">
        <v>365</v>
      </c>
      <c r="E475" s="147">
        <v>113</v>
      </c>
      <c r="F475" s="147">
        <v>70</v>
      </c>
      <c r="G475" s="147">
        <f>F475*E475</f>
        <v>7910</v>
      </c>
      <c r="H475" s="194"/>
      <c r="M475" s="137"/>
      <c r="N475" s="137"/>
      <c r="O475" s="137"/>
    </row>
    <row r="476" spans="2:15" s="135" customFormat="1" ht="13.5" customHeight="1">
      <c r="B476" s="145"/>
      <c r="C476" s="146" t="s">
        <v>433</v>
      </c>
      <c r="D476" s="146" t="s">
        <v>365</v>
      </c>
      <c r="E476" s="147">
        <v>34</v>
      </c>
      <c r="F476" s="147">
        <f>'配合'!I13</f>
        <v>135.54646</v>
      </c>
      <c r="G476" s="147">
        <f>F476*E476</f>
        <v>4608.57964</v>
      </c>
      <c r="H476" s="194"/>
      <c r="M476" s="137"/>
      <c r="N476" s="137"/>
      <c r="O476" s="137"/>
    </row>
    <row r="477" spans="2:15" s="135" customFormat="1" ht="13.5" customHeight="1">
      <c r="B477" s="145"/>
      <c r="C477" s="146" t="s">
        <v>404</v>
      </c>
      <c r="D477" s="146" t="s">
        <v>332</v>
      </c>
      <c r="E477" s="147">
        <v>0.5</v>
      </c>
      <c r="F477" s="147">
        <f>G476+G475</f>
        <v>12518.57964</v>
      </c>
      <c r="G477" s="147">
        <f>F477*E477/100</f>
        <v>62.5928982</v>
      </c>
      <c r="H477" s="194"/>
      <c r="M477" s="137"/>
      <c r="N477" s="137"/>
      <c r="O477" s="137"/>
    </row>
    <row r="478" spans="2:15" s="135" customFormat="1" ht="13.5" customHeight="1">
      <c r="B478" s="145">
        <v>3</v>
      </c>
      <c r="C478" s="146" t="s">
        <v>333</v>
      </c>
      <c r="D478" s="146"/>
      <c r="E478" s="147"/>
      <c r="F478" s="147"/>
      <c r="G478" s="147">
        <f>SUM(G479:G480)</f>
        <v>299.1694059513362</v>
      </c>
      <c r="H478" s="194"/>
      <c r="M478" s="137"/>
      <c r="N478" s="137"/>
      <c r="O478" s="137"/>
    </row>
    <row r="479" spans="2:15" s="135" customFormat="1" ht="13.5" customHeight="1">
      <c r="B479" s="145"/>
      <c r="C479" s="146" t="s">
        <v>434</v>
      </c>
      <c r="D479" s="146" t="s">
        <v>335</v>
      </c>
      <c r="E479" s="147">
        <v>6.12</v>
      </c>
      <c r="F479" s="147">
        <f>'台班总'!D13</f>
        <v>28.217952134024728</v>
      </c>
      <c r="G479" s="147">
        <f>F479*E479</f>
        <v>172.69386706023133</v>
      </c>
      <c r="H479" s="194"/>
      <c r="M479" s="137"/>
      <c r="N479" s="137"/>
      <c r="O479" s="137"/>
    </row>
    <row r="480" spans="2:15" s="135" customFormat="1" ht="13.5" customHeight="1">
      <c r="B480" s="145"/>
      <c r="C480" s="146" t="s">
        <v>209</v>
      </c>
      <c r="D480" s="146" t="s">
        <v>335</v>
      </c>
      <c r="E480" s="147">
        <v>155.52</v>
      </c>
      <c r="F480" s="147">
        <f>'台班总'!D20</f>
        <v>0.8132429198244914</v>
      </c>
      <c r="G480" s="147">
        <f>F480*E480</f>
        <v>126.4755388911049</v>
      </c>
      <c r="H480" s="194"/>
      <c r="M480" s="137"/>
      <c r="N480" s="137"/>
      <c r="O480" s="137"/>
    </row>
    <row r="481" spans="2:15" s="135" customFormat="1" ht="13.5" customHeight="1">
      <c r="B481" s="145" t="s">
        <v>63</v>
      </c>
      <c r="C481" s="146" t="s">
        <v>336</v>
      </c>
      <c r="D481" s="198">
        <v>0.048</v>
      </c>
      <c r="E481" s="147"/>
      <c r="F481" s="147"/>
      <c r="G481" s="147">
        <f>G470*D481</f>
        <v>830.2004133192642</v>
      </c>
      <c r="H481" s="194"/>
      <c r="M481" s="137"/>
      <c r="N481" s="137"/>
      <c r="O481" s="137"/>
    </row>
    <row r="482" spans="2:15" s="135" customFormat="1" ht="13.5" customHeight="1">
      <c r="B482" s="145" t="s">
        <v>355</v>
      </c>
      <c r="C482" s="146" t="s">
        <v>356</v>
      </c>
      <c r="D482" s="198"/>
      <c r="E482" s="147"/>
      <c r="F482" s="147"/>
      <c r="G482" s="147">
        <f>G470*D482</f>
        <v>0</v>
      </c>
      <c r="H482" s="194"/>
      <c r="M482" s="137"/>
      <c r="N482" s="137"/>
      <c r="O482" s="137"/>
    </row>
    <row r="483" spans="2:15" s="135" customFormat="1" ht="13.5" customHeight="1">
      <c r="B483" s="145" t="s">
        <v>18</v>
      </c>
      <c r="C483" s="146" t="s">
        <v>337</v>
      </c>
      <c r="D483" s="150">
        <v>0.09</v>
      </c>
      <c r="E483" s="147"/>
      <c r="F483" s="147"/>
      <c r="G483" s="147">
        <f>G469*D483</f>
        <v>1631.3438121723539</v>
      </c>
      <c r="H483" s="194"/>
      <c r="M483" s="137"/>
      <c r="N483" s="137"/>
      <c r="O483" s="137"/>
    </row>
    <row r="484" spans="2:15" s="135" customFormat="1" ht="13.5" customHeight="1">
      <c r="B484" s="145" t="s">
        <v>20</v>
      </c>
      <c r="C484" s="146" t="s">
        <v>338</v>
      </c>
      <c r="D484" s="199">
        <v>0.07</v>
      </c>
      <c r="E484" s="147"/>
      <c r="F484" s="147"/>
      <c r="G484" s="147">
        <f>(G469+G483)*D484</f>
        <v>1383.0170318750068</v>
      </c>
      <c r="H484" s="194"/>
      <c r="M484" s="137"/>
      <c r="N484" s="137"/>
      <c r="O484" s="137"/>
    </row>
    <row r="485" spans="2:15" s="135" customFormat="1" ht="13.5" customHeight="1">
      <c r="B485" s="145" t="s">
        <v>22</v>
      </c>
      <c r="C485" s="146" t="s">
        <v>339</v>
      </c>
      <c r="D485" s="152"/>
      <c r="E485" s="147"/>
      <c r="F485" s="147"/>
      <c r="G485" s="147">
        <f>SUM(G486:G488)</f>
        <v>7333.170717395597</v>
      </c>
      <c r="H485" s="194"/>
      <c r="M485" s="137"/>
      <c r="N485" s="137"/>
      <c r="O485" s="137"/>
    </row>
    <row r="486" spans="2:15" s="135" customFormat="1" ht="13.5" customHeight="1">
      <c r="B486" s="145"/>
      <c r="C486" s="146" t="s">
        <v>298</v>
      </c>
      <c r="D486" s="152" t="s">
        <v>77</v>
      </c>
      <c r="E486" s="147">
        <f>E476*'配合'!E13/1000</f>
        <v>7.63164</v>
      </c>
      <c r="F486" s="147">
        <f>'机械台班'!C26</f>
        <v>118.56378999999998</v>
      </c>
      <c r="G486" s="147">
        <f>F486*E486</f>
        <v>904.8361623155998</v>
      </c>
      <c r="H486" s="194"/>
      <c r="M486" s="137"/>
      <c r="N486" s="137"/>
      <c r="O486" s="137"/>
    </row>
    <row r="487" spans="2:15" s="135" customFormat="1" ht="13.5" customHeight="1">
      <c r="B487" s="145"/>
      <c r="C487" s="146" t="s">
        <v>299</v>
      </c>
      <c r="D487" s="146" t="s">
        <v>365</v>
      </c>
      <c r="E487" s="147">
        <f>E476*'配合'!F13</f>
        <v>37.74</v>
      </c>
      <c r="F487" s="147">
        <f>'机械台班'!C27</f>
        <v>1.5600419999999957</v>
      </c>
      <c r="G487" s="147">
        <f>F487*E487</f>
        <v>58.87598507999984</v>
      </c>
      <c r="H487" s="194"/>
      <c r="M487" s="137"/>
      <c r="N487" s="137"/>
      <c r="O487" s="137"/>
    </row>
    <row r="488" spans="2:15" s="135" customFormat="1" ht="13.5" customHeight="1">
      <c r="B488" s="145"/>
      <c r="C488" s="146" t="s">
        <v>432</v>
      </c>
      <c r="D488" s="146" t="s">
        <v>365</v>
      </c>
      <c r="E488" s="147">
        <f>E475</f>
        <v>113</v>
      </c>
      <c r="F488" s="147">
        <f>'机械台班'!C29</f>
        <v>56.366889999999984</v>
      </c>
      <c r="G488" s="147">
        <f>F488*E488</f>
        <v>6369.458569999998</v>
      </c>
      <c r="H488" s="194"/>
      <c r="M488" s="137"/>
      <c r="N488" s="137"/>
      <c r="O488" s="137"/>
    </row>
    <row r="489" spans="2:15" s="135" customFormat="1" ht="13.5" customHeight="1">
      <c r="B489" s="145"/>
      <c r="C489" s="146"/>
      <c r="D489" s="152"/>
      <c r="E489" s="147"/>
      <c r="F489" s="147"/>
      <c r="G489" s="147"/>
      <c r="H489" s="194"/>
      <c r="M489" s="137"/>
      <c r="N489" s="137"/>
      <c r="O489" s="137"/>
    </row>
    <row r="490" spans="2:15" s="135" customFormat="1" ht="13.5" customHeight="1">
      <c r="B490" s="145" t="s">
        <v>24</v>
      </c>
      <c r="C490" s="146" t="s">
        <v>435</v>
      </c>
      <c r="D490" s="152">
        <v>0.09</v>
      </c>
      <c r="E490" s="147"/>
      <c r="F490" s="147"/>
      <c r="G490" s="147">
        <f>(G469+G483+G484+G485)*D490</f>
        <v>2562.62165270222</v>
      </c>
      <c r="H490" s="194"/>
      <c r="M490" s="137"/>
      <c r="N490" s="137"/>
      <c r="O490" s="137"/>
    </row>
    <row r="491" spans="2:15" s="135" customFormat="1" ht="13.5" customHeight="1">
      <c r="B491" s="195"/>
      <c r="C491" s="146"/>
      <c r="D491" s="194"/>
      <c r="E491" s="147"/>
      <c r="F491" s="147"/>
      <c r="G491" s="147"/>
      <c r="H491" s="194"/>
      <c r="M491" s="137"/>
      <c r="N491" s="137"/>
      <c r="O491" s="137"/>
    </row>
    <row r="492" spans="2:15" s="135" customFormat="1" ht="13.5" customHeight="1">
      <c r="B492" s="195"/>
      <c r="C492" s="146" t="s">
        <v>357</v>
      </c>
      <c r="D492" s="194"/>
      <c r="E492" s="147"/>
      <c r="F492" s="147"/>
      <c r="G492" s="147">
        <f>G469++G483+G490+G484+G485</f>
        <v>31036.195571615775</v>
      </c>
      <c r="H492" s="194"/>
      <c r="M492" s="137"/>
      <c r="N492" s="137"/>
      <c r="O492" s="137"/>
    </row>
    <row r="493" spans="2:15" s="135" customFormat="1" ht="13.5" customHeight="1">
      <c r="B493" s="145" t="s">
        <v>341</v>
      </c>
      <c r="C493" s="146" t="s">
        <v>342</v>
      </c>
      <c r="D493" s="153">
        <v>0.03</v>
      </c>
      <c r="E493" s="147"/>
      <c r="F493" s="147"/>
      <c r="G493" s="147">
        <f>G492*D493</f>
        <v>931.0858671484732</v>
      </c>
      <c r="H493" s="194"/>
      <c r="M493" s="137"/>
      <c r="N493" s="137"/>
      <c r="O493" s="137"/>
    </row>
    <row r="494" spans="2:15" s="135" customFormat="1" ht="13.5" customHeight="1">
      <c r="B494" s="195"/>
      <c r="C494" s="146" t="s">
        <v>343</v>
      </c>
      <c r="D494" s="194"/>
      <c r="E494" s="196"/>
      <c r="F494" s="196"/>
      <c r="G494" s="147">
        <f>SUM(G492:G493)</f>
        <v>31967.28143876425</v>
      </c>
      <c r="H494" s="194"/>
      <c r="M494" s="137"/>
      <c r="N494" s="137"/>
      <c r="O494" s="137"/>
    </row>
    <row r="495" spans="3:15" s="135" customFormat="1" ht="13.5" customHeight="1">
      <c r="C495" s="13"/>
      <c r="E495" s="137"/>
      <c r="F495" s="137"/>
      <c r="G495" s="155"/>
      <c r="M495" s="137"/>
      <c r="N495" s="137"/>
      <c r="O495" s="137"/>
    </row>
    <row r="496" spans="3:15" s="135" customFormat="1" ht="13.5" customHeight="1">
      <c r="C496" s="13"/>
      <c r="E496" s="137"/>
      <c r="F496" s="137"/>
      <c r="G496" s="155"/>
      <c r="M496" s="137"/>
      <c r="N496" s="137"/>
      <c r="O496" s="137"/>
    </row>
    <row r="497" spans="2:15" s="135" customFormat="1" ht="13.5" customHeight="1">
      <c r="B497" s="138" t="s">
        <v>317</v>
      </c>
      <c r="C497" s="138"/>
      <c r="D497" s="138"/>
      <c r="E497" s="138"/>
      <c r="F497" s="138"/>
      <c r="G497" s="138"/>
      <c r="H497" s="138"/>
      <c r="M497" s="137"/>
      <c r="N497" s="137"/>
      <c r="O497" s="137"/>
    </row>
    <row r="498" spans="2:15" s="135" customFormat="1" ht="13.5" customHeight="1">
      <c r="B498" s="139" t="s">
        <v>436</v>
      </c>
      <c r="C498" s="139"/>
      <c r="D498" s="139"/>
      <c r="E498" s="139"/>
      <c r="F498" s="139"/>
      <c r="G498" s="139"/>
      <c r="H498" s="139"/>
      <c r="M498" s="137"/>
      <c r="N498" s="137"/>
      <c r="O498" s="137"/>
    </row>
    <row r="499" spans="2:15" s="135" customFormat="1" ht="13.5" customHeight="1">
      <c r="B499" s="140" t="s">
        <v>437</v>
      </c>
      <c r="C499" s="140"/>
      <c r="D499" s="140"/>
      <c r="E499" s="140"/>
      <c r="F499" s="137"/>
      <c r="G499" s="141" t="s">
        <v>320</v>
      </c>
      <c r="H499" s="141"/>
      <c r="M499" s="137"/>
      <c r="N499" s="137"/>
      <c r="O499" s="137"/>
    </row>
    <row r="500" spans="2:15" s="135" customFormat="1" ht="13.5" customHeight="1">
      <c r="B500" s="142" t="s">
        <v>360</v>
      </c>
      <c r="C500" s="143"/>
      <c r="D500" s="143"/>
      <c r="E500" s="143"/>
      <c r="F500" s="143"/>
      <c r="G500" s="143"/>
      <c r="H500" s="144"/>
      <c r="M500" s="137"/>
      <c r="N500" s="137"/>
      <c r="O500" s="137"/>
    </row>
    <row r="501" spans="2:15" s="135" customFormat="1" ht="13.5" customHeight="1">
      <c r="B501" s="145" t="s">
        <v>361</v>
      </c>
      <c r="C501" s="146" t="s">
        <v>322</v>
      </c>
      <c r="D501" s="146" t="s">
        <v>323</v>
      </c>
      <c r="E501" s="147" t="s">
        <v>350</v>
      </c>
      <c r="F501" s="148" t="s">
        <v>325</v>
      </c>
      <c r="G501" s="148" t="s">
        <v>326</v>
      </c>
      <c r="H501" s="146" t="s">
        <v>386</v>
      </c>
      <c r="M501" s="137"/>
      <c r="N501" s="137"/>
      <c r="O501" s="137"/>
    </row>
    <row r="502" spans="2:15" s="135" customFormat="1" ht="13.5" customHeight="1">
      <c r="B502" s="145" t="s">
        <v>16</v>
      </c>
      <c r="C502" s="146" t="s">
        <v>327</v>
      </c>
      <c r="D502" s="194"/>
      <c r="E502" s="147"/>
      <c r="F502" s="147"/>
      <c r="G502" s="147">
        <f>G503+G514+G515</f>
        <v>11604.761724812126</v>
      </c>
      <c r="H502" s="194"/>
      <c r="M502" s="137"/>
      <c r="N502" s="137"/>
      <c r="O502" s="137"/>
    </row>
    <row r="503" spans="2:15" s="135" customFormat="1" ht="13.5" customHeight="1">
      <c r="B503" s="145" t="s">
        <v>39</v>
      </c>
      <c r="C503" s="146" t="s">
        <v>328</v>
      </c>
      <c r="D503" s="194"/>
      <c r="E503" s="147"/>
      <c r="F503" s="147"/>
      <c r="G503" s="147">
        <f>G504+G507+G511</f>
        <v>11073.245920622257</v>
      </c>
      <c r="H503" s="194"/>
      <c r="M503" s="137"/>
      <c r="N503" s="137"/>
      <c r="O503" s="137"/>
    </row>
    <row r="504" spans="2:15" s="135" customFormat="1" ht="13.5" customHeight="1">
      <c r="B504" s="145">
        <v>1</v>
      </c>
      <c r="C504" s="146" t="s">
        <v>329</v>
      </c>
      <c r="D504" s="149"/>
      <c r="E504" s="147"/>
      <c r="F504" s="147"/>
      <c r="G504" s="147">
        <f>SUM(G505:G506)</f>
        <v>2808.3689999999997</v>
      </c>
      <c r="H504" s="194"/>
      <c r="M504" s="137"/>
      <c r="N504" s="137"/>
      <c r="O504" s="137"/>
    </row>
    <row r="505" spans="2:15" s="135" customFormat="1" ht="13.5" customHeight="1">
      <c r="B505" s="145"/>
      <c r="C505" s="149" t="s">
        <v>351</v>
      </c>
      <c r="D505" s="149" t="s">
        <v>163</v>
      </c>
      <c r="E505" s="147">
        <v>120.4</v>
      </c>
      <c r="F505" s="147">
        <f>'单价分析'!E15</f>
        <v>8.1</v>
      </c>
      <c r="G505" s="147">
        <f>F505*E505</f>
        <v>975.24</v>
      </c>
      <c r="H505" s="194"/>
      <c r="M505" s="137"/>
      <c r="N505" s="137"/>
      <c r="O505" s="137"/>
    </row>
    <row r="506" spans="2:15" s="135" customFormat="1" ht="13.5" customHeight="1">
      <c r="B506" s="145"/>
      <c r="C506" s="149" t="s">
        <v>330</v>
      </c>
      <c r="D506" s="149" t="s">
        <v>163</v>
      </c>
      <c r="E506" s="147">
        <v>317.7</v>
      </c>
      <c r="F506" s="147">
        <f>'单价分析'!E16</f>
        <v>5.77</v>
      </c>
      <c r="G506" s="147">
        <f>F506*E506</f>
        <v>1833.129</v>
      </c>
      <c r="H506" s="194"/>
      <c r="M506" s="137"/>
      <c r="N506" s="137"/>
      <c r="O506" s="137"/>
    </row>
    <row r="507" spans="2:15" s="135" customFormat="1" ht="13.5" customHeight="1">
      <c r="B507" s="145">
        <v>2</v>
      </c>
      <c r="C507" s="146" t="s">
        <v>373</v>
      </c>
      <c r="D507" s="194"/>
      <c r="E507" s="147"/>
      <c r="F507" s="147"/>
      <c r="G507" s="147">
        <f>SUM(G508:G510)</f>
        <v>8201.2</v>
      </c>
      <c r="H507" s="194"/>
      <c r="M507" s="137"/>
      <c r="N507" s="137"/>
      <c r="O507" s="137"/>
    </row>
    <row r="508" spans="2:15" s="135" customFormat="1" ht="13.5" customHeight="1">
      <c r="B508" s="145"/>
      <c r="C508" s="146" t="s">
        <v>432</v>
      </c>
      <c r="D508" s="146" t="s">
        <v>365</v>
      </c>
      <c r="E508" s="147">
        <v>116</v>
      </c>
      <c r="F508" s="147">
        <v>70</v>
      </c>
      <c r="G508" s="147">
        <f>F508*E508</f>
        <v>8120</v>
      </c>
      <c r="H508" s="194"/>
      <c r="M508" s="137"/>
      <c r="N508" s="137"/>
      <c r="O508" s="137"/>
    </row>
    <row r="509" spans="2:15" s="135" customFormat="1" ht="13.5" customHeight="1">
      <c r="B509" s="145"/>
      <c r="C509" s="146" t="s">
        <v>438</v>
      </c>
      <c r="D509" s="146" t="s">
        <v>365</v>
      </c>
      <c r="E509" s="147"/>
      <c r="F509" s="147"/>
      <c r="G509" s="147">
        <f>F509*E509</f>
        <v>0</v>
      </c>
      <c r="H509" s="194"/>
      <c r="M509" s="137"/>
      <c r="N509" s="137"/>
      <c r="O509" s="137"/>
    </row>
    <row r="510" spans="2:15" s="135" customFormat="1" ht="13.5" customHeight="1">
      <c r="B510" s="145"/>
      <c r="C510" s="146" t="s">
        <v>404</v>
      </c>
      <c r="D510" s="146" t="s">
        <v>332</v>
      </c>
      <c r="E510" s="147">
        <v>1</v>
      </c>
      <c r="F510" s="147">
        <f>G509+G508</f>
        <v>8120</v>
      </c>
      <c r="G510" s="147">
        <f>F510*E510/100</f>
        <v>81.2</v>
      </c>
      <c r="H510" s="194"/>
      <c r="M510" s="137"/>
      <c r="N510" s="137"/>
      <c r="O510" s="137"/>
    </row>
    <row r="511" spans="2:15" s="135" customFormat="1" ht="13.5" customHeight="1">
      <c r="B511" s="145">
        <v>3</v>
      </c>
      <c r="C511" s="146" t="s">
        <v>333</v>
      </c>
      <c r="D511" s="146"/>
      <c r="E511" s="147"/>
      <c r="F511" s="147"/>
      <c r="G511" s="147">
        <f>SUM(G512:G513)</f>
        <v>63.676920622257676</v>
      </c>
      <c r="H511" s="194"/>
      <c r="M511" s="137"/>
      <c r="N511" s="137"/>
      <c r="O511" s="137"/>
    </row>
    <row r="512" spans="2:15" s="135" customFormat="1" ht="13.5" customHeight="1">
      <c r="B512" s="145"/>
      <c r="C512" s="146" t="s">
        <v>434</v>
      </c>
      <c r="D512" s="146" t="s">
        <v>335</v>
      </c>
      <c r="E512" s="147"/>
      <c r="F512" s="147"/>
      <c r="G512" s="147">
        <f>F512*E512</f>
        <v>0</v>
      </c>
      <c r="H512" s="194"/>
      <c r="M512" s="137"/>
      <c r="N512" s="137"/>
      <c r="O512" s="137"/>
    </row>
    <row r="513" spans="2:15" s="135" customFormat="1" ht="13.5" customHeight="1">
      <c r="B513" s="145"/>
      <c r="C513" s="146" t="s">
        <v>209</v>
      </c>
      <c r="D513" s="146" t="s">
        <v>335</v>
      </c>
      <c r="E513" s="147">
        <v>78.3</v>
      </c>
      <c r="F513" s="147">
        <f>'台班总'!D20</f>
        <v>0.8132429198244914</v>
      </c>
      <c r="G513" s="147">
        <f>F513*E513</f>
        <v>63.676920622257676</v>
      </c>
      <c r="H513" s="194"/>
      <c r="M513" s="137"/>
      <c r="N513" s="137"/>
      <c r="O513" s="137"/>
    </row>
    <row r="514" spans="2:15" s="135" customFormat="1" ht="13.5" customHeight="1">
      <c r="B514" s="145" t="s">
        <v>63</v>
      </c>
      <c r="C514" s="146" t="s">
        <v>336</v>
      </c>
      <c r="D514" s="198">
        <v>0.048</v>
      </c>
      <c r="E514" s="147"/>
      <c r="F514" s="147"/>
      <c r="G514" s="147">
        <f>G503*D514</f>
        <v>531.5158041898684</v>
      </c>
      <c r="H514" s="194"/>
      <c r="M514" s="137"/>
      <c r="N514" s="137"/>
      <c r="O514" s="137"/>
    </row>
    <row r="515" spans="2:15" s="135" customFormat="1" ht="13.5" customHeight="1">
      <c r="B515" s="145" t="s">
        <v>355</v>
      </c>
      <c r="C515" s="146" t="s">
        <v>356</v>
      </c>
      <c r="D515" s="198"/>
      <c r="E515" s="147"/>
      <c r="F515" s="147"/>
      <c r="G515" s="147">
        <f>G503*D515</f>
        <v>0</v>
      </c>
      <c r="H515" s="194"/>
      <c r="M515" s="137"/>
      <c r="N515" s="137"/>
      <c r="O515" s="137"/>
    </row>
    <row r="516" spans="2:15" s="135" customFormat="1" ht="13.5" customHeight="1">
      <c r="B516" s="145" t="s">
        <v>18</v>
      </c>
      <c r="C516" s="146" t="s">
        <v>337</v>
      </c>
      <c r="D516" s="150">
        <v>0.09</v>
      </c>
      <c r="E516" s="147"/>
      <c r="F516" s="147"/>
      <c r="G516" s="147">
        <f>G502*D516</f>
        <v>1044.4285552330914</v>
      </c>
      <c r="H516" s="194"/>
      <c r="M516" s="137"/>
      <c r="N516" s="137"/>
      <c r="O516" s="137"/>
    </row>
    <row r="517" spans="2:15" s="135" customFormat="1" ht="13.5" customHeight="1">
      <c r="B517" s="145" t="s">
        <v>20</v>
      </c>
      <c r="C517" s="146" t="s">
        <v>338</v>
      </c>
      <c r="D517" s="199">
        <v>0.07</v>
      </c>
      <c r="E517" s="147"/>
      <c r="F517" s="147"/>
      <c r="G517" s="147">
        <f>(G502+G516)*D517</f>
        <v>885.4433196031653</v>
      </c>
      <c r="H517" s="194"/>
      <c r="M517" s="137"/>
      <c r="N517" s="137"/>
      <c r="O517" s="137"/>
    </row>
    <row r="518" spans="2:15" s="135" customFormat="1" ht="13.5" customHeight="1">
      <c r="B518" s="145" t="s">
        <v>22</v>
      </c>
      <c r="C518" s="146" t="s">
        <v>339</v>
      </c>
      <c r="D518" s="152"/>
      <c r="E518" s="147"/>
      <c r="F518" s="147"/>
      <c r="G518" s="147">
        <f>SUM(G519:G521)</f>
        <v>6538.559239999998</v>
      </c>
      <c r="H518" s="194"/>
      <c r="M518" s="137"/>
      <c r="N518" s="137"/>
      <c r="O518" s="137"/>
    </row>
    <row r="519" spans="2:15" s="135" customFormat="1" ht="13.5" customHeight="1">
      <c r="B519" s="145"/>
      <c r="C519" s="146" t="s">
        <v>298</v>
      </c>
      <c r="D519" s="152" t="s">
        <v>77</v>
      </c>
      <c r="E519" s="147"/>
      <c r="F519" s="147"/>
      <c r="G519" s="147">
        <f>F519*E519</f>
        <v>0</v>
      </c>
      <c r="H519" s="194"/>
      <c r="M519" s="137"/>
      <c r="N519" s="137"/>
      <c r="O519" s="137"/>
    </row>
    <row r="520" spans="2:15" s="135" customFormat="1" ht="13.5" customHeight="1">
      <c r="B520" s="145"/>
      <c r="C520" s="146" t="s">
        <v>299</v>
      </c>
      <c r="D520" s="146" t="s">
        <v>365</v>
      </c>
      <c r="E520" s="147"/>
      <c r="F520" s="147"/>
      <c r="G520" s="147">
        <f>F520*E520</f>
        <v>0</v>
      </c>
      <c r="H520" s="194"/>
      <c r="M520" s="137"/>
      <c r="N520" s="137"/>
      <c r="O520" s="137"/>
    </row>
    <row r="521" spans="2:15" s="135" customFormat="1" ht="13.5" customHeight="1">
      <c r="B521" s="145"/>
      <c r="C521" s="146" t="s">
        <v>432</v>
      </c>
      <c r="D521" s="146" t="s">
        <v>365</v>
      </c>
      <c r="E521" s="147">
        <f>E508</f>
        <v>116</v>
      </c>
      <c r="F521" s="147">
        <f>'机械台班'!C29</f>
        <v>56.366889999999984</v>
      </c>
      <c r="G521" s="147">
        <f>F521*E521</f>
        <v>6538.559239999998</v>
      </c>
      <c r="H521" s="194"/>
      <c r="M521" s="137"/>
      <c r="N521" s="137"/>
      <c r="O521" s="137"/>
    </row>
    <row r="522" spans="2:15" s="135" customFormat="1" ht="13.5" customHeight="1">
      <c r="B522" s="145"/>
      <c r="C522" s="146"/>
      <c r="D522" s="152"/>
      <c r="E522" s="147"/>
      <c r="F522" s="147"/>
      <c r="G522" s="147"/>
      <c r="H522" s="194"/>
      <c r="M522" s="137"/>
      <c r="N522" s="137"/>
      <c r="O522" s="137"/>
    </row>
    <row r="523" spans="2:15" s="135" customFormat="1" ht="13.5" customHeight="1">
      <c r="B523" s="145" t="s">
        <v>24</v>
      </c>
      <c r="C523" s="146" t="s">
        <v>435</v>
      </c>
      <c r="D523" s="152">
        <v>0.09</v>
      </c>
      <c r="E523" s="147"/>
      <c r="F523" s="147"/>
      <c r="G523" s="147">
        <f>(G502+G516+G517+G518)*D523</f>
        <v>1806.5873555683543</v>
      </c>
      <c r="H523" s="194"/>
      <c r="M523" s="137"/>
      <c r="N523" s="137"/>
      <c r="O523" s="137"/>
    </row>
    <row r="524" spans="2:15" s="135" customFormat="1" ht="13.5" customHeight="1">
      <c r="B524" s="195"/>
      <c r="C524" s="146"/>
      <c r="D524" s="194"/>
      <c r="E524" s="147"/>
      <c r="F524" s="147"/>
      <c r="G524" s="147"/>
      <c r="H524" s="194"/>
      <c r="M524" s="137"/>
      <c r="N524" s="137"/>
      <c r="O524" s="137"/>
    </row>
    <row r="525" spans="2:15" s="135" customFormat="1" ht="13.5" customHeight="1">
      <c r="B525" s="195"/>
      <c r="C525" s="146" t="s">
        <v>357</v>
      </c>
      <c r="D525" s="194"/>
      <c r="E525" s="147"/>
      <c r="F525" s="147"/>
      <c r="G525" s="147">
        <f>G502++G516+G523+G517+G518</f>
        <v>21879.780195216736</v>
      </c>
      <c r="H525" s="194"/>
      <c r="M525" s="137"/>
      <c r="N525" s="137"/>
      <c r="O525" s="137"/>
    </row>
    <row r="526" spans="2:15" s="135" customFormat="1" ht="13.5" customHeight="1">
      <c r="B526" s="145" t="s">
        <v>341</v>
      </c>
      <c r="C526" s="146" t="s">
        <v>342</v>
      </c>
      <c r="D526" s="153">
        <v>0.03</v>
      </c>
      <c r="E526" s="147"/>
      <c r="F526" s="147"/>
      <c r="G526" s="147">
        <f>G525*D526</f>
        <v>656.393405856502</v>
      </c>
      <c r="H526" s="194"/>
      <c r="M526" s="137"/>
      <c r="N526" s="137"/>
      <c r="O526" s="137"/>
    </row>
    <row r="527" spans="2:15" s="135" customFormat="1" ht="13.5" customHeight="1">
      <c r="B527" s="195"/>
      <c r="C527" s="146" t="s">
        <v>343</v>
      </c>
      <c r="D527" s="194"/>
      <c r="E527" s="196"/>
      <c r="F527" s="196"/>
      <c r="G527" s="147">
        <f>SUM(G525:G526)</f>
        <v>22536.17360107324</v>
      </c>
      <c r="H527" s="194"/>
      <c r="M527" s="137"/>
      <c r="N527" s="137"/>
      <c r="O527" s="137"/>
    </row>
    <row r="528" spans="3:15" s="135" customFormat="1" ht="13.5" customHeight="1">
      <c r="C528" s="13"/>
      <c r="E528" s="137"/>
      <c r="F528" s="137"/>
      <c r="G528" s="155"/>
      <c r="M528" s="137"/>
      <c r="N528" s="137"/>
      <c r="O528" s="137"/>
    </row>
    <row r="529" spans="3:15" s="135" customFormat="1" ht="13.5" customHeight="1">
      <c r="C529" s="13"/>
      <c r="E529" s="137"/>
      <c r="F529" s="137"/>
      <c r="G529" s="155"/>
      <c r="M529" s="137"/>
      <c r="N529" s="137"/>
      <c r="O529" s="137"/>
    </row>
    <row r="530" spans="3:15" s="135" customFormat="1" ht="13.5" customHeight="1">
      <c r="C530" s="13"/>
      <c r="E530" s="137"/>
      <c r="F530" s="137"/>
      <c r="G530" s="155"/>
      <c r="M530" s="137"/>
      <c r="N530" s="137"/>
      <c r="O530" s="137"/>
    </row>
    <row r="531" spans="3:15" s="135" customFormat="1" ht="13.5" customHeight="1">
      <c r="C531" s="13"/>
      <c r="E531" s="137"/>
      <c r="F531" s="137"/>
      <c r="G531" s="155"/>
      <c r="M531" s="137"/>
      <c r="N531" s="137"/>
      <c r="O531" s="137"/>
    </row>
    <row r="532" spans="2:16" s="135" customFormat="1" ht="19.5" customHeight="1">
      <c r="B532" s="138" t="s">
        <v>317</v>
      </c>
      <c r="C532" s="138"/>
      <c r="D532" s="138"/>
      <c r="E532" s="138"/>
      <c r="F532" s="138"/>
      <c r="G532" s="138"/>
      <c r="H532" s="138"/>
      <c r="J532" s="136"/>
      <c r="K532" s="136"/>
      <c r="L532" s="136"/>
      <c r="M532" s="136"/>
      <c r="N532" s="136"/>
      <c r="O532" s="136"/>
      <c r="P532" s="136"/>
    </row>
    <row r="533" spans="2:16" s="135" customFormat="1" ht="13.5" customHeight="1">
      <c r="B533" s="139" t="s">
        <v>439</v>
      </c>
      <c r="C533" s="139"/>
      <c r="D533" s="139"/>
      <c r="E533" s="139"/>
      <c r="F533" s="139"/>
      <c r="G533" s="139"/>
      <c r="H533" s="139"/>
      <c r="J533" s="136"/>
      <c r="K533" s="136"/>
      <c r="L533" s="136"/>
      <c r="M533" s="136"/>
      <c r="N533" s="136"/>
      <c r="O533" s="136"/>
      <c r="P533" s="136"/>
    </row>
    <row r="534" spans="2:16" s="135" customFormat="1" ht="13.5" customHeight="1">
      <c r="B534" s="140" t="s">
        <v>440</v>
      </c>
      <c r="C534" s="140"/>
      <c r="D534" s="140"/>
      <c r="E534" s="140"/>
      <c r="F534" s="137"/>
      <c r="G534" s="141" t="s">
        <v>320</v>
      </c>
      <c r="H534" s="141"/>
      <c r="J534" s="136"/>
      <c r="K534" s="136"/>
      <c r="L534" s="136"/>
      <c r="M534" s="136"/>
      <c r="N534" s="136"/>
      <c r="O534" s="136"/>
      <c r="P534" s="136"/>
    </row>
    <row r="535" spans="2:16" s="135" customFormat="1" ht="13.5" customHeight="1">
      <c r="B535" s="142" t="s">
        <v>441</v>
      </c>
      <c r="C535" s="143"/>
      <c r="D535" s="143"/>
      <c r="E535" s="143"/>
      <c r="F535" s="143"/>
      <c r="G535" s="143"/>
      <c r="H535" s="144"/>
      <c r="J535" s="136"/>
      <c r="K535" s="136"/>
      <c r="L535" s="136"/>
      <c r="M535" s="136"/>
      <c r="N535" s="136"/>
      <c r="O535" s="136"/>
      <c r="P535" s="136"/>
    </row>
    <row r="536" spans="2:16" s="135" customFormat="1" ht="24.75" customHeight="1">
      <c r="B536" s="145" t="s">
        <v>361</v>
      </c>
      <c r="C536" s="146" t="s">
        <v>322</v>
      </c>
      <c r="D536" s="146" t="s">
        <v>323</v>
      </c>
      <c r="E536" s="147" t="s">
        <v>350</v>
      </c>
      <c r="F536" s="148" t="s">
        <v>325</v>
      </c>
      <c r="G536" s="148" t="s">
        <v>326</v>
      </c>
      <c r="H536" s="146" t="s">
        <v>386</v>
      </c>
      <c r="J536" s="136"/>
      <c r="K536" s="136"/>
      <c r="L536" s="136"/>
      <c r="M536" s="136"/>
      <c r="N536" s="136"/>
      <c r="O536" s="136"/>
      <c r="P536" s="136"/>
    </row>
    <row r="537" spans="2:16" s="135" customFormat="1" ht="13.5" customHeight="1">
      <c r="B537" s="145" t="s">
        <v>16</v>
      </c>
      <c r="C537" s="146" t="s">
        <v>327</v>
      </c>
      <c r="D537" s="194"/>
      <c r="E537" s="147"/>
      <c r="F537" s="147"/>
      <c r="G537" s="147">
        <f>G538+G549+G550</f>
        <v>19304.887908296467</v>
      </c>
      <c r="H537" s="194"/>
      <c r="J537" s="136"/>
      <c r="K537" s="136"/>
      <c r="L537" s="136"/>
      <c r="M537" s="136"/>
      <c r="N537" s="136"/>
      <c r="O537" s="136"/>
      <c r="P537" s="136"/>
    </row>
    <row r="538" spans="2:16" s="135" customFormat="1" ht="13.5" customHeight="1">
      <c r="B538" s="145" t="s">
        <v>39</v>
      </c>
      <c r="C538" s="146" t="s">
        <v>328</v>
      </c>
      <c r="D538" s="194"/>
      <c r="E538" s="147"/>
      <c r="F538" s="147"/>
      <c r="G538" s="147">
        <f>G539+G542+G546</f>
        <v>18420.69456898518</v>
      </c>
      <c r="H538" s="194"/>
      <c r="J538" s="136"/>
      <c r="K538" s="136"/>
      <c r="L538" s="136"/>
      <c r="M538" s="136"/>
      <c r="N538" s="136"/>
      <c r="O538" s="136"/>
      <c r="P538" s="136"/>
    </row>
    <row r="539" spans="2:16" s="135" customFormat="1" ht="13.5" customHeight="1">
      <c r="B539" s="145">
        <v>1</v>
      </c>
      <c r="C539" s="146" t="s">
        <v>329</v>
      </c>
      <c r="D539" s="149"/>
      <c r="E539" s="147"/>
      <c r="F539" s="147"/>
      <c r="G539" s="147">
        <f>SUM(G540:G541)</f>
        <v>5482.3099999999995</v>
      </c>
      <c r="H539" s="194"/>
      <c r="J539" s="136"/>
      <c r="K539" s="136"/>
      <c r="L539" s="136"/>
      <c r="M539" s="136"/>
      <c r="N539" s="136"/>
      <c r="O539" s="136"/>
      <c r="P539" s="136"/>
    </row>
    <row r="540" spans="2:16" s="135" customFormat="1" ht="13.5" customHeight="1">
      <c r="B540" s="145"/>
      <c r="C540" s="149" t="s">
        <v>351</v>
      </c>
      <c r="D540" s="149" t="s">
        <v>163</v>
      </c>
      <c r="E540" s="147">
        <v>346.3</v>
      </c>
      <c r="F540" s="147">
        <f>'单价分析'!E15</f>
        <v>8.1</v>
      </c>
      <c r="G540" s="147">
        <f>F540*E540</f>
        <v>2805.0299999999997</v>
      </c>
      <c r="H540" s="194"/>
      <c r="J540" s="136"/>
      <c r="K540" s="136"/>
      <c r="L540" s="136"/>
      <c r="M540" s="136"/>
      <c r="N540" s="136"/>
      <c r="O540" s="136"/>
      <c r="P540" s="136"/>
    </row>
    <row r="541" spans="2:16" s="135" customFormat="1" ht="13.5" customHeight="1">
      <c r="B541" s="145"/>
      <c r="C541" s="149" t="s">
        <v>330</v>
      </c>
      <c r="D541" s="149" t="s">
        <v>163</v>
      </c>
      <c r="E541" s="147">
        <v>464</v>
      </c>
      <c r="F541" s="147">
        <f>'单价分析'!E16</f>
        <v>5.77</v>
      </c>
      <c r="G541" s="147">
        <f>F541*E541</f>
        <v>2677.2799999999997</v>
      </c>
      <c r="H541" s="194"/>
      <c r="J541" s="136"/>
      <c r="K541" s="136"/>
      <c r="L541" s="136"/>
      <c r="M541" s="136"/>
      <c r="N541" s="136"/>
      <c r="O541" s="136"/>
      <c r="P541" s="136"/>
    </row>
    <row r="542" spans="2:16" s="135" customFormat="1" ht="13.5" customHeight="1">
      <c r="B542" s="145">
        <v>2</v>
      </c>
      <c r="C542" s="146" t="s">
        <v>373</v>
      </c>
      <c r="D542" s="194"/>
      <c r="E542" s="147"/>
      <c r="F542" s="147"/>
      <c r="G542" s="147">
        <f>SUM(G543:G545)</f>
        <v>12635.66221512</v>
      </c>
      <c r="H542" s="194"/>
      <c r="J542" s="136"/>
      <c r="K542" s="136"/>
      <c r="L542" s="136"/>
      <c r="M542" s="136"/>
      <c r="N542" s="136"/>
      <c r="O542" s="136"/>
      <c r="P542" s="136"/>
    </row>
    <row r="543" spans="2:16" s="135" customFormat="1" ht="13.5" customHeight="1">
      <c r="B543" s="145"/>
      <c r="C543" s="146" t="s">
        <v>432</v>
      </c>
      <c r="D543" s="146" t="s">
        <v>365</v>
      </c>
      <c r="E543" s="147">
        <v>113</v>
      </c>
      <c r="F543" s="147">
        <v>70</v>
      </c>
      <c r="G543" s="147">
        <f>F543*E543</f>
        <v>7910</v>
      </c>
      <c r="H543" s="194"/>
      <c r="J543" s="136"/>
      <c r="K543" s="136"/>
      <c r="L543" s="136"/>
      <c r="M543" s="136"/>
      <c r="N543" s="136"/>
      <c r="O543" s="136"/>
      <c r="P543" s="136"/>
    </row>
    <row r="544" spans="2:16" s="135" customFormat="1" ht="13.5" customHeight="1">
      <c r="B544" s="145"/>
      <c r="C544" s="146" t="s">
        <v>433</v>
      </c>
      <c r="D544" s="146" t="s">
        <v>365</v>
      </c>
      <c r="E544" s="147">
        <v>34.4</v>
      </c>
      <c r="F544" s="147">
        <f>'配合'!I13</f>
        <v>135.54646</v>
      </c>
      <c r="G544" s="147">
        <f>F544*E544</f>
        <v>4662.798224</v>
      </c>
      <c r="H544" s="194"/>
      <c r="J544" s="136"/>
      <c r="K544" s="136"/>
      <c r="L544" s="136"/>
      <c r="M544" s="136"/>
      <c r="N544" s="136"/>
      <c r="O544" s="136"/>
      <c r="P544" s="136"/>
    </row>
    <row r="545" spans="2:16" s="135" customFormat="1" ht="13.5" customHeight="1">
      <c r="B545" s="145"/>
      <c r="C545" s="146" t="s">
        <v>404</v>
      </c>
      <c r="D545" s="146" t="s">
        <v>332</v>
      </c>
      <c r="E545" s="147">
        <v>0.5</v>
      </c>
      <c r="F545" s="147">
        <f>G544+G543</f>
        <v>12572.798224</v>
      </c>
      <c r="G545" s="147">
        <f>F545*E545/100</f>
        <v>62.86399112</v>
      </c>
      <c r="H545" s="194"/>
      <c r="J545" s="136"/>
      <c r="K545" s="136"/>
      <c r="L545" s="136"/>
      <c r="M545" s="136"/>
      <c r="N545" s="136"/>
      <c r="O545" s="136"/>
      <c r="P545" s="136"/>
    </row>
    <row r="546" spans="2:16" s="135" customFormat="1" ht="13.5" customHeight="1">
      <c r="B546" s="145">
        <v>3</v>
      </c>
      <c r="C546" s="146" t="s">
        <v>333</v>
      </c>
      <c r="D546" s="146"/>
      <c r="E546" s="147"/>
      <c r="F546" s="147"/>
      <c r="G546" s="147">
        <f>SUM(G547:G548)</f>
        <v>302.7223538651775</v>
      </c>
      <c r="H546" s="194"/>
      <c r="J546" s="136"/>
      <c r="K546" s="136"/>
      <c r="L546" s="136"/>
      <c r="M546" s="136"/>
      <c r="N546" s="136"/>
      <c r="O546" s="136"/>
      <c r="P546" s="136"/>
    </row>
    <row r="547" spans="2:16" s="135" customFormat="1" ht="13.5" customHeight="1">
      <c r="B547" s="145"/>
      <c r="C547" s="146" t="s">
        <v>434</v>
      </c>
      <c r="D547" s="146" t="s">
        <v>335</v>
      </c>
      <c r="E547" s="147">
        <v>6.19</v>
      </c>
      <c r="F547" s="147">
        <f>'台班总'!D13</f>
        <v>28.217952134024728</v>
      </c>
      <c r="G547" s="147">
        <f>F547*E547</f>
        <v>174.66912370961307</v>
      </c>
      <c r="H547" s="194"/>
      <c r="J547" s="136"/>
      <c r="K547" s="136"/>
      <c r="L547" s="136"/>
      <c r="M547" s="136"/>
      <c r="N547" s="136"/>
      <c r="O547" s="136"/>
      <c r="P547" s="136"/>
    </row>
    <row r="548" spans="2:16" s="135" customFormat="1" ht="13.5" customHeight="1">
      <c r="B548" s="145"/>
      <c r="C548" s="146" t="s">
        <v>209</v>
      </c>
      <c r="D548" s="146" t="s">
        <v>335</v>
      </c>
      <c r="E548" s="147">
        <v>157.46</v>
      </c>
      <c r="F548" s="147">
        <f>'台班总'!D20</f>
        <v>0.8132429198244914</v>
      </c>
      <c r="G548" s="147">
        <f>F548*E548</f>
        <v>128.05323015556442</v>
      </c>
      <c r="H548" s="194"/>
      <c r="J548" s="136"/>
      <c r="K548" s="136"/>
      <c r="L548" s="136"/>
      <c r="M548" s="136"/>
      <c r="N548" s="136"/>
      <c r="O548" s="136"/>
      <c r="P548" s="136"/>
    </row>
    <row r="549" spans="2:16" s="135" customFormat="1" ht="13.5" customHeight="1">
      <c r="B549" s="145" t="s">
        <v>63</v>
      </c>
      <c r="C549" s="146" t="s">
        <v>336</v>
      </c>
      <c r="D549" s="198">
        <v>0.048</v>
      </c>
      <c r="E549" s="147"/>
      <c r="F549" s="147"/>
      <c r="G549" s="147">
        <f>G538*D549</f>
        <v>884.1933393112886</v>
      </c>
      <c r="H549" s="194"/>
      <c r="J549" s="136"/>
      <c r="K549" s="136"/>
      <c r="L549" s="136"/>
      <c r="M549" s="136"/>
      <c r="N549" s="136"/>
      <c r="O549" s="136"/>
      <c r="P549" s="136"/>
    </row>
    <row r="550" spans="2:16" s="135" customFormat="1" ht="13.5" customHeight="1">
      <c r="B550" s="145" t="s">
        <v>355</v>
      </c>
      <c r="C550" s="146" t="s">
        <v>356</v>
      </c>
      <c r="D550" s="198"/>
      <c r="E550" s="147"/>
      <c r="F550" s="147"/>
      <c r="G550" s="147">
        <f>G538*D550</f>
        <v>0</v>
      </c>
      <c r="H550" s="194"/>
      <c r="J550" s="136"/>
      <c r="K550" s="136"/>
      <c r="L550" s="136"/>
      <c r="M550" s="136"/>
      <c r="N550" s="136"/>
      <c r="O550" s="136"/>
      <c r="P550" s="136"/>
    </row>
    <row r="551" spans="2:16" s="135" customFormat="1" ht="13.5" customHeight="1">
      <c r="B551" s="145" t="s">
        <v>18</v>
      </c>
      <c r="C551" s="146" t="s">
        <v>337</v>
      </c>
      <c r="D551" s="150">
        <v>0.09</v>
      </c>
      <c r="E551" s="147"/>
      <c r="F551" s="147"/>
      <c r="G551" s="147">
        <f>G537*D551</f>
        <v>1737.439911746682</v>
      </c>
      <c r="H551" s="194"/>
      <c r="J551" s="136"/>
      <c r="K551" s="136"/>
      <c r="L551" s="136"/>
      <c r="M551" s="136"/>
      <c r="N551" s="136"/>
      <c r="O551" s="136"/>
      <c r="P551" s="136"/>
    </row>
    <row r="552" spans="2:16" s="135" customFormat="1" ht="13.5" customHeight="1">
      <c r="B552" s="145" t="s">
        <v>20</v>
      </c>
      <c r="C552" s="146" t="s">
        <v>338</v>
      </c>
      <c r="D552" s="199">
        <v>0.07</v>
      </c>
      <c r="E552" s="147"/>
      <c r="F552" s="147"/>
      <c r="G552" s="147">
        <f>(G537+G551)*D552</f>
        <v>1472.9629474030205</v>
      </c>
      <c r="H552" s="194"/>
      <c r="J552" s="136"/>
      <c r="K552" s="136"/>
      <c r="L552" s="136"/>
      <c r="M552" s="136"/>
      <c r="N552" s="136"/>
      <c r="O552" s="136"/>
      <c r="P552" s="136"/>
    </row>
    <row r="553" spans="2:15" s="135" customFormat="1" ht="13.5" customHeight="1">
      <c r="B553" s="145" t="s">
        <v>22</v>
      </c>
      <c r="C553" s="146" t="s">
        <v>339</v>
      </c>
      <c r="D553" s="152"/>
      <c r="E553" s="147"/>
      <c r="F553" s="147"/>
      <c r="G553" s="147">
        <f>SUM(G554:G556)</f>
        <v>7344.508507364958</v>
      </c>
      <c r="H553" s="194"/>
      <c r="M553" s="137"/>
      <c r="N553" s="137"/>
      <c r="O553" s="137"/>
    </row>
    <row r="554" spans="2:15" s="135" customFormat="1" ht="13.5" customHeight="1">
      <c r="B554" s="145"/>
      <c r="C554" s="146" t="s">
        <v>298</v>
      </c>
      <c r="D554" s="152" t="s">
        <v>77</v>
      </c>
      <c r="E554" s="147">
        <f>E544*'配合'!E13/1000</f>
        <v>7.721424</v>
      </c>
      <c r="F554" s="147">
        <f>'机械台班'!C26</f>
        <v>118.56378999999998</v>
      </c>
      <c r="G554" s="147">
        <f>F554*E554</f>
        <v>915.4812936369599</v>
      </c>
      <c r="H554" s="194"/>
      <c r="M554" s="137"/>
      <c r="N554" s="137"/>
      <c r="O554" s="137"/>
    </row>
    <row r="555" spans="2:15" s="135" customFormat="1" ht="13.5" customHeight="1">
      <c r="B555" s="145"/>
      <c r="C555" s="146" t="s">
        <v>299</v>
      </c>
      <c r="D555" s="146" t="s">
        <v>365</v>
      </c>
      <c r="E555" s="147">
        <f>E544*'配合'!F13</f>
        <v>38.184000000000005</v>
      </c>
      <c r="F555" s="147">
        <f>'机械台班'!C27</f>
        <v>1.5600419999999957</v>
      </c>
      <c r="G555" s="147">
        <f>F555*E555</f>
        <v>59.56864372799984</v>
      </c>
      <c r="H555" s="194"/>
      <c r="M555" s="137"/>
      <c r="N555" s="137"/>
      <c r="O555" s="137"/>
    </row>
    <row r="556" spans="2:15" s="135" customFormat="1" ht="13.5" customHeight="1">
      <c r="B556" s="145"/>
      <c r="C556" s="146" t="s">
        <v>432</v>
      </c>
      <c r="D556" s="146" t="s">
        <v>365</v>
      </c>
      <c r="E556" s="147">
        <f>E543</f>
        <v>113</v>
      </c>
      <c r="F556" s="147">
        <f>'机械台班'!C29</f>
        <v>56.366889999999984</v>
      </c>
      <c r="G556" s="147">
        <f>F556*E556</f>
        <v>6369.458569999998</v>
      </c>
      <c r="H556" s="194"/>
      <c r="M556" s="137"/>
      <c r="N556" s="137"/>
      <c r="O556" s="137"/>
    </row>
    <row r="557" spans="2:15" s="135" customFormat="1" ht="13.5" customHeight="1">
      <c r="B557" s="145"/>
      <c r="C557" s="146"/>
      <c r="D557" s="152"/>
      <c r="E557" s="147"/>
      <c r="F557" s="147"/>
      <c r="G557" s="147"/>
      <c r="H557" s="194"/>
      <c r="M557" s="137"/>
      <c r="N557" s="137"/>
      <c r="O557" s="137"/>
    </row>
    <row r="558" spans="2:15" s="135" customFormat="1" ht="13.5" customHeight="1">
      <c r="B558" s="145" t="s">
        <v>24</v>
      </c>
      <c r="C558" s="146" t="s">
        <v>435</v>
      </c>
      <c r="D558" s="152">
        <v>0.09</v>
      </c>
      <c r="E558" s="147"/>
      <c r="F558" s="147"/>
      <c r="G558" s="147">
        <f>(G537+G551+G552+G553)*D558</f>
        <v>2687.3819347330013</v>
      </c>
      <c r="H558" s="194"/>
      <c r="M558" s="137"/>
      <c r="N558" s="137"/>
      <c r="O558" s="137"/>
    </row>
    <row r="559" spans="2:15" s="135" customFormat="1" ht="13.5" customHeight="1">
      <c r="B559" s="195"/>
      <c r="C559" s="146"/>
      <c r="D559" s="194"/>
      <c r="E559" s="147"/>
      <c r="F559" s="147"/>
      <c r="G559" s="147"/>
      <c r="H559" s="194"/>
      <c r="M559" s="137"/>
      <c r="N559" s="137"/>
      <c r="O559" s="137"/>
    </row>
    <row r="560" spans="2:15" s="135" customFormat="1" ht="13.5" customHeight="1">
      <c r="B560" s="195"/>
      <c r="C560" s="146" t="s">
        <v>357</v>
      </c>
      <c r="D560" s="194"/>
      <c r="E560" s="147"/>
      <c r="F560" s="147"/>
      <c r="G560" s="147">
        <f>G537++G551+G558+G552+G553</f>
        <v>32547.181209544127</v>
      </c>
      <c r="H560" s="194"/>
      <c r="M560" s="137"/>
      <c r="N560" s="137"/>
      <c r="O560" s="137"/>
    </row>
    <row r="561" spans="2:15" s="135" customFormat="1" ht="13.5" customHeight="1">
      <c r="B561" s="145" t="s">
        <v>341</v>
      </c>
      <c r="C561" s="146" t="s">
        <v>342</v>
      </c>
      <c r="D561" s="153">
        <v>0.03</v>
      </c>
      <c r="E561" s="147"/>
      <c r="F561" s="147"/>
      <c r="G561" s="147">
        <f>G560*D561</f>
        <v>976.4154362863238</v>
      </c>
      <c r="H561" s="194"/>
      <c r="M561" s="137"/>
      <c r="N561" s="137"/>
      <c r="O561" s="137"/>
    </row>
    <row r="562" spans="2:15" s="135" customFormat="1" ht="13.5" customHeight="1">
      <c r="B562" s="195"/>
      <c r="C562" s="146" t="s">
        <v>343</v>
      </c>
      <c r="D562" s="194"/>
      <c r="E562" s="196"/>
      <c r="F562" s="196"/>
      <c r="G562" s="196">
        <f>SUM(G560:G561)</f>
        <v>33523.596645830454</v>
      </c>
      <c r="H562" s="194"/>
      <c r="M562" s="137"/>
      <c r="N562" s="137"/>
      <c r="O562" s="137"/>
    </row>
    <row r="563" spans="3:15" s="135" customFormat="1" ht="13.5" customHeight="1">
      <c r="C563" s="13"/>
      <c r="E563" s="137"/>
      <c r="F563" s="137"/>
      <c r="G563" s="137"/>
      <c r="M563" s="137"/>
      <c r="N563" s="137"/>
      <c r="O563" s="137"/>
    </row>
    <row r="564" spans="3:15" s="135" customFormat="1" ht="13.5" customHeight="1">
      <c r="C564" s="13"/>
      <c r="E564" s="137"/>
      <c r="F564" s="137"/>
      <c r="G564" s="137"/>
      <c r="M564" s="137"/>
      <c r="N564" s="137"/>
      <c r="O564" s="137"/>
    </row>
    <row r="565" spans="2:15" s="135" customFormat="1" ht="13.5" customHeight="1">
      <c r="B565" s="138" t="s">
        <v>317</v>
      </c>
      <c r="C565" s="138"/>
      <c r="D565" s="138"/>
      <c r="E565" s="138"/>
      <c r="F565" s="138"/>
      <c r="G565" s="138"/>
      <c r="H565" s="138"/>
      <c r="M565" s="137"/>
      <c r="N565" s="137"/>
      <c r="O565" s="137"/>
    </row>
    <row r="566" spans="2:15" s="135" customFormat="1" ht="13.5" customHeight="1">
      <c r="B566" s="139" t="s">
        <v>442</v>
      </c>
      <c r="C566" s="139"/>
      <c r="D566" s="139"/>
      <c r="E566" s="139"/>
      <c r="F566" s="139"/>
      <c r="G566" s="139"/>
      <c r="H566" s="139"/>
      <c r="M566" s="137"/>
      <c r="N566" s="137"/>
      <c r="O566" s="137"/>
    </row>
    <row r="567" spans="2:15" s="135" customFormat="1" ht="13.5" customHeight="1">
      <c r="B567" s="140" t="s">
        <v>443</v>
      </c>
      <c r="C567" s="140"/>
      <c r="D567" s="140"/>
      <c r="E567" s="140"/>
      <c r="F567" s="137"/>
      <c r="G567" s="141" t="s">
        <v>320</v>
      </c>
      <c r="H567" s="141"/>
      <c r="M567" s="137"/>
      <c r="N567" s="137"/>
      <c r="O567" s="137"/>
    </row>
    <row r="568" spans="2:15" s="135" customFormat="1" ht="13.5" customHeight="1">
      <c r="B568" s="142" t="s">
        <v>360</v>
      </c>
      <c r="C568" s="143"/>
      <c r="D568" s="143"/>
      <c r="E568" s="143"/>
      <c r="F568" s="143"/>
      <c r="G568" s="143"/>
      <c r="H568" s="144"/>
      <c r="M568" s="137"/>
      <c r="N568" s="137"/>
      <c r="O568" s="137"/>
    </row>
    <row r="569" spans="2:15" s="135" customFormat="1" ht="13.5" customHeight="1">
      <c r="B569" s="145" t="s">
        <v>361</v>
      </c>
      <c r="C569" s="146" t="s">
        <v>322</v>
      </c>
      <c r="D569" s="146" t="s">
        <v>323</v>
      </c>
      <c r="E569" s="147" t="s">
        <v>350</v>
      </c>
      <c r="F569" s="148" t="s">
        <v>325</v>
      </c>
      <c r="G569" s="148" t="s">
        <v>326</v>
      </c>
      <c r="H569" s="146" t="s">
        <v>386</v>
      </c>
      <c r="M569" s="137"/>
      <c r="N569" s="137"/>
      <c r="O569" s="137"/>
    </row>
    <row r="570" spans="2:15" s="135" customFormat="1" ht="13.5" customHeight="1">
      <c r="B570" s="145" t="s">
        <v>16</v>
      </c>
      <c r="C570" s="146" t="s">
        <v>327</v>
      </c>
      <c r="D570" s="194"/>
      <c r="E570" s="147"/>
      <c r="F570" s="147"/>
      <c r="G570" s="147">
        <f>G571+G578+G579</f>
        <v>9293.075024</v>
      </c>
      <c r="H570" s="194"/>
      <c r="M570" s="137"/>
      <c r="N570" s="137"/>
      <c r="O570" s="137"/>
    </row>
    <row r="571" spans="2:15" s="135" customFormat="1" ht="13.5" customHeight="1">
      <c r="B571" s="145" t="s">
        <v>39</v>
      </c>
      <c r="C571" s="146" t="s">
        <v>328</v>
      </c>
      <c r="D571" s="194"/>
      <c r="E571" s="147"/>
      <c r="F571" s="147"/>
      <c r="G571" s="147">
        <f>G572+G575</f>
        <v>8867.438</v>
      </c>
      <c r="H571" s="194"/>
      <c r="M571" s="137"/>
      <c r="N571" s="137"/>
      <c r="O571" s="137"/>
    </row>
    <row r="572" spans="2:15" s="135" customFormat="1" ht="13.5" customHeight="1">
      <c r="B572" s="145">
        <v>1</v>
      </c>
      <c r="C572" s="146" t="s">
        <v>329</v>
      </c>
      <c r="D572" s="149"/>
      <c r="E572" s="147"/>
      <c r="F572" s="147"/>
      <c r="G572" s="147">
        <f>SUM(G573:G574)</f>
        <v>2866.5229999999997</v>
      </c>
      <c r="H572" s="194"/>
      <c r="M572" s="137"/>
      <c r="N572" s="137"/>
      <c r="O572" s="137"/>
    </row>
    <row r="573" spans="2:15" s="135" customFormat="1" ht="13.5" customHeight="1">
      <c r="B573" s="145"/>
      <c r="C573" s="149" t="s">
        <v>351</v>
      </c>
      <c r="D573" s="149" t="s">
        <v>163</v>
      </c>
      <c r="E573" s="147">
        <v>9.9</v>
      </c>
      <c r="F573" s="147">
        <f>'单价分析'!E15</f>
        <v>8.1</v>
      </c>
      <c r="G573" s="147">
        <f>F573*E573</f>
        <v>80.19</v>
      </c>
      <c r="H573" s="194"/>
      <c r="M573" s="137"/>
      <c r="N573" s="137"/>
      <c r="O573" s="137"/>
    </row>
    <row r="574" spans="2:15" s="135" customFormat="1" ht="13.5" customHeight="1">
      <c r="B574" s="145"/>
      <c r="C574" s="149" t="s">
        <v>330</v>
      </c>
      <c r="D574" s="149" t="s">
        <v>163</v>
      </c>
      <c r="E574" s="147">
        <v>482.9</v>
      </c>
      <c r="F574" s="147">
        <f>'单价分析'!E16</f>
        <v>5.77</v>
      </c>
      <c r="G574" s="147">
        <f>F574*E574</f>
        <v>2786.3329999999996</v>
      </c>
      <c r="H574" s="194"/>
      <c r="M574" s="137"/>
      <c r="N574" s="137"/>
      <c r="O574" s="137"/>
    </row>
    <row r="575" spans="2:15" s="135" customFormat="1" ht="13.5" customHeight="1">
      <c r="B575" s="145">
        <v>2</v>
      </c>
      <c r="C575" s="146" t="s">
        <v>373</v>
      </c>
      <c r="D575" s="194"/>
      <c r="E575" s="147"/>
      <c r="F575" s="147"/>
      <c r="G575" s="147">
        <f>SUM(G576:G577)</f>
        <v>6000.915</v>
      </c>
      <c r="H575" s="194"/>
      <c r="M575" s="137"/>
      <c r="N575" s="137"/>
      <c r="O575" s="137"/>
    </row>
    <row r="576" spans="2:15" s="135" customFormat="1" ht="13.5" customHeight="1">
      <c r="B576" s="145"/>
      <c r="C576" s="146" t="s">
        <v>432</v>
      </c>
      <c r="D576" s="146" t="s">
        <v>365</v>
      </c>
      <c r="E576" s="147">
        <v>102</v>
      </c>
      <c r="F576" s="147">
        <f>'单价分析'!E10</f>
        <v>58.25</v>
      </c>
      <c r="G576" s="147">
        <f>F576*E576</f>
        <v>5941.5</v>
      </c>
      <c r="H576" s="194"/>
      <c r="M576" s="137"/>
      <c r="N576" s="137"/>
      <c r="O576" s="137"/>
    </row>
    <row r="577" spans="2:15" s="135" customFormat="1" ht="13.5" customHeight="1">
      <c r="B577" s="145"/>
      <c r="C577" s="146" t="s">
        <v>404</v>
      </c>
      <c r="D577" s="146" t="s">
        <v>332</v>
      </c>
      <c r="E577" s="147">
        <v>1</v>
      </c>
      <c r="F577" s="147">
        <f>SUM(G576:G576)</f>
        <v>5941.5</v>
      </c>
      <c r="G577" s="147">
        <f>F577*E577%</f>
        <v>59.415</v>
      </c>
      <c r="H577" s="194"/>
      <c r="M577" s="137"/>
      <c r="N577" s="137"/>
      <c r="O577" s="137"/>
    </row>
    <row r="578" spans="2:15" s="135" customFormat="1" ht="13.5" customHeight="1">
      <c r="B578" s="145" t="s">
        <v>63</v>
      </c>
      <c r="C578" s="146" t="s">
        <v>336</v>
      </c>
      <c r="D578" s="198">
        <v>0.048</v>
      </c>
      <c r="E578" s="147"/>
      <c r="F578" s="147"/>
      <c r="G578" s="147">
        <f>G571*D578</f>
        <v>425.637024</v>
      </c>
      <c r="H578" s="194"/>
      <c r="M578" s="137"/>
      <c r="N578" s="137"/>
      <c r="O578" s="137"/>
    </row>
    <row r="579" spans="2:15" s="135" customFormat="1" ht="13.5" customHeight="1">
      <c r="B579" s="145" t="s">
        <v>355</v>
      </c>
      <c r="C579" s="146" t="s">
        <v>356</v>
      </c>
      <c r="D579" s="198"/>
      <c r="E579" s="147"/>
      <c r="F579" s="147"/>
      <c r="G579" s="147">
        <f>G571*D579</f>
        <v>0</v>
      </c>
      <c r="H579" s="194"/>
      <c r="M579" s="137"/>
      <c r="N579" s="137"/>
      <c r="O579" s="137"/>
    </row>
    <row r="580" spans="2:15" s="135" customFormat="1" ht="13.5" customHeight="1">
      <c r="B580" s="145" t="s">
        <v>18</v>
      </c>
      <c r="C580" s="146" t="s">
        <v>337</v>
      </c>
      <c r="D580" s="150">
        <v>0.09</v>
      </c>
      <c r="E580" s="147"/>
      <c r="F580" s="147"/>
      <c r="G580" s="147">
        <f>G570*D580</f>
        <v>836.3767521599999</v>
      </c>
      <c r="H580" s="194"/>
      <c r="M580" s="137"/>
      <c r="N580" s="137"/>
      <c r="O580" s="137"/>
    </row>
    <row r="581" spans="2:15" s="135" customFormat="1" ht="13.5" customHeight="1">
      <c r="B581" s="145" t="s">
        <v>20</v>
      </c>
      <c r="C581" s="146" t="s">
        <v>338</v>
      </c>
      <c r="D581" s="199">
        <v>0.07</v>
      </c>
      <c r="E581" s="147"/>
      <c r="F581" s="147"/>
      <c r="G581" s="147">
        <f>(G570+G580)*D581</f>
        <v>709.0616243312</v>
      </c>
      <c r="H581" s="194"/>
      <c r="M581" s="137"/>
      <c r="N581" s="137"/>
      <c r="O581" s="137"/>
    </row>
    <row r="582" spans="2:15" s="135" customFormat="1" ht="13.5" customHeight="1">
      <c r="B582" s="145" t="s">
        <v>24</v>
      </c>
      <c r="C582" s="146" t="s">
        <v>435</v>
      </c>
      <c r="D582" s="152">
        <v>0.09</v>
      </c>
      <c r="E582" s="147"/>
      <c r="F582" s="147"/>
      <c r="G582" s="147">
        <f>(G570+G580+G581)*D582</f>
        <v>975.466206044208</v>
      </c>
      <c r="H582" s="194"/>
      <c r="M582" s="137"/>
      <c r="N582" s="137"/>
      <c r="O582" s="137"/>
    </row>
    <row r="583" spans="2:15" s="135" customFormat="1" ht="13.5" customHeight="1">
      <c r="B583" s="195"/>
      <c r="C583" s="146" t="s">
        <v>357</v>
      </c>
      <c r="D583" s="194"/>
      <c r="E583" s="147"/>
      <c r="F583" s="147"/>
      <c r="G583" s="147">
        <f>G570++G580+G582+G581</f>
        <v>11813.979606535408</v>
      </c>
      <c r="H583" s="194"/>
      <c r="M583" s="137"/>
      <c r="N583" s="137"/>
      <c r="O583" s="137"/>
    </row>
    <row r="584" spans="2:15" s="135" customFormat="1" ht="13.5" customHeight="1">
      <c r="B584" s="145" t="s">
        <v>341</v>
      </c>
      <c r="C584" s="146" t="s">
        <v>342</v>
      </c>
      <c r="D584" s="153">
        <v>0.03</v>
      </c>
      <c r="E584" s="147"/>
      <c r="F584" s="147"/>
      <c r="G584" s="147">
        <f>G583*D584</f>
        <v>354.4193881960622</v>
      </c>
      <c r="H584" s="194"/>
      <c r="M584" s="137"/>
      <c r="N584" s="137"/>
      <c r="O584" s="137"/>
    </row>
    <row r="585" spans="2:15" s="135" customFormat="1" ht="13.5" customHeight="1">
      <c r="B585" s="195"/>
      <c r="C585" s="146" t="s">
        <v>343</v>
      </c>
      <c r="D585" s="194"/>
      <c r="E585" s="196"/>
      <c r="F585" s="196"/>
      <c r="G585" s="147">
        <f>G583+G584</f>
        <v>12168.39899473147</v>
      </c>
      <c r="H585" s="194"/>
      <c r="M585" s="137"/>
      <c r="N585" s="137"/>
      <c r="O585" s="137"/>
    </row>
    <row r="586" spans="3:15" s="135" customFormat="1" ht="13.5" customHeight="1">
      <c r="C586" s="13"/>
      <c r="E586" s="137"/>
      <c r="F586" s="137"/>
      <c r="G586" s="137"/>
      <c r="M586" s="137"/>
      <c r="N586" s="137"/>
      <c r="O586" s="137"/>
    </row>
    <row r="587" spans="3:15" s="135" customFormat="1" ht="13.5" customHeight="1">
      <c r="C587" s="13"/>
      <c r="E587" s="137"/>
      <c r="F587" s="137"/>
      <c r="G587" s="137"/>
      <c r="M587" s="137"/>
      <c r="N587" s="137"/>
      <c r="O587" s="137"/>
    </row>
    <row r="588" spans="3:15" s="135" customFormat="1" ht="13.5" customHeight="1">
      <c r="C588" s="13"/>
      <c r="E588" s="155"/>
      <c r="F588" s="155"/>
      <c r="G588" s="155"/>
      <c r="H588" s="13"/>
      <c r="M588" s="137"/>
      <c r="N588" s="137"/>
      <c r="O588" s="137"/>
    </row>
    <row r="589" spans="2:16" s="135" customFormat="1" ht="19.5" customHeight="1">
      <c r="B589" s="138" t="s">
        <v>317</v>
      </c>
      <c r="C589" s="138"/>
      <c r="D589" s="138"/>
      <c r="E589" s="138"/>
      <c r="F589" s="138"/>
      <c r="G589" s="138"/>
      <c r="H589" s="138"/>
      <c r="J589" s="138" t="s">
        <v>317</v>
      </c>
      <c r="K589" s="138"/>
      <c r="L589" s="138"/>
      <c r="M589" s="138"/>
      <c r="N589" s="138"/>
      <c r="O589" s="138"/>
      <c r="P589" s="138"/>
    </row>
    <row r="590" spans="2:16" s="135" customFormat="1" ht="13.5" customHeight="1">
      <c r="B590" s="139" t="s">
        <v>444</v>
      </c>
      <c r="C590" s="139"/>
      <c r="D590" s="139"/>
      <c r="E590" s="139"/>
      <c r="F590" s="139"/>
      <c r="G590" s="139"/>
      <c r="H590" s="139"/>
      <c r="J590" s="201" t="s">
        <v>445</v>
      </c>
      <c r="K590" s="201"/>
      <c r="L590" s="201"/>
      <c r="M590" s="201"/>
      <c r="N590" s="201"/>
      <c r="O590" s="201"/>
      <c r="P590" s="201"/>
    </row>
    <row r="591" spans="2:16" s="135" customFormat="1" ht="13.5" customHeight="1">
      <c r="B591" s="140" t="s">
        <v>446</v>
      </c>
      <c r="C591" s="140"/>
      <c r="D591" s="140"/>
      <c r="E591" s="140"/>
      <c r="F591" s="137"/>
      <c r="G591" s="141" t="s">
        <v>320</v>
      </c>
      <c r="H591" s="141"/>
      <c r="J591" s="140" t="s">
        <v>447</v>
      </c>
      <c r="K591" s="140"/>
      <c r="L591" s="140"/>
      <c r="M591" s="140"/>
      <c r="N591" s="137"/>
      <c r="O591" s="141" t="s">
        <v>448</v>
      </c>
      <c r="P591" s="141"/>
    </row>
    <row r="592" spans="2:16" s="135" customFormat="1" ht="13.5" customHeight="1">
      <c r="B592" s="142" t="s">
        <v>360</v>
      </c>
      <c r="C592" s="143"/>
      <c r="D592" s="143"/>
      <c r="E592" s="143"/>
      <c r="F592" s="143"/>
      <c r="G592" s="143"/>
      <c r="H592" s="144"/>
      <c r="J592" s="202" t="s">
        <v>360</v>
      </c>
      <c r="K592" s="203"/>
      <c r="L592" s="203"/>
      <c r="M592" s="203"/>
      <c r="N592" s="203"/>
      <c r="O592" s="203"/>
      <c r="P592" s="204"/>
    </row>
    <row r="593" spans="2:16" s="135" customFormat="1" ht="30.75" customHeight="1">
      <c r="B593" s="145" t="s">
        <v>361</v>
      </c>
      <c r="C593" s="146" t="s">
        <v>322</v>
      </c>
      <c r="D593" s="146" t="s">
        <v>102</v>
      </c>
      <c r="E593" s="147" t="s">
        <v>324</v>
      </c>
      <c r="F593" s="148" t="s">
        <v>325</v>
      </c>
      <c r="G593" s="148" t="s">
        <v>326</v>
      </c>
      <c r="H593" s="146" t="s">
        <v>386</v>
      </c>
      <c r="J593" s="205" t="s">
        <v>31</v>
      </c>
      <c r="K593" s="206" t="s">
        <v>322</v>
      </c>
      <c r="L593" s="206" t="s">
        <v>323</v>
      </c>
      <c r="M593" s="207" t="s">
        <v>324</v>
      </c>
      <c r="N593" s="148" t="s">
        <v>325</v>
      </c>
      <c r="O593" s="148" t="s">
        <v>326</v>
      </c>
      <c r="P593" s="206" t="s">
        <v>145</v>
      </c>
    </row>
    <row r="594" spans="2:16" s="135" customFormat="1" ht="13.5" customHeight="1">
      <c r="B594" s="145" t="s">
        <v>16</v>
      </c>
      <c r="C594" s="146" t="s">
        <v>327</v>
      </c>
      <c r="D594" s="194"/>
      <c r="E594" s="147"/>
      <c r="F594" s="147"/>
      <c r="G594" s="147">
        <f>G595</f>
        <v>46728.611085731514</v>
      </c>
      <c r="H594" s="146"/>
      <c r="J594" s="205" t="s">
        <v>16</v>
      </c>
      <c r="K594" s="146" t="s">
        <v>327</v>
      </c>
      <c r="L594" s="206"/>
      <c r="M594" s="207"/>
      <c r="N594" s="207"/>
      <c r="O594" s="207">
        <f>O595</f>
        <v>2135.931644287986</v>
      </c>
      <c r="P594" s="208"/>
    </row>
    <row r="595" spans="2:16" s="135" customFormat="1" ht="13.5" customHeight="1">
      <c r="B595" s="145" t="s">
        <v>39</v>
      </c>
      <c r="C595" s="146" t="s">
        <v>328</v>
      </c>
      <c r="D595" s="194"/>
      <c r="E595" s="147"/>
      <c r="F595" s="147"/>
      <c r="G595" s="147">
        <f>G596+G599+G605+G611</f>
        <v>46728.611085731514</v>
      </c>
      <c r="H595" s="146"/>
      <c r="J595" s="205" t="s">
        <v>39</v>
      </c>
      <c r="K595" s="146" t="s">
        <v>328</v>
      </c>
      <c r="L595" s="206"/>
      <c r="M595" s="207"/>
      <c r="N595" s="207"/>
      <c r="O595" s="207">
        <f>O597+O598+O602</f>
        <v>2135.931644287986</v>
      </c>
      <c r="P595" s="208"/>
    </row>
    <row r="596" spans="2:16" s="135" customFormat="1" ht="13.5" customHeight="1">
      <c r="B596" s="145">
        <v>1</v>
      </c>
      <c r="C596" s="146" t="s">
        <v>329</v>
      </c>
      <c r="D596" s="149"/>
      <c r="E596" s="147"/>
      <c r="F596" s="147"/>
      <c r="G596" s="147">
        <f>SUM(G597:G598)</f>
        <v>16572.418</v>
      </c>
      <c r="H596" s="146"/>
      <c r="J596" s="205">
        <v>1</v>
      </c>
      <c r="K596" s="206" t="s">
        <v>329</v>
      </c>
      <c r="L596" s="206"/>
      <c r="M596" s="207"/>
      <c r="N596" s="207"/>
      <c r="O596" s="207">
        <f>O597</f>
        <v>1049.5629999999999</v>
      </c>
      <c r="P596" s="208"/>
    </row>
    <row r="597" spans="2:16" s="135" customFormat="1" ht="13.5" customHeight="1">
      <c r="B597" s="145"/>
      <c r="C597" s="149" t="s">
        <v>351</v>
      </c>
      <c r="D597" s="149" t="s">
        <v>163</v>
      </c>
      <c r="E597" s="147">
        <v>1549.9</v>
      </c>
      <c r="F597" s="147">
        <f>'单价分析'!L15</f>
        <v>8.1</v>
      </c>
      <c r="G597" s="147">
        <f aca="true" t="shared" si="16" ref="G597:G603">F597*E597</f>
        <v>12554.19</v>
      </c>
      <c r="H597" s="146"/>
      <c r="J597" s="205"/>
      <c r="K597" s="206" t="s">
        <v>330</v>
      </c>
      <c r="L597" s="206" t="s">
        <v>163</v>
      </c>
      <c r="M597" s="207">
        <v>181.9</v>
      </c>
      <c r="N597" s="207">
        <f>'单价分析'!E16</f>
        <v>5.77</v>
      </c>
      <c r="O597" s="207">
        <f>N597*M597</f>
        <v>1049.5629999999999</v>
      </c>
      <c r="P597" s="208"/>
    </row>
    <row r="598" spans="2:16" s="135" customFormat="1" ht="13.5" customHeight="1">
      <c r="B598" s="145"/>
      <c r="C598" s="149" t="s">
        <v>330</v>
      </c>
      <c r="D598" s="149" t="s">
        <v>163</v>
      </c>
      <c r="E598" s="147">
        <v>696.4</v>
      </c>
      <c r="F598" s="147">
        <f>'单价分析'!L16</f>
        <v>5.77</v>
      </c>
      <c r="G598" s="147">
        <f t="shared" si="16"/>
        <v>4018.2279999999996</v>
      </c>
      <c r="H598" s="146"/>
      <c r="J598" s="205">
        <v>2</v>
      </c>
      <c r="K598" s="206" t="s">
        <v>333</v>
      </c>
      <c r="L598" s="206"/>
      <c r="M598" s="207"/>
      <c r="N598" s="207"/>
      <c r="O598" s="207">
        <f>O599+O600</f>
        <v>1058.9578729397688</v>
      </c>
      <c r="P598" s="208"/>
    </row>
    <row r="599" spans="2:16" s="135" customFormat="1" ht="13.5" customHeight="1">
      <c r="B599" s="145">
        <v>2</v>
      </c>
      <c r="C599" s="146" t="s">
        <v>373</v>
      </c>
      <c r="D599" s="194"/>
      <c r="E599" s="147"/>
      <c r="F599" s="147"/>
      <c r="G599" s="147">
        <f>SUM(G600:G604)</f>
        <v>24175.210350360005</v>
      </c>
      <c r="H599" s="146"/>
      <c r="J599" s="209"/>
      <c r="K599" s="206" t="s">
        <v>449</v>
      </c>
      <c r="L599" s="206" t="s">
        <v>450</v>
      </c>
      <c r="M599" s="207">
        <v>41.34</v>
      </c>
      <c r="N599" s="207">
        <f>'台班总'!D26</f>
        <v>22.363828879138413</v>
      </c>
      <c r="O599" s="207">
        <f>N599*M599</f>
        <v>924.5206858635821</v>
      </c>
      <c r="P599" s="208"/>
    </row>
    <row r="600" spans="2:16" s="135" customFormat="1" ht="13.5" customHeight="1">
      <c r="B600" s="200"/>
      <c r="C600" s="146" t="s">
        <v>411</v>
      </c>
      <c r="D600" s="146" t="s">
        <v>365</v>
      </c>
      <c r="E600" s="147">
        <v>2.76</v>
      </c>
      <c r="F600" s="147">
        <f>'单价分析'!L12</f>
        <v>1789.6725</v>
      </c>
      <c r="G600" s="147">
        <f t="shared" si="16"/>
        <v>4939.496099999999</v>
      </c>
      <c r="H600" s="146"/>
      <c r="J600" s="209"/>
      <c r="K600" s="206" t="s">
        <v>209</v>
      </c>
      <c r="L600" s="206" t="s">
        <v>450</v>
      </c>
      <c r="M600" s="207">
        <v>165.31</v>
      </c>
      <c r="N600" s="207">
        <f>'台班总'!D20</f>
        <v>0.8132429198244914</v>
      </c>
      <c r="O600" s="207">
        <f>N600*M600</f>
        <v>134.43718707618666</v>
      </c>
      <c r="P600" s="208"/>
    </row>
    <row r="601" spans="2:16" s="135" customFormat="1" ht="13.5" customHeight="1">
      <c r="B601" s="200"/>
      <c r="C601" s="146" t="s">
        <v>314</v>
      </c>
      <c r="D601" s="146" t="s">
        <v>403</v>
      </c>
      <c r="E601" s="147">
        <v>10</v>
      </c>
      <c r="F601" s="147">
        <f>'机械台班'!D42</f>
        <v>7</v>
      </c>
      <c r="G601" s="147">
        <f t="shared" si="16"/>
        <v>70</v>
      </c>
      <c r="H601" s="146"/>
      <c r="J601" s="209"/>
      <c r="K601" s="206"/>
      <c r="L601" s="206"/>
      <c r="M601" s="207"/>
      <c r="N601" s="207"/>
      <c r="O601" s="207"/>
      <c r="P601" s="208"/>
    </row>
    <row r="602" spans="2:16" s="135" customFormat="1" ht="13.5" customHeight="1">
      <c r="B602" s="145"/>
      <c r="C602" s="146" t="s">
        <v>451</v>
      </c>
      <c r="D602" s="146" t="s">
        <v>365</v>
      </c>
      <c r="E602" s="147">
        <v>102</v>
      </c>
      <c r="F602" s="147">
        <f>'配合'!I8</f>
        <v>176.40480900000003</v>
      </c>
      <c r="G602" s="147">
        <f t="shared" si="16"/>
        <v>17993.290518</v>
      </c>
      <c r="H602" s="146"/>
      <c r="J602" s="205">
        <v>3</v>
      </c>
      <c r="K602" s="206" t="s">
        <v>331</v>
      </c>
      <c r="L602" s="206" t="s">
        <v>332</v>
      </c>
      <c r="M602" s="207">
        <v>1.3</v>
      </c>
      <c r="N602" s="207">
        <f>O596+O598</f>
        <v>2108.5208729397687</v>
      </c>
      <c r="O602" s="207">
        <f>N602*M602/100</f>
        <v>27.410771348216993</v>
      </c>
      <c r="P602" s="208"/>
    </row>
    <row r="603" spans="2:16" s="135" customFormat="1" ht="13.5" customHeight="1">
      <c r="B603" s="145"/>
      <c r="C603" s="146" t="s">
        <v>413</v>
      </c>
      <c r="D603" s="146" t="s">
        <v>365</v>
      </c>
      <c r="E603" s="147">
        <v>180</v>
      </c>
      <c r="F603" s="147">
        <f>'单价分析'!L17</f>
        <v>3.88</v>
      </c>
      <c r="G603" s="147">
        <f t="shared" si="16"/>
        <v>698.4</v>
      </c>
      <c r="H603" s="146"/>
      <c r="J603" s="205"/>
      <c r="K603" s="206"/>
      <c r="L603" s="208"/>
      <c r="M603" s="207"/>
      <c r="N603" s="210"/>
      <c r="O603" s="207"/>
      <c r="P603" s="208"/>
    </row>
    <row r="604" spans="2:16" s="135" customFormat="1" ht="13.5" customHeight="1">
      <c r="B604" s="145"/>
      <c r="C604" s="146" t="s">
        <v>404</v>
      </c>
      <c r="D604" s="146" t="s">
        <v>332</v>
      </c>
      <c r="E604" s="147">
        <v>2</v>
      </c>
      <c r="F604" s="147">
        <f>SUM(G600:G603)</f>
        <v>23701.186618000003</v>
      </c>
      <c r="G604" s="147">
        <f>F604*E604/100</f>
        <v>474.02373236000005</v>
      </c>
      <c r="H604" s="146"/>
      <c r="J604" s="205"/>
      <c r="K604" s="206"/>
      <c r="L604" s="208"/>
      <c r="M604" s="207"/>
      <c r="N604" s="210"/>
      <c r="O604" s="207"/>
      <c r="P604" s="208"/>
    </row>
    <row r="605" spans="2:16" s="135" customFormat="1" ht="13.5" customHeight="1">
      <c r="B605" s="145">
        <v>3</v>
      </c>
      <c r="C605" s="146" t="s">
        <v>333</v>
      </c>
      <c r="D605" s="146"/>
      <c r="E605" s="147"/>
      <c r="F605" s="147"/>
      <c r="G605" s="147">
        <f>SUM(G606:G610)</f>
        <v>3118.7623844311925</v>
      </c>
      <c r="H605" s="146"/>
      <c r="J605" s="211"/>
      <c r="K605" s="208"/>
      <c r="L605" s="208"/>
      <c r="M605" s="210"/>
      <c r="N605" s="210"/>
      <c r="O605" s="210"/>
      <c r="P605" s="208"/>
    </row>
    <row r="606" spans="2:16" s="135" customFormat="1" ht="13.5" customHeight="1">
      <c r="B606" s="200"/>
      <c r="C606" s="146" t="s">
        <v>210</v>
      </c>
      <c r="D606" s="146" t="s">
        <v>335</v>
      </c>
      <c r="E606" s="147">
        <v>17.7</v>
      </c>
      <c r="F606" s="147">
        <f>'机械台班'!AA18</f>
        <v>114.24032588751496</v>
      </c>
      <c r="G606" s="147">
        <f>F606*E606</f>
        <v>2022.0537682090146</v>
      </c>
      <c r="H606" s="146"/>
      <c r="J606" s="211"/>
      <c r="K606" s="208"/>
      <c r="L606" s="208"/>
      <c r="M606" s="210"/>
      <c r="N606" s="210"/>
      <c r="O606" s="210"/>
      <c r="P606" s="208"/>
    </row>
    <row r="607" spans="2:16" s="135" customFormat="1" ht="21" customHeight="1">
      <c r="B607" s="200"/>
      <c r="C607" s="146" t="s">
        <v>452</v>
      </c>
      <c r="D607" s="146" t="s">
        <v>335</v>
      </c>
      <c r="E607" s="147">
        <v>18.36</v>
      </c>
      <c r="F607" s="147">
        <f>'机械台班'!O18</f>
        <v>28.217952134024728</v>
      </c>
      <c r="G607" s="147">
        <f>F607*E607</f>
        <v>518.081601180694</v>
      </c>
      <c r="H607" s="146"/>
      <c r="J607" s="212" t="s">
        <v>317</v>
      </c>
      <c r="K607" s="212"/>
      <c r="L607" s="212"/>
      <c r="M607" s="212"/>
      <c r="N607" s="212"/>
      <c r="O607" s="212"/>
      <c r="P607" s="212"/>
    </row>
    <row r="608" spans="2:16" s="135" customFormat="1" ht="13.5" customHeight="1">
      <c r="B608" s="200"/>
      <c r="C608" s="146" t="s">
        <v>417</v>
      </c>
      <c r="D608" s="146" t="s">
        <v>335</v>
      </c>
      <c r="E608" s="147">
        <v>44</v>
      </c>
      <c r="F608" s="147">
        <f>'机械台班'!Q18</f>
        <v>2.221526924611089</v>
      </c>
      <c r="G608" s="147">
        <f>F608*E608</f>
        <v>97.7471846828879</v>
      </c>
      <c r="H608" s="146"/>
      <c r="J608" s="201" t="s">
        <v>453</v>
      </c>
      <c r="K608" s="201"/>
      <c r="L608" s="201"/>
      <c r="M608" s="201"/>
      <c r="N608" s="201"/>
      <c r="O608" s="201"/>
      <c r="P608" s="201"/>
    </row>
    <row r="609" spans="2:16" s="135" customFormat="1" ht="13.5" customHeight="1">
      <c r="B609" s="200"/>
      <c r="C609" s="146" t="s">
        <v>205</v>
      </c>
      <c r="D609" s="146" t="s">
        <v>335</v>
      </c>
      <c r="E609" s="147">
        <v>1.5</v>
      </c>
      <c r="F609" s="147">
        <f>'机械台班'!S18</f>
        <v>49.389824491424015</v>
      </c>
      <c r="G609" s="147">
        <f>F609*E609</f>
        <v>74.08473673713603</v>
      </c>
      <c r="H609" s="146"/>
      <c r="J609" s="140" t="s">
        <v>454</v>
      </c>
      <c r="K609" s="140"/>
      <c r="L609" s="140"/>
      <c r="M609" s="140"/>
      <c r="N609" s="137"/>
      <c r="O609" s="141" t="s">
        <v>448</v>
      </c>
      <c r="P609" s="141"/>
    </row>
    <row r="610" spans="2:16" s="135" customFormat="1" ht="13.5" customHeight="1">
      <c r="B610" s="200"/>
      <c r="C610" s="146" t="s">
        <v>370</v>
      </c>
      <c r="D610" s="146" t="s">
        <v>332</v>
      </c>
      <c r="E610" s="147">
        <v>15</v>
      </c>
      <c r="F610" s="147">
        <f>SUM(G606:G609)</f>
        <v>2711.9672908097327</v>
      </c>
      <c r="G610" s="147">
        <f>F610*E610%</f>
        <v>406.7950936214599</v>
      </c>
      <c r="H610" s="146"/>
      <c r="J610" s="202" t="s">
        <v>455</v>
      </c>
      <c r="K610" s="203"/>
      <c r="L610" s="203"/>
      <c r="M610" s="203"/>
      <c r="N610" s="203"/>
      <c r="O610" s="203"/>
      <c r="P610" s="204"/>
    </row>
    <row r="611" spans="2:16" s="135" customFormat="1" ht="24" customHeight="1">
      <c r="B611" s="145">
        <v>4</v>
      </c>
      <c r="C611" s="146" t="s">
        <v>456</v>
      </c>
      <c r="D611" s="194"/>
      <c r="E611" s="147"/>
      <c r="F611" s="147"/>
      <c r="G611" s="147">
        <f>SUM(G612:G613)</f>
        <v>2862.220350940319</v>
      </c>
      <c r="H611" s="146"/>
      <c r="J611" s="205" t="s">
        <v>31</v>
      </c>
      <c r="K611" s="206" t="s">
        <v>322</v>
      </c>
      <c r="L611" s="206" t="s">
        <v>33</v>
      </c>
      <c r="M611" s="207" t="s">
        <v>34</v>
      </c>
      <c r="N611" s="148" t="s">
        <v>325</v>
      </c>
      <c r="O611" s="148" t="s">
        <v>326</v>
      </c>
      <c r="P611" s="206" t="s">
        <v>37</v>
      </c>
    </row>
    <row r="612" spans="2:16" s="135" customFormat="1" ht="13.5" customHeight="1">
      <c r="B612" s="195"/>
      <c r="C612" s="146" t="s">
        <v>419</v>
      </c>
      <c r="D612" s="146" t="s">
        <v>365</v>
      </c>
      <c r="E612" s="147">
        <v>102</v>
      </c>
      <c r="F612" s="147">
        <f>O612/100</f>
        <v>6.7016673898683665</v>
      </c>
      <c r="G612" s="147">
        <f aca="true" t="shared" si="17" ref="G612:G619">F612*E612</f>
        <v>683.5700737665734</v>
      </c>
      <c r="H612" s="146"/>
      <c r="J612" s="205" t="s">
        <v>16</v>
      </c>
      <c r="K612" s="146" t="s">
        <v>327</v>
      </c>
      <c r="L612" s="206"/>
      <c r="M612" s="207"/>
      <c r="N612" s="207"/>
      <c r="O612" s="207">
        <f>O613+O622</f>
        <v>670.1667389868367</v>
      </c>
      <c r="P612" s="208"/>
    </row>
    <row r="613" spans="2:16" s="135" customFormat="1" ht="13.5" customHeight="1">
      <c r="B613" s="195"/>
      <c r="C613" s="146" t="s">
        <v>420</v>
      </c>
      <c r="D613" s="146" t="s">
        <v>365</v>
      </c>
      <c r="E613" s="147">
        <v>102</v>
      </c>
      <c r="F613" s="147">
        <f>O594/100</f>
        <v>21.35931644287986</v>
      </c>
      <c r="G613" s="147">
        <f t="shared" si="17"/>
        <v>2178.6502771737455</v>
      </c>
      <c r="H613" s="146"/>
      <c r="J613" s="205" t="s">
        <v>39</v>
      </c>
      <c r="K613" s="146" t="s">
        <v>328</v>
      </c>
      <c r="L613" s="206"/>
      <c r="M613" s="207"/>
      <c r="N613" s="207"/>
      <c r="O613" s="207">
        <f>O614+O617+O616</f>
        <v>670.1667389868367</v>
      </c>
      <c r="P613" s="208"/>
    </row>
    <row r="614" spans="2:16" s="135" customFormat="1" ht="13.5" customHeight="1">
      <c r="B614" s="145" t="s">
        <v>22</v>
      </c>
      <c r="C614" s="146" t="s">
        <v>339</v>
      </c>
      <c r="D614" s="152"/>
      <c r="E614" s="147"/>
      <c r="F614" s="147"/>
      <c r="G614" s="147">
        <f>SUM(G615:G619)</f>
        <v>4947.357780597847</v>
      </c>
      <c r="H614" s="146"/>
      <c r="J614" s="205">
        <v>1</v>
      </c>
      <c r="K614" s="206" t="s">
        <v>329</v>
      </c>
      <c r="L614" s="206"/>
      <c r="M614" s="207"/>
      <c r="N614" s="207"/>
      <c r="O614" s="207">
        <f>SUM(O615:O615)</f>
        <v>574.6919999999999</v>
      </c>
      <c r="P614" s="208"/>
    </row>
    <row r="615" spans="2:16" s="135" customFormat="1" ht="13.5" customHeight="1">
      <c r="B615" s="145"/>
      <c r="C615" s="146" t="s">
        <v>298</v>
      </c>
      <c r="D615" s="152" t="s">
        <v>77</v>
      </c>
      <c r="E615" s="147">
        <f>E602*'配合'!E9/1000</f>
        <v>34.695606000000005</v>
      </c>
      <c r="F615" s="147">
        <f>'机械台班'!C26</f>
        <v>118.56378999999998</v>
      </c>
      <c r="G615" s="147">
        <f t="shared" si="17"/>
        <v>4113.64254370674</v>
      </c>
      <c r="H615" s="146"/>
      <c r="J615" s="205"/>
      <c r="K615" s="206" t="s">
        <v>330</v>
      </c>
      <c r="L615" s="213" t="s">
        <v>163</v>
      </c>
      <c r="M615" s="207">
        <v>99.6</v>
      </c>
      <c r="N615" s="207">
        <f>'单价分析'!E16</f>
        <v>5.77</v>
      </c>
      <c r="O615" s="207">
        <f>N615*M615</f>
        <v>574.6919999999999</v>
      </c>
      <c r="P615" s="208"/>
    </row>
    <row r="616" spans="2:16" s="135" customFormat="1" ht="13.5" customHeight="1">
      <c r="B616" s="145"/>
      <c r="C616" s="146" t="s">
        <v>299</v>
      </c>
      <c r="D616" s="146" t="s">
        <v>365</v>
      </c>
      <c r="E616" s="147">
        <f>E602*'配合'!F9</f>
        <v>53.878440000000005</v>
      </c>
      <c r="F616" s="147">
        <f>'机械台班'!C27</f>
        <v>1.5600419999999957</v>
      </c>
      <c r="G616" s="147">
        <f t="shared" si="17"/>
        <v>84.05262929447977</v>
      </c>
      <c r="H616" s="146"/>
      <c r="J616" s="205">
        <v>2</v>
      </c>
      <c r="K616" s="206" t="s">
        <v>331</v>
      </c>
      <c r="L616" s="206" t="s">
        <v>332</v>
      </c>
      <c r="M616" s="207">
        <v>6</v>
      </c>
      <c r="N616" s="207">
        <f>O615</f>
        <v>574.6919999999999</v>
      </c>
      <c r="O616" s="207">
        <f>N616*M616/100</f>
        <v>34.48151999999999</v>
      </c>
      <c r="P616" s="208"/>
    </row>
    <row r="617" spans="2:16" s="135" customFormat="1" ht="13.5" customHeight="1">
      <c r="B617" s="145"/>
      <c r="C617" s="146" t="s">
        <v>300</v>
      </c>
      <c r="D617" s="146" t="s">
        <v>365</v>
      </c>
      <c r="E617" s="147">
        <f>E602*'配合'!G9</f>
        <v>85.82565600000002</v>
      </c>
      <c r="F617" s="147">
        <f>'机械台班'!C28</f>
        <v>8.098611067961158</v>
      </c>
      <c r="G617" s="147">
        <f t="shared" si="17"/>
        <v>695.0686075966272</v>
      </c>
      <c r="H617" s="146"/>
      <c r="J617" s="205">
        <v>3</v>
      </c>
      <c r="K617" s="206" t="s">
        <v>333</v>
      </c>
      <c r="L617" s="206"/>
      <c r="M617" s="207"/>
      <c r="N617" s="207"/>
      <c r="O617" s="207">
        <f>SUM(O618)</f>
        <v>60.99321898683685</v>
      </c>
      <c r="P617" s="208"/>
    </row>
    <row r="618" spans="2:16" s="135" customFormat="1" ht="13.5" customHeight="1">
      <c r="B618" s="145"/>
      <c r="C618" s="146" t="s">
        <v>411</v>
      </c>
      <c r="D618" s="146" t="s">
        <v>365</v>
      </c>
      <c r="E618" s="147">
        <f>E600</f>
        <v>2.76</v>
      </c>
      <c r="F618" s="147">
        <f>'机械台班'!C33</f>
        <v>0</v>
      </c>
      <c r="G618" s="147">
        <f t="shared" si="17"/>
        <v>0</v>
      </c>
      <c r="H618" s="146"/>
      <c r="J618" s="209"/>
      <c r="K618" s="206" t="s">
        <v>209</v>
      </c>
      <c r="L618" s="206" t="s">
        <v>335</v>
      </c>
      <c r="M618" s="207">
        <v>75</v>
      </c>
      <c r="N618" s="207">
        <f>'台班总'!D20</f>
        <v>0.8132429198244914</v>
      </c>
      <c r="O618" s="207">
        <f>N618*M618</f>
        <v>60.99321898683685</v>
      </c>
      <c r="P618" s="208"/>
    </row>
    <row r="619" spans="2:16" s="135" customFormat="1" ht="13.5" customHeight="1">
      <c r="B619" s="145"/>
      <c r="C619" s="146" t="s">
        <v>303</v>
      </c>
      <c r="D619" s="146" t="s">
        <v>307</v>
      </c>
      <c r="E619" s="147">
        <f>E609*'机械台班'!S13</f>
        <v>10.8</v>
      </c>
      <c r="F619" s="147">
        <f>'机械台班'!C31</f>
        <v>5.055000000000001</v>
      </c>
      <c r="G619" s="147">
        <f t="shared" si="17"/>
        <v>54.59400000000001</v>
      </c>
      <c r="H619" s="146"/>
      <c r="J619" s="205"/>
      <c r="K619" s="206"/>
      <c r="L619" s="206"/>
      <c r="M619" s="207"/>
      <c r="N619" s="207"/>
      <c r="O619" s="207"/>
      <c r="P619" s="208"/>
    </row>
    <row r="620" spans="2:16" s="135" customFormat="1" ht="13.5" customHeight="1">
      <c r="B620" s="145"/>
      <c r="C620" s="146" t="s">
        <v>304</v>
      </c>
      <c r="D620" s="152" t="s">
        <v>307</v>
      </c>
      <c r="E620" s="147"/>
      <c r="F620" s="147"/>
      <c r="G620" s="147"/>
      <c r="H620" s="146"/>
      <c r="J620" s="205"/>
      <c r="K620" s="206"/>
      <c r="L620" s="208"/>
      <c r="M620" s="207"/>
      <c r="N620" s="210"/>
      <c r="O620" s="207"/>
      <c r="P620" s="208"/>
    </row>
    <row r="621" spans="2:16" s="135" customFormat="1" ht="13.5" customHeight="1">
      <c r="B621" s="195"/>
      <c r="C621" s="146"/>
      <c r="D621" s="146"/>
      <c r="E621" s="147"/>
      <c r="F621" s="147"/>
      <c r="G621" s="147"/>
      <c r="H621" s="146"/>
      <c r="J621" s="205"/>
      <c r="K621" s="206"/>
      <c r="L621" s="208"/>
      <c r="M621" s="207"/>
      <c r="N621" s="210"/>
      <c r="O621" s="207"/>
      <c r="P621" s="208"/>
    </row>
    <row r="622" spans="2:16" s="135" customFormat="1" ht="13.5" customHeight="1">
      <c r="B622" s="195"/>
      <c r="C622" s="146"/>
      <c r="D622" s="194"/>
      <c r="E622" s="147"/>
      <c r="F622" s="147"/>
      <c r="G622" s="147"/>
      <c r="H622" s="146"/>
      <c r="J622" s="205"/>
      <c r="K622" s="206"/>
      <c r="L622" s="214"/>
      <c r="M622" s="207"/>
      <c r="N622" s="207"/>
      <c r="O622" s="207"/>
      <c r="P622" s="208"/>
    </row>
    <row r="623" spans="3:16" s="135" customFormat="1" ht="13.5" customHeight="1">
      <c r="C623" s="13"/>
      <c r="E623" s="155"/>
      <c r="F623" s="155"/>
      <c r="G623" s="155"/>
      <c r="H623" s="13"/>
      <c r="J623" s="215"/>
      <c r="K623" s="215"/>
      <c r="L623" s="216"/>
      <c r="M623" s="217"/>
      <c r="N623" s="217"/>
      <c r="O623" s="217"/>
      <c r="P623" s="218"/>
    </row>
    <row r="624" spans="2:16" s="135" customFormat="1" ht="19.5" customHeight="1">
      <c r="B624" s="138" t="s">
        <v>317</v>
      </c>
      <c r="C624" s="138"/>
      <c r="D624" s="138"/>
      <c r="E624" s="138"/>
      <c r="F624" s="138"/>
      <c r="G624" s="138"/>
      <c r="H624" s="138"/>
      <c r="J624" s="136"/>
      <c r="K624" s="136"/>
      <c r="L624" s="136"/>
      <c r="M624" s="136"/>
      <c r="N624" s="136"/>
      <c r="O624" s="136"/>
      <c r="P624" s="136"/>
    </row>
    <row r="625" spans="2:16" s="135" customFormat="1" ht="13.5" customHeight="1">
      <c r="B625" s="139" t="s">
        <v>457</v>
      </c>
      <c r="C625" s="139"/>
      <c r="D625" s="139"/>
      <c r="E625" s="139"/>
      <c r="F625" s="139"/>
      <c r="G625" s="139"/>
      <c r="H625" s="139"/>
      <c r="J625" s="136"/>
      <c r="K625" s="136"/>
      <c r="L625" s="136"/>
      <c r="M625" s="136"/>
      <c r="N625" s="136"/>
      <c r="O625" s="136"/>
      <c r="P625" s="136"/>
    </row>
    <row r="626" spans="2:16" s="135" customFormat="1" ht="13.5" customHeight="1">
      <c r="B626" s="140" t="s">
        <v>458</v>
      </c>
      <c r="C626" s="140"/>
      <c r="D626" s="140"/>
      <c r="E626" s="140"/>
      <c r="F626" s="137"/>
      <c r="G626" s="141" t="s">
        <v>320</v>
      </c>
      <c r="H626" s="141"/>
      <c r="J626" s="136"/>
      <c r="K626" s="136"/>
      <c r="L626" s="136"/>
      <c r="M626" s="136"/>
      <c r="N626" s="136"/>
      <c r="O626" s="136"/>
      <c r="P626" s="136"/>
    </row>
    <row r="627" spans="2:16" s="135" customFormat="1" ht="13.5" customHeight="1">
      <c r="B627" s="142" t="s">
        <v>360</v>
      </c>
      <c r="C627" s="143"/>
      <c r="D627" s="143"/>
      <c r="E627" s="143"/>
      <c r="F627" s="143"/>
      <c r="G627" s="143"/>
      <c r="H627" s="144"/>
      <c r="J627" s="136"/>
      <c r="K627" s="136"/>
      <c r="L627" s="136"/>
      <c r="M627" s="136"/>
      <c r="N627" s="136"/>
      <c r="O627" s="136"/>
      <c r="P627" s="136"/>
    </row>
    <row r="628" spans="2:16" s="135" customFormat="1" ht="24.75" customHeight="1">
      <c r="B628" s="145" t="s">
        <v>361</v>
      </c>
      <c r="C628" s="146" t="s">
        <v>322</v>
      </c>
      <c r="D628" s="146" t="s">
        <v>102</v>
      </c>
      <c r="E628" s="147" t="s">
        <v>324</v>
      </c>
      <c r="F628" s="148" t="s">
        <v>325</v>
      </c>
      <c r="G628" s="148" t="s">
        <v>326</v>
      </c>
      <c r="H628" s="146" t="s">
        <v>386</v>
      </c>
      <c r="J628" s="136"/>
      <c r="K628" s="136"/>
      <c r="L628" s="136"/>
      <c r="M628" s="136"/>
      <c r="N628" s="136"/>
      <c r="O628" s="136"/>
      <c r="P628" s="136"/>
    </row>
    <row r="629" spans="2:16" s="135" customFormat="1" ht="13.5" customHeight="1">
      <c r="B629" s="145" t="s">
        <v>16</v>
      </c>
      <c r="C629" s="146" t="s">
        <v>327</v>
      </c>
      <c r="D629" s="194"/>
      <c r="E629" s="147"/>
      <c r="F629" s="147"/>
      <c r="G629" s="147">
        <f>G630+G651+G652</f>
        <v>57202.09818780699</v>
      </c>
      <c r="H629" s="146"/>
      <c r="J629" s="136"/>
      <c r="K629" s="136"/>
      <c r="L629" s="136"/>
      <c r="M629" s="136"/>
      <c r="N629" s="136"/>
      <c r="O629" s="136"/>
      <c r="P629" s="136"/>
    </row>
    <row r="630" spans="2:16" s="135" customFormat="1" ht="13.5" customHeight="1">
      <c r="B630" s="145" t="s">
        <v>39</v>
      </c>
      <c r="C630" s="146" t="s">
        <v>328</v>
      </c>
      <c r="D630" s="194"/>
      <c r="E630" s="147"/>
      <c r="F630" s="147"/>
      <c r="G630" s="147">
        <f>G631+G633+G642+G648</f>
        <v>54582.154759357814</v>
      </c>
      <c r="H630" s="146"/>
      <c r="J630" s="136"/>
      <c r="K630" s="136"/>
      <c r="L630" s="136"/>
      <c r="M630" s="136"/>
      <c r="N630" s="136"/>
      <c r="O630" s="136"/>
      <c r="P630" s="136"/>
    </row>
    <row r="631" spans="2:16" s="135" customFormat="1" ht="13.5" customHeight="1">
      <c r="B631" s="145">
        <v>1</v>
      </c>
      <c r="C631" s="146" t="s">
        <v>329</v>
      </c>
      <c r="D631" s="149"/>
      <c r="E631" s="147"/>
      <c r="F631" s="147"/>
      <c r="G631" s="147">
        <f>SUM(G632:G632)</f>
        <v>2595.24</v>
      </c>
      <c r="H631" s="146"/>
      <c r="J631" s="136"/>
      <c r="K631" s="136"/>
      <c r="L631" s="136"/>
      <c r="M631" s="136"/>
      <c r="N631" s="136"/>
      <c r="O631" s="136"/>
      <c r="P631" s="136"/>
    </row>
    <row r="632" spans="2:16" s="135" customFormat="1" ht="13.5" customHeight="1">
      <c r="B632" s="145"/>
      <c r="C632" s="149" t="s">
        <v>351</v>
      </c>
      <c r="D632" s="149" t="s">
        <v>163</v>
      </c>
      <c r="E632" s="147">
        <v>320.4</v>
      </c>
      <c r="F632" s="147">
        <f>'单价分析'!E15</f>
        <v>8.1</v>
      </c>
      <c r="G632" s="147">
        <f>F632*E632</f>
        <v>2595.24</v>
      </c>
      <c r="H632" s="146"/>
      <c r="J632" s="136"/>
      <c r="K632" s="136"/>
      <c r="L632" s="136"/>
      <c r="M632" s="136"/>
      <c r="N632" s="136"/>
      <c r="O632" s="136"/>
      <c r="P632" s="136"/>
    </row>
    <row r="633" spans="2:16" s="135" customFormat="1" ht="13.5" customHeight="1">
      <c r="B633" s="145">
        <v>2</v>
      </c>
      <c r="C633" s="146" t="s">
        <v>373</v>
      </c>
      <c r="D633" s="194"/>
      <c r="E633" s="147"/>
      <c r="F633" s="147"/>
      <c r="G633" s="147">
        <f>SUM(G634:G641)</f>
        <v>50213.443899585174</v>
      </c>
      <c r="H633" s="146"/>
      <c r="J633" s="136"/>
      <c r="K633" s="136"/>
      <c r="L633" s="136"/>
      <c r="M633" s="136"/>
      <c r="N633" s="136"/>
      <c r="O633" s="136"/>
      <c r="P633" s="136"/>
    </row>
    <row r="634" spans="2:16" s="135" customFormat="1" ht="13.5" customHeight="1">
      <c r="B634" s="200"/>
      <c r="C634" s="146" t="s">
        <v>305</v>
      </c>
      <c r="D634" s="146" t="s">
        <v>365</v>
      </c>
      <c r="E634" s="147">
        <v>0.19</v>
      </c>
      <c r="F634" s="147">
        <f>'单价分析'!L12</f>
        <v>1789.6725</v>
      </c>
      <c r="G634" s="147">
        <f aca="true" t="shared" si="18" ref="G634:G640">E634*F634</f>
        <v>340.037775</v>
      </c>
      <c r="H634" s="146"/>
      <c r="J634" s="136"/>
      <c r="K634" s="136"/>
      <c r="L634" s="136"/>
      <c r="M634" s="136"/>
      <c r="N634" s="136"/>
      <c r="O634" s="136"/>
      <c r="P634" s="136"/>
    </row>
    <row r="635" spans="2:16" s="135" customFormat="1" ht="13.5" customHeight="1">
      <c r="B635" s="200"/>
      <c r="C635" s="146" t="s">
        <v>459</v>
      </c>
      <c r="D635" s="146" t="s">
        <v>365</v>
      </c>
      <c r="E635" s="147">
        <v>0.62</v>
      </c>
      <c r="F635" s="147">
        <f>F634</f>
        <v>1789.6725</v>
      </c>
      <c r="G635" s="147">
        <f t="shared" si="18"/>
        <v>1109.5969499999999</v>
      </c>
      <c r="H635" s="146"/>
      <c r="J635" s="136"/>
      <c r="K635" s="136"/>
      <c r="L635" s="136"/>
      <c r="M635" s="136"/>
      <c r="N635" s="136"/>
      <c r="O635" s="136"/>
      <c r="P635" s="136"/>
    </row>
    <row r="636" spans="2:16" s="135" customFormat="1" ht="13.5" customHeight="1">
      <c r="B636" s="200"/>
      <c r="C636" s="146" t="s">
        <v>316</v>
      </c>
      <c r="D636" s="146" t="s">
        <v>307</v>
      </c>
      <c r="E636" s="147">
        <v>71</v>
      </c>
      <c r="F636" s="147">
        <f>'机械台班'!D44</f>
        <v>5.8</v>
      </c>
      <c r="G636" s="147">
        <f t="shared" si="18"/>
        <v>411.8</v>
      </c>
      <c r="H636" s="146"/>
      <c r="J636" s="136"/>
      <c r="K636" s="136"/>
      <c r="L636" s="136"/>
      <c r="M636" s="136"/>
      <c r="N636" s="136"/>
      <c r="O636" s="136"/>
      <c r="P636" s="136"/>
    </row>
    <row r="637" spans="2:16" s="135" customFormat="1" ht="13.5" customHeight="1">
      <c r="B637" s="145"/>
      <c r="C637" s="146" t="s">
        <v>460</v>
      </c>
      <c r="D637" s="146" t="s">
        <v>365</v>
      </c>
      <c r="E637" s="147">
        <v>100</v>
      </c>
      <c r="F637" s="147">
        <f>G595/100</f>
        <v>467.2861108573151</v>
      </c>
      <c r="G637" s="147">
        <f t="shared" si="18"/>
        <v>46728.611085731514</v>
      </c>
      <c r="H637" s="146"/>
      <c r="J637" s="136"/>
      <c r="K637" s="136"/>
      <c r="L637" s="136"/>
      <c r="M637" s="136"/>
      <c r="N637" s="136"/>
      <c r="O637" s="136"/>
      <c r="P637" s="136"/>
    </row>
    <row r="638" spans="2:16" s="135" customFormat="1" ht="13.5" customHeight="1">
      <c r="B638" s="145"/>
      <c r="C638" s="146" t="s">
        <v>310</v>
      </c>
      <c r="D638" s="146" t="s">
        <v>307</v>
      </c>
      <c r="E638" s="147">
        <v>27</v>
      </c>
      <c r="F638" s="147">
        <f>'机械台班'!D38</f>
        <v>6.15</v>
      </c>
      <c r="G638" s="147">
        <f t="shared" si="18"/>
        <v>166.05</v>
      </c>
      <c r="H638" s="146"/>
      <c r="J638" s="136"/>
      <c r="K638" s="136"/>
      <c r="L638" s="136"/>
      <c r="M638" s="136"/>
      <c r="N638" s="136"/>
      <c r="O638" s="136"/>
      <c r="P638" s="136"/>
    </row>
    <row r="639" spans="2:16" s="135" customFormat="1" ht="13.5" customHeight="1">
      <c r="B639" s="145"/>
      <c r="C639" s="146" t="s">
        <v>461</v>
      </c>
      <c r="D639" s="146" t="s">
        <v>365</v>
      </c>
      <c r="E639" s="147">
        <v>6</v>
      </c>
      <c r="F639" s="147">
        <f>'配合'!I8</f>
        <v>176.40480900000003</v>
      </c>
      <c r="G639" s="147">
        <f t="shared" si="18"/>
        <v>1058.4288540000002</v>
      </c>
      <c r="H639" s="146"/>
      <c r="J639" s="136"/>
      <c r="K639" s="136"/>
      <c r="L639" s="136"/>
      <c r="M639" s="136"/>
      <c r="N639" s="136"/>
      <c r="O639" s="136"/>
      <c r="P639" s="136"/>
    </row>
    <row r="640" spans="2:16" s="135" customFormat="1" ht="13.5" customHeight="1">
      <c r="B640" s="145"/>
      <c r="C640" s="146" t="s">
        <v>462</v>
      </c>
      <c r="D640" s="146" t="s">
        <v>365</v>
      </c>
      <c r="E640" s="147">
        <v>1.1</v>
      </c>
      <c r="F640" s="147">
        <f>'配合'!I13</f>
        <v>135.54646</v>
      </c>
      <c r="G640" s="147">
        <f t="shared" si="18"/>
        <v>149.10110600000002</v>
      </c>
      <c r="H640" s="146"/>
      <c r="J640" s="136"/>
      <c r="K640" s="136"/>
      <c r="L640" s="136"/>
      <c r="M640" s="136"/>
      <c r="N640" s="136"/>
      <c r="O640" s="136"/>
      <c r="P640" s="136"/>
    </row>
    <row r="641" spans="2:16" s="135" customFormat="1" ht="13.5" customHeight="1">
      <c r="B641" s="145"/>
      <c r="C641" s="146" t="s">
        <v>404</v>
      </c>
      <c r="D641" s="146" t="s">
        <v>332</v>
      </c>
      <c r="E641" s="147">
        <v>0.5</v>
      </c>
      <c r="F641" s="147">
        <f>SUM(G634:G640)</f>
        <v>49963.625770731516</v>
      </c>
      <c r="G641" s="147">
        <f>E641*F641%</f>
        <v>249.81812885365758</v>
      </c>
      <c r="H641" s="146"/>
      <c r="J641" s="136"/>
      <c r="K641" s="136"/>
      <c r="L641" s="136"/>
      <c r="M641" s="136"/>
      <c r="N641" s="136"/>
      <c r="O641" s="136"/>
      <c r="P641" s="136"/>
    </row>
    <row r="642" spans="2:16" s="135" customFormat="1" ht="13.5" customHeight="1">
      <c r="B642" s="145">
        <v>3</v>
      </c>
      <c r="C642" s="146" t="s">
        <v>333</v>
      </c>
      <c r="D642" s="146"/>
      <c r="E642" s="147"/>
      <c r="F642" s="147"/>
      <c r="G642" s="147">
        <f>SUM(G643:G647)</f>
        <v>1733.260855433426</v>
      </c>
      <c r="H642" s="146"/>
      <c r="J642" s="136"/>
      <c r="K642" s="136"/>
      <c r="L642" s="136"/>
      <c r="M642" s="136"/>
      <c r="N642" s="136"/>
      <c r="O642" s="136"/>
      <c r="P642" s="136"/>
    </row>
    <row r="643" spans="2:16" s="135" customFormat="1" ht="13.5" customHeight="1">
      <c r="B643" s="200"/>
      <c r="C643" s="146" t="s">
        <v>463</v>
      </c>
      <c r="D643" s="146" t="s">
        <v>335</v>
      </c>
      <c r="E643" s="147">
        <v>12</v>
      </c>
      <c r="F643" s="147">
        <f>'机械台班'!AJ18</f>
        <v>111.78121779018747</v>
      </c>
      <c r="G643" s="147">
        <f>F643*E643</f>
        <v>1341.3746134822495</v>
      </c>
      <c r="H643" s="146"/>
      <c r="J643" s="136"/>
      <c r="K643" s="136"/>
      <c r="L643" s="136"/>
      <c r="M643" s="136"/>
      <c r="N643" s="136"/>
      <c r="O643" s="136"/>
      <c r="P643" s="136"/>
    </row>
    <row r="644" spans="2:16" s="135" customFormat="1" ht="13.5" customHeight="1">
      <c r="B644" s="200"/>
      <c r="C644" s="146" t="s">
        <v>464</v>
      </c>
      <c r="D644" s="146" t="s">
        <v>335</v>
      </c>
      <c r="E644" s="147">
        <v>21.74</v>
      </c>
      <c r="F644" s="147">
        <f>'台班总'!D31</f>
        <v>15.587185879537296</v>
      </c>
      <c r="G644" s="147">
        <f>F644*E644</f>
        <v>338.8654210211408</v>
      </c>
      <c r="H644" s="146"/>
      <c r="J644" s="136"/>
      <c r="K644" s="136"/>
      <c r="L644" s="136"/>
      <c r="M644" s="136"/>
      <c r="N644" s="136"/>
      <c r="O644" s="136"/>
      <c r="P644" s="136"/>
    </row>
    <row r="645" spans="2:16" s="135" customFormat="1" ht="13.5" customHeight="1">
      <c r="B645" s="200"/>
      <c r="C645" s="146" t="s">
        <v>452</v>
      </c>
      <c r="D645" s="146" t="s">
        <v>335</v>
      </c>
      <c r="E645" s="147">
        <v>1.11</v>
      </c>
      <c r="F645" s="147">
        <f>'机械台班'!O18</f>
        <v>28.217952134024728</v>
      </c>
      <c r="G645" s="147">
        <f>F645*E645</f>
        <v>31.321926868767452</v>
      </c>
      <c r="H645" s="146"/>
      <c r="J645" s="136"/>
      <c r="K645" s="136"/>
      <c r="L645" s="136"/>
      <c r="M645" s="136"/>
      <c r="N645" s="136"/>
      <c r="O645" s="136"/>
      <c r="P645" s="136"/>
    </row>
    <row r="646" spans="2:16" s="135" customFormat="1" ht="13.5" customHeight="1">
      <c r="B646" s="200"/>
      <c r="C646" s="146" t="s">
        <v>209</v>
      </c>
      <c r="D646" s="146" t="s">
        <v>335</v>
      </c>
      <c r="E646" s="147">
        <v>5.58</v>
      </c>
      <c r="F646" s="147">
        <f>'机械台班'!Y18</f>
        <v>0.8132429198244914</v>
      </c>
      <c r="G646" s="147">
        <f>F646*E646</f>
        <v>4.537895492620662</v>
      </c>
      <c r="H646" s="146"/>
      <c r="J646" s="136"/>
      <c r="K646" s="136"/>
      <c r="L646" s="136"/>
      <c r="M646" s="136"/>
      <c r="N646" s="136"/>
      <c r="O646" s="136"/>
      <c r="P646" s="136"/>
    </row>
    <row r="647" spans="2:16" s="135" customFormat="1" ht="13.5" customHeight="1">
      <c r="B647" s="200"/>
      <c r="C647" s="146" t="s">
        <v>370</v>
      </c>
      <c r="D647" s="146" t="s">
        <v>332</v>
      </c>
      <c r="E647" s="147">
        <v>1</v>
      </c>
      <c r="F647" s="147">
        <f>SUM(G643:G646)</f>
        <v>1716.0998568647783</v>
      </c>
      <c r="G647" s="147">
        <f>F647*E647%</f>
        <v>17.160998568647784</v>
      </c>
      <c r="H647" s="146"/>
      <c r="J647" s="136"/>
      <c r="K647" s="136"/>
      <c r="L647" s="136"/>
      <c r="M647" s="136"/>
      <c r="N647" s="136"/>
      <c r="O647" s="136"/>
      <c r="P647" s="136"/>
    </row>
    <row r="648" spans="2:16" s="135" customFormat="1" ht="13.5" customHeight="1">
      <c r="B648" s="145">
        <v>4</v>
      </c>
      <c r="C648" s="146" t="s">
        <v>418</v>
      </c>
      <c r="D648" s="146"/>
      <c r="E648" s="147"/>
      <c r="F648" s="147"/>
      <c r="G648" s="147">
        <f>SUM(G649:G650)</f>
        <v>40.2100043392102</v>
      </c>
      <c r="H648" s="146"/>
      <c r="J648" s="136"/>
      <c r="K648" s="136"/>
      <c r="L648" s="136"/>
      <c r="M648" s="136"/>
      <c r="N648" s="136"/>
      <c r="O648" s="136"/>
      <c r="P648" s="136"/>
    </row>
    <row r="649" spans="2:16" s="135" customFormat="1" ht="13.5" customHeight="1">
      <c r="B649" s="145"/>
      <c r="C649" s="146" t="s">
        <v>465</v>
      </c>
      <c r="D649" s="146" t="s">
        <v>365</v>
      </c>
      <c r="E649" s="147">
        <v>100</v>
      </c>
      <c r="F649" s="147"/>
      <c r="G649" s="147">
        <f>F649*E649</f>
        <v>0</v>
      </c>
      <c r="H649" s="146"/>
      <c r="J649" s="136"/>
      <c r="K649" s="136"/>
      <c r="L649" s="136"/>
      <c r="M649" s="136"/>
      <c r="N649" s="136"/>
      <c r="O649" s="136"/>
      <c r="P649" s="136"/>
    </row>
    <row r="650" spans="2:16" s="135" customFormat="1" ht="13.5" customHeight="1">
      <c r="B650" s="195"/>
      <c r="C650" s="146" t="s">
        <v>419</v>
      </c>
      <c r="D650" s="146" t="s">
        <v>365</v>
      </c>
      <c r="E650" s="147">
        <v>6</v>
      </c>
      <c r="F650" s="147">
        <f>O612/100</f>
        <v>6.7016673898683665</v>
      </c>
      <c r="G650" s="147">
        <f>F650*E650</f>
        <v>40.2100043392102</v>
      </c>
      <c r="H650" s="146"/>
      <c r="J650" s="136"/>
      <c r="K650" s="136"/>
      <c r="L650" s="136"/>
      <c r="M650" s="136"/>
      <c r="N650" s="136"/>
      <c r="O650" s="136"/>
      <c r="P650" s="136"/>
    </row>
    <row r="651" spans="2:16" s="135" customFormat="1" ht="13.5" customHeight="1">
      <c r="B651" s="145" t="s">
        <v>63</v>
      </c>
      <c r="C651" s="146" t="s">
        <v>336</v>
      </c>
      <c r="D651" s="198">
        <v>0.048</v>
      </c>
      <c r="E651" s="147"/>
      <c r="F651" s="147"/>
      <c r="G651" s="147">
        <f>G630*D651</f>
        <v>2619.943428449175</v>
      </c>
      <c r="H651" s="146"/>
      <c r="J651" s="136"/>
      <c r="K651" s="136"/>
      <c r="L651" s="136"/>
      <c r="M651" s="136"/>
      <c r="N651" s="136"/>
      <c r="O651" s="136"/>
      <c r="P651" s="136"/>
    </row>
    <row r="652" spans="2:16" s="135" customFormat="1" ht="13.5" customHeight="1">
      <c r="B652" s="145" t="s">
        <v>355</v>
      </c>
      <c r="C652" s="146" t="s">
        <v>356</v>
      </c>
      <c r="D652" s="198"/>
      <c r="E652" s="147"/>
      <c r="F652" s="147"/>
      <c r="G652" s="147">
        <f>G630*D652</f>
        <v>0</v>
      </c>
      <c r="H652" s="146"/>
      <c r="J652" s="136"/>
      <c r="K652" s="136"/>
      <c r="L652" s="136"/>
      <c r="M652" s="136"/>
      <c r="N652" s="136"/>
      <c r="O652" s="136"/>
      <c r="P652" s="136"/>
    </row>
    <row r="653" spans="2:16" s="135" customFormat="1" ht="13.5" customHeight="1">
      <c r="B653" s="145" t="s">
        <v>18</v>
      </c>
      <c r="C653" s="146" t="s">
        <v>337</v>
      </c>
      <c r="D653" s="198">
        <v>0.08</v>
      </c>
      <c r="E653" s="147"/>
      <c r="F653" s="147"/>
      <c r="G653" s="147">
        <f>G629*D653</f>
        <v>4576.167855024559</v>
      </c>
      <c r="H653" s="146"/>
      <c r="J653" s="136"/>
      <c r="K653" s="136"/>
      <c r="L653" s="136"/>
      <c r="M653" s="136"/>
      <c r="N653" s="136"/>
      <c r="O653" s="136"/>
      <c r="P653" s="136"/>
    </row>
    <row r="654" spans="2:15" s="135" customFormat="1" ht="13.5" customHeight="1">
      <c r="B654" s="145" t="s">
        <v>20</v>
      </c>
      <c r="C654" s="146" t="s">
        <v>338</v>
      </c>
      <c r="D654" s="199">
        <v>0.07</v>
      </c>
      <c r="E654" s="147"/>
      <c r="F654" s="147"/>
      <c r="G654" s="147">
        <f>(G629+G653)*D654</f>
        <v>4324.478622998208</v>
      </c>
      <c r="H654" s="146"/>
      <c r="M654" s="137"/>
      <c r="N654" s="137"/>
      <c r="O654" s="137"/>
    </row>
    <row r="655" spans="2:15" s="135" customFormat="1" ht="13.5" customHeight="1">
      <c r="B655" s="145" t="s">
        <v>22</v>
      </c>
      <c r="C655" s="146" t="s">
        <v>339</v>
      </c>
      <c r="D655" s="152"/>
      <c r="E655" s="147"/>
      <c r="F655" s="147"/>
      <c r="G655" s="147">
        <f>SUM(G656:G661)</f>
        <v>5754.181753353041</v>
      </c>
      <c r="H655" s="146"/>
      <c r="M655" s="137"/>
      <c r="N655" s="137"/>
      <c r="O655" s="137"/>
    </row>
    <row r="656" spans="2:15" s="135" customFormat="1" ht="13.5" customHeight="1">
      <c r="B656" s="145"/>
      <c r="C656" s="146" t="s">
        <v>298</v>
      </c>
      <c r="D656" s="152" t="s">
        <v>77</v>
      </c>
      <c r="E656" s="147">
        <f>E639*'配合'!E8/1000+'单价表'!E640*'配合'!E14/1000+E615</f>
        <v>36.827318000000005</v>
      </c>
      <c r="F656" s="147">
        <f>'机械台班'!C26</f>
        <v>118.56378999999998</v>
      </c>
      <c r="G656" s="147">
        <f aca="true" t="shared" si="19" ref="G656:G661">F656*E656</f>
        <v>4366.38639761522</v>
      </c>
      <c r="H656" s="146"/>
      <c r="M656" s="137"/>
      <c r="N656" s="137"/>
      <c r="O656" s="137"/>
    </row>
    <row r="657" spans="2:15" s="135" customFormat="1" ht="13.5" customHeight="1">
      <c r="B657" s="145"/>
      <c r="C657" s="146" t="s">
        <v>299</v>
      </c>
      <c r="D657" s="146" t="s">
        <v>365</v>
      </c>
      <c r="E657" s="147">
        <f>(E639*'配合'!F8+'单价表'!E640*'配合'!F14+E616)</f>
        <v>58.38712</v>
      </c>
      <c r="F657" s="147">
        <f>'机械台班'!C27</f>
        <v>1.5600419999999957</v>
      </c>
      <c r="G657" s="147">
        <f t="shared" si="19"/>
        <v>91.08635945903976</v>
      </c>
      <c r="H657" s="146"/>
      <c r="M657" s="137"/>
      <c r="N657" s="137"/>
      <c r="O657" s="137"/>
    </row>
    <row r="658" spans="2:15" s="135" customFormat="1" ht="13.5" customHeight="1">
      <c r="B658" s="145"/>
      <c r="C658" s="146" t="s">
        <v>300</v>
      </c>
      <c r="D658" s="146" t="s">
        <v>365</v>
      </c>
      <c r="E658" s="147">
        <f>E639*'配合'!G8+E617</f>
        <v>90.87422400000003</v>
      </c>
      <c r="F658" s="147">
        <f>'机械台班'!C28</f>
        <v>8.098611067961158</v>
      </c>
      <c r="G658" s="147">
        <f t="shared" si="19"/>
        <v>735.9549962787818</v>
      </c>
      <c r="H658" s="146"/>
      <c r="M658" s="137"/>
      <c r="N658" s="137"/>
      <c r="O658" s="137"/>
    </row>
    <row r="659" spans="2:15" s="135" customFormat="1" ht="13.5" customHeight="1">
      <c r="B659" s="145"/>
      <c r="C659" s="146" t="s">
        <v>305</v>
      </c>
      <c r="D659" s="146" t="s">
        <v>365</v>
      </c>
      <c r="E659" s="147">
        <f>E634+E618</f>
        <v>2.9499999999999997</v>
      </c>
      <c r="F659" s="147">
        <f>'机械台班'!C33</f>
        <v>0</v>
      </c>
      <c r="G659" s="147">
        <f t="shared" si="19"/>
        <v>0</v>
      </c>
      <c r="H659" s="146"/>
      <c r="M659" s="137"/>
      <c r="N659" s="137"/>
      <c r="O659" s="137"/>
    </row>
    <row r="660" spans="2:15" s="135" customFormat="1" ht="13.5" customHeight="1">
      <c r="B660" s="145"/>
      <c r="C660" s="146" t="s">
        <v>303</v>
      </c>
      <c r="D660" s="146" t="s">
        <v>307</v>
      </c>
      <c r="E660" s="147">
        <f>E619</f>
        <v>10.8</v>
      </c>
      <c r="F660" s="147">
        <f>'机械台班'!C31</f>
        <v>5.055000000000001</v>
      </c>
      <c r="G660" s="147">
        <f t="shared" si="19"/>
        <v>54.59400000000001</v>
      </c>
      <c r="H660" s="146"/>
      <c r="M660" s="137"/>
      <c r="N660" s="137"/>
      <c r="O660" s="137"/>
    </row>
    <row r="661" spans="2:15" s="135" customFormat="1" ht="13.5" customHeight="1">
      <c r="B661" s="145"/>
      <c r="C661" s="146" t="s">
        <v>304</v>
      </c>
      <c r="D661" s="152" t="s">
        <v>307</v>
      </c>
      <c r="E661" s="147">
        <f>E643*'机械台班'!AJ13</f>
        <v>133.2</v>
      </c>
      <c r="F661" s="147">
        <f>'机械台班'!C32</f>
        <v>3.8</v>
      </c>
      <c r="G661" s="147">
        <f t="shared" si="19"/>
        <v>506.1599999999999</v>
      </c>
      <c r="H661" s="146"/>
      <c r="M661" s="137"/>
      <c r="N661" s="137"/>
      <c r="O661" s="137"/>
    </row>
    <row r="662" spans="2:15" s="135" customFormat="1" ht="13.5" customHeight="1">
      <c r="B662" s="145"/>
      <c r="C662" s="146"/>
      <c r="D662" s="152"/>
      <c r="E662" s="147"/>
      <c r="F662" s="147"/>
      <c r="G662" s="147"/>
      <c r="H662" s="146"/>
      <c r="M662" s="137"/>
      <c r="N662" s="137"/>
      <c r="O662" s="137"/>
    </row>
    <row r="663" spans="2:15" s="135" customFormat="1" ht="13.5" customHeight="1">
      <c r="B663" s="145" t="s">
        <v>24</v>
      </c>
      <c r="C663" s="146" t="s">
        <v>340</v>
      </c>
      <c r="D663" s="152">
        <v>0.09</v>
      </c>
      <c r="E663" s="147"/>
      <c r="F663" s="147"/>
      <c r="G663" s="147">
        <f>(G629+G653+G654+G655)*D663</f>
        <v>6467.1233777264515</v>
      </c>
      <c r="H663" s="146"/>
      <c r="M663" s="137"/>
      <c r="N663" s="137"/>
      <c r="O663" s="137"/>
    </row>
    <row r="664" spans="2:15" s="135" customFormat="1" ht="13.5" customHeight="1">
      <c r="B664" s="195"/>
      <c r="C664" s="146" t="s">
        <v>36</v>
      </c>
      <c r="D664" s="146"/>
      <c r="E664" s="147"/>
      <c r="F664" s="147"/>
      <c r="G664" s="147">
        <f>G654+G653++G663+G629+G655</f>
        <v>78324.04979690924</v>
      </c>
      <c r="H664" s="146"/>
      <c r="M664" s="137"/>
      <c r="N664" s="137"/>
      <c r="O664" s="137"/>
    </row>
    <row r="665" spans="2:15" s="135" customFormat="1" ht="13.5" customHeight="1">
      <c r="B665" s="145" t="s">
        <v>341</v>
      </c>
      <c r="C665" s="146" t="s">
        <v>342</v>
      </c>
      <c r="D665" s="153">
        <v>0.03</v>
      </c>
      <c r="E665" s="147"/>
      <c r="F665" s="147"/>
      <c r="G665" s="147">
        <f>G664*D665</f>
        <v>2349.721493907277</v>
      </c>
      <c r="H665" s="194"/>
      <c r="M665" s="137"/>
      <c r="N665" s="137"/>
      <c r="O665" s="137"/>
    </row>
    <row r="666" spans="2:15" s="135" customFormat="1" ht="13.5" customHeight="1">
      <c r="B666" s="195"/>
      <c r="C666" s="146" t="s">
        <v>343</v>
      </c>
      <c r="D666" s="194"/>
      <c r="E666" s="196"/>
      <c r="F666" s="196"/>
      <c r="G666" s="147">
        <f>G664+G665</f>
        <v>80673.77129081651</v>
      </c>
      <c r="H666" s="194"/>
      <c r="M666" s="137"/>
      <c r="N666" s="137"/>
      <c r="O666" s="137"/>
    </row>
    <row r="667" spans="3:15" s="135" customFormat="1" ht="13.5" customHeight="1">
      <c r="C667" s="13"/>
      <c r="E667" s="137"/>
      <c r="F667" s="137"/>
      <c r="G667" s="155"/>
      <c r="M667" s="137"/>
      <c r="N667" s="137"/>
      <c r="O667" s="137"/>
    </row>
    <row r="668" spans="3:15" s="135" customFormat="1" ht="13.5" customHeight="1">
      <c r="C668" s="13"/>
      <c r="E668" s="137"/>
      <c r="F668" s="137"/>
      <c r="G668" s="155"/>
      <c r="H668" s="13"/>
      <c r="M668" s="137"/>
      <c r="N668" s="137"/>
      <c r="O668" s="137"/>
    </row>
    <row r="669" spans="2:16" s="135" customFormat="1" ht="19.5" customHeight="1">
      <c r="B669" s="138" t="s">
        <v>317</v>
      </c>
      <c r="C669" s="138"/>
      <c r="D669" s="138"/>
      <c r="E669" s="138"/>
      <c r="F669" s="138"/>
      <c r="G669" s="138"/>
      <c r="H669" s="138"/>
      <c r="J669" s="138" t="s">
        <v>317</v>
      </c>
      <c r="K669" s="138"/>
      <c r="L669" s="138"/>
      <c r="M669" s="138"/>
      <c r="N669" s="138"/>
      <c r="O669" s="138"/>
      <c r="P669" s="138"/>
    </row>
    <row r="670" spans="2:16" s="135" customFormat="1" ht="13.5" customHeight="1">
      <c r="B670" s="139" t="s">
        <v>466</v>
      </c>
      <c r="C670" s="139"/>
      <c r="D670" s="139"/>
      <c r="E670" s="139"/>
      <c r="F670" s="139"/>
      <c r="G670" s="139"/>
      <c r="H670" s="139"/>
      <c r="J670" s="139" t="s">
        <v>467</v>
      </c>
      <c r="K670" s="139"/>
      <c r="L670" s="139"/>
      <c r="M670" s="139"/>
      <c r="N670" s="139"/>
      <c r="O670" s="139"/>
      <c r="P670" s="139"/>
    </row>
    <row r="671" spans="2:16" s="135" customFormat="1" ht="13.5" customHeight="1">
      <c r="B671" s="140" t="s">
        <v>468</v>
      </c>
      <c r="C671" s="140"/>
      <c r="D671" s="140"/>
      <c r="E671" s="140"/>
      <c r="F671" s="137"/>
      <c r="G671" s="141" t="s">
        <v>320</v>
      </c>
      <c r="H671" s="141"/>
      <c r="J671" s="140" t="s">
        <v>468</v>
      </c>
      <c r="K671" s="140"/>
      <c r="L671" s="140"/>
      <c r="M671" s="140"/>
      <c r="N671" s="137"/>
      <c r="O671" s="141" t="s">
        <v>320</v>
      </c>
      <c r="P671" s="141"/>
    </row>
    <row r="672" spans="2:16" s="135" customFormat="1" ht="13.5" customHeight="1">
      <c r="B672" s="142" t="s">
        <v>360</v>
      </c>
      <c r="C672" s="143"/>
      <c r="D672" s="143"/>
      <c r="E672" s="143"/>
      <c r="F672" s="143"/>
      <c r="G672" s="143"/>
      <c r="H672" s="144"/>
      <c r="J672" s="142" t="s">
        <v>360</v>
      </c>
      <c r="K672" s="143"/>
      <c r="L672" s="143"/>
      <c r="M672" s="143"/>
      <c r="N672" s="143"/>
      <c r="O672" s="143"/>
      <c r="P672" s="144"/>
    </row>
    <row r="673" spans="2:16" s="135" customFormat="1" ht="30" customHeight="1">
      <c r="B673" s="145" t="s">
        <v>361</v>
      </c>
      <c r="C673" s="146" t="s">
        <v>322</v>
      </c>
      <c r="D673" s="146" t="s">
        <v>102</v>
      </c>
      <c r="E673" s="147" t="s">
        <v>324</v>
      </c>
      <c r="F673" s="148" t="s">
        <v>325</v>
      </c>
      <c r="G673" s="148" t="s">
        <v>326</v>
      </c>
      <c r="H673" s="146" t="s">
        <v>386</v>
      </c>
      <c r="J673" s="145" t="s">
        <v>361</v>
      </c>
      <c r="K673" s="146" t="s">
        <v>322</v>
      </c>
      <c r="L673" s="146" t="s">
        <v>102</v>
      </c>
      <c r="M673" s="147" t="s">
        <v>324</v>
      </c>
      <c r="N673" s="148" t="s">
        <v>325</v>
      </c>
      <c r="O673" s="148" t="s">
        <v>326</v>
      </c>
      <c r="P673" s="146" t="s">
        <v>386</v>
      </c>
    </row>
    <row r="674" spans="2:16" s="135" customFormat="1" ht="13.5" customHeight="1">
      <c r="B674" s="145" t="s">
        <v>16</v>
      </c>
      <c r="C674" s="146" t="s">
        <v>327</v>
      </c>
      <c r="D674" s="194"/>
      <c r="E674" s="147"/>
      <c r="F674" s="147"/>
      <c r="G674" s="147">
        <f>G675+G687+G688</f>
        <v>10054.318974387665</v>
      </c>
      <c r="H674" s="146"/>
      <c r="J674" s="145" t="s">
        <v>16</v>
      </c>
      <c r="K674" s="146" t="s">
        <v>327</v>
      </c>
      <c r="L674" s="194"/>
      <c r="M674" s="147"/>
      <c r="N674" s="147"/>
      <c r="O674" s="147">
        <f>O675+O687+O688</f>
        <v>4939.232517767481</v>
      </c>
      <c r="P674" s="146"/>
    </row>
    <row r="675" spans="2:16" s="135" customFormat="1" ht="13.5" customHeight="1">
      <c r="B675" s="145" t="s">
        <v>39</v>
      </c>
      <c r="C675" s="146" t="s">
        <v>328</v>
      </c>
      <c r="D675" s="194"/>
      <c r="E675" s="147"/>
      <c r="F675" s="147"/>
      <c r="G675" s="147">
        <f>G676+G679+G683</f>
        <v>9593.815815255406</v>
      </c>
      <c r="H675" s="146"/>
      <c r="J675" s="145" t="s">
        <v>39</v>
      </c>
      <c r="K675" s="146" t="s">
        <v>328</v>
      </c>
      <c r="L675" s="194"/>
      <c r="M675" s="147"/>
      <c r="N675" s="147"/>
      <c r="O675" s="147">
        <f>O676+O679+O683</f>
        <v>4713.008127640726</v>
      </c>
      <c r="P675" s="146"/>
    </row>
    <row r="676" spans="2:16" s="135" customFormat="1" ht="13.5" customHeight="1">
      <c r="B676" s="145">
        <v>1</v>
      </c>
      <c r="C676" s="146" t="s">
        <v>329</v>
      </c>
      <c r="D676" s="149"/>
      <c r="E676" s="147"/>
      <c r="F676" s="147"/>
      <c r="G676" s="147">
        <f>SUM(G677:G678)</f>
        <v>599.761</v>
      </c>
      <c r="H676" s="146"/>
      <c r="J676" s="145">
        <v>1</v>
      </c>
      <c r="K676" s="146" t="s">
        <v>329</v>
      </c>
      <c r="L676" s="149"/>
      <c r="M676" s="147"/>
      <c r="N676" s="147"/>
      <c r="O676" s="147">
        <f>SUM(O677:O678)</f>
        <v>599.761</v>
      </c>
      <c r="P676" s="146"/>
    </row>
    <row r="677" spans="2:16" s="135" customFormat="1" ht="13.5" customHeight="1">
      <c r="B677" s="145"/>
      <c r="C677" s="149" t="s">
        <v>351</v>
      </c>
      <c r="D677" s="149" t="s">
        <v>163</v>
      </c>
      <c r="E677" s="147">
        <v>43.2</v>
      </c>
      <c r="F677" s="147">
        <f>N677</f>
        <v>8.1</v>
      </c>
      <c r="G677" s="147">
        <f>F677*E677</f>
        <v>349.92</v>
      </c>
      <c r="H677" s="146"/>
      <c r="J677" s="145"/>
      <c r="K677" s="149" t="s">
        <v>351</v>
      </c>
      <c r="L677" s="149" t="s">
        <v>163</v>
      </c>
      <c r="M677" s="147">
        <v>43.2</v>
      </c>
      <c r="N677" s="147">
        <f>'单价分析'!E15</f>
        <v>8.1</v>
      </c>
      <c r="O677" s="147">
        <f>N677*M677</f>
        <v>349.92</v>
      </c>
      <c r="P677" s="146"/>
    </row>
    <row r="678" spans="2:16" s="135" customFormat="1" ht="13.5" customHeight="1">
      <c r="B678" s="145"/>
      <c r="C678" s="149" t="s">
        <v>330</v>
      </c>
      <c r="D678" s="149" t="s">
        <v>163</v>
      </c>
      <c r="E678" s="147">
        <v>43.3</v>
      </c>
      <c r="F678" s="147">
        <f>N678</f>
        <v>5.77</v>
      </c>
      <c r="G678" s="147">
        <f>F678*E678</f>
        <v>249.84099999999995</v>
      </c>
      <c r="H678" s="146"/>
      <c r="J678" s="145"/>
      <c r="K678" s="149" t="s">
        <v>330</v>
      </c>
      <c r="L678" s="149" t="s">
        <v>163</v>
      </c>
      <c r="M678" s="147">
        <v>43.3</v>
      </c>
      <c r="N678" s="147">
        <f>'单价分析'!E16</f>
        <v>5.77</v>
      </c>
      <c r="O678" s="147">
        <f>N678*M678</f>
        <v>249.84099999999995</v>
      </c>
      <c r="P678" s="146"/>
    </row>
    <row r="679" spans="2:16" s="135" customFormat="1" ht="13.5" customHeight="1">
      <c r="B679" s="145">
        <v>2</v>
      </c>
      <c r="C679" s="146" t="s">
        <v>373</v>
      </c>
      <c r="D679" s="194"/>
      <c r="E679" s="147"/>
      <c r="F679" s="147"/>
      <c r="G679" s="147">
        <f>SUM(G680:G682)</f>
        <v>253.5522675</v>
      </c>
      <c r="H679" s="146"/>
      <c r="J679" s="145">
        <v>2</v>
      </c>
      <c r="K679" s="146" t="s">
        <v>373</v>
      </c>
      <c r="L679" s="194"/>
      <c r="M679" s="147"/>
      <c r="N679" s="147"/>
      <c r="O679" s="147">
        <f>SUM(O680:O682)</f>
        <v>253.5522675</v>
      </c>
      <c r="P679" s="146"/>
    </row>
    <row r="680" spans="2:16" s="135" customFormat="1" ht="13.5" customHeight="1">
      <c r="B680" s="200"/>
      <c r="C680" s="146" t="s">
        <v>411</v>
      </c>
      <c r="D680" s="146" t="s">
        <v>365</v>
      </c>
      <c r="E680" s="147">
        <v>0.1</v>
      </c>
      <c r="F680" s="147">
        <f>N680</f>
        <v>1789.6725</v>
      </c>
      <c r="G680" s="147">
        <f>F680*E680</f>
        <v>178.96725</v>
      </c>
      <c r="H680" s="146"/>
      <c r="J680" s="200"/>
      <c r="K680" s="146" t="s">
        <v>411</v>
      </c>
      <c r="L680" s="146" t="s">
        <v>365</v>
      </c>
      <c r="M680" s="147">
        <v>0.1</v>
      </c>
      <c r="N680" s="147">
        <f>'单价分析'!L12</f>
        <v>1789.6725</v>
      </c>
      <c r="O680" s="147">
        <f>N680*M680</f>
        <v>178.96725</v>
      </c>
      <c r="P680" s="146"/>
    </row>
    <row r="681" spans="2:16" s="135" customFormat="1" ht="13.5" customHeight="1">
      <c r="B681" s="200"/>
      <c r="C681" s="146" t="s">
        <v>312</v>
      </c>
      <c r="D681" s="146" t="s">
        <v>307</v>
      </c>
      <c r="E681" s="147">
        <v>12</v>
      </c>
      <c r="F681" s="147">
        <f>N681</f>
        <v>5.6</v>
      </c>
      <c r="G681" s="147">
        <f>F681*E681</f>
        <v>67.19999999999999</v>
      </c>
      <c r="H681" s="146"/>
      <c r="J681" s="200"/>
      <c r="K681" s="146" t="s">
        <v>312</v>
      </c>
      <c r="L681" s="146" t="s">
        <v>307</v>
      </c>
      <c r="M681" s="147">
        <v>12</v>
      </c>
      <c r="N681" s="147">
        <f>'机械台班'!D40</f>
        <v>5.6</v>
      </c>
      <c r="O681" s="147">
        <f>N681*M681</f>
        <v>67.19999999999999</v>
      </c>
      <c r="P681" s="146"/>
    </row>
    <row r="682" spans="2:16" s="135" customFormat="1" ht="13.5" customHeight="1">
      <c r="B682" s="145"/>
      <c r="C682" s="146" t="s">
        <v>404</v>
      </c>
      <c r="D682" s="146" t="s">
        <v>332</v>
      </c>
      <c r="E682" s="147">
        <v>3</v>
      </c>
      <c r="F682" s="147">
        <f>SUM(G680:G681)</f>
        <v>246.16725</v>
      </c>
      <c r="G682" s="147">
        <f>F682*E682/100</f>
        <v>7.3850175</v>
      </c>
      <c r="H682" s="146"/>
      <c r="J682" s="145"/>
      <c r="K682" s="146" t="s">
        <v>404</v>
      </c>
      <c r="L682" s="146" t="s">
        <v>332</v>
      </c>
      <c r="M682" s="147">
        <v>3</v>
      </c>
      <c r="N682" s="147">
        <f>SUM(O680:O681)</f>
        <v>246.16725</v>
      </c>
      <c r="O682" s="147">
        <f>N682*M682/100</f>
        <v>7.3850175</v>
      </c>
      <c r="P682" s="146"/>
    </row>
    <row r="683" spans="2:16" s="135" customFormat="1" ht="13.5" customHeight="1">
      <c r="B683" s="145">
        <v>3</v>
      </c>
      <c r="C683" s="146" t="s">
        <v>333</v>
      </c>
      <c r="D683" s="146"/>
      <c r="E683" s="147"/>
      <c r="F683" s="147"/>
      <c r="G683" s="147">
        <f>SUM(G684:G686)</f>
        <v>8740.502547755406</v>
      </c>
      <c r="H683" s="146"/>
      <c r="J683" s="145">
        <v>3</v>
      </c>
      <c r="K683" s="146" t="s">
        <v>333</v>
      </c>
      <c r="L683" s="146"/>
      <c r="M683" s="147"/>
      <c r="N683" s="147"/>
      <c r="O683" s="147">
        <f>SUM(O684:O686)</f>
        <v>3859.6948601407266</v>
      </c>
      <c r="P683" s="146"/>
    </row>
    <row r="684" spans="2:16" s="135" customFormat="1" ht="13.5" customHeight="1">
      <c r="B684" s="145"/>
      <c r="C684" s="146" t="s">
        <v>206</v>
      </c>
      <c r="D684" s="146" t="s">
        <v>335</v>
      </c>
      <c r="E684" s="147">
        <f>34.74+2.85*25</f>
        <v>105.99000000000001</v>
      </c>
      <c r="F684" s="147">
        <f>N684</f>
        <v>74.45930873554049</v>
      </c>
      <c r="G684" s="147">
        <f>F684*E684</f>
        <v>7891.942132879937</v>
      </c>
      <c r="H684" s="146"/>
      <c r="J684" s="145"/>
      <c r="K684" s="146" t="s">
        <v>206</v>
      </c>
      <c r="L684" s="146" t="s">
        <v>335</v>
      </c>
      <c r="M684" s="147">
        <f>34.74+2.85*2</f>
        <v>40.440000000000005</v>
      </c>
      <c r="N684" s="147">
        <f>'台班总'!D17</f>
        <v>74.45930873554049</v>
      </c>
      <c r="O684" s="147">
        <f>N684*M684</f>
        <v>3011.134445265258</v>
      </c>
      <c r="P684" s="146"/>
    </row>
    <row r="685" spans="2:16" s="135" customFormat="1" ht="13.5" customHeight="1">
      <c r="B685" s="200"/>
      <c r="C685" s="146" t="s">
        <v>213</v>
      </c>
      <c r="D685" s="146" t="s">
        <v>335</v>
      </c>
      <c r="E685" s="147">
        <v>13</v>
      </c>
      <c r="F685" s="147">
        <f>N685</f>
        <v>62.33427802153969</v>
      </c>
      <c r="G685" s="147">
        <f>F685*E685</f>
        <v>810.345614280016</v>
      </c>
      <c r="H685" s="146"/>
      <c r="J685" s="200"/>
      <c r="K685" s="146" t="s">
        <v>213</v>
      </c>
      <c r="L685" s="146" t="s">
        <v>335</v>
      </c>
      <c r="M685" s="147">
        <v>13</v>
      </c>
      <c r="N685" s="147">
        <f>'机械台班'!AH18</f>
        <v>62.33427802153969</v>
      </c>
      <c r="O685" s="147">
        <f>N685*M685</f>
        <v>810.345614280016</v>
      </c>
      <c r="P685" s="146"/>
    </row>
    <row r="686" spans="2:16" s="135" customFormat="1" ht="13.5" customHeight="1">
      <c r="B686" s="200"/>
      <c r="C686" s="146" t="s">
        <v>370</v>
      </c>
      <c r="D686" s="146" t="s">
        <v>332</v>
      </c>
      <c r="E686" s="147">
        <v>1</v>
      </c>
      <c r="F686" s="147">
        <f>N686</f>
        <v>3821.480059545274</v>
      </c>
      <c r="G686" s="147">
        <f>F686*E686%</f>
        <v>38.214800595452736</v>
      </c>
      <c r="H686" s="146"/>
      <c r="J686" s="200"/>
      <c r="K686" s="146" t="s">
        <v>370</v>
      </c>
      <c r="L686" s="146" t="s">
        <v>332</v>
      </c>
      <c r="M686" s="147">
        <v>1</v>
      </c>
      <c r="N686" s="147">
        <f>SUM(O684:O685)</f>
        <v>3821.480059545274</v>
      </c>
      <c r="O686" s="147">
        <f>N686*M686%</f>
        <v>38.214800595452736</v>
      </c>
      <c r="P686" s="146"/>
    </row>
    <row r="687" spans="2:16" s="135" customFormat="1" ht="13.5" customHeight="1">
      <c r="B687" s="145" t="s">
        <v>63</v>
      </c>
      <c r="C687" s="146" t="s">
        <v>336</v>
      </c>
      <c r="D687" s="198">
        <v>0.048</v>
      </c>
      <c r="E687" s="147"/>
      <c r="F687" s="147"/>
      <c r="G687" s="147">
        <f>D687*G675</f>
        <v>460.5031591322595</v>
      </c>
      <c r="H687" s="146"/>
      <c r="J687" s="145" t="s">
        <v>63</v>
      </c>
      <c r="K687" s="146" t="s">
        <v>336</v>
      </c>
      <c r="L687" s="198">
        <v>0.048</v>
      </c>
      <c r="M687" s="147"/>
      <c r="N687" s="147"/>
      <c r="O687" s="147">
        <f>L687*O675</f>
        <v>226.22439012675486</v>
      </c>
      <c r="P687" s="146"/>
    </row>
    <row r="688" spans="2:16" s="135" customFormat="1" ht="13.5" customHeight="1">
      <c r="B688" s="145" t="s">
        <v>355</v>
      </c>
      <c r="C688" s="146" t="s">
        <v>356</v>
      </c>
      <c r="D688" s="198"/>
      <c r="E688" s="147"/>
      <c r="F688" s="147"/>
      <c r="G688" s="147">
        <f>D688*G675</f>
        <v>0</v>
      </c>
      <c r="H688" s="146"/>
      <c r="J688" s="145" t="s">
        <v>355</v>
      </c>
      <c r="K688" s="146" t="s">
        <v>356</v>
      </c>
      <c r="L688" s="198"/>
      <c r="M688" s="147"/>
      <c r="N688" s="147"/>
      <c r="O688" s="147">
        <f>L688*O675</f>
        <v>0</v>
      </c>
      <c r="P688" s="146"/>
    </row>
    <row r="689" spans="2:16" s="135" customFormat="1" ht="13.5" customHeight="1">
      <c r="B689" s="145" t="s">
        <v>18</v>
      </c>
      <c r="C689" s="146" t="s">
        <v>337</v>
      </c>
      <c r="D689" s="198">
        <v>0.08</v>
      </c>
      <c r="E689" s="147"/>
      <c r="F689" s="147"/>
      <c r="G689" s="147">
        <f>D689*G674</f>
        <v>804.3455179510132</v>
      </c>
      <c r="H689" s="146"/>
      <c r="J689" s="145" t="s">
        <v>18</v>
      </c>
      <c r="K689" s="146" t="s">
        <v>337</v>
      </c>
      <c r="L689" s="198">
        <v>0.08</v>
      </c>
      <c r="M689" s="147"/>
      <c r="N689" s="147"/>
      <c r="O689" s="147">
        <f>L689*O674</f>
        <v>395.1386014213985</v>
      </c>
      <c r="P689" s="146"/>
    </row>
    <row r="690" spans="2:16" s="135" customFormat="1" ht="13.5" customHeight="1">
      <c r="B690" s="145" t="s">
        <v>20</v>
      </c>
      <c r="C690" s="146" t="s">
        <v>338</v>
      </c>
      <c r="D690" s="199">
        <v>0.07</v>
      </c>
      <c r="E690" s="147"/>
      <c r="F690" s="147"/>
      <c r="G690" s="147">
        <f>(G674+G689)*D690</f>
        <v>760.1065144637075</v>
      </c>
      <c r="H690" s="146"/>
      <c r="J690" s="145" t="s">
        <v>20</v>
      </c>
      <c r="K690" s="146" t="s">
        <v>338</v>
      </c>
      <c r="L690" s="199">
        <v>0.07</v>
      </c>
      <c r="M690" s="147"/>
      <c r="N690" s="147"/>
      <c r="O690" s="147">
        <f>(O674+O689)*L690</f>
        <v>373.4059783432216</v>
      </c>
      <c r="P690" s="146"/>
    </row>
    <row r="691" spans="2:16" s="135" customFormat="1" ht="13.5" customHeight="1">
      <c r="B691" s="145" t="s">
        <v>22</v>
      </c>
      <c r="C691" s="146" t="s">
        <v>339</v>
      </c>
      <c r="D691" s="152"/>
      <c r="E691" s="147"/>
      <c r="F691" s="147"/>
      <c r="G691" s="147">
        <f>SUM(G692:G694)</f>
        <v>3965.7288000000003</v>
      </c>
      <c r="H691" s="146"/>
      <c r="J691" s="145" t="s">
        <v>22</v>
      </c>
      <c r="K691" s="146" t="s">
        <v>339</v>
      </c>
      <c r="L691" s="152"/>
      <c r="M691" s="147"/>
      <c r="N691" s="147"/>
      <c r="O691" s="147">
        <f>SUM(O692:O694)</f>
        <v>1748.8278</v>
      </c>
      <c r="P691" s="146"/>
    </row>
    <row r="692" spans="2:16" s="135" customFormat="1" ht="13.5" customHeight="1">
      <c r="B692" s="145"/>
      <c r="C692" s="146" t="s">
        <v>411</v>
      </c>
      <c r="D692" s="146" t="s">
        <v>365</v>
      </c>
      <c r="E692" s="147">
        <f>E680</f>
        <v>0.1</v>
      </c>
      <c r="F692" s="147">
        <f>N692</f>
        <v>0</v>
      </c>
      <c r="G692" s="147">
        <f>F692*E692</f>
        <v>0</v>
      </c>
      <c r="H692" s="146"/>
      <c r="J692" s="145"/>
      <c r="K692" s="146" t="s">
        <v>411</v>
      </c>
      <c r="L692" s="146" t="s">
        <v>365</v>
      </c>
      <c r="M692" s="147">
        <f>M680</f>
        <v>0.1</v>
      </c>
      <c r="N692" s="147">
        <f>'机械台班'!C33</f>
        <v>0</v>
      </c>
      <c r="O692" s="147">
        <f>N692*M692</f>
        <v>0</v>
      </c>
      <c r="P692" s="146"/>
    </row>
    <row r="693" spans="2:16" s="135" customFormat="1" ht="13.5" customHeight="1">
      <c r="B693" s="145"/>
      <c r="C693" s="146" t="s">
        <v>303</v>
      </c>
      <c r="D693" s="146" t="s">
        <v>307</v>
      </c>
      <c r="E693" s="147">
        <f>E685*'机械台班'!AH13</f>
        <v>75.39999999999999</v>
      </c>
      <c r="F693" s="147">
        <f>N693</f>
        <v>5.055000000000001</v>
      </c>
      <c r="G693" s="147">
        <f>F693*E693</f>
        <v>381.147</v>
      </c>
      <c r="H693" s="146"/>
      <c r="J693" s="145"/>
      <c r="K693" s="146" t="s">
        <v>303</v>
      </c>
      <c r="L693" s="146" t="s">
        <v>307</v>
      </c>
      <c r="M693" s="147">
        <f>M685*'机械台班'!AH13</f>
        <v>75.39999999999999</v>
      </c>
      <c r="N693" s="147">
        <f>'机械台班'!C31</f>
        <v>5.055000000000001</v>
      </c>
      <c r="O693" s="147">
        <f>N693*M693</f>
        <v>381.147</v>
      </c>
      <c r="P693" s="146"/>
    </row>
    <row r="694" spans="2:16" s="135" customFormat="1" ht="13.5" customHeight="1">
      <c r="B694" s="145"/>
      <c r="C694" s="146" t="s">
        <v>304</v>
      </c>
      <c r="D694" s="152" t="s">
        <v>307</v>
      </c>
      <c r="E694" s="147">
        <f>E684*'机械台班'!T13</f>
        <v>943.3110000000001</v>
      </c>
      <c r="F694" s="147">
        <f>N694</f>
        <v>3.8</v>
      </c>
      <c r="G694" s="147">
        <f>F694*E694</f>
        <v>3584.5818000000004</v>
      </c>
      <c r="H694" s="146"/>
      <c r="J694" s="145"/>
      <c r="K694" s="146" t="s">
        <v>304</v>
      </c>
      <c r="L694" s="152" t="s">
        <v>307</v>
      </c>
      <c r="M694" s="147">
        <f>M684*'机械台班'!T13</f>
        <v>359.91600000000005</v>
      </c>
      <c r="N694" s="147">
        <f>'机械台班'!C32</f>
        <v>3.8</v>
      </c>
      <c r="O694" s="147">
        <f>N694*M694</f>
        <v>1367.6808</v>
      </c>
      <c r="P694" s="146"/>
    </row>
    <row r="695" spans="2:16" s="135" customFormat="1" ht="13.5" customHeight="1">
      <c r="B695" s="145" t="s">
        <v>24</v>
      </c>
      <c r="C695" s="146" t="s">
        <v>340</v>
      </c>
      <c r="D695" s="152">
        <v>0.09</v>
      </c>
      <c r="E695" s="147"/>
      <c r="F695" s="147"/>
      <c r="G695" s="147">
        <f>(G691+G690+G689+G674)*D695</f>
        <v>1402.6049826122146</v>
      </c>
      <c r="H695" s="146"/>
      <c r="J695" s="145" t="s">
        <v>24</v>
      </c>
      <c r="K695" s="146" t="s">
        <v>340</v>
      </c>
      <c r="L695" s="152">
        <v>0.09</v>
      </c>
      <c r="M695" s="147"/>
      <c r="N695" s="147"/>
      <c r="O695" s="147">
        <f>(O691+O690+O689+O674)*L695</f>
        <v>671.0944407778891</v>
      </c>
      <c r="P695" s="146"/>
    </row>
    <row r="696" spans="2:16" s="135" customFormat="1" ht="13.5" customHeight="1">
      <c r="B696" s="195"/>
      <c r="C696" s="146" t="s">
        <v>36</v>
      </c>
      <c r="D696" s="146"/>
      <c r="E696" s="147"/>
      <c r="F696" s="147"/>
      <c r="G696" s="147">
        <f>G695+G691+G690+G689+G674</f>
        <v>16987.1047894146</v>
      </c>
      <c r="H696" s="146"/>
      <c r="J696" s="195"/>
      <c r="K696" s="146" t="s">
        <v>36</v>
      </c>
      <c r="L696" s="146"/>
      <c r="M696" s="147"/>
      <c r="N696" s="147"/>
      <c r="O696" s="147">
        <f>O695+O691+O690+O689+O674</f>
        <v>8127.699338309991</v>
      </c>
      <c r="P696" s="146"/>
    </row>
    <row r="697" spans="2:16" s="135" customFormat="1" ht="13.5" customHeight="1">
      <c r="B697" s="145" t="s">
        <v>341</v>
      </c>
      <c r="C697" s="146" t="s">
        <v>342</v>
      </c>
      <c r="D697" s="153">
        <v>0.03</v>
      </c>
      <c r="E697" s="147"/>
      <c r="F697" s="147"/>
      <c r="G697" s="147">
        <f>G696*D697</f>
        <v>509.61314368243796</v>
      </c>
      <c r="H697" s="194"/>
      <c r="J697" s="145" t="s">
        <v>341</v>
      </c>
      <c r="K697" s="146" t="s">
        <v>342</v>
      </c>
      <c r="L697" s="153">
        <v>0.03</v>
      </c>
      <c r="M697" s="147"/>
      <c r="N697" s="147"/>
      <c r="O697" s="147">
        <f>O696*L697</f>
        <v>243.8309801492997</v>
      </c>
      <c r="P697" s="194"/>
    </row>
    <row r="698" spans="2:16" s="135" customFormat="1" ht="13.5" customHeight="1">
      <c r="B698" s="195"/>
      <c r="C698" s="146" t="s">
        <v>343</v>
      </c>
      <c r="D698" s="194"/>
      <c r="E698" s="196"/>
      <c r="F698" s="196"/>
      <c r="G698" s="147">
        <f>G696+G697</f>
        <v>17496.717933097036</v>
      </c>
      <c r="H698" s="194"/>
      <c r="J698" s="195"/>
      <c r="K698" s="146" t="s">
        <v>343</v>
      </c>
      <c r="L698" s="194"/>
      <c r="M698" s="196"/>
      <c r="N698" s="196"/>
      <c r="O698" s="147">
        <f>O696+O697</f>
        <v>8371.53031845929</v>
      </c>
      <c r="P698" s="194"/>
    </row>
    <row r="699" spans="2:15" s="135" customFormat="1" ht="13.5" customHeight="1">
      <c r="B699" s="136"/>
      <c r="C699" s="136"/>
      <c r="D699" s="136"/>
      <c r="E699" s="136"/>
      <c r="F699" s="136"/>
      <c r="G699" s="136"/>
      <c r="H699" s="136"/>
      <c r="M699" s="137"/>
      <c r="N699" s="137"/>
      <c r="O699" s="137"/>
    </row>
    <row r="700" spans="2:15" s="135" customFormat="1" ht="13.5" customHeight="1">
      <c r="B700" s="136"/>
      <c r="C700" s="136"/>
      <c r="D700" s="136"/>
      <c r="E700" s="136"/>
      <c r="F700" s="136"/>
      <c r="G700" s="136"/>
      <c r="H700" s="136"/>
      <c r="M700" s="137"/>
      <c r="N700" s="137"/>
      <c r="O700" s="137"/>
    </row>
    <row r="701" spans="2:16" s="135" customFormat="1" ht="19.5" customHeight="1">
      <c r="B701" s="136"/>
      <c r="C701" s="136"/>
      <c r="D701" s="136"/>
      <c r="E701" s="136"/>
      <c r="F701" s="136"/>
      <c r="G701" s="136"/>
      <c r="H701" s="136"/>
      <c r="J701" s="138" t="s">
        <v>317</v>
      </c>
      <c r="K701" s="138"/>
      <c r="L701" s="138"/>
      <c r="M701" s="138"/>
      <c r="N701" s="138"/>
      <c r="O701" s="138"/>
      <c r="P701" s="138"/>
    </row>
    <row r="702" spans="2:16" s="135" customFormat="1" ht="13.5" customHeight="1">
      <c r="B702" s="136"/>
      <c r="C702" s="136"/>
      <c r="D702" s="136"/>
      <c r="E702" s="136"/>
      <c r="F702" s="136"/>
      <c r="G702" s="136"/>
      <c r="H702" s="136"/>
      <c r="J702" s="139" t="s">
        <v>469</v>
      </c>
      <c r="K702" s="139"/>
      <c r="L702" s="139"/>
      <c r="M702" s="139"/>
      <c r="N702" s="139"/>
      <c r="O702" s="139"/>
      <c r="P702" s="139"/>
    </row>
    <row r="703" spans="2:16" s="135" customFormat="1" ht="13.5" customHeight="1">
      <c r="B703" s="136"/>
      <c r="C703" s="136"/>
      <c r="D703" s="136"/>
      <c r="E703" s="136"/>
      <c r="F703" s="136"/>
      <c r="G703" s="136"/>
      <c r="H703" s="136"/>
      <c r="J703" s="140" t="s">
        <v>468</v>
      </c>
      <c r="K703" s="140"/>
      <c r="L703" s="140"/>
      <c r="M703" s="140"/>
      <c r="N703" s="137"/>
      <c r="O703" s="141" t="s">
        <v>320</v>
      </c>
      <c r="P703" s="141"/>
    </row>
    <row r="704" spans="2:16" s="135" customFormat="1" ht="13.5" customHeight="1">
      <c r="B704" s="136"/>
      <c r="C704" s="136"/>
      <c r="D704" s="136"/>
      <c r="E704" s="136"/>
      <c r="F704" s="136"/>
      <c r="G704" s="136"/>
      <c r="H704" s="136"/>
      <c r="J704" s="142" t="s">
        <v>360</v>
      </c>
      <c r="K704" s="143"/>
      <c r="L704" s="143"/>
      <c r="M704" s="143"/>
      <c r="N704" s="143"/>
      <c r="O704" s="143"/>
      <c r="P704" s="144"/>
    </row>
    <row r="705" spans="2:16" s="135" customFormat="1" ht="27.75" customHeight="1">
      <c r="B705" s="136"/>
      <c r="C705" s="136"/>
      <c r="D705" s="136"/>
      <c r="E705" s="136"/>
      <c r="F705" s="136"/>
      <c r="G705" s="136"/>
      <c r="H705" s="136"/>
      <c r="J705" s="145" t="s">
        <v>361</v>
      </c>
      <c r="K705" s="146" t="s">
        <v>322</v>
      </c>
      <c r="L705" s="146" t="s">
        <v>102</v>
      </c>
      <c r="M705" s="147" t="s">
        <v>324</v>
      </c>
      <c r="N705" s="148" t="s">
        <v>325</v>
      </c>
      <c r="O705" s="148" t="s">
        <v>326</v>
      </c>
      <c r="P705" s="146" t="s">
        <v>386</v>
      </c>
    </row>
    <row r="706" spans="2:16" s="135" customFormat="1" ht="13.5" customHeight="1">
      <c r="B706" s="136"/>
      <c r="C706" s="136"/>
      <c r="D706" s="136"/>
      <c r="E706" s="136"/>
      <c r="F706" s="136"/>
      <c r="G706" s="136"/>
      <c r="H706" s="136"/>
      <c r="J706" s="145" t="s">
        <v>16</v>
      </c>
      <c r="K706" s="146" t="s">
        <v>327</v>
      </c>
      <c r="L706" s="194"/>
      <c r="M706" s="147"/>
      <c r="N706" s="147"/>
      <c r="O706" s="147">
        <f>O707+O719+O720</f>
        <v>5388.470545696731</v>
      </c>
      <c r="P706" s="146"/>
    </row>
    <row r="707" spans="2:16" s="135" customFormat="1" ht="13.5" customHeight="1">
      <c r="B707" s="136"/>
      <c r="C707" s="136"/>
      <c r="D707" s="136"/>
      <c r="E707" s="136"/>
      <c r="F707" s="136"/>
      <c r="G707" s="136"/>
      <c r="H707" s="136"/>
      <c r="J707" s="145" t="s">
        <v>39</v>
      </c>
      <c r="K707" s="146" t="s">
        <v>328</v>
      </c>
      <c r="L707" s="194"/>
      <c r="M707" s="147"/>
      <c r="N707" s="147"/>
      <c r="O707" s="147">
        <f>O708+O711+O715</f>
        <v>5141.670368031232</v>
      </c>
      <c r="P707" s="146"/>
    </row>
    <row r="708" spans="2:16" s="135" customFormat="1" ht="13.5" customHeight="1">
      <c r="B708" s="136"/>
      <c r="C708" s="136"/>
      <c r="D708" s="136"/>
      <c r="E708" s="136"/>
      <c r="F708" s="136"/>
      <c r="G708" s="136"/>
      <c r="H708" s="136"/>
      <c r="J708" s="145">
        <v>1</v>
      </c>
      <c r="K708" s="146" t="s">
        <v>329</v>
      </c>
      <c r="L708" s="149"/>
      <c r="M708" s="147"/>
      <c r="N708" s="147"/>
      <c r="O708" s="147">
        <f>SUM(O709:O710)</f>
        <v>599.761</v>
      </c>
      <c r="P708" s="146"/>
    </row>
    <row r="709" spans="2:16" s="135" customFormat="1" ht="13.5" customHeight="1">
      <c r="B709" s="136"/>
      <c r="C709" s="136"/>
      <c r="D709" s="136"/>
      <c r="E709" s="136"/>
      <c r="F709" s="136"/>
      <c r="G709" s="136"/>
      <c r="H709" s="136"/>
      <c r="J709" s="145"/>
      <c r="K709" s="149" t="s">
        <v>351</v>
      </c>
      <c r="L709" s="149" t="s">
        <v>163</v>
      </c>
      <c r="M709" s="147">
        <v>43.2</v>
      </c>
      <c r="N709" s="147">
        <f>'单价分析'!E15</f>
        <v>8.1</v>
      </c>
      <c r="O709" s="147">
        <f>N709*M709</f>
        <v>349.92</v>
      </c>
      <c r="P709" s="146"/>
    </row>
    <row r="710" spans="2:16" s="135" customFormat="1" ht="13.5" customHeight="1">
      <c r="B710" s="136"/>
      <c r="C710" s="136"/>
      <c r="D710" s="136"/>
      <c r="E710" s="136"/>
      <c r="F710" s="136"/>
      <c r="G710" s="136"/>
      <c r="H710" s="136"/>
      <c r="J710" s="145"/>
      <c r="K710" s="149" t="s">
        <v>330</v>
      </c>
      <c r="L710" s="149" t="s">
        <v>163</v>
      </c>
      <c r="M710" s="147">
        <v>43.3</v>
      </c>
      <c r="N710" s="147">
        <f>'单价分析'!E16</f>
        <v>5.77</v>
      </c>
      <c r="O710" s="147">
        <f>N710*M710</f>
        <v>249.84099999999995</v>
      </c>
      <c r="P710" s="146"/>
    </row>
    <row r="711" spans="2:16" s="135" customFormat="1" ht="13.5" customHeight="1">
      <c r="B711" s="136"/>
      <c r="C711" s="136"/>
      <c r="D711" s="136"/>
      <c r="E711" s="136"/>
      <c r="F711" s="136"/>
      <c r="G711" s="136"/>
      <c r="H711" s="136"/>
      <c r="J711" s="145">
        <v>2</v>
      </c>
      <c r="K711" s="146" t="s">
        <v>373</v>
      </c>
      <c r="L711" s="194"/>
      <c r="M711" s="147"/>
      <c r="N711" s="147"/>
      <c r="O711" s="147">
        <f>SUM(O712:O714)</f>
        <v>253.5522675</v>
      </c>
      <c r="P711" s="146"/>
    </row>
    <row r="712" spans="2:16" s="135" customFormat="1" ht="13.5" customHeight="1">
      <c r="B712" s="136"/>
      <c r="C712" s="136"/>
      <c r="D712" s="136"/>
      <c r="E712" s="136"/>
      <c r="F712" s="136"/>
      <c r="G712" s="136"/>
      <c r="H712" s="136"/>
      <c r="J712" s="200"/>
      <c r="K712" s="146" t="s">
        <v>411</v>
      </c>
      <c r="L712" s="146" t="s">
        <v>365</v>
      </c>
      <c r="M712" s="147">
        <v>0.1</v>
      </c>
      <c r="N712" s="147">
        <f>'单价分析'!L12</f>
        <v>1789.6725</v>
      </c>
      <c r="O712" s="147">
        <f>N712*M712</f>
        <v>178.96725</v>
      </c>
      <c r="P712" s="146"/>
    </row>
    <row r="713" spans="2:16" s="135" customFormat="1" ht="13.5" customHeight="1">
      <c r="B713" s="136"/>
      <c r="C713" s="136"/>
      <c r="D713" s="136"/>
      <c r="E713" s="136"/>
      <c r="F713" s="136"/>
      <c r="G713" s="136"/>
      <c r="H713" s="136"/>
      <c r="J713" s="200"/>
      <c r="K713" s="146" t="s">
        <v>312</v>
      </c>
      <c r="L713" s="146" t="s">
        <v>307</v>
      </c>
      <c r="M713" s="147">
        <v>12</v>
      </c>
      <c r="N713" s="147">
        <f>'机械台班'!D40</f>
        <v>5.6</v>
      </c>
      <c r="O713" s="147">
        <f>N713*M713</f>
        <v>67.19999999999999</v>
      </c>
      <c r="P713" s="146"/>
    </row>
    <row r="714" spans="2:16" s="135" customFormat="1" ht="13.5" customHeight="1">
      <c r="B714" s="136"/>
      <c r="C714" s="136"/>
      <c r="D714" s="136"/>
      <c r="E714" s="136"/>
      <c r="F714" s="136"/>
      <c r="G714" s="136"/>
      <c r="H714" s="136"/>
      <c r="J714" s="145"/>
      <c r="K714" s="146" t="s">
        <v>404</v>
      </c>
      <c r="L714" s="146" t="s">
        <v>332</v>
      </c>
      <c r="M714" s="147">
        <v>3</v>
      </c>
      <c r="N714" s="147">
        <f>SUM(O712:O713)</f>
        <v>246.16725</v>
      </c>
      <c r="O714" s="147">
        <f>N714*M714/100</f>
        <v>7.3850175</v>
      </c>
      <c r="P714" s="146"/>
    </row>
    <row r="715" spans="2:16" s="135" customFormat="1" ht="13.5" customHeight="1">
      <c r="B715" s="136"/>
      <c r="C715" s="136"/>
      <c r="D715" s="136"/>
      <c r="E715" s="136"/>
      <c r="F715" s="136"/>
      <c r="G715" s="136"/>
      <c r="H715" s="136"/>
      <c r="J715" s="145">
        <v>3</v>
      </c>
      <c r="K715" s="146" t="s">
        <v>333</v>
      </c>
      <c r="L715" s="146"/>
      <c r="M715" s="147"/>
      <c r="N715" s="147"/>
      <c r="O715" s="147">
        <f>SUM(O716:O718)</f>
        <v>4288.357100531232</v>
      </c>
      <c r="P715" s="146"/>
    </row>
    <row r="716" spans="2:16" s="135" customFormat="1" ht="13.5" customHeight="1">
      <c r="B716" s="136"/>
      <c r="C716" s="136"/>
      <c r="D716" s="136"/>
      <c r="E716" s="136"/>
      <c r="F716" s="136"/>
      <c r="G716" s="136"/>
      <c r="H716" s="136"/>
      <c r="J716" s="145"/>
      <c r="K716" s="146" t="s">
        <v>206</v>
      </c>
      <c r="L716" s="146" t="s">
        <v>335</v>
      </c>
      <c r="M716" s="147">
        <f>34.74+2.85*4</f>
        <v>46.14</v>
      </c>
      <c r="N716" s="147">
        <f>'台班总'!D17</f>
        <v>74.45930873554049</v>
      </c>
      <c r="O716" s="147">
        <f>N716*M716</f>
        <v>3435.552505057838</v>
      </c>
      <c r="P716" s="146"/>
    </row>
    <row r="717" spans="2:16" s="135" customFormat="1" ht="13.5" customHeight="1">
      <c r="B717" s="136"/>
      <c r="C717" s="136"/>
      <c r="D717" s="136"/>
      <c r="E717" s="136"/>
      <c r="F717" s="136"/>
      <c r="G717" s="136"/>
      <c r="H717" s="136"/>
      <c r="J717" s="200"/>
      <c r="K717" s="146" t="s">
        <v>213</v>
      </c>
      <c r="L717" s="146" t="s">
        <v>335</v>
      </c>
      <c r="M717" s="147">
        <v>13</v>
      </c>
      <c r="N717" s="147">
        <f>'机械台班'!AH18</f>
        <v>62.33427802153969</v>
      </c>
      <c r="O717" s="147">
        <f>N717*M717</f>
        <v>810.345614280016</v>
      </c>
      <c r="P717" s="146"/>
    </row>
    <row r="718" spans="2:16" s="135" customFormat="1" ht="13.5" customHeight="1">
      <c r="B718" s="136"/>
      <c r="C718" s="136"/>
      <c r="D718" s="136"/>
      <c r="E718" s="136"/>
      <c r="F718" s="136"/>
      <c r="G718" s="136"/>
      <c r="H718" s="136"/>
      <c r="J718" s="200"/>
      <c r="K718" s="146" t="s">
        <v>370</v>
      </c>
      <c r="L718" s="146" t="s">
        <v>332</v>
      </c>
      <c r="M718" s="147">
        <v>1</v>
      </c>
      <c r="N718" s="147">
        <f>SUM(O716:O717)</f>
        <v>4245.898119337854</v>
      </c>
      <c r="O718" s="147">
        <f>N718*M718%</f>
        <v>42.45898119337854</v>
      </c>
      <c r="P718" s="146"/>
    </row>
    <row r="719" spans="2:16" s="135" customFormat="1" ht="13.5" customHeight="1">
      <c r="B719" s="136"/>
      <c r="C719" s="136"/>
      <c r="D719" s="136"/>
      <c r="E719" s="136"/>
      <c r="F719" s="136"/>
      <c r="G719" s="136"/>
      <c r="H719" s="136"/>
      <c r="J719" s="145" t="s">
        <v>63</v>
      </c>
      <c r="K719" s="146" t="s">
        <v>336</v>
      </c>
      <c r="L719" s="198">
        <v>0.048</v>
      </c>
      <c r="M719" s="147"/>
      <c r="N719" s="147"/>
      <c r="O719" s="147">
        <f>L719*O707</f>
        <v>246.80017766549915</v>
      </c>
      <c r="P719" s="146"/>
    </row>
    <row r="720" spans="2:16" s="135" customFormat="1" ht="13.5" customHeight="1">
      <c r="B720" s="136"/>
      <c r="C720" s="136"/>
      <c r="D720" s="136"/>
      <c r="E720" s="136"/>
      <c r="F720" s="136"/>
      <c r="G720" s="136"/>
      <c r="H720" s="136"/>
      <c r="J720" s="145" t="s">
        <v>355</v>
      </c>
      <c r="K720" s="146" t="s">
        <v>356</v>
      </c>
      <c r="L720" s="198"/>
      <c r="M720" s="147"/>
      <c r="N720" s="147"/>
      <c r="O720" s="147">
        <f>L720*O707</f>
        <v>0</v>
      </c>
      <c r="P720" s="146"/>
    </row>
    <row r="721" spans="2:16" s="135" customFormat="1" ht="13.5" customHeight="1">
      <c r="B721" s="136"/>
      <c r="C721" s="136"/>
      <c r="D721" s="136"/>
      <c r="E721" s="136"/>
      <c r="F721" s="136"/>
      <c r="G721" s="136"/>
      <c r="H721" s="136"/>
      <c r="J721" s="145" t="s">
        <v>18</v>
      </c>
      <c r="K721" s="146" t="s">
        <v>337</v>
      </c>
      <c r="L721" s="198">
        <v>0.08</v>
      </c>
      <c r="M721" s="147"/>
      <c r="N721" s="147"/>
      <c r="O721" s="147">
        <f>L721*O706</f>
        <v>431.0776436557385</v>
      </c>
      <c r="P721" s="146"/>
    </row>
    <row r="722" spans="2:16" s="135" customFormat="1" ht="13.5" customHeight="1">
      <c r="B722" s="136"/>
      <c r="C722" s="136"/>
      <c r="D722" s="136"/>
      <c r="E722" s="136"/>
      <c r="F722" s="136"/>
      <c r="G722" s="136"/>
      <c r="H722" s="136"/>
      <c r="J722" s="145" t="s">
        <v>20</v>
      </c>
      <c r="K722" s="146" t="s">
        <v>338</v>
      </c>
      <c r="L722" s="199">
        <v>0.07</v>
      </c>
      <c r="M722" s="147"/>
      <c r="N722" s="147"/>
      <c r="O722" s="147">
        <f>(O706+O721)*L722</f>
        <v>407.368373254673</v>
      </c>
      <c r="P722" s="146"/>
    </row>
    <row r="723" spans="2:16" s="135" customFormat="1" ht="13.5" customHeight="1">
      <c r="B723" s="136"/>
      <c r="C723" s="136"/>
      <c r="D723" s="136"/>
      <c r="E723" s="136"/>
      <c r="F723" s="136"/>
      <c r="G723" s="136"/>
      <c r="H723" s="136"/>
      <c r="J723" s="145" t="s">
        <v>22</v>
      </c>
      <c r="K723" s="146" t="s">
        <v>339</v>
      </c>
      <c r="L723" s="152"/>
      <c r="M723" s="147"/>
      <c r="N723" s="147"/>
      <c r="O723" s="147">
        <f>SUM(O724:O726)</f>
        <v>1941.6018</v>
      </c>
      <c r="P723" s="146"/>
    </row>
    <row r="724" spans="2:16" s="135" customFormat="1" ht="19.5" customHeight="1">
      <c r="B724" s="136"/>
      <c r="C724" s="136"/>
      <c r="D724" s="136"/>
      <c r="E724" s="136"/>
      <c r="F724" s="136"/>
      <c r="G724" s="136"/>
      <c r="H724" s="136"/>
      <c r="J724" s="145"/>
      <c r="K724" s="146" t="s">
        <v>411</v>
      </c>
      <c r="L724" s="146" t="s">
        <v>365</v>
      </c>
      <c r="M724" s="147">
        <f>M712</f>
        <v>0.1</v>
      </c>
      <c r="N724" s="147">
        <f>'机械台班'!C33</f>
        <v>0</v>
      </c>
      <c r="O724" s="147">
        <f>N724*M724</f>
        <v>0</v>
      </c>
      <c r="P724" s="146"/>
    </row>
    <row r="725" spans="2:16" s="135" customFormat="1" ht="13.5" customHeight="1">
      <c r="B725" s="136"/>
      <c r="C725" s="136"/>
      <c r="D725" s="136"/>
      <c r="E725" s="136"/>
      <c r="F725" s="136"/>
      <c r="G725" s="136"/>
      <c r="H725" s="136"/>
      <c r="J725" s="145"/>
      <c r="K725" s="146" t="s">
        <v>303</v>
      </c>
      <c r="L725" s="146" t="s">
        <v>307</v>
      </c>
      <c r="M725" s="147">
        <f>M717*'机械台班'!AH13</f>
        <v>75.39999999999999</v>
      </c>
      <c r="N725" s="147">
        <f>'机械台班'!C31</f>
        <v>5.055000000000001</v>
      </c>
      <c r="O725" s="147">
        <f>N725*M725</f>
        <v>381.147</v>
      </c>
      <c r="P725" s="146"/>
    </row>
    <row r="726" spans="2:16" s="135" customFormat="1" ht="13.5" customHeight="1">
      <c r="B726" s="136"/>
      <c r="C726" s="136"/>
      <c r="D726" s="136"/>
      <c r="E726" s="136"/>
      <c r="F726" s="136"/>
      <c r="G726" s="136"/>
      <c r="H726" s="136"/>
      <c r="J726" s="145"/>
      <c r="K726" s="146" t="s">
        <v>304</v>
      </c>
      <c r="L726" s="152" t="s">
        <v>307</v>
      </c>
      <c r="M726" s="147">
        <f>M716*'机械台班'!T13</f>
        <v>410.646</v>
      </c>
      <c r="N726" s="147">
        <f>'机械台班'!C32</f>
        <v>3.8</v>
      </c>
      <c r="O726" s="147">
        <f>N726*M726</f>
        <v>1560.4548</v>
      </c>
      <c r="P726" s="146"/>
    </row>
    <row r="727" spans="2:16" s="135" customFormat="1" ht="13.5" customHeight="1">
      <c r="B727" s="136"/>
      <c r="C727" s="136"/>
      <c r="D727" s="136"/>
      <c r="E727" s="136"/>
      <c r="F727" s="136"/>
      <c r="G727" s="136"/>
      <c r="H727" s="136"/>
      <c r="J727" s="145" t="s">
        <v>24</v>
      </c>
      <c r="K727" s="146" t="s">
        <v>340</v>
      </c>
      <c r="L727" s="152">
        <v>0.09</v>
      </c>
      <c r="M727" s="147"/>
      <c r="N727" s="147"/>
      <c r="O727" s="147">
        <f>(O723+O722+O721+O706)*L727</f>
        <v>735.1666526346428</v>
      </c>
      <c r="P727" s="146"/>
    </row>
    <row r="728" spans="2:16" s="135" customFormat="1" ht="27" customHeight="1">
      <c r="B728" s="136"/>
      <c r="C728" s="136"/>
      <c r="D728" s="136"/>
      <c r="E728" s="136"/>
      <c r="F728" s="136"/>
      <c r="G728" s="136"/>
      <c r="H728" s="136"/>
      <c r="J728" s="195"/>
      <c r="K728" s="146" t="s">
        <v>36</v>
      </c>
      <c r="L728" s="146"/>
      <c r="M728" s="147"/>
      <c r="N728" s="147"/>
      <c r="O728" s="147">
        <f>O727+O723+O722+O721+O706</f>
        <v>8903.685015241786</v>
      </c>
      <c r="P728" s="146"/>
    </row>
    <row r="729" spans="2:16" s="135" customFormat="1" ht="13.5" customHeight="1">
      <c r="B729" s="136"/>
      <c r="C729" s="136"/>
      <c r="D729" s="136"/>
      <c r="E729" s="136"/>
      <c r="F729" s="136"/>
      <c r="G729" s="136"/>
      <c r="H729" s="136"/>
      <c r="J729" s="145" t="s">
        <v>341</v>
      </c>
      <c r="K729" s="146" t="s">
        <v>342</v>
      </c>
      <c r="L729" s="153">
        <v>0.03</v>
      </c>
      <c r="M729" s="147"/>
      <c r="N729" s="147"/>
      <c r="O729" s="147">
        <f>O728*L729</f>
        <v>267.11055045725357</v>
      </c>
      <c r="P729" s="194"/>
    </row>
    <row r="730" spans="2:16" s="135" customFormat="1" ht="13.5" customHeight="1">
      <c r="B730" s="136"/>
      <c r="C730" s="136"/>
      <c r="D730" s="136"/>
      <c r="E730" s="136"/>
      <c r="F730" s="136"/>
      <c r="G730" s="136"/>
      <c r="H730" s="136"/>
      <c r="J730" s="195"/>
      <c r="K730" s="146" t="s">
        <v>343</v>
      </c>
      <c r="L730" s="194"/>
      <c r="M730" s="196"/>
      <c r="N730" s="196"/>
      <c r="O730" s="147">
        <f>O728+O729</f>
        <v>9170.79556569904</v>
      </c>
      <c r="P730" s="194"/>
    </row>
    <row r="731" spans="2:15" s="135" customFormat="1" ht="13.5" customHeight="1">
      <c r="B731" s="136"/>
      <c r="C731" s="136"/>
      <c r="D731" s="136"/>
      <c r="E731" s="136"/>
      <c r="F731" s="136"/>
      <c r="G731" s="136"/>
      <c r="H731" s="136"/>
      <c r="M731" s="137"/>
      <c r="N731" s="137"/>
      <c r="O731" s="137"/>
    </row>
    <row r="732" spans="2:15" s="135" customFormat="1" ht="13.5" customHeight="1">
      <c r="B732" s="136"/>
      <c r="C732" s="136"/>
      <c r="D732" s="136"/>
      <c r="E732" s="136"/>
      <c r="F732" s="136"/>
      <c r="G732" s="136"/>
      <c r="H732" s="136"/>
      <c r="M732" s="137"/>
      <c r="N732" s="137"/>
      <c r="O732" s="137"/>
    </row>
    <row r="733" spans="2:15" s="135" customFormat="1" ht="13.5" customHeight="1">
      <c r="B733" s="136"/>
      <c r="C733" s="136"/>
      <c r="D733" s="136"/>
      <c r="E733" s="136"/>
      <c r="F733" s="136"/>
      <c r="G733" s="136"/>
      <c r="H733" s="136"/>
      <c r="M733" s="137"/>
      <c r="N733" s="137"/>
      <c r="O733" s="137"/>
    </row>
    <row r="734" spans="2:15" s="135" customFormat="1" ht="13.5" customHeight="1">
      <c r="B734" s="136"/>
      <c r="C734" s="136"/>
      <c r="D734" s="136"/>
      <c r="E734" s="136"/>
      <c r="F734" s="136"/>
      <c r="G734" s="136"/>
      <c r="H734" s="136"/>
      <c r="M734" s="137"/>
      <c r="N734" s="137"/>
      <c r="O734" s="137"/>
    </row>
    <row r="735" spans="2:15" s="135" customFormat="1" ht="13.5" customHeight="1">
      <c r="B735" s="136"/>
      <c r="C735" s="136"/>
      <c r="D735" s="136"/>
      <c r="E735" s="136"/>
      <c r="F735" s="136"/>
      <c r="G735" s="136"/>
      <c r="H735" s="136"/>
      <c r="M735" s="137"/>
      <c r="N735" s="137"/>
      <c r="O735" s="137"/>
    </row>
    <row r="736" spans="2:15" s="135" customFormat="1" ht="13.5" customHeight="1">
      <c r="B736" s="136"/>
      <c r="C736" s="136"/>
      <c r="D736" s="136"/>
      <c r="E736" s="136"/>
      <c r="F736" s="136"/>
      <c r="G736" s="136"/>
      <c r="H736" s="136"/>
      <c r="M736" s="137"/>
      <c r="N736" s="137"/>
      <c r="O736" s="137"/>
    </row>
    <row r="737" spans="2:15" s="135" customFormat="1" ht="13.5" customHeight="1">
      <c r="B737" s="136"/>
      <c r="C737" s="136"/>
      <c r="D737" s="136"/>
      <c r="E737" s="136"/>
      <c r="F737" s="136"/>
      <c r="G737" s="136"/>
      <c r="H737" s="136"/>
      <c r="M737" s="137"/>
      <c r="N737" s="137"/>
      <c r="O737" s="137"/>
    </row>
    <row r="738" spans="2:15" s="135" customFormat="1" ht="13.5" customHeight="1">
      <c r="B738" s="136"/>
      <c r="C738" s="136"/>
      <c r="D738" s="136"/>
      <c r="E738" s="136"/>
      <c r="F738" s="136"/>
      <c r="G738" s="136"/>
      <c r="H738" s="136"/>
      <c r="M738" s="137"/>
      <c r="N738" s="137"/>
      <c r="O738" s="137"/>
    </row>
    <row r="739" spans="2:15" s="135" customFormat="1" ht="13.5" customHeight="1">
      <c r="B739" s="136"/>
      <c r="C739" s="136"/>
      <c r="D739" s="136"/>
      <c r="E739" s="136"/>
      <c r="F739" s="136"/>
      <c r="G739" s="136"/>
      <c r="H739" s="136"/>
      <c r="M739" s="137"/>
      <c r="N739" s="137"/>
      <c r="O739" s="137"/>
    </row>
    <row r="740" spans="2:15" s="135" customFormat="1" ht="13.5" customHeight="1">
      <c r="B740" s="136"/>
      <c r="C740" s="136"/>
      <c r="D740" s="136"/>
      <c r="E740" s="136"/>
      <c r="F740" s="136"/>
      <c r="G740" s="136"/>
      <c r="H740" s="136"/>
      <c r="M740" s="137"/>
      <c r="N740" s="137"/>
      <c r="O740" s="137"/>
    </row>
    <row r="741" spans="2:15" s="135" customFormat="1" ht="13.5" customHeight="1">
      <c r="B741" s="136"/>
      <c r="C741" s="136"/>
      <c r="D741" s="136"/>
      <c r="E741" s="136"/>
      <c r="F741" s="136"/>
      <c r="G741" s="136"/>
      <c r="H741" s="136"/>
      <c r="M741" s="137"/>
      <c r="N741" s="137"/>
      <c r="O741" s="137"/>
    </row>
    <row r="742" spans="2:15" s="135" customFormat="1" ht="13.5" customHeight="1">
      <c r="B742" s="136"/>
      <c r="C742" s="136"/>
      <c r="D742" s="136"/>
      <c r="E742" s="136"/>
      <c r="F742" s="136"/>
      <c r="G742" s="136"/>
      <c r="H742" s="136"/>
      <c r="M742" s="137"/>
      <c r="N742" s="137"/>
      <c r="O742" s="137"/>
    </row>
    <row r="743" spans="2:15" s="135" customFormat="1" ht="13.5" customHeight="1">
      <c r="B743" s="136"/>
      <c r="C743" s="136"/>
      <c r="D743" s="136"/>
      <c r="E743" s="136"/>
      <c r="F743" s="136"/>
      <c r="G743" s="136"/>
      <c r="H743" s="136"/>
      <c r="M743" s="137"/>
      <c r="N743" s="137"/>
      <c r="O743" s="137"/>
    </row>
    <row r="744" spans="2:15" s="135" customFormat="1" ht="13.5" customHeight="1">
      <c r="B744" s="136"/>
      <c r="C744" s="136"/>
      <c r="D744" s="136"/>
      <c r="E744" s="136"/>
      <c r="F744" s="136"/>
      <c r="G744" s="136"/>
      <c r="H744" s="136"/>
      <c r="M744" s="137"/>
      <c r="N744" s="137"/>
      <c r="O744" s="137"/>
    </row>
    <row r="745" spans="2:15" s="135" customFormat="1" ht="13.5" customHeight="1">
      <c r="B745" s="136"/>
      <c r="C745" s="136"/>
      <c r="D745" s="136"/>
      <c r="E745" s="136"/>
      <c r="F745" s="136"/>
      <c r="G745" s="136"/>
      <c r="H745" s="136"/>
      <c r="M745" s="137"/>
      <c r="N745" s="137"/>
      <c r="O745" s="137"/>
    </row>
    <row r="746" spans="2:15" s="135" customFormat="1" ht="13.5" customHeight="1">
      <c r="B746" s="136"/>
      <c r="C746" s="136"/>
      <c r="D746" s="136"/>
      <c r="E746" s="136"/>
      <c r="F746" s="136"/>
      <c r="G746" s="136"/>
      <c r="H746" s="136"/>
      <c r="M746" s="137"/>
      <c r="N746" s="137"/>
      <c r="O746" s="137"/>
    </row>
    <row r="747" spans="2:15" s="135" customFormat="1" ht="13.5" customHeight="1">
      <c r="B747" s="136"/>
      <c r="C747" s="136"/>
      <c r="D747" s="136"/>
      <c r="E747" s="136"/>
      <c r="F747" s="136"/>
      <c r="G747" s="136"/>
      <c r="H747" s="136"/>
      <c r="M747" s="137"/>
      <c r="N747" s="137"/>
      <c r="O747" s="137"/>
    </row>
    <row r="748" spans="2:15" s="135" customFormat="1" ht="13.5" customHeight="1">
      <c r="B748" s="136"/>
      <c r="C748" s="136"/>
      <c r="D748" s="136"/>
      <c r="E748" s="136"/>
      <c r="F748" s="136"/>
      <c r="G748" s="136"/>
      <c r="H748" s="136"/>
      <c r="M748" s="137"/>
      <c r="N748" s="137"/>
      <c r="O748" s="137"/>
    </row>
    <row r="749" spans="2:15" s="135" customFormat="1" ht="13.5" customHeight="1">
      <c r="B749" s="136"/>
      <c r="C749" s="136"/>
      <c r="D749" s="136"/>
      <c r="E749" s="136"/>
      <c r="F749" s="136"/>
      <c r="G749" s="136"/>
      <c r="H749" s="136"/>
      <c r="M749" s="137"/>
      <c r="N749" s="137"/>
      <c r="O749" s="137"/>
    </row>
    <row r="750" spans="2:15" s="135" customFormat="1" ht="13.5" customHeight="1">
      <c r="B750" s="136"/>
      <c r="C750" s="136"/>
      <c r="D750" s="136"/>
      <c r="E750" s="136"/>
      <c r="F750" s="136"/>
      <c r="G750" s="136"/>
      <c r="H750" s="136"/>
      <c r="M750" s="137"/>
      <c r="N750" s="137"/>
      <c r="O750" s="137"/>
    </row>
    <row r="751" spans="3:15" s="135" customFormat="1" ht="13.5" customHeight="1">
      <c r="C751" s="13"/>
      <c r="E751" s="137"/>
      <c r="F751" s="137"/>
      <c r="G751" s="155"/>
      <c r="M751" s="137"/>
      <c r="N751" s="137"/>
      <c r="O751" s="137"/>
    </row>
    <row r="752" spans="3:15" s="135" customFormat="1" ht="13.5" customHeight="1">
      <c r="C752" s="13"/>
      <c r="E752" s="137"/>
      <c r="F752" s="137"/>
      <c r="G752" s="155"/>
      <c r="M752" s="137"/>
      <c r="N752" s="137"/>
      <c r="O752" s="137"/>
    </row>
    <row r="753" spans="3:15" s="135" customFormat="1" ht="13.5" customHeight="1">
      <c r="C753" s="13"/>
      <c r="E753" s="137"/>
      <c r="F753" s="137"/>
      <c r="G753" s="155"/>
      <c r="M753" s="137"/>
      <c r="N753" s="137"/>
      <c r="O753" s="137"/>
    </row>
    <row r="754" spans="2:15" s="135" customFormat="1" ht="19.5" customHeight="1">
      <c r="B754" s="138" t="s">
        <v>317</v>
      </c>
      <c r="C754" s="138"/>
      <c r="D754" s="138"/>
      <c r="E754" s="138"/>
      <c r="F754" s="138"/>
      <c r="G754" s="138"/>
      <c r="H754" s="138"/>
      <c r="M754" s="137"/>
      <c r="N754" s="137"/>
      <c r="O754" s="137"/>
    </row>
    <row r="755" spans="2:15" s="135" customFormat="1" ht="13.5" customHeight="1">
      <c r="B755" s="139" t="s">
        <v>470</v>
      </c>
      <c r="C755" s="139"/>
      <c r="D755" s="139"/>
      <c r="E755" s="139"/>
      <c r="F755" s="139"/>
      <c r="G755" s="139"/>
      <c r="H755" s="139"/>
      <c r="M755" s="137"/>
      <c r="N755" s="137"/>
      <c r="O755" s="137"/>
    </row>
    <row r="756" spans="2:15" s="135" customFormat="1" ht="13.5" customHeight="1">
      <c r="B756" s="140" t="s">
        <v>471</v>
      </c>
      <c r="C756" s="140"/>
      <c r="D756" s="140"/>
      <c r="E756" s="140"/>
      <c r="F756" s="192"/>
      <c r="G756" s="219" t="s">
        <v>472</v>
      </c>
      <c r="H756" s="219"/>
      <c r="M756" s="137"/>
      <c r="N756" s="137"/>
      <c r="O756" s="137"/>
    </row>
    <row r="757" spans="2:15" s="135" customFormat="1" ht="13.5" customHeight="1">
      <c r="B757" s="142" t="s">
        <v>360</v>
      </c>
      <c r="C757" s="143"/>
      <c r="D757" s="143"/>
      <c r="E757" s="143"/>
      <c r="F757" s="143"/>
      <c r="G757" s="143"/>
      <c r="H757" s="160"/>
      <c r="M757" s="137"/>
      <c r="N757" s="137"/>
      <c r="O757" s="137"/>
    </row>
    <row r="758" spans="2:15" s="135" customFormat="1" ht="30.75" customHeight="1">
      <c r="B758" s="145" t="s">
        <v>31</v>
      </c>
      <c r="C758" s="146" t="s">
        <v>322</v>
      </c>
      <c r="D758" s="146" t="s">
        <v>102</v>
      </c>
      <c r="E758" s="147" t="s">
        <v>394</v>
      </c>
      <c r="F758" s="161" t="s">
        <v>325</v>
      </c>
      <c r="G758" s="161" t="s">
        <v>326</v>
      </c>
      <c r="H758" s="146" t="s">
        <v>37</v>
      </c>
      <c r="M758" s="137"/>
      <c r="N758" s="137"/>
      <c r="O758" s="137"/>
    </row>
    <row r="759" spans="2:15" s="135" customFormat="1" ht="13.5" customHeight="1">
      <c r="B759" s="145" t="s">
        <v>16</v>
      </c>
      <c r="C759" s="146" t="s">
        <v>327</v>
      </c>
      <c r="D759" s="146"/>
      <c r="E759" s="147"/>
      <c r="F759" s="147"/>
      <c r="G759" s="147">
        <f>G760+G767+G768</f>
        <v>11589.47568</v>
      </c>
      <c r="H759" s="146"/>
      <c r="M759" s="137"/>
      <c r="N759" s="137"/>
      <c r="O759" s="137"/>
    </row>
    <row r="760" spans="2:15" s="135" customFormat="1" ht="13.5" customHeight="1">
      <c r="B760" s="145" t="s">
        <v>39</v>
      </c>
      <c r="C760" s="146" t="s">
        <v>328</v>
      </c>
      <c r="D760" s="146"/>
      <c r="E760" s="147"/>
      <c r="F760" s="147"/>
      <c r="G760" s="147">
        <f>G761+G764</f>
        <v>11058.66</v>
      </c>
      <c r="H760" s="146"/>
      <c r="M760" s="137"/>
      <c r="N760" s="137"/>
      <c r="O760" s="137"/>
    </row>
    <row r="761" spans="2:15" s="135" customFormat="1" ht="13.5" customHeight="1">
      <c r="B761" s="145">
        <v>1</v>
      </c>
      <c r="C761" s="146" t="s">
        <v>329</v>
      </c>
      <c r="D761" s="146"/>
      <c r="E761" s="147"/>
      <c r="F761" s="147"/>
      <c r="G761" s="147">
        <f>SUM(G762:G763)</f>
        <v>1279.84</v>
      </c>
      <c r="H761" s="146"/>
      <c r="M761" s="137"/>
      <c r="N761" s="137"/>
      <c r="O761" s="137"/>
    </row>
    <row r="762" spans="2:15" s="135" customFormat="1" ht="13.5" customHeight="1">
      <c r="B762" s="145"/>
      <c r="C762" s="149" t="s">
        <v>351</v>
      </c>
      <c r="D762" s="149" t="s">
        <v>163</v>
      </c>
      <c r="E762" s="147">
        <v>123.1</v>
      </c>
      <c r="F762" s="147">
        <f>'单价分析'!E15</f>
        <v>8.1</v>
      </c>
      <c r="G762" s="147">
        <f>F762*E762</f>
        <v>997.1099999999999</v>
      </c>
      <c r="H762" s="146"/>
      <c r="M762" s="137"/>
      <c r="N762" s="137"/>
      <c r="O762" s="137"/>
    </row>
    <row r="763" spans="2:15" s="135" customFormat="1" ht="13.5" customHeight="1">
      <c r="B763" s="145"/>
      <c r="C763" s="149" t="s">
        <v>330</v>
      </c>
      <c r="D763" s="149" t="s">
        <v>163</v>
      </c>
      <c r="E763" s="147">
        <v>49</v>
      </c>
      <c r="F763" s="147">
        <f>'单价分析'!E16</f>
        <v>5.77</v>
      </c>
      <c r="G763" s="147">
        <f>F763*E763</f>
        <v>282.72999999999996</v>
      </c>
      <c r="H763" s="146"/>
      <c r="M763" s="137"/>
      <c r="N763" s="137"/>
      <c r="O763" s="137"/>
    </row>
    <row r="764" spans="2:15" s="135" customFormat="1" ht="13.5" customHeight="1">
      <c r="B764" s="145">
        <v>2</v>
      </c>
      <c r="C764" s="146" t="s">
        <v>373</v>
      </c>
      <c r="D764" s="146"/>
      <c r="E764" s="147"/>
      <c r="F764" s="147"/>
      <c r="G764" s="147">
        <f>SUM(G765:G766)</f>
        <v>9778.82</v>
      </c>
      <c r="H764" s="146"/>
      <c r="M764" s="137"/>
      <c r="N764" s="137"/>
      <c r="O764" s="137"/>
    </row>
    <row r="765" spans="2:15" s="135" customFormat="1" ht="13.5" customHeight="1">
      <c r="B765" s="145"/>
      <c r="C765" s="146" t="s">
        <v>473</v>
      </c>
      <c r="D765" s="146" t="s">
        <v>44</v>
      </c>
      <c r="E765" s="147">
        <v>103</v>
      </c>
      <c r="F765" s="147">
        <v>94</v>
      </c>
      <c r="G765" s="147">
        <f>F765*E765</f>
        <v>9682</v>
      </c>
      <c r="H765" s="146"/>
      <c r="M765" s="137"/>
      <c r="N765" s="137"/>
      <c r="O765" s="137"/>
    </row>
    <row r="766" spans="2:15" s="135" customFormat="1" ht="13.5" customHeight="1">
      <c r="B766" s="145"/>
      <c r="C766" s="146" t="s">
        <v>404</v>
      </c>
      <c r="D766" s="146" t="s">
        <v>332</v>
      </c>
      <c r="E766" s="147">
        <v>1</v>
      </c>
      <c r="F766" s="147">
        <f>G765</f>
        <v>9682</v>
      </c>
      <c r="G766" s="147">
        <f>F766*E766/100</f>
        <v>96.82</v>
      </c>
      <c r="H766" s="146"/>
      <c r="M766" s="137"/>
      <c r="N766" s="137"/>
      <c r="O766" s="137"/>
    </row>
    <row r="767" spans="2:15" s="135" customFormat="1" ht="13.5" customHeight="1">
      <c r="B767" s="145" t="s">
        <v>63</v>
      </c>
      <c r="C767" s="146" t="s">
        <v>336</v>
      </c>
      <c r="D767" s="162">
        <v>0.048</v>
      </c>
      <c r="E767" s="147"/>
      <c r="F767" s="147"/>
      <c r="G767" s="147">
        <f>G760*D767</f>
        <v>530.81568</v>
      </c>
      <c r="H767" s="146"/>
      <c r="M767" s="137"/>
      <c r="N767" s="137"/>
      <c r="O767" s="137"/>
    </row>
    <row r="768" spans="2:15" s="135" customFormat="1" ht="13.5" customHeight="1">
      <c r="B768" s="145" t="s">
        <v>355</v>
      </c>
      <c r="C768" s="146" t="s">
        <v>356</v>
      </c>
      <c r="D768" s="162"/>
      <c r="E768" s="147"/>
      <c r="F768" s="147"/>
      <c r="G768" s="147">
        <f>G760*D768</f>
        <v>0</v>
      </c>
      <c r="H768" s="146"/>
      <c r="M768" s="137"/>
      <c r="N768" s="137"/>
      <c r="O768" s="137"/>
    </row>
    <row r="769" spans="2:15" s="135" customFormat="1" ht="13.5" customHeight="1">
      <c r="B769" s="145" t="s">
        <v>18</v>
      </c>
      <c r="C769" s="146" t="s">
        <v>337</v>
      </c>
      <c r="D769" s="198">
        <v>0.08</v>
      </c>
      <c r="E769" s="147"/>
      <c r="F769" s="147"/>
      <c r="G769" s="147">
        <f>G759*D769</f>
        <v>927.1580544</v>
      </c>
      <c r="H769" s="146"/>
      <c r="M769" s="137"/>
      <c r="N769" s="137"/>
      <c r="O769" s="137"/>
    </row>
    <row r="770" spans="2:15" s="135" customFormat="1" ht="13.5" customHeight="1">
      <c r="B770" s="145" t="s">
        <v>20</v>
      </c>
      <c r="C770" s="146" t="s">
        <v>338</v>
      </c>
      <c r="D770" s="162">
        <v>0.07</v>
      </c>
      <c r="E770" s="147"/>
      <c r="F770" s="147"/>
      <c r="G770" s="147">
        <f>(G759+G769)*D770</f>
        <v>876.1643614080001</v>
      </c>
      <c r="H770" s="146"/>
      <c r="M770" s="137"/>
      <c r="N770" s="137"/>
      <c r="O770" s="137"/>
    </row>
    <row r="771" spans="2:15" s="135" customFormat="1" ht="13.5" customHeight="1">
      <c r="B771" s="145" t="s">
        <v>22</v>
      </c>
      <c r="C771" s="146" t="s">
        <v>435</v>
      </c>
      <c r="D771" s="152">
        <v>0.09</v>
      </c>
      <c r="E771" s="147"/>
      <c r="F771" s="147"/>
      <c r="G771" s="147">
        <f>(G759+G769+G770)*D771</f>
        <v>1205.35182862272</v>
      </c>
      <c r="H771" s="146"/>
      <c r="M771" s="137"/>
      <c r="N771" s="137"/>
      <c r="O771" s="137"/>
    </row>
    <row r="772" spans="2:15" s="135" customFormat="1" ht="13.5" customHeight="1">
      <c r="B772" s="195"/>
      <c r="C772" s="146" t="s">
        <v>357</v>
      </c>
      <c r="D772" s="146">
        <v>1</v>
      </c>
      <c r="E772" s="147"/>
      <c r="F772" s="147"/>
      <c r="G772" s="147">
        <f>(G759+G769+G771+G770)*D772</f>
        <v>14598.149924430722</v>
      </c>
      <c r="H772" s="194"/>
      <c r="M772" s="137"/>
      <c r="N772" s="137"/>
      <c r="O772" s="137"/>
    </row>
    <row r="773" spans="2:15" s="135" customFormat="1" ht="13.5" customHeight="1">
      <c r="B773" s="195"/>
      <c r="C773" s="146" t="s">
        <v>342</v>
      </c>
      <c r="D773" s="153">
        <v>0.03</v>
      </c>
      <c r="E773" s="147"/>
      <c r="F773" s="147"/>
      <c r="G773" s="147">
        <f>G772*D773</f>
        <v>437.9444977329216</v>
      </c>
      <c r="H773" s="194"/>
      <c r="M773" s="137"/>
      <c r="N773" s="137"/>
      <c r="O773" s="137"/>
    </row>
    <row r="774" spans="2:15" s="135" customFormat="1" ht="13.5" customHeight="1">
      <c r="B774" s="195"/>
      <c r="C774" s="146" t="s">
        <v>343</v>
      </c>
      <c r="D774" s="152"/>
      <c r="E774" s="147"/>
      <c r="F774" s="147"/>
      <c r="G774" s="147">
        <f>G772+G773</f>
        <v>15036.094422163644</v>
      </c>
      <c r="H774" s="194"/>
      <c r="M774" s="137"/>
      <c r="N774" s="137"/>
      <c r="O774" s="137"/>
    </row>
    <row r="775" spans="3:15" s="135" customFormat="1" ht="13.5" customHeight="1">
      <c r="C775" s="13"/>
      <c r="D775" s="154"/>
      <c r="E775" s="155"/>
      <c r="F775" s="155"/>
      <c r="G775" s="155"/>
      <c r="M775" s="137"/>
      <c r="N775" s="137"/>
      <c r="O775" s="137"/>
    </row>
    <row r="776" spans="3:15" s="135" customFormat="1" ht="13.5" customHeight="1">
      <c r="C776" s="13"/>
      <c r="D776" s="154"/>
      <c r="E776" s="155"/>
      <c r="F776" s="155"/>
      <c r="G776" s="155"/>
      <c r="M776" s="137"/>
      <c r="N776" s="137"/>
      <c r="O776" s="137"/>
    </row>
    <row r="777" spans="2:15" s="135" customFormat="1" ht="19.5" customHeight="1">
      <c r="B777" s="138" t="s">
        <v>317</v>
      </c>
      <c r="C777" s="138"/>
      <c r="D777" s="138"/>
      <c r="E777" s="138"/>
      <c r="F777" s="138"/>
      <c r="G777" s="138"/>
      <c r="H777" s="138"/>
      <c r="M777" s="137"/>
      <c r="N777" s="137"/>
      <c r="O777" s="137"/>
    </row>
    <row r="778" spans="2:15" s="135" customFormat="1" ht="13.5" customHeight="1">
      <c r="B778" s="139" t="s">
        <v>474</v>
      </c>
      <c r="C778" s="139"/>
      <c r="D778" s="139"/>
      <c r="E778" s="139"/>
      <c r="F778" s="139"/>
      <c r="G778" s="139"/>
      <c r="H778" s="139"/>
      <c r="M778" s="137"/>
      <c r="N778" s="137"/>
      <c r="O778" s="137"/>
    </row>
    <row r="779" spans="2:15" s="135" customFormat="1" ht="13.5" customHeight="1">
      <c r="B779" s="140" t="s">
        <v>475</v>
      </c>
      <c r="C779" s="140"/>
      <c r="D779" s="140"/>
      <c r="E779" s="140"/>
      <c r="F779" s="137"/>
      <c r="G779" s="141" t="s">
        <v>476</v>
      </c>
      <c r="H779" s="141"/>
      <c r="M779" s="137"/>
      <c r="N779" s="137"/>
      <c r="O779" s="137"/>
    </row>
    <row r="780" spans="2:15" s="135" customFormat="1" ht="13.5" customHeight="1">
      <c r="B780" s="142" t="s">
        <v>360</v>
      </c>
      <c r="C780" s="143"/>
      <c r="D780" s="143"/>
      <c r="E780" s="143"/>
      <c r="F780" s="143"/>
      <c r="G780" s="143"/>
      <c r="H780" s="144"/>
      <c r="M780" s="137"/>
      <c r="N780" s="137"/>
      <c r="O780" s="137"/>
    </row>
    <row r="781" spans="2:15" s="135" customFormat="1" ht="35.25" customHeight="1">
      <c r="B781" s="145" t="s">
        <v>361</v>
      </c>
      <c r="C781" s="146" t="s">
        <v>322</v>
      </c>
      <c r="D781" s="146" t="s">
        <v>323</v>
      </c>
      <c r="E781" s="147" t="s">
        <v>350</v>
      </c>
      <c r="F781" s="148" t="s">
        <v>325</v>
      </c>
      <c r="G781" s="148" t="s">
        <v>326</v>
      </c>
      <c r="H781" s="146" t="s">
        <v>386</v>
      </c>
      <c r="M781" s="137"/>
      <c r="N781" s="137"/>
      <c r="O781" s="137"/>
    </row>
    <row r="782" spans="2:15" s="135" customFormat="1" ht="13.5" customHeight="1">
      <c r="B782" s="145" t="s">
        <v>16</v>
      </c>
      <c r="C782" s="146" t="s">
        <v>327</v>
      </c>
      <c r="D782" s="194"/>
      <c r="E782" s="147"/>
      <c r="F782" s="147"/>
      <c r="G782" s="147">
        <f>G783+G791+G792</f>
        <v>487.1968600000001</v>
      </c>
      <c r="H782" s="194"/>
      <c r="M782" s="137"/>
      <c r="N782" s="137"/>
      <c r="O782" s="137"/>
    </row>
    <row r="783" spans="2:15" s="135" customFormat="1" ht="13.5" customHeight="1">
      <c r="B783" s="145" t="s">
        <v>39</v>
      </c>
      <c r="C783" s="146" t="s">
        <v>328</v>
      </c>
      <c r="D783" s="194"/>
      <c r="E783" s="147"/>
      <c r="F783" s="147"/>
      <c r="G783" s="147">
        <f>G784+G787</f>
        <v>464.88250000000005</v>
      </c>
      <c r="H783" s="194"/>
      <c r="M783" s="137"/>
      <c r="N783" s="137"/>
      <c r="O783" s="137"/>
    </row>
    <row r="784" spans="2:15" s="135" customFormat="1" ht="13.5" customHeight="1">
      <c r="B784" s="145">
        <v>1</v>
      </c>
      <c r="C784" s="146" t="s">
        <v>329</v>
      </c>
      <c r="D784" s="149"/>
      <c r="E784" s="147"/>
      <c r="F784" s="147"/>
      <c r="G784" s="147">
        <f>SUM(G785:G786)</f>
        <v>56.59</v>
      </c>
      <c r="H784" s="194"/>
      <c r="M784" s="137"/>
      <c r="N784" s="137"/>
      <c r="O784" s="137"/>
    </row>
    <row r="785" spans="2:15" s="135" customFormat="1" ht="13.5" customHeight="1">
      <c r="B785" s="145"/>
      <c r="C785" s="149" t="s">
        <v>351</v>
      </c>
      <c r="D785" s="149" t="s">
        <v>163</v>
      </c>
      <c r="E785" s="147">
        <v>2</v>
      </c>
      <c r="F785" s="147">
        <f>'单价分析'!E15</f>
        <v>8.1</v>
      </c>
      <c r="G785" s="147">
        <f>F785*E785</f>
        <v>16.2</v>
      </c>
      <c r="H785" s="194"/>
      <c r="M785" s="137"/>
      <c r="N785" s="137"/>
      <c r="O785" s="137"/>
    </row>
    <row r="786" spans="2:15" s="135" customFormat="1" ht="13.5" customHeight="1">
      <c r="B786" s="145"/>
      <c r="C786" s="149" t="s">
        <v>330</v>
      </c>
      <c r="D786" s="149" t="s">
        <v>163</v>
      </c>
      <c r="E786" s="147">
        <v>7</v>
      </c>
      <c r="F786" s="147">
        <f>'单价分析'!E16</f>
        <v>5.77</v>
      </c>
      <c r="G786" s="147">
        <f>F786*E786</f>
        <v>40.39</v>
      </c>
      <c r="H786" s="194"/>
      <c r="M786" s="137"/>
      <c r="N786" s="137"/>
      <c r="O786" s="137"/>
    </row>
    <row r="787" spans="2:15" s="135" customFormat="1" ht="13.5" customHeight="1">
      <c r="B787" s="145">
        <v>2</v>
      </c>
      <c r="C787" s="146" t="s">
        <v>373</v>
      </c>
      <c r="D787" s="194"/>
      <c r="E787" s="147"/>
      <c r="F787" s="147"/>
      <c r="G787" s="147">
        <f>SUM(G788:G789)</f>
        <v>408.2925</v>
      </c>
      <c r="H787" s="194"/>
      <c r="M787" s="137"/>
      <c r="N787" s="137"/>
      <c r="O787" s="137"/>
    </row>
    <row r="788" spans="2:15" s="135" customFormat="1" ht="13.5" customHeight="1">
      <c r="B788" s="145"/>
      <c r="C788" s="146" t="s">
        <v>477</v>
      </c>
      <c r="D788" s="146" t="s">
        <v>478</v>
      </c>
      <c r="E788" s="147">
        <v>105</v>
      </c>
      <c r="F788" s="147">
        <v>3.85</v>
      </c>
      <c r="G788" s="147">
        <f>F788*E788</f>
        <v>404.25</v>
      </c>
      <c r="H788" s="194"/>
      <c r="M788" s="137"/>
      <c r="N788" s="137"/>
      <c r="O788" s="137"/>
    </row>
    <row r="789" spans="2:15" s="135" customFormat="1" ht="13.5" customHeight="1">
      <c r="B789" s="145"/>
      <c r="C789" s="146" t="s">
        <v>404</v>
      </c>
      <c r="D789" s="146" t="s">
        <v>332</v>
      </c>
      <c r="E789" s="147">
        <v>1</v>
      </c>
      <c r="F789" s="147">
        <f>G788</f>
        <v>404.25</v>
      </c>
      <c r="G789" s="147">
        <f>F789*E789/100</f>
        <v>4.0425</v>
      </c>
      <c r="H789" s="194"/>
      <c r="M789" s="137"/>
      <c r="N789" s="137"/>
      <c r="O789" s="137"/>
    </row>
    <row r="790" spans="2:15" s="135" customFormat="1" ht="13.5" customHeight="1">
      <c r="B790" s="145"/>
      <c r="C790" s="146"/>
      <c r="D790" s="146"/>
      <c r="E790" s="147"/>
      <c r="F790" s="147"/>
      <c r="G790" s="147"/>
      <c r="H790" s="194"/>
      <c r="M790" s="137"/>
      <c r="N790" s="137"/>
      <c r="O790" s="137"/>
    </row>
    <row r="791" spans="2:15" s="135" customFormat="1" ht="13.5" customHeight="1">
      <c r="B791" s="145" t="s">
        <v>63</v>
      </c>
      <c r="C791" s="146" t="s">
        <v>336</v>
      </c>
      <c r="D791" s="162">
        <v>0.048</v>
      </c>
      <c r="E791" s="147"/>
      <c r="F791" s="147"/>
      <c r="G791" s="147">
        <f>G783*D791</f>
        <v>22.314360000000004</v>
      </c>
      <c r="H791" s="194"/>
      <c r="M791" s="137"/>
      <c r="N791" s="137"/>
      <c r="O791" s="137"/>
    </row>
    <row r="792" spans="2:15" s="135" customFormat="1" ht="13.5" customHeight="1">
      <c r="B792" s="145" t="s">
        <v>355</v>
      </c>
      <c r="C792" s="146" t="s">
        <v>356</v>
      </c>
      <c r="D792" s="162"/>
      <c r="E792" s="147"/>
      <c r="F792" s="147"/>
      <c r="G792" s="147">
        <f>G783*D792</f>
        <v>0</v>
      </c>
      <c r="H792" s="194"/>
      <c r="M792" s="137"/>
      <c r="N792" s="137"/>
      <c r="O792" s="137"/>
    </row>
    <row r="793" spans="2:15" s="135" customFormat="1" ht="13.5" customHeight="1">
      <c r="B793" s="145" t="s">
        <v>18</v>
      </c>
      <c r="C793" s="146" t="s">
        <v>337</v>
      </c>
      <c r="D793" s="162">
        <v>0.08</v>
      </c>
      <c r="E793" s="147"/>
      <c r="F793" s="147"/>
      <c r="G793" s="147">
        <f>G782*D793</f>
        <v>38.975748800000005</v>
      </c>
      <c r="H793" s="194"/>
      <c r="M793" s="137"/>
      <c r="N793" s="137"/>
      <c r="O793" s="137"/>
    </row>
    <row r="794" spans="2:15" s="135" customFormat="1" ht="13.5" customHeight="1">
      <c r="B794" s="145" t="s">
        <v>20</v>
      </c>
      <c r="C794" s="146" t="s">
        <v>338</v>
      </c>
      <c r="D794" s="162">
        <v>0.05</v>
      </c>
      <c r="E794" s="147"/>
      <c r="F794" s="147"/>
      <c r="G794" s="147">
        <f>(G782+G793)*D794</f>
        <v>26.30863044</v>
      </c>
      <c r="H794" s="194"/>
      <c r="M794" s="137"/>
      <c r="N794" s="137"/>
      <c r="O794" s="137"/>
    </row>
    <row r="795" spans="2:15" s="135" customFormat="1" ht="13.5" customHeight="1">
      <c r="B795" s="145" t="s">
        <v>22</v>
      </c>
      <c r="C795" s="146" t="s">
        <v>339</v>
      </c>
      <c r="D795" s="152"/>
      <c r="E795" s="147"/>
      <c r="F795" s="147"/>
      <c r="G795" s="147">
        <f>G796</f>
        <v>0</v>
      </c>
      <c r="H795" s="194"/>
      <c r="M795" s="137"/>
      <c r="N795" s="137"/>
      <c r="O795" s="137"/>
    </row>
    <row r="796" spans="2:15" s="135" customFormat="1" ht="13.5" customHeight="1">
      <c r="B796" s="145"/>
      <c r="C796" s="146"/>
      <c r="D796" s="146"/>
      <c r="E796" s="147"/>
      <c r="F796" s="147"/>
      <c r="G796" s="147">
        <f>F796*E796</f>
        <v>0</v>
      </c>
      <c r="H796" s="194"/>
      <c r="M796" s="137"/>
      <c r="N796" s="137"/>
      <c r="O796" s="137"/>
    </row>
    <row r="797" spans="2:15" s="135" customFormat="1" ht="13.5" customHeight="1">
      <c r="B797" s="145" t="s">
        <v>24</v>
      </c>
      <c r="C797" s="146" t="s">
        <v>435</v>
      </c>
      <c r="D797" s="152">
        <v>0.09</v>
      </c>
      <c r="E797" s="147"/>
      <c r="F797" s="147"/>
      <c r="G797" s="147">
        <f>(G782+G793+G794+G795)*D797</f>
        <v>49.723311531600004</v>
      </c>
      <c r="H797" s="194"/>
      <c r="M797" s="137"/>
      <c r="N797" s="137"/>
      <c r="O797" s="137"/>
    </row>
    <row r="798" spans="2:17" s="135" customFormat="1" ht="13.5" customHeight="1">
      <c r="B798" s="145"/>
      <c r="C798" s="146" t="s">
        <v>357</v>
      </c>
      <c r="D798" s="194"/>
      <c r="E798" s="147"/>
      <c r="F798" s="147"/>
      <c r="G798" s="147">
        <f>G782++G793+G797+G794+G795</f>
        <v>602.2045507716</v>
      </c>
      <c r="H798" s="194"/>
      <c r="K798" s="220"/>
      <c r="L798" s="220"/>
      <c r="M798" s="220"/>
      <c r="N798" s="220"/>
      <c r="O798" s="220"/>
      <c r="P798" s="220"/>
      <c r="Q798" s="220"/>
    </row>
    <row r="799" spans="2:15" s="135" customFormat="1" ht="13.5" customHeight="1">
      <c r="B799" s="145" t="s">
        <v>341</v>
      </c>
      <c r="C799" s="146" t="s">
        <v>342</v>
      </c>
      <c r="D799" s="153">
        <v>0.03</v>
      </c>
      <c r="E799" s="147"/>
      <c r="F799" s="147"/>
      <c r="G799" s="147">
        <f>G798*D799</f>
        <v>18.066136523148</v>
      </c>
      <c r="H799" s="194"/>
      <c r="M799" s="137"/>
      <c r="N799" s="137"/>
      <c r="O799" s="137"/>
    </row>
    <row r="800" spans="2:15" s="135" customFormat="1" ht="13.5" customHeight="1">
      <c r="B800" s="195"/>
      <c r="C800" s="146" t="s">
        <v>343</v>
      </c>
      <c r="D800" s="194"/>
      <c r="E800" s="196"/>
      <c r="F800" s="196"/>
      <c r="G800" s="147">
        <f>G798+G799</f>
        <v>620.270687294748</v>
      </c>
      <c r="H800" s="194"/>
      <c r="M800" s="137"/>
      <c r="N800" s="137"/>
      <c r="O800" s="137"/>
    </row>
    <row r="801" ht="13.5" customHeight="1"/>
    <row r="802" ht="13.5" customHeight="1"/>
    <row r="803" ht="13.5" customHeight="1"/>
    <row r="804" spans="2:8" ht="19.5" customHeight="1">
      <c r="B804" s="138" t="s">
        <v>317</v>
      </c>
      <c r="C804" s="138"/>
      <c r="D804" s="138"/>
      <c r="E804" s="138"/>
      <c r="F804" s="138"/>
      <c r="G804" s="138"/>
      <c r="H804" s="138"/>
    </row>
    <row r="805" spans="2:8" ht="13.5" customHeight="1">
      <c r="B805" s="139" t="s">
        <v>479</v>
      </c>
      <c r="C805" s="139"/>
      <c r="D805" s="139"/>
      <c r="E805" s="139"/>
      <c r="F805" s="139"/>
      <c r="G805" s="139"/>
      <c r="H805" s="139"/>
    </row>
    <row r="806" spans="2:8" ht="13.5" customHeight="1">
      <c r="B806" s="140" t="s">
        <v>480</v>
      </c>
      <c r="C806" s="140"/>
      <c r="D806" s="140"/>
      <c r="E806" s="140"/>
      <c r="F806" s="192"/>
      <c r="G806" s="219" t="s">
        <v>448</v>
      </c>
      <c r="H806" s="219"/>
    </row>
    <row r="807" spans="2:8" ht="13.5" customHeight="1">
      <c r="B807" s="142" t="s">
        <v>481</v>
      </c>
      <c r="C807" s="143"/>
      <c r="D807" s="143"/>
      <c r="E807" s="143"/>
      <c r="F807" s="143"/>
      <c r="G807" s="143"/>
      <c r="H807" s="160"/>
    </row>
    <row r="808" spans="2:8" ht="24.75" customHeight="1">
      <c r="B808" s="145" t="s">
        <v>31</v>
      </c>
      <c r="C808" s="146" t="s">
        <v>322</v>
      </c>
      <c r="D808" s="146" t="s">
        <v>102</v>
      </c>
      <c r="E808" s="147" t="s">
        <v>394</v>
      </c>
      <c r="F808" s="148" t="s">
        <v>325</v>
      </c>
      <c r="G808" s="148" t="s">
        <v>326</v>
      </c>
      <c r="H808" s="146" t="s">
        <v>37</v>
      </c>
    </row>
    <row r="809" spans="2:8" ht="13.5" customHeight="1">
      <c r="B809" s="145" t="s">
        <v>16</v>
      </c>
      <c r="C809" s="146" t="s">
        <v>327</v>
      </c>
      <c r="D809" s="146"/>
      <c r="E809" s="147"/>
      <c r="F809" s="147"/>
      <c r="G809" s="147">
        <f>G810+G819+G820</f>
        <v>6294.776219470015</v>
      </c>
      <c r="H809" s="146"/>
    </row>
    <row r="810" spans="2:8" ht="13.5" customHeight="1">
      <c r="B810" s="145" t="s">
        <v>39</v>
      </c>
      <c r="C810" s="146" t="s">
        <v>328</v>
      </c>
      <c r="D810" s="146"/>
      <c r="E810" s="147"/>
      <c r="F810" s="147"/>
      <c r="G810" s="147">
        <f>G811+G814+G815</f>
        <v>6006.465858272915</v>
      </c>
      <c r="H810" s="146"/>
    </row>
    <row r="811" spans="2:8" ht="13.5" customHeight="1">
      <c r="B811" s="145">
        <v>1</v>
      </c>
      <c r="C811" s="146" t="s">
        <v>329</v>
      </c>
      <c r="D811" s="146"/>
      <c r="E811" s="147"/>
      <c r="F811" s="147"/>
      <c r="G811" s="147">
        <f>SUM(G812:G813)</f>
        <v>90.012</v>
      </c>
      <c r="H811" s="146"/>
    </row>
    <row r="812" spans="2:8" ht="13.5" customHeight="1">
      <c r="B812" s="145"/>
      <c r="C812" s="149" t="s">
        <v>351</v>
      </c>
      <c r="D812" s="149" t="s">
        <v>163</v>
      </c>
      <c r="E812" s="147"/>
      <c r="F812" s="147"/>
      <c r="G812" s="147">
        <f>F812*E812</f>
        <v>0</v>
      </c>
      <c r="H812" s="146"/>
    </row>
    <row r="813" spans="2:8" ht="13.5" customHeight="1">
      <c r="B813" s="145"/>
      <c r="C813" s="149" t="s">
        <v>330</v>
      </c>
      <c r="D813" s="149" t="s">
        <v>163</v>
      </c>
      <c r="E813" s="147">
        <f>12*1.3</f>
        <v>15.600000000000001</v>
      </c>
      <c r="F813" s="147">
        <f>'单价分析'!E16</f>
        <v>5.77</v>
      </c>
      <c r="G813" s="147">
        <f>F813*E813</f>
        <v>90.012</v>
      </c>
      <c r="H813" s="146"/>
    </row>
    <row r="814" spans="2:8" ht="13.5" customHeight="1">
      <c r="B814" s="145">
        <v>2</v>
      </c>
      <c r="C814" s="146" t="s">
        <v>331</v>
      </c>
      <c r="D814" s="146" t="s">
        <v>332</v>
      </c>
      <c r="E814" s="147">
        <v>5</v>
      </c>
      <c r="F814" s="147"/>
      <c r="G814" s="147">
        <f>(G811+G815)*E814%</f>
        <v>286.0221837272817</v>
      </c>
      <c r="H814" s="146"/>
    </row>
    <row r="815" spans="2:8" ht="13.5" customHeight="1">
      <c r="B815" s="145">
        <v>3</v>
      </c>
      <c r="C815" s="146" t="s">
        <v>333</v>
      </c>
      <c r="D815" s="146"/>
      <c r="E815" s="147"/>
      <c r="F815" s="147"/>
      <c r="G815" s="147">
        <f>G816</f>
        <v>5630.4316745456335</v>
      </c>
      <c r="H815" s="146"/>
    </row>
    <row r="816" spans="2:8" ht="13.5" customHeight="1">
      <c r="B816" s="145"/>
      <c r="C816" s="146" t="s">
        <v>482</v>
      </c>
      <c r="D816" s="146" t="s">
        <v>335</v>
      </c>
      <c r="E816" s="147">
        <f>35.35*1.3</f>
        <v>45.955000000000005</v>
      </c>
      <c r="F816" s="147">
        <f>35.63/1.15+25.46/1.11+2.18+2.7*'机械台班'!B12+14.9*'机械台班'!B14</f>
        <v>122.52054563258912</v>
      </c>
      <c r="G816" s="147">
        <f>F816*E816</f>
        <v>5630.4316745456335</v>
      </c>
      <c r="H816" s="146"/>
    </row>
    <row r="817" spans="2:8" ht="13.5" customHeight="1">
      <c r="B817" s="145"/>
      <c r="C817" s="146"/>
      <c r="D817" s="146"/>
      <c r="E817" s="147"/>
      <c r="F817" s="147"/>
      <c r="G817" s="147"/>
      <c r="H817" s="146"/>
    </row>
    <row r="818" spans="2:8" ht="13.5" customHeight="1">
      <c r="B818" s="145"/>
      <c r="C818" s="146"/>
      <c r="D818" s="146"/>
      <c r="E818" s="147"/>
      <c r="F818" s="147"/>
      <c r="G818" s="147"/>
      <c r="H818" s="146"/>
    </row>
    <row r="819" spans="2:8" ht="13.5" customHeight="1">
      <c r="B819" s="145" t="s">
        <v>63</v>
      </c>
      <c r="C819" s="146" t="s">
        <v>336</v>
      </c>
      <c r="D819" s="162">
        <v>0.048</v>
      </c>
      <c r="E819" s="147"/>
      <c r="F819" s="147"/>
      <c r="G819" s="147">
        <f>G810*D819</f>
        <v>288.31036119709995</v>
      </c>
      <c r="H819" s="146"/>
    </row>
    <row r="820" spans="2:8" ht="13.5" customHeight="1">
      <c r="B820" s="145" t="s">
        <v>355</v>
      </c>
      <c r="C820" s="146" t="s">
        <v>356</v>
      </c>
      <c r="D820" s="162"/>
      <c r="E820" s="147"/>
      <c r="F820" s="147"/>
      <c r="G820" s="147">
        <f>G810*D820</f>
        <v>0</v>
      </c>
      <c r="H820" s="146"/>
    </row>
    <row r="821" spans="2:8" ht="13.5" customHeight="1">
      <c r="B821" s="145" t="s">
        <v>18</v>
      </c>
      <c r="C821" s="146" t="s">
        <v>337</v>
      </c>
      <c r="D821" s="162">
        <v>0.08</v>
      </c>
      <c r="E821" s="147"/>
      <c r="F821" s="147"/>
      <c r="G821" s="147">
        <f>G809*D821</f>
        <v>503.58209755760123</v>
      </c>
      <c r="H821" s="146"/>
    </row>
    <row r="822" spans="2:8" ht="13.5" customHeight="1">
      <c r="B822" s="145" t="s">
        <v>20</v>
      </c>
      <c r="C822" s="146" t="s">
        <v>338</v>
      </c>
      <c r="D822" s="162">
        <v>0.05</v>
      </c>
      <c r="E822" s="147"/>
      <c r="F822" s="147"/>
      <c r="G822" s="147">
        <f>(G809+G821)*D822</f>
        <v>339.9179158513809</v>
      </c>
      <c r="H822" s="146"/>
    </row>
    <row r="823" spans="2:8" ht="13.5" customHeight="1">
      <c r="B823" s="145" t="s">
        <v>22</v>
      </c>
      <c r="C823" s="146" t="s">
        <v>339</v>
      </c>
      <c r="D823" s="152"/>
      <c r="E823" s="147"/>
      <c r="F823" s="147"/>
      <c r="G823" s="147">
        <f>G824</f>
        <v>2601.9721000000004</v>
      </c>
      <c r="H823" s="146"/>
    </row>
    <row r="824" spans="2:8" ht="13.5" customHeight="1">
      <c r="B824" s="145"/>
      <c r="C824" s="146" t="s">
        <v>304</v>
      </c>
      <c r="D824" s="146" t="s">
        <v>307</v>
      </c>
      <c r="E824" s="147">
        <f>E816*14.9</f>
        <v>684.7295000000001</v>
      </c>
      <c r="F824" s="147">
        <f>'机械台班'!C32</f>
        <v>3.8</v>
      </c>
      <c r="G824" s="147">
        <f>E824*F824</f>
        <v>2601.9721000000004</v>
      </c>
      <c r="H824" s="146"/>
    </row>
    <row r="825" spans="2:8" ht="13.5" customHeight="1">
      <c r="B825" s="145" t="s">
        <v>24</v>
      </c>
      <c r="C825" s="146" t="s">
        <v>435</v>
      </c>
      <c r="D825" s="152">
        <v>0.09</v>
      </c>
      <c r="E825" s="147"/>
      <c r="F825" s="196"/>
      <c r="G825" s="147">
        <f>(G809+G821+G822+G823)*D825</f>
        <v>876.6223499591098</v>
      </c>
      <c r="H825" s="146"/>
    </row>
    <row r="826" spans="2:8" ht="13.5" customHeight="1">
      <c r="B826" s="195"/>
      <c r="C826" s="146" t="s">
        <v>357</v>
      </c>
      <c r="D826" s="146">
        <v>1</v>
      </c>
      <c r="E826" s="147"/>
      <c r="F826" s="147"/>
      <c r="G826" s="147">
        <f>(G809+G821+G825+G822+G823)*D826</f>
        <v>10616.870682838107</v>
      </c>
      <c r="H826" s="194"/>
    </row>
    <row r="827" spans="2:8" ht="13.5" customHeight="1">
      <c r="B827" s="145" t="s">
        <v>341</v>
      </c>
      <c r="C827" s="146" t="s">
        <v>342</v>
      </c>
      <c r="D827" s="153">
        <v>0.03</v>
      </c>
      <c r="E827" s="147"/>
      <c r="F827" s="147"/>
      <c r="G827" s="147">
        <f>G826*D827</f>
        <v>318.5061204851432</v>
      </c>
      <c r="H827" s="194"/>
    </row>
    <row r="828" spans="2:8" ht="13.5" customHeight="1">
      <c r="B828" s="195"/>
      <c r="C828" s="146" t="s">
        <v>343</v>
      </c>
      <c r="D828" s="152"/>
      <c r="E828" s="147"/>
      <c r="F828" s="147"/>
      <c r="G828" s="147">
        <f>G826+G827</f>
        <v>10935.37680332325</v>
      </c>
      <c r="H828" s="194"/>
    </row>
    <row r="829" ht="13.5" customHeight="1"/>
    <row r="830" ht="13.5" customHeight="1"/>
    <row r="832" spans="2:16" ht="20.25">
      <c r="B832" s="138" t="s">
        <v>317</v>
      </c>
      <c r="C832" s="138"/>
      <c r="D832" s="138"/>
      <c r="E832" s="138"/>
      <c r="F832" s="138"/>
      <c r="G832" s="138"/>
      <c r="H832" s="138"/>
      <c r="J832" s="221"/>
      <c r="K832" s="221"/>
      <c r="L832" s="221"/>
      <c r="M832" s="221"/>
      <c r="N832" s="221"/>
      <c r="O832" s="221"/>
      <c r="P832" s="221"/>
    </row>
    <row r="833" spans="2:16" ht="14.25">
      <c r="B833" s="139" t="s">
        <v>483</v>
      </c>
      <c r="C833" s="139"/>
      <c r="D833" s="139"/>
      <c r="E833" s="139"/>
      <c r="F833" s="139"/>
      <c r="G833" s="139"/>
      <c r="H833" s="139"/>
      <c r="J833" s="222"/>
      <c r="K833" s="222"/>
      <c r="L833" s="222"/>
      <c r="M833" s="222"/>
      <c r="N833" s="222"/>
      <c r="O833" s="222"/>
      <c r="P833" s="222"/>
    </row>
    <row r="834" spans="2:16" ht="14.25">
      <c r="B834" s="140" t="s">
        <v>484</v>
      </c>
      <c r="C834" s="140"/>
      <c r="D834" s="140"/>
      <c r="E834" s="140"/>
      <c r="G834" s="141" t="s">
        <v>448</v>
      </c>
      <c r="H834" s="141"/>
      <c r="J834" s="222"/>
      <c r="K834" s="222"/>
      <c r="L834" s="222"/>
      <c r="M834" s="222"/>
      <c r="N834" s="223"/>
      <c r="O834" s="224"/>
      <c r="P834" s="224"/>
    </row>
    <row r="835" spans="2:16" ht="14.25">
      <c r="B835" s="142" t="s">
        <v>360</v>
      </c>
      <c r="C835" s="143"/>
      <c r="D835" s="143"/>
      <c r="E835" s="143"/>
      <c r="F835" s="143"/>
      <c r="G835" s="143"/>
      <c r="H835" s="144"/>
      <c r="J835" s="222"/>
      <c r="K835" s="222"/>
      <c r="L835" s="222"/>
      <c r="M835" s="222"/>
      <c r="N835" s="222"/>
      <c r="O835" s="222"/>
      <c r="P835" s="222"/>
    </row>
    <row r="836" spans="2:16" ht="25.5">
      <c r="B836" s="145" t="s">
        <v>3</v>
      </c>
      <c r="C836" s="146" t="s">
        <v>322</v>
      </c>
      <c r="D836" s="146" t="s">
        <v>102</v>
      </c>
      <c r="E836" s="147" t="s">
        <v>324</v>
      </c>
      <c r="F836" s="148" t="s">
        <v>325</v>
      </c>
      <c r="G836" s="148" t="s">
        <v>326</v>
      </c>
      <c r="H836" s="146" t="s">
        <v>386</v>
      </c>
      <c r="J836" s="187"/>
      <c r="K836" s="187"/>
      <c r="L836" s="187"/>
      <c r="M836" s="184"/>
      <c r="N836" s="225"/>
      <c r="O836" s="225"/>
      <c r="P836" s="187"/>
    </row>
    <row r="837" spans="2:16" ht="14.25">
      <c r="B837" s="145" t="s">
        <v>16</v>
      </c>
      <c r="C837" s="146" t="s">
        <v>327</v>
      </c>
      <c r="D837" s="146"/>
      <c r="E837" s="147"/>
      <c r="F837" s="147"/>
      <c r="G837" s="147">
        <f>G838+G855+G856</f>
        <v>43759.781279507464</v>
      </c>
      <c r="H837" s="146"/>
      <c r="J837" s="187"/>
      <c r="K837" s="187"/>
      <c r="L837" s="187"/>
      <c r="M837" s="184"/>
      <c r="N837" s="184"/>
      <c r="O837" s="184"/>
      <c r="P837" s="187"/>
    </row>
    <row r="838" spans="2:16" ht="14.25">
      <c r="B838" s="145" t="s">
        <v>39</v>
      </c>
      <c r="C838" s="146" t="s">
        <v>328</v>
      </c>
      <c r="D838" s="146"/>
      <c r="E838" s="147"/>
      <c r="F838" s="147"/>
      <c r="G838" s="147">
        <f>G839+G842+G849</f>
        <v>41755.516488079644</v>
      </c>
      <c r="H838" s="146"/>
      <c r="J838" s="187"/>
      <c r="K838" s="187"/>
      <c r="L838" s="187"/>
      <c r="M838" s="184"/>
      <c r="N838" s="184"/>
      <c r="O838" s="184"/>
      <c r="P838" s="187"/>
    </row>
    <row r="839" spans="2:16" ht="14.25">
      <c r="B839" s="145">
        <v>1</v>
      </c>
      <c r="C839" s="146" t="s">
        <v>329</v>
      </c>
      <c r="D839" s="146"/>
      <c r="E839" s="147"/>
      <c r="F839" s="147"/>
      <c r="G839" s="147">
        <f>SUM(G840:G841)</f>
        <v>20800.110999999997</v>
      </c>
      <c r="H839" s="146"/>
      <c r="J839" s="187"/>
      <c r="K839" s="187"/>
      <c r="L839" s="187"/>
      <c r="M839" s="184"/>
      <c r="N839" s="184"/>
      <c r="O839" s="184"/>
      <c r="P839" s="187"/>
    </row>
    <row r="840" spans="2:16" ht="14.25">
      <c r="B840" s="145"/>
      <c r="C840" s="149" t="s">
        <v>351</v>
      </c>
      <c r="D840" s="149" t="s">
        <v>163</v>
      </c>
      <c r="E840" s="147">
        <v>1938.7</v>
      </c>
      <c r="F840" s="147">
        <f>'单价分析'!E15</f>
        <v>8.1</v>
      </c>
      <c r="G840" s="147">
        <f aca="true" t="shared" si="20" ref="G840:G847">F840*E840</f>
        <v>15703.47</v>
      </c>
      <c r="H840" s="146"/>
      <c r="J840" s="187"/>
      <c r="K840" s="176"/>
      <c r="L840" s="176"/>
      <c r="M840" s="184"/>
      <c r="N840" s="184"/>
      <c r="O840" s="184"/>
      <c r="P840" s="187"/>
    </row>
    <row r="841" spans="2:16" ht="14.25">
      <c r="B841" s="145"/>
      <c r="C841" s="149" t="s">
        <v>330</v>
      </c>
      <c r="D841" s="149" t="s">
        <v>163</v>
      </c>
      <c r="E841" s="147">
        <v>883.3</v>
      </c>
      <c r="F841" s="147">
        <f>'单价分析'!E16</f>
        <v>5.77</v>
      </c>
      <c r="G841" s="147">
        <f t="shared" si="20"/>
        <v>5096.641</v>
      </c>
      <c r="H841" s="146"/>
      <c r="J841" s="187"/>
      <c r="K841" s="176"/>
      <c r="L841" s="176"/>
      <c r="M841" s="184"/>
      <c r="N841" s="184"/>
      <c r="O841" s="184"/>
      <c r="P841" s="187"/>
    </row>
    <row r="842" spans="2:16" ht="14.25">
      <c r="B842" s="145">
        <v>2</v>
      </c>
      <c r="C842" s="146" t="s">
        <v>373</v>
      </c>
      <c r="D842" s="146"/>
      <c r="E842" s="147"/>
      <c r="F842" s="147"/>
      <c r="G842" s="147">
        <f>SUM(G843:G848)</f>
        <v>20118.478231780005</v>
      </c>
      <c r="H842" s="146"/>
      <c r="J842" s="187"/>
      <c r="K842" s="187"/>
      <c r="L842" s="187"/>
      <c r="M842" s="184"/>
      <c r="N842" s="184"/>
      <c r="O842" s="184"/>
      <c r="P842" s="187"/>
    </row>
    <row r="843" spans="2:16" ht="14.25">
      <c r="B843" s="145"/>
      <c r="C843" s="146" t="s">
        <v>485</v>
      </c>
      <c r="D843" s="146" t="s">
        <v>307</v>
      </c>
      <c r="E843" s="147">
        <v>153.08</v>
      </c>
      <c r="F843" s="147">
        <f>'机械台班'!D35</f>
        <v>4.43</v>
      </c>
      <c r="G843" s="147">
        <f t="shared" si="20"/>
        <v>678.1444</v>
      </c>
      <c r="H843" s="146"/>
      <c r="J843" s="187"/>
      <c r="K843" s="187"/>
      <c r="L843" s="187"/>
      <c r="M843" s="184"/>
      <c r="N843" s="184"/>
      <c r="O843" s="184"/>
      <c r="P843" s="187"/>
    </row>
    <row r="844" spans="2:16" ht="14.25">
      <c r="B844" s="145"/>
      <c r="C844" s="146" t="s">
        <v>312</v>
      </c>
      <c r="D844" s="146" t="s">
        <v>307</v>
      </c>
      <c r="E844" s="147">
        <v>32.34</v>
      </c>
      <c r="F844" s="147">
        <f>'机械台班'!D40</f>
        <v>5.6</v>
      </c>
      <c r="G844" s="147">
        <f t="shared" si="20"/>
        <v>181.104</v>
      </c>
      <c r="H844" s="146"/>
      <c r="J844" s="187"/>
      <c r="K844" s="187"/>
      <c r="L844" s="187"/>
      <c r="M844" s="184"/>
      <c r="N844" s="184"/>
      <c r="O844" s="184"/>
      <c r="P844" s="187"/>
    </row>
    <row r="845" spans="2:16" ht="14.25">
      <c r="B845" s="145"/>
      <c r="C845" s="146" t="s">
        <v>486</v>
      </c>
      <c r="D845" s="146" t="s">
        <v>365</v>
      </c>
      <c r="E845" s="147">
        <v>1</v>
      </c>
      <c r="F845" s="147">
        <f>'配合'!I13</f>
        <v>135.54646</v>
      </c>
      <c r="G845" s="147">
        <f t="shared" si="20"/>
        <v>135.54646</v>
      </c>
      <c r="H845" s="146"/>
      <c r="J845" s="187"/>
      <c r="K845" s="187"/>
      <c r="L845" s="187"/>
      <c r="M845" s="184"/>
      <c r="N845" s="184"/>
      <c r="O845" s="184"/>
      <c r="P845" s="187"/>
    </row>
    <row r="846" spans="2:16" ht="15">
      <c r="B846" s="145"/>
      <c r="C846" s="146" t="s">
        <v>425</v>
      </c>
      <c r="D846" s="146" t="s">
        <v>365</v>
      </c>
      <c r="E846" s="147">
        <v>102</v>
      </c>
      <c r="F846" s="147">
        <f>'配合'!I8</f>
        <v>176.40480900000003</v>
      </c>
      <c r="G846" s="147">
        <f t="shared" si="20"/>
        <v>17993.290518</v>
      </c>
      <c r="H846" s="146"/>
      <c r="J846" s="187"/>
      <c r="K846" s="187"/>
      <c r="L846" s="187"/>
      <c r="M846" s="184"/>
      <c r="N846" s="184"/>
      <c r="O846" s="184"/>
      <c r="P846" s="187"/>
    </row>
    <row r="847" spans="2:16" ht="14.25">
      <c r="B847" s="145"/>
      <c r="C847" s="146" t="s">
        <v>413</v>
      </c>
      <c r="D847" s="146" t="s">
        <v>365</v>
      </c>
      <c r="E847" s="147">
        <v>240</v>
      </c>
      <c r="F847" s="147">
        <f>'单价分析'!E17</f>
        <v>3.88</v>
      </c>
      <c r="G847" s="147">
        <f t="shared" si="20"/>
        <v>931.1999999999999</v>
      </c>
      <c r="H847" s="146"/>
      <c r="J847" s="187"/>
      <c r="K847" s="187"/>
      <c r="L847" s="187"/>
      <c r="M847" s="184"/>
      <c r="N847" s="184"/>
      <c r="O847" s="184"/>
      <c r="P847" s="187"/>
    </row>
    <row r="848" spans="2:16" ht="14.25">
      <c r="B848" s="145"/>
      <c r="C848" s="146" t="s">
        <v>404</v>
      </c>
      <c r="D848" s="146" t="s">
        <v>332</v>
      </c>
      <c r="E848" s="147">
        <v>1</v>
      </c>
      <c r="F848" s="147">
        <f>SUM(G843:G847)</f>
        <v>19919.285378000004</v>
      </c>
      <c r="G848" s="147">
        <f>F848*E848%</f>
        <v>199.19285378000004</v>
      </c>
      <c r="H848" s="146"/>
      <c r="J848" s="187"/>
      <c r="K848" s="187"/>
      <c r="L848" s="187"/>
      <c r="M848" s="184"/>
      <c r="N848" s="184"/>
      <c r="O848" s="184"/>
      <c r="P848" s="187"/>
    </row>
    <row r="849" spans="2:16" ht="14.25">
      <c r="B849" s="145">
        <v>3</v>
      </c>
      <c r="C849" s="146" t="s">
        <v>352</v>
      </c>
      <c r="D849" s="146"/>
      <c r="E849" s="147"/>
      <c r="F849" s="147"/>
      <c r="G849" s="147">
        <f>SUM(G850:G854)</f>
        <v>836.9272562996408</v>
      </c>
      <c r="H849" s="146"/>
      <c r="J849" s="187"/>
      <c r="K849" s="187"/>
      <c r="L849" s="187"/>
      <c r="M849" s="184"/>
      <c r="N849" s="184"/>
      <c r="O849" s="184"/>
      <c r="P849" s="187"/>
    </row>
    <row r="850" spans="2:16" ht="14.25">
      <c r="B850" s="145"/>
      <c r="C850" s="146" t="s">
        <v>452</v>
      </c>
      <c r="D850" s="146" t="s">
        <v>335</v>
      </c>
      <c r="E850" s="147">
        <v>18.36</v>
      </c>
      <c r="F850" s="147">
        <f>'台班总'!D13</f>
        <v>28.217952134024728</v>
      </c>
      <c r="G850" s="147">
        <f>F850*E850</f>
        <v>518.081601180694</v>
      </c>
      <c r="H850" s="146"/>
      <c r="J850" s="187"/>
      <c r="K850" s="187"/>
      <c r="L850" s="187"/>
      <c r="M850" s="184"/>
      <c r="N850" s="184"/>
      <c r="O850" s="184"/>
      <c r="P850" s="187"/>
    </row>
    <row r="851" spans="2:16" ht="14.25">
      <c r="B851" s="145"/>
      <c r="C851" s="146" t="s">
        <v>209</v>
      </c>
      <c r="D851" s="146" t="s">
        <v>335</v>
      </c>
      <c r="E851" s="147">
        <v>92.8</v>
      </c>
      <c r="F851" s="147">
        <f>'台班总'!D20</f>
        <v>0.8132429198244914</v>
      </c>
      <c r="G851" s="147">
        <f>F851*E851</f>
        <v>75.46894295971279</v>
      </c>
      <c r="H851" s="194"/>
      <c r="J851" s="187"/>
      <c r="K851" s="187"/>
      <c r="L851" s="187"/>
      <c r="M851" s="184"/>
      <c r="N851" s="184"/>
      <c r="O851" s="184"/>
      <c r="P851" s="226"/>
    </row>
    <row r="852" spans="2:16" ht="14.25">
      <c r="B852" s="145"/>
      <c r="C852" s="146" t="s">
        <v>405</v>
      </c>
      <c r="D852" s="146" t="s">
        <v>335</v>
      </c>
      <c r="E852" s="147">
        <v>1.84</v>
      </c>
      <c r="F852" s="147">
        <f>'台班总'!D16</f>
        <v>49.389824491424015</v>
      </c>
      <c r="G852" s="147">
        <f>F852*E852</f>
        <v>90.8772770642202</v>
      </c>
      <c r="H852" s="194"/>
      <c r="J852" s="187"/>
      <c r="K852" s="187"/>
      <c r="L852" s="187"/>
      <c r="M852" s="184"/>
      <c r="N852" s="184"/>
      <c r="O852" s="184"/>
      <c r="P852" s="226"/>
    </row>
    <row r="853" spans="2:16" ht="14.25">
      <c r="B853" s="145"/>
      <c r="C853" s="146" t="s">
        <v>417</v>
      </c>
      <c r="D853" s="146" t="s">
        <v>335</v>
      </c>
      <c r="E853" s="147">
        <v>44</v>
      </c>
      <c r="F853" s="147">
        <f>'台班总'!D14</f>
        <v>2.221526924611089</v>
      </c>
      <c r="G853" s="147">
        <f>F853*E853</f>
        <v>97.7471846828879</v>
      </c>
      <c r="H853" s="194"/>
      <c r="J853" s="187"/>
      <c r="K853" s="187"/>
      <c r="L853" s="187"/>
      <c r="M853" s="184"/>
      <c r="N853" s="184"/>
      <c r="O853" s="184"/>
      <c r="P853" s="226"/>
    </row>
    <row r="854" spans="2:16" ht="14.25">
      <c r="B854" s="145"/>
      <c r="C854" s="146" t="s">
        <v>370</v>
      </c>
      <c r="D854" s="146" t="s">
        <v>332</v>
      </c>
      <c r="E854" s="147">
        <v>7</v>
      </c>
      <c r="F854" s="147">
        <f>SUM(G850:G853)</f>
        <v>782.1750058875148</v>
      </c>
      <c r="G854" s="147">
        <f>F854*E854%</f>
        <v>54.75225041212604</v>
      </c>
      <c r="H854" s="194"/>
      <c r="J854" s="187"/>
      <c r="K854" s="187"/>
      <c r="L854" s="187"/>
      <c r="M854" s="184"/>
      <c r="N854" s="184"/>
      <c r="O854" s="184"/>
      <c r="P854" s="226"/>
    </row>
    <row r="855" spans="2:16" ht="14.25">
      <c r="B855" s="145" t="s">
        <v>63</v>
      </c>
      <c r="C855" s="146" t="s">
        <v>336</v>
      </c>
      <c r="D855" s="162">
        <v>0.048</v>
      </c>
      <c r="E855" s="147"/>
      <c r="F855" s="147"/>
      <c r="G855" s="147">
        <f>G838*D855</f>
        <v>2004.264791427823</v>
      </c>
      <c r="H855" s="194"/>
      <c r="J855" s="187"/>
      <c r="K855" s="187"/>
      <c r="L855" s="227"/>
      <c r="M855" s="184"/>
      <c r="N855" s="184"/>
      <c r="O855" s="184"/>
      <c r="P855" s="226"/>
    </row>
    <row r="856" spans="2:16" ht="14.25">
      <c r="B856" s="145" t="s">
        <v>355</v>
      </c>
      <c r="C856" s="146" t="s">
        <v>356</v>
      </c>
      <c r="D856" s="162"/>
      <c r="E856" s="147"/>
      <c r="F856" s="147"/>
      <c r="G856" s="147">
        <f>G838*D856</f>
        <v>0</v>
      </c>
      <c r="H856" s="194"/>
      <c r="J856" s="187"/>
      <c r="K856" s="187"/>
      <c r="L856" s="227"/>
      <c r="M856" s="184"/>
      <c r="N856" s="184"/>
      <c r="O856" s="184"/>
      <c r="P856" s="226"/>
    </row>
    <row r="857" spans="2:16" ht="14.25">
      <c r="B857" s="145" t="s">
        <v>18</v>
      </c>
      <c r="C857" s="146" t="s">
        <v>337</v>
      </c>
      <c r="D857" s="162">
        <v>0.08</v>
      </c>
      <c r="E857" s="147"/>
      <c r="F857" s="147"/>
      <c r="G857" s="147">
        <f>G837*D857</f>
        <v>3500.7825023605974</v>
      </c>
      <c r="H857" s="194"/>
      <c r="J857" s="187"/>
      <c r="K857" s="187"/>
      <c r="L857" s="227"/>
      <c r="M857" s="184"/>
      <c r="N857" s="184"/>
      <c r="O857" s="184"/>
      <c r="P857" s="226"/>
    </row>
    <row r="858" spans="2:16" ht="14.25">
      <c r="B858" s="145" t="s">
        <v>20</v>
      </c>
      <c r="C858" s="146" t="s">
        <v>338</v>
      </c>
      <c r="D858" s="162">
        <v>0.07</v>
      </c>
      <c r="E858" s="147"/>
      <c r="F858" s="147"/>
      <c r="G858" s="147">
        <f>(G837+G857)*D858</f>
        <v>3308.2394647307647</v>
      </c>
      <c r="H858" s="194"/>
      <c r="J858" s="187"/>
      <c r="K858" s="187"/>
      <c r="L858" s="227"/>
      <c r="M858" s="184"/>
      <c r="N858" s="184"/>
      <c r="O858" s="184"/>
      <c r="P858" s="226"/>
    </row>
    <row r="859" spans="2:16" ht="14.25">
      <c r="B859" s="145" t="s">
        <v>22</v>
      </c>
      <c r="C859" s="146" t="s">
        <v>339</v>
      </c>
      <c r="D859" s="152"/>
      <c r="E859" s="147"/>
      <c r="F859" s="147"/>
      <c r="G859" s="147">
        <f>SUM(G860:G865)</f>
        <v>4592.954012233807</v>
      </c>
      <c r="H859" s="194"/>
      <c r="J859" s="187"/>
      <c r="K859" s="187"/>
      <c r="L859" s="191"/>
      <c r="M859" s="184"/>
      <c r="N859" s="184"/>
      <c r="O859" s="184"/>
      <c r="P859" s="226"/>
    </row>
    <row r="860" spans="2:16" ht="14.25">
      <c r="B860" s="145"/>
      <c r="C860" s="146" t="s">
        <v>298</v>
      </c>
      <c r="D860" s="152" t="s">
        <v>77</v>
      </c>
      <c r="E860" s="147">
        <f>E845*'配合'!E13/1000+'单价表'!E846*'配合'!E8/1000</f>
        <v>31.558554000000004</v>
      </c>
      <c r="F860" s="147">
        <f>'机械台班'!C26</f>
        <v>118.56378999999998</v>
      </c>
      <c r="G860" s="147">
        <f>F860*E860</f>
        <v>3741.70176915966</v>
      </c>
      <c r="H860" s="194"/>
      <c r="J860" s="187"/>
      <c r="K860" s="187"/>
      <c r="L860" s="191"/>
      <c r="M860" s="184"/>
      <c r="N860" s="184"/>
      <c r="O860" s="184"/>
      <c r="P860" s="226"/>
    </row>
    <row r="861" spans="2:16" ht="14.25">
      <c r="B861" s="145"/>
      <c r="C861" s="146" t="s">
        <v>299</v>
      </c>
      <c r="D861" s="146" t="s">
        <v>365</v>
      </c>
      <c r="E861" s="147">
        <f>E845*'配合'!F13+'单价表'!E846*'配合'!F8</f>
        <v>57.187560000000005</v>
      </c>
      <c r="F861" s="147">
        <f>'机械台班'!C27</f>
        <v>1.5600419999999957</v>
      </c>
      <c r="G861" s="147">
        <f>F861*E861</f>
        <v>89.21499547751976</v>
      </c>
      <c r="H861" s="194"/>
      <c r="J861" s="187"/>
      <c r="K861" s="187"/>
      <c r="L861" s="187"/>
      <c r="M861" s="184"/>
      <c r="N861" s="184"/>
      <c r="O861" s="184"/>
      <c r="P861" s="226"/>
    </row>
    <row r="862" spans="2:16" ht="14.25">
      <c r="B862" s="145"/>
      <c r="C862" s="146" t="s">
        <v>300</v>
      </c>
      <c r="D862" s="146" t="s">
        <v>365</v>
      </c>
      <c r="E862" s="147">
        <f>E846*'配合'!G8</f>
        <v>85.82565600000002</v>
      </c>
      <c r="F862" s="147">
        <f>'机械台班'!C28</f>
        <v>8.098611067961158</v>
      </c>
      <c r="G862" s="147">
        <f>F862*E862</f>
        <v>695.0686075966272</v>
      </c>
      <c r="H862" s="194"/>
      <c r="J862" s="187"/>
      <c r="K862" s="187"/>
      <c r="L862" s="187"/>
      <c r="M862" s="184"/>
      <c r="N862" s="184"/>
      <c r="O862" s="184"/>
      <c r="P862" s="226"/>
    </row>
    <row r="863" spans="2:16" ht="14.25">
      <c r="B863" s="145"/>
      <c r="C863" s="146" t="s">
        <v>411</v>
      </c>
      <c r="D863" s="146" t="s">
        <v>365</v>
      </c>
      <c r="E863" s="147"/>
      <c r="F863" s="147"/>
      <c r="G863" s="147">
        <f>F863*E863</f>
        <v>0</v>
      </c>
      <c r="H863" s="194"/>
      <c r="J863" s="187"/>
      <c r="K863" s="187"/>
      <c r="L863" s="187"/>
      <c r="M863" s="184"/>
      <c r="N863" s="184"/>
      <c r="O863" s="184"/>
      <c r="P863" s="226"/>
    </row>
    <row r="864" spans="2:16" ht="14.25">
      <c r="B864" s="145"/>
      <c r="C864" s="146" t="s">
        <v>303</v>
      </c>
      <c r="D864" s="146" t="s">
        <v>307</v>
      </c>
      <c r="E864" s="147">
        <f>E852*'机械台班'!S13</f>
        <v>13.248000000000001</v>
      </c>
      <c r="F864" s="147">
        <f>'机械台班'!C31</f>
        <v>5.055000000000001</v>
      </c>
      <c r="G864" s="147">
        <f>F864*E864</f>
        <v>66.96864000000001</v>
      </c>
      <c r="H864" s="194"/>
      <c r="J864" s="187"/>
      <c r="K864" s="187"/>
      <c r="L864" s="187"/>
      <c r="M864" s="184"/>
      <c r="N864" s="184"/>
      <c r="O864" s="184"/>
      <c r="P864" s="226"/>
    </row>
    <row r="865" spans="2:16" ht="14.25">
      <c r="B865" s="145"/>
      <c r="C865" s="146" t="s">
        <v>304</v>
      </c>
      <c r="D865" s="152" t="s">
        <v>307</v>
      </c>
      <c r="E865" s="147"/>
      <c r="F865" s="147"/>
      <c r="G865" s="147"/>
      <c r="H865" s="194"/>
      <c r="J865" s="187"/>
      <c r="K865" s="187"/>
      <c r="L865" s="191"/>
      <c r="M865" s="184"/>
      <c r="N865" s="184"/>
      <c r="O865" s="184"/>
      <c r="P865" s="226"/>
    </row>
    <row r="866" spans="2:16" ht="14.25">
      <c r="B866" s="145" t="s">
        <v>24</v>
      </c>
      <c r="C866" s="146" t="s">
        <v>340</v>
      </c>
      <c r="D866" s="152">
        <v>0.09</v>
      </c>
      <c r="E866" s="147"/>
      <c r="F866" s="147"/>
      <c r="G866" s="147">
        <f>(G837+G857+G858+G859)*D866</f>
        <v>4964.558153294937</v>
      </c>
      <c r="H866" s="194"/>
      <c r="J866" s="187"/>
      <c r="K866" s="187"/>
      <c r="L866" s="191"/>
      <c r="M866" s="184"/>
      <c r="N866" s="184"/>
      <c r="O866" s="184"/>
      <c r="P866" s="226"/>
    </row>
    <row r="867" spans="2:16" ht="14.25">
      <c r="B867" s="195"/>
      <c r="C867" s="146" t="s">
        <v>36</v>
      </c>
      <c r="D867" s="146"/>
      <c r="E867" s="147"/>
      <c r="F867" s="147"/>
      <c r="G867" s="147">
        <f>G837+G857+G858+G859+G866</f>
        <v>60126.31541212757</v>
      </c>
      <c r="H867" s="194"/>
      <c r="J867" s="226"/>
      <c r="K867" s="187"/>
      <c r="L867" s="187"/>
      <c r="M867" s="184"/>
      <c r="N867" s="184"/>
      <c r="O867" s="184"/>
      <c r="P867" s="226"/>
    </row>
    <row r="868" spans="2:16" ht="14.25">
      <c r="B868" s="195"/>
      <c r="C868" s="146" t="s">
        <v>421</v>
      </c>
      <c r="D868" s="153">
        <v>0.03</v>
      </c>
      <c r="E868" s="147"/>
      <c r="F868" s="147"/>
      <c r="G868" s="147">
        <f>G867*D868</f>
        <v>1803.7894623638272</v>
      </c>
      <c r="H868" s="194"/>
      <c r="J868" s="226"/>
      <c r="K868" s="187"/>
      <c r="L868" s="228"/>
      <c r="M868" s="184"/>
      <c r="N868" s="184"/>
      <c r="O868" s="184"/>
      <c r="P868" s="226"/>
    </row>
    <row r="869" spans="2:16" ht="14.25">
      <c r="B869" s="195"/>
      <c r="C869" s="146" t="s">
        <v>343</v>
      </c>
      <c r="D869" s="194"/>
      <c r="E869" s="196"/>
      <c r="F869" s="196"/>
      <c r="G869" s="147">
        <f>SUM(G867:G868)</f>
        <v>61930.1048744914</v>
      </c>
      <c r="H869" s="194"/>
      <c r="J869" s="226"/>
      <c r="K869" s="187"/>
      <c r="L869" s="226"/>
      <c r="M869" s="223"/>
      <c r="N869" s="223"/>
      <c r="O869" s="184"/>
      <c r="P869" s="226"/>
    </row>
    <row r="871" spans="2:16" ht="20.25">
      <c r="B871" s="138" t="s">
        <v>317</v>
      </c>
      <c r="C871" s="138"/>
      <c r="D871" s="138"/>
      <c r="E871" s="138"/>
      <c r="F871" s="138"/>
      <c r="G871" s="138"/>
      <c r="H871" s="138"/>
      <c r="J871" s="221"/>
      <c r="K871" s="221"/>
      <c r="L871" s="221"/>
      <c r="M871" s="221"/>
      <c r="N871" s="221"/>
      <c r="O871" s="221"/>
      <c r="P871" s="221"/>
    </row>
    <row r="872" spans="2:16" ht="14.25">
      <c r="B872" s="139" t="s">
        <v>487</v>
      </c>
      <c r="C872" s="139"/>
      <c r="D872" s="139"/>
      <c r="E872" s="139"/>
      <c r="F872" s="139"/>
      <c r="G872" s="139"/>
      <c r="H872" s="139"/>
      <c r="J872" s="222"/>
      <c r="K872" s="222"/>
      <c r="L872" s="222"/>
      <c r="M872" s="222"/>
      <c r="N872" s="222"/>
      <c r="O872" s="222"/>
      <c r="P872" s="222"/>
    </row>
    <row r="873" spans="2:16" ht="14.25">
      <c r="B873" s="140" t="s">
        <v>488</v>
      </c>
      <c r="C873" s="140"/>
      <c r="D873" s="140"/>
      <c r="E873" s="140"/>
      <c r="G873" s="141" t="s">
        <v>448</v>
      </c>
      <c r="H873" s="141"/>
      <c r="J873" s="222"/>
      <c r="K873" s="222"/>
      <c r="L873" s="222"/>
      <c r="M873" s="222"/>
      <c r="N873" s="223"/>
      <c r="O873" s="224"/>
      <c r="P873" s="224"/>
    </row>
    <row r="874" spans="2:16" ht="14.25">
      <c r="B874" s="142" t="s">
        <v>489</v>
      </c>
      <c r="C874" s="143"/>
      <c r="D874" s="143"/>
      <c r="E874" s="143"/>
      <c r="F874" s="143"/>
      <c r="G874" s="143"/>
      <c r="H874" s="144"/>
      <c r="J874" s="222"/>
      <c r="K874" s="222"/>
      <c r="L874" s="222"/>
      <c r="M874" s="222"/>
      <c r="N874" s="222"/>
      <c r="O874" s="222"/>
      <c r="P874" s="222"/>
    </row>
    <row r="875" spans="2:16" ht="25.5">
      <c r="B875" s="145" t="s">
        <v>361</v>
      </c>
      <c r="C875" s="146" t="s">
        <v>322</v>
      </c>
      <c r="D875" s="146" t="s">
        <v>102</v>
      </c>
      <c r="E875" s="147" t="s">
        <v>324</v>
      </c>
      <c r="F875" s="148" t="s">
        <v>325</v>
      </c>
      <c r="G875" s="148" t="s">
        <v>326</v>
      </c>
      <c r="H875" s="146" t="s">
        <v>386</v>
      </c>
      <c r="J875" s="187"/>
      <c r="K875" s="187"/>
      <c r="L875" s="187"/>
      <c r="M875" s="184"/>
      <c r="N875" s="225"/>
      <c r="O875" s="225"/>
      <c r="P875" s="187"/>
    </row>
    <row r="876" spans="2:16" ht="14.25">
      <c r="B876" s="145" t="s">
        <v>16</v>
      </c>
      <c r="C876" s="146" t="s">
        <v>327</v>
      </c>
      <c r="D876" s="194"/>
      <c r="E876" s="147"/>
      <c r="F876" s="147"/>
      <c r="G876" s="147">
        <f>G877+G890+G891</f>
        <v>55173.38348500653</v>
      </c>
      <c r="H876" s="146"/>
      <c r="J876" s="187"/>
      <c r="K876" s="187"/>
      <c r="L876" s="226"/>
      <c r="M876" s="184"/>
      <c r="N876" s="184"/>
      <c r="O876" s="184"/>
      <c r="P876" s="187"/>
    </row>
    <row r="877" spans="2:16" ht="14.25">
      <c r="B877" s="145" t="s">
        <v>39</v>
      </c>
      <c r="C877" s="146" t="s">
        <v>328</v>
      </c>
      <c r="D877" s="194"/>
      <c r="E877" s="147"/>
      <c r="F877" s="147"/>
      <c r="G877" s="147">
        <f>G878+G881+G885+G888</f>
        <v>52646.35828721998</v>
      </c>
      <c r="H877" s="146"/>
      <c r="J877" s="187"/>
      <c r="K877" s="187"/>
      <c r="L877" s="226"/>
      <c r="M877" s="184"/>
      <c r="N877" s="184"/>
      <c r="O877" s="184"/>
      <c r="P877" s="187"/>
    </row>
    <row r="878" spans="2:16" ht="14.25">
      <c r="B878" s="145">
        <v>1</v>
      </c>
      <c r="C878" s="146" t="s">
        <v>329</v>
      </c>
      <c r="D878" s="149"/>
      <c r="E878" s="147"/>
      <c r="F878" s="147"/>
      <c r="G878" s="147">
        <f>SUM(G879:G880)</f>
        <v>8877.8113</v>
      </c>
      <c r="H878" s="146"/>
      <c r="J878" s="187"/>
      <c r="K878" s="187"/>
      <c r="L878" s="176"/>
      <c r="M878" s="184"/>
      <c r="N878" s="184"/>
      <c r="O878" s="184"/>
      <c r="P878" s="187"/>
    </row>
    <row r="879" spans="2:16" ht="14.25">
      <c r="B879" s="145"/>
      <c r="C879" s="149" t="s">
        <v>351</v>
      </c>
      <c r="D879" s="149" t="s">
        <v>163</v>
      </c>
      <c r="E879" s="147">
        <v>839.66</v>
      </c>
      <c r="F879" s="147">
        <f>'单价分析'!E15</f>
        <v>8.1</v>
      </c>
      <c r="G879" s="147">
        <f>F879*E879</f>
        <v>6801.245999999999</v>
      </c>
      <c r="H879" s="146"/>
      <c r="J879" s="187"/>
      <c r="K879" s="176"/>
      <c r="L879" s="176"/>
      <c r="M879" s="184"/>
      <c r="N879" s="184"/>
      <c r="O879" s="184"/>
      <c r="P879" s="187"/>
    </row>
    <row r="880" spans="2:16" ht="14.25">
      <c r="B880" s="145"/>
      <c r="C880" s="149" t="s">
        <v>330</v>
      </c>
      <c r="D880" s="149" t="s">
        <v>163</v>
      </c>
      <c r="E880" s="147">
        <v>359.89</v>
      </c>
      <c r="F880" s="147">
        <f>'单价分析'!E16</f>
        <v>5.77</v>
      </c>
      <c r="G880" s="147">
        <f>F880*E880</f>
        <v>2076.5652999999998</v>
      </c>
      <c r="H880" s="146"/>
      <c r="J880" s="187"/>
      <c r="K880" s="176"/>
      <c r="L880" s="176"/>
      <c r="M880" s="184"/>
      <c r="N880" s="184"/>
      <c r="O880" s="184"/>
      <c r="P880" s="187"/>
    </row>
    <row r="881" spans="2:16" ht="14.25">
      <c r="B881" s="145">
        <v>2</v>
      </c>
      <c r="C881" s="146" t="s">
        <v>373</v>
      </c>
      <c r="D881" s="194"/>
      <c r="E881" s="147"/>
      <c r="F881" s="147"/>
      <c r="G881" s="147">
        <f>SUM(G882:G884)</f>
        <v>43575.13141952153</v>
      </c>
      <c r="H881" s="146"/>
      <c r="J881" s="187"/>
      <c r="K881" s="187"/>
      <c r="L881" s="226"/>
      <c r="M881" s="184"/>
      <c r="N881" s="184"/>
      <c r="O881" s="184"/>
      <c r="P881" s="187"/>
    </row>
    <row r="882" spans="2:16" ht="14.25">
      <c r="B882" s="145"/>
      <c r="C882" s="146" t="s">
        <v>490</v>
      </c>
      <c r="D882" s="146" t="s">
        <v>365</v>
      </c>
      <c r="E882" s="147">
        <v>87.56</v>
      </c>
      <c r="F882" s="147">
        <f>G838/100</f>
        <v>417.55516488079644</v>
      </c>
      <c r="G882" s="147">
        <f aca="true" t="shared" si="21" ref="G882:G887">F882*E882</f>
        <v>36561.130236962534</v>
      </c>
      <c r="H882" s="146"/>
      <c r="J882" s="187"/>
      <c r="K882" s="187"/>
      <c r="L882" s="187"/>
      <c r="M882" s="184"/>
      <c r="N882" s="184"/>
      <c r="O882" s="184"/>
      <c r="P882" s="187"/>
    </row>
    <row r="883" spans="2:16" ht="14.25">
      <c r="B883" s="145"/>
      <c r="C883" s="146" t="s">
        <v>491</v>
      </c>
      <c r="D883" s="146" t="s">
        <v>365</v>
      </c>
      <c r="E883" s="147">
        <v>26.14</v>
      </c>
      <c r="F883" s="147">
        <f>G981/100</f>
        <v>260.0309672515079</v>
      </c>
      <c r="G883" s="147">
        <f t="shared" si="21"/>
        <v>6797.209483954416</v>
      </c>
      <c r="H883" s="146"/>
      <c r="J883" s="187"/>
      <c r="K883" s="187"/>
      <c r="L883" s="187"/>
      <c r="M883" s="184"/>
      <c r="N883" s="184"/>
      <c r="O883" s="184"/>
      <c r="P883" s="187"/>
    </row>
    <row r="884" spans="2:16" ht="14.25">
      <c r="B884" s="145"/>
      <c r="C884" s="146" t="s">
        <v>404</v>
      </c>
      <c r="D884" s="146" t="s">
        <v>332</v>
      </c>
      <c r="E884" s="147">
        <v>0.5</v>
      </c>
      <c r="F884" s="147">
        <f>SUM(G882:G883)</f>
        <v>43358.33972091695</v>
      </c>
      <c r="G884" s="147">
        <f>F884*E884%</f>
        <v>216.79169860458475</v>
      </c>
      <c r="H884" s="146"/>
      <c r="J884" s="187"/>
      <c r="K884" s="187"/>
      <c r="L884" s="187"/>
      <c r="M884" s="184"/>
      <c r="N884" s="184"/>
      <c r="O884" s="184"/>
      <c r="P884" s="187"/>
    </row>
    <row r="885" spans="2:16" ht="14.25">
      <c r="B885" s="145">
        <v>3</v>
      </c>
      <c r="C885" s="146" t="s">
        <v>333</v>
      </c>
      <c r="D885" s="146"/>
      <c r="E885" s="147"/>
      <c r="F885" s="147"/>
      <c r="G885" s="147">
        <f>SUM(G886:G887)</f>
        <v>193.41556769844436</v>
      </c>
      <c r="H885" s="146"/>
      <c r="J885" s="187"/>
      <c r="K885" s="187"/>
      <c r="L885" s="187"/>
      <c r="M885" s="184"/>
      <c r="N885" s="184"/>
      <c r="O885" s="184"/>
      <c r="P885" s="187"/>
    </row>
    <row r="886" spans="2:16" ht="14.25">
      <c r="B886" s="200"/>
      <c r="C886" s="146" t="s">
        <v>452</v>
      </c>
      <c r="D886" s="146" t="s">
        <v>335</v>
      </c>
      <c r="E886" s="147">
        <v>3.37</v>
      </c>
      <c r="F886" s="147">
        <f>'台班总'!D13</f>
        <v>28.217952134024728</v>
      </c>
      <c r="G886" s="147">
        <f t="shared" si="21"/>
        <v>95.09449869166333</v>
      </c>
      <c r="H886" s="146"/>
      <c r="J886" s="229"/>
      <c r="K886" s="187"/>
      <c r="L886" s="187"/>
      <c r="M886" s="184"/>
      <c r="N886" s="184"/>
      <c r="O886" s="184"/>
      <c r="P886" s="187"/>
    </row>
    <row r="887" spans="2:16" ht="14.25">
      <c r="B887" s="200"/>
      <c r="C887" s="146" t="s">
        <v>209</v>
      </c>
      <c r="D887" s="146" t="s">
        <v>335</v>
      </c>
      <c r="E887" s="147">
        <v>120.9</v>
      </c>
      <c r="F887" s="147">
        <f>'台班总'!D20</f>
        <v>0.8132429198244914</v>
      </c>
      <c r="G887" s="147">
        <f t="shared" si="21"/>
        <v>98.32106900678102</v>
      </c>
      <c r="H887" s="146"/>
      <c r="J887" s="229"/>
      <c r="K887" s="187"/>
      <c r="L887" s="187"/>
      <c r="M887" s="184"/>
      <c r="N887" s="184"/>
      <c r="O887" s="184"/>
      <c r="P887" s="187"/>
    </row>
    <row r="888" spans="2:16" ht="14.25">
      <c r="B888" s="145">
        <v>4</v>
      </c>
      <c r="C888" s="146" t="s">
        <v>456</v>
      </c>
      <c r="D888" s="194"/>
      <c r="E888" s="147"/>
      <c r="F888" s="147"/>
      <c r="G888" s="147">
        <f>G889</f>
        <v>0</v>
      </c>
      <c r="H888" s="146"/>
      <c r="J888" s="187"/>
      <c r="K888" s="187"/>
      <c r="L888" s="226"/>
      <c r="M888" s="184"/>
      <c r="N888" s="184"/>
      <c r="O888" s="184"/>
      <c r="P888" s="187"/>
    </row>
    <row r="889" spans="2:16" ht="14.25">
      <c r="B889" s="195"/>
      <c r="C889" s="146" t="s">
        <v>492</v>
      </c>
      <c r="D889" s="146" t="s">
        <v>365</v>
      </c>
      <c r="E889" s="147">
        <f>E882</f>
        <v>87.56</v>
      </c>
      <c r="F889" s="147"/>
      <c r="G889" s="147">
        <f>F889*E889</f>
        <v>0</v>
      </c>
      <c r="H889" s="146"/>
      <c r="J889" s="226"/>
      <c r="K889" s="187"/>
      <c r="L889" s="187"/>
      <c r="M889" s="184"/>
      <c r="N889" s="184"/>
      <c r="O889" s="184"/>
      <c r="P889" s="187"/>
    </row>
    <row r="890" spans="2:16" ht="14.25">
      <c r="B890" s="145" t="s">
        <v>63</v>
      </c>
      <c r="C890" s="146" t="s">
        <v>336</v>
      </c>
      <c r="D890" s="162">
        <v>0.048</v>
      </c>
      <c r="E890" s="147"/>
      <c r="F890" s="147"/>
      <c r="G890" s="147">
        <f>G877*D890</f>
        <v>2527.025197786559</v>
      </c>
      <c r="H890" s="146"/>
      <c r="J890" s="187"/>
      <c r="K890" s="187"/>
      <c r="L890" s="227"/>
      <c r="M890" s="184"/>
      <c r="N890" s="184"/>
      <c r="O890" s="184"/>
      <c r="P890" s="187"/>
    </row>
    <row r="891" spans="2:16" ht="14.25">
      <c r="B891" s="145" t="s">
        <v>355</v>
      </c>
      <c r="C891" s="146" t="s">
        <v>356</v>
      </c>
      <c r="D891" s="162"/>
      <c r="E891" s="147"/>
      <c r="F891" s="147"/>
      <c r="G891" s="147">
        <f>G877*D891</f>
        <v>0</v>
      </c>
      <c r="H891" s="146"/>
      <c r="J891" s="187"/>
      <c r="K891" s="187"/>
      <c r="L891" s="227"/>
      <c r="M891" s="184"/>
      <c r="N891" s="184"/>
      <c r="O891" s="184"/>
      <c r="P891" s="187"/>
    </row>
    <row r="892" spans="2:16" ht="14.25">
      <c r="B892" s="145" t="s">
        <v>18</v>
      </c>
      <c r="C892" s="146" t="s">
        <v>337</v>
      </c>
      <c r="D892" s="162">
        <v>0.09</v>
      </c>
      <c r="E892" s="147"/>
      <c r="F892" s="147"/>
      <c r="G892" s="147">
        <f>G876*D892</f>
        <v>4965.604513650588</v>
      </c>
      <c r="H892" s="146"/>
      <c r="J892" s="187"/>
      <c r="K892" s="187"/>
      <c r="L892" s="227"/>
      <c r="M892" s="184"/>
      <c r="N892" s="184"/>
      <c r="O892" s="184"/>
      <c r="P892" s="187"/>
    </row>
    <row r="893" spans="2:16" ht="14.25">
      <c r="B893" s="145" t="s">
        <v>20</v>
      </c>
      <c r="C893" s="146" t="s">
        <v>338</v>
      </c>
      <c r="D893" s="162">
        <v>0.07</v>
      </c>
      <c r="E893" s="147"/>
      <c r="F893" s="147"/>
      <c r="G893" s="147">
        <f>(G876+G892)*D893</f>
        <v>4209.729159905999</v>
      </c>
      <c r="H893" s="146"/>
      <c r="J893" s="187"/>
      <c r="K893" s="187"/>
      <c r="L893" s="227"/>
      <c r="M893" s="184"/>
      <c r="N893" s="184"/>
      <c r="O893" s="184"/>
      <c r="P893" s="187"/>
    </row>
    <row r="894" spans="2:16" ht="14.25">
      <c r="B894" s="145" t="s">
        <v>22</v>
      </c>
      <c r="C894" s="146" t="s">
        <v>339</v>
      </c>
      <c r="D894" s="152"/>
      <c r="E894" s="147"/>
      <c r="F894" s="147"/>
      <c r="G894" s="147">
        <f>SUM(G895:G900)</f>
        <v>5157.733725917286</v>
      </c>
      <c r="H894" s="146"/>
      <c r="J894" s="187"/>
      <c r="K894" s="187"/>
      <c r="L894" s="191"/>
      <c r="M894" s="184"/>
      <c r="N894" s="184"/>
      <c r="O894" s="184"/>
      <c r="P894" s="187"/>
    </row>
    <row r="895" spans="2:16" ht="14.25">
      <c r="B895" s="145"/>
      <c r="C895" s="146" t="s">
        <v>298</v>
      </c>
      <c r="D895" s="152" t="s">
        <v>77</v>
      </c>
      <c r="E895" s="147">
        <f>E846/100*E882*'配合'!E8/1000+E883*'配合'!E8/1000</f>
        <v>35.4662622864</v>
      </c>
      <c r="F895" s="147">
        <f>'机械台班'!C26</f>
        <v>118.56378999999998</v>
      </c>
      <c r="G895" s="147">
        <f aca="true" t="shared" si="22" ref="G895:G900">F895*E895</f>
        <v>4205.014473809649</v>
      </c>
      <c r="H895" s="146"/>
      <c r="J895" s="187"/>
      <c r="K895" s="187"/>
      <c r="L895" s="191"/>
      <c r="M895" s="184"/>
      <c r="N895" s="184"/>
      <c r="O895" s="184"/>
      <c r="P895" s="187"/>
    </row>
    <row r="896" spans="2:16" ht="14.25">
      <c r="B896" s="145"/>
      <c r="C896" s="146" t="s">
        <v>299</v>
      </c>
      <c r="D896" s="146" t="s">
        <v>365</v>
      </c>
      <c r="E896" s="147">
        <f>E846/100*E882*'配合'!F8+E883*'配合'!F8</f>
        <v>63.472760736000005</v>
      </c>
      <c r="F896" s="147">
        <f>'机械台班'!C27</f>
        <v>1.5600419999999957</v>
      </c>
      <c r="G896" s="147">
        <f t="shared" si="22"/>
        <v>99.02017260411064</v>
      </c>
      <c r="H896" s="146"/>
      <c r="J896" s="187"/>
      <c r="K896" s="187"/>
      <c r="L896" s="187"/>
      <c r="M896" s="184"/>
      <c r="N896" s="184"/>
      <c r="O896" s="184"/>
      <c r="P896" s="187"/>
    </row>
    <row r="897" spans="2:16" ht="14.25">
      <c r="B897" s="145"/>
      <c r="C897" s="146" t="s">
        <v>300</v>
      </c>
      <c r="D897" s="146" t="s">
        <v>365</v>
      </c>
      <c r="E897" s="147">
        <f>E846/100*E882*'配合'!G8+E883*'配合'!G8</f>
        <v>97.14387231360003</v>
      </c>
      <c r="F897" s="147">
        <f>'机械台班'!C28</f>
        <v>8.098611067961158</v>
      </c>
      <c r="G897" s="147">
        <f t="shared" si="22"/>
        <v>786.7304395035268</v>
      </c>
      <c r="H897" s="146"/>
      <c r="J897" s="187"/>
      <c r="K897" s="187"/>
      <c r="L897" s="187"/>
      <c r="M897" s="184"/>
      <c r="N897" s="184"/>
      <c r="O897" s="184"/>
      <c r="P897" s="187"/>
    </row>
    <row r="898" spans="2:16" ht="14.25">
      <c r="B898" s="145"/>
      <c r="C898" s="146" t="s">
        <v>411</v>
      </c>
      <c r="D898" s="146" t="s">
        <v>365</v>
      </c>
      <c r="E898" s="147"/>
      <c r="F898" s="147"/>
      <c r="G898" s="147">
        <f t="shared" si="22"/>
        <v>0</v>
      </c>
      <c r="H898" s="146"/>
      <c r="J898" s="187"/>
      <c r="K898" s="187"/>
      <c r="L898" s="187"/>
      <c r="M898" s="184"/>
      <c r="N898" s="184"/>
      <c r="O898" s="184"/>
      <c r="P898" s="187"/>
    </row>
    <row r="899" spans="2:16" ht="14.25">
      <c r="B899" s="145"/>
      <c r="C899" s="146" t="s">
        <v>303</v>
      </c>
      <c r="D899" s="146" t="s">
        <v>307</v>
      </c>
      <c r="E899" s="147">
        <f>E864</f>
        <v>13.248000000000001</v>
      </c>
      <c r="F899" s="147">
        <f>'机械台班'!C31</f>
        <v>5.055000000000001</v>
      </c>
      <c r="G899" s="147">
        <f t="shared" si="22"/>
        <v>66.96864000000001</v>
      </c>
      <c r="H899" s="146"/>
      <c r="J899" s="187"/>
      <c r="K899" s="187"/>
      <c r="L899" s="187"/>
      <c r="M899" s="184"/>
      <c r="N899" s="184"/>
      <c r="O899" s="184"/>
      <c r="P899" s="187"/>
    </row>
    <row r="900" spans="2:16" ht="14.25">
      <c r="B900" s="145"/>
      <c r="C900" s="146" t="s">
        <v>304</v>
      </c>
      <c r="D900" s="152" t="s">
        <v>307</v>
      </c>
      <c r="E900" s="147"/>
      <c r="F900" s="147"/>
      <c r="G900" s="147">
        <f t="shared" si="22"/>
        <v>0</v>
      </c>
      <c r="H900" s="146"/>
      <c r="J900" s="187"/>
      <c r="K900" s="187"/>
      <c r="L900" s="191"/>
      <c r="M900" s="184"/>
      <c r="N900" s="184"/>
      <c r="O900" s="184"/>
      <c r="P900" s="187"/>
    </row>
    <row r="901" spans="2:16" ht="14.25">
      <c r="B901" s="145" t="s">
        <v>24</v>
      </c>
      <c r="C901" s="146" t="s">
        <v>340</v>
      </c>
      <c r="D901" s="152">
        <v>0.09</v>
      </c>
      <c r="E901" s="147"/>
      <c r="F901" s="147"/>
      <c r="G901" s="147">
        <f>(G876+G892+G893+G894)*D901</f>
        <v>6255.580579603236</v>
      </c>
      <c r="H901" s="146"/>
      <c r="J901" s="187"/>
      <c r="K901" s="187"/>
      <c r="L901" s="191"/>
      <c r="M901" s="184"/>
      <c r="N901" s="184"/>
      <c r="O901" s="184"/>
      <c r="P901" s="187"/>
    </row>
    <row r="902" spans="2:16" ht="14.25">
      <c r="B902" s="195"/>
      <c r="C902" s="146" t="s">
        <v>36</v>
      </c>
      <c r="D902" s="146"/>
      <c r="E902" s="147"/>
      <c r="F902" s="147"/>
      <c r="G902" s="147">
        <f>G876+G892+G893+G894+G901</f>
        <v>75762.03146408364</v>
      </c>
      <c r="H902" s="146"/>
      <c r="J902" s="226"/>
      <c r="K902" s="187"/>
      <c r="L902" s="187"/>
      <c r="M902" s="184"/>
      <c r="N902" s="184"/>
      <c r="O902" s="184"/>
      <c r="P902" s="187"/>
    </row>
    <row r="903" spans="2:16" ht="14.25">
      <c r="B903" s="145" t="s">
        <v>341</v>
      </c>
      <c r="C903" s="146" t="s">
        <v>342</v>
      </c>
      <c r="D903" s="153">
        <v>0.03</v>
      </c>
      <c r="E903" s="147"/>
      <c r="F903" s="147"/>
      <c r="G903" s="147">
        <f>G902*D903</f>
        <v>2272.8609439225093</v>
      </c>
      <c r="H903" s="146"/>
      <c r="J903" s="187"/>
      <c r="K903" s="187"/>
      <c r="L903" s="228"/>
      <c r="M903" s="184"/>
      <c r="N903" s="184"/>
      <c r="O903" s="184"/>
      <c r="P903" s="187"/>
    </row>
    <row r="904" spans="2:16" ht="14.25">
      <c r="B904" s="195"/>
      <c r="C904" s="146" t="s">
        <v>343</v>
      </c>
      <c r="D904" s="194"/>
      <c r="E904" s="196"/>
      <c r="F904" s="196"/>
      <c r="G904" s="147">
        <f>SUM(G902:G903)</f>
        <v>78034.89240800616</v>
      </c>
      <c r="H904" s="146"/>
      <c r="J904" s="226"/>
      <c r="K904" s="187"/>
      <c r="L904" s="226"/>
      <c r="M904" s="223"/>
      <c r="N904" s="223"/>
      <c r="O904" s="184"/>
      <c r="P904" s="187"/>
    </row>
    <row r="906" spans="2:16" ht="20.25">
      <c r="B906" s="138" t="s">
        <v>317</v>
      </c>
      <c r="C906" s="138"/>
      <c r="D906" s="138"/>
      <c r="E906" s="138"/>
      <c r="F906" s="138"/>
      <c r="G906" s="138"/>
      <c r="H906" s="138"/>
      <c r="J906" s="138" t="s">
        <v>317</v>
      </c>
      <c r="K906" s="138"/>
      <c r="L906" s="138"/>
      <c r="M906" s="138"/>
      <c r="N906" s="138"/>
      <c r="O906" s="138"/>
      <c r="P906" s="138"/>
    </row>
    <row r="907" spans="2:16" ht="14.25">
      <c r="B907" s="139" t="s">
        <v>487</v>
      </c>
      <c r="C907" s="139"/>
      <c r="D907" s="139"/>
      <c r="E907" s="139"/>
      <c r="F907" s="139"/>
      <c r="G907" s="139"/>
      <c r="H907" s="139"/>
      <c r="J907" s="139" t="s">
        <v>487</v>
      </c>
      <c r="K907" s="139"/>
      <c r="L907" s="139"/>
      <c r="M907" s="139"/>
      <c r="N907" s="139"/>
      <c r="O907" s="139"/>
      <c r="P907" s="139"/>
    </row>
    <row r="908" spans="2:16" ht="14.25">
      <c r="B908" s="140" t="s">
        <v>488</v>
      </c>
      <c r="C908" s="140"/>
      <c r="D908" s="140"/>
      <c r="E908" s="140"/>
      <c r="G908" s="141" t="s">
        <v>448</v>
      </c>
      <c r="H908" s="141"/>
      <c r="J908" s="140" t="s">
        <v>488</v>
      </c>
      <c r="K908" s="140"/>
      <c r="L908" s="140"/>
      <c r="M908" s="140"/>
      <c r="O908" s="141" t="s">
        <v>448</v>
      </c>
      <c r="P908" s="141"/>
    </row>
    <row r="909" spans="2:16" ht="14.25">
      <c r="B909" s="142" t="s">
        <v>493</v>
      </c>
      <c r="C909" s="143"/>
      <c r="D909" s="143"/>
      <c r="E909" s="143"/>
      <c r="F909" s="143"/>
      <c r="G909" s="143"/>
      <c r="H909" s="144"/>
      <c r="J909" s="142" t="s">
        <v>493</v>
      </c>
      <c r="K909" s="143"/>
      <c r="L909" s="143"/>
      <c r="M909" s="143"/>
      <c r="N909" s="143"/>
      <c r="O909" s="143"/>
      <c r="P909" s="144"/>
    </row>
    <row r="910" spans="2:16" ht="25.5">
      <c r="B910" s="145" t="s">
        <v>361</v>
      </c>
      <c r="C910" s="146" t="s">
        <v>322</v>
      </c>
      <c r="D910" s="146" t="s">
        <v>102</v>
      </c>
      <c r="E910" s="147" t="s">
        <v>324</v>
      </c>
      <c r="F910" s="148" t="s">
        <v>325</v>
      </c>
      <c r="G910" s="148" t="s">
        <v>326</v>
      </c>
      <c r="H910" s="146" t="s">
        <v>386</v>
      </c>
      <c r="J910" s="145" t="s">
        <v>361</v>
      </c>
      <c r="K910" s="146" t="s">
        <v>322</v>
      </c>
      <c r="L910" s="146" t="s">
        <v>102</v>
      </c>
      <c r="M910" s="147" t="s">
        <v>324</v>
      </c>
      <c r="N910" s="148" t="s">
        <v>325</v>
      </c>
      <c r="O910" s="148" t="s">
        <v>326</v>
      </c>
      <c r="P910" s="146" t="s">
        <v>386</v>
      </c>
    </row>
    <row r="911" spans="2:16" ht="14.25">
      <c r="B911" s="145" t="s">
        <v>16</v>
      </c>
      <c r="C911" s="146" t="s">
        <v>327</v>
      </c>
      <c r="D911" s="194"/>
      <c r="E911" s="147"/>
      <c r="F911" s="147"/>
      <c r="G911" s="147">
        <f>G912+G925+G926</f>
        <v>54793.50770956773</v>
      </c>
      <c r="H911" s="146"/>
      <c r="J911" s="145" t="s">
        <v>16</v>
      </c>
      <c r="K911" s="146" t="s">
        <v>327</v>
      </c>
      <c r="L911" s="194"/>
      <c r="M911" s="147"/>
      <c r="N911" s="147"/>
      <c r="O911" s="147">
        <f>O912+O925+O926</f>
        <v>47187.99851669238</v>
      </c>
      <c r="P911" s="146"/>
    </row>
    <row r="912" spans="2:16" ht="14.25">
      <c r="B912" s="145" t="s">
        <v>39</v>
      </c>
      <c r="C912" s="146" t="s">
        <v>328</v>
      </c>
      <c r="D912" s="194"/>
      <c r="E912" s="147"/>
      <c r="F912" s="147"/>
      <c r="G912" s="147">
        <f>G913+G916+G920+G923</f>
        <v>52283.881402259285</v>
      </c>
      <c r="H912" s="146"/>
      <c r="J912" s="145" t="s">
        <v>39</v>
      </c>
      <c r="K912" s="146" t="s">
        <v>328</v>
      </c>
      <c r="L912" s="194"/>
      <c r="M912" s="147"/>
      <c r="N912" s="147"/>
      <c r="O912" s="147">
        <f>O913+O916+O920+O923</f>
        <v>45026.71614188204</v>
      </c>
      <c r="P912" s="146"/>
    </row>
    <row r="913" spans="2:16" ht="14.25">
      <c r="B913" s="145">
        <v>1</v>
      </c>
      <c r="C913" s="146" t="s">
        <v>329</v>
      </c>
      <c r="D913" s="149"/>
      <c r="E913" s="147"/>
      <c r="F913" s="147"/>
      <c r="G913" s="147">
        <f>SUM(G914:G915)</f>
        <v>8765.4548</v>
      </c>
      <c r="H913" s="146"/>
      <c r="J913" s="145">
        <v>1</v>
      </c>
      <c r="K913" s="146" t="s">
        <v>329</v>
      </c>
      <c r="L913" s="149"/>
      <c r="M913" s="147"/>
      <c r="N913" s="147"/>
      <c r="O913" s="147">
        <f>SUM(O914:O915)</f>
        <v>8765.4548</v>
      </c>
      <c r="P913" s="146"/>
    </row>
    <row r="914" spans="2:16" ht="14.25">
      <c r="B914" s="145"/>
      <c r="C914" s="149" t="s">
        <v>351</v>
      </c>
      <c r="D914" s="149" t="s">
        <v>163</v>
      </c>
      <c r="E914" s="147">
        <v>829.03</v>
      </c>
      <c r="F914" s="147">
        <f>'单价分析'!E15</f>
        <v>8.1</v>
      </c>
      <c r="G914" s="147">
        <f>F914*E914</f>
        <v>6715.142999999999</v>
      </c>
      <c r="H914" s="146"/>
      <c r="J914" s="145"/>
      <c r="K914" s="149" t="s">
        <v>351</v>
      </c>
      <c r="L914" s="149" t="s">
        <v>163</v>
      </c>
      <c r="M914" s="147">
        <v>829.03</v>
      </c>
      <c r="N914" s="147">
        <f>F914</f>
        <v>8.1</v>
      </c>
      <c r="O914" s="147">
        <f>N914*M914</f>
        <v>6715.142999999999</v>
      </c>
      <c r="P914" s="146"/>
    </row>
    <row r="915" spans="2:16" ht="14.25">
      <c r="B915" s="145"/>
      <c r="C915" s="149" t="s">
        <v>330</v>
      </c>
      <c r="D915" s="149" t="s">
        <v>163</v>
      </c>
      <c r="E915" s="147">
        <v>355.34</v>
      </c>
      <c r="F915" s="147">
        <f>'单价分析'!E16</f>
        <v>5.77</v>
      </c>
      <c r="G915" s="147">
        <f>F915*E915</f>
        <v>2050.3117999999995</v>
      </c>
      <c r="H915" s="146"/>
      <c r="J915" s="145"/>
      <c r="K915" s="149" t="s">
        <v>330</v>
      </c>
      <c r="L915" s="149" t="s">
        <v>163</v>
      </c>
      <c r="M915" s="147">
        <v>355.34</v>
      </c>
      <c r="N915" s="147">
        <f>F915</f>
        <v>5.77</v>
      </c>
      <c r="O915" s="147">
        <f>N915*M915</f>
        <v>2050.3117999999995</v>
      </c>
      <c r="P915" s="146"/>
    </row>
    <row r="916" spans="2:16" ht="14.25">
      <c r="B916" s="145">
        <v>2</v>
      </c>
      <c r="C916" s="146" t="s">
        <v>373</v>
      </c>
      <c r="D916" s="194"/>
      <c r="E916" s="147"/>
      <c r="F916" s="147"/>
      <c r="G916" s="147">
        <f>SUM(G917:G919)</f>
        <v>43317.08315517512</v>
      </c>
      <c r="H916" s="146"/>
      <c r="J916" s="145">
        <v>2</v>
      </c>
      <c r="K916" s="146" t="s">
        <v>373</v>
      </c>
      <c r="L916" s="194"/>
      <c r="M916" s="147"/>
      <c r="N916" s="147"/>
      <c r="O916" s="147">
        <f>SUM(O917:O919)</f>
        <v>36059.91789479787</v>
      </c>
      <c r="P916" s="146"/>
    </row>
    <row r="917" spans="2:16" ht="14.25">
      <c r="B917" s="145"/>
      <c r="C917" s="146" t="s">
        <v>490</v>
      </c>
      <c r="D917" s="146" t="s">
        <v>365</v>
      </c>
      <c r="E917" s="147">
        <v>85.93</v>
      </c>
      <c r="F917" s="147">
        <f>G838/100</f>
        <v>417.55516488079644</v>
      </c>
      <c r="G917" s="147">
        <f>F917*E917</f>
        <v>35880.51531820684</v>
      </c>
      <c r="H917" s="146"/>
      <c r="J917" s="145"/>
      <c r="K917" s="146" t="s">
        <v>490</v>
      </c>
      <c r="L917" s="146" t="s">
        <v>365</v>
      </c>
      <c r="M917" s="147">
        <v>85.93</v>
      </c>
      <c r="N917" s="147">
        <f>F917</f>
        <v>417.55516488079644</v>
      </c>
      <c r="O917" s="147">
        <f>N917*M917</f>
        <v>35880.51531820684</v>
      </c>
      <c r="P917" s="146"/>
    </row>
    <row r="918" spans="2:16" ht="14.25">
      <c r="B918" s="145"/>
      <c r="C918" s="146" t="s">
        <v>491</v>
      </c>
      <c r="D918" s="146" t="s">
        <v>365</v>
      </c>
      <c r="E918" s="147">
        <v>27.77</v>
      </c>
      <c r="F918" s="147">
        <f>G981/100</f>
        <v>260.0309672515079</v>
      </c>
      <c r="G918" s="147">
        <f>F918*E918</f>
        <v>7221.059960574374</v>
      </c>
      <c r="H918" s="146"/>
      <c r="J918" s="145"/>
      <c r="K918" s="146" t="s">
        <v>491</v>
      </c>
      <c r="L918" s="146" t="s">
        <v>365</v>
      </c>
      <c r="M918" s="147">
        <v>27.77</v>
      </c>
      <c r="N918" s="147">
        <f>O981/100</f>
        <v>0</v>
      </c>
      <c r="O918" s="147">
        <f>N918*M918</f>
        <v>0</v>
      </c>
      <c r="P918" s="146"/>
    </row>
    <row r="919" spans="2:16" ht="14.25">
      <c r="B919" s="145"/>
      <c r="C919" s="146" t="s">
        <v>404</v>
      </c>
      <c r="D919" s="146" t="s">
        <v>332</v>
      </c>
      <c r="E919" s="147">
        <v>0.5</v>
      </c>
      <c r="F919" s="147">
        <f>SUM(G917:G918)</f>
        <v>43101.57527878121</v>
      </c>
      <c r="G919" s="147">
        <f>F919*E919%</f>
        <v>215.50787639390606</v>
      </c>
      <c r="H919" s="146"/>
      <c r="J919" s="145"/>
      <c r="K919" s="146" t="s">
        <v>404</v>
      </c>
      <c r="L919" s="146" t="s">
        <v>332</v>
      </c>
      <c r="M919" s="147">
        <v>0.5</v>
      </c>
      <c r="N919" s="147">
        <f>SUM(O917:O918)</f>
        <v>35880.51531820684</v>
      </c>
      <c r="O919" s="147">
        <f>N919*M919%</f>
        <v>179.4025765910342</v>
      </c>
      <c r="P919" s="146"/>
    </row>
    <row r="920" spans="2:16" ht="14.25">
      <c r="B920" s="145">
        <v>3</v>
      </c>
      <c r="C920" s="146" t="s">
        <v>333</v>
      </c>
      <c r="D920" s="146"/>
      <c r="E920" s="147"/>
      <c r="F920" s="147"/>
      <c r="G920" s="147">
        <f>SUM(G921:G922)</f>
        <v>201.34344708416432</v>
      </c>
      <c r="H920" s="146"/>
      <c r="J920" s="145">
        <v>3</v>
      </c>
      <c r="K920" s="146" t="s">
        <v>333</v>
      </c>
      <c r="L920" s="146"/>
      <c r="M920" s="147"/>
      <c r="N920" s="147"/>
      <c r="O920" s="147">
        <f>SUM(O921:O922)</f>
        <v>201.34344708416432</v>
      </c>
      <c r="P920" s="146"/>
    </row>
    <row r="921" spans="2:16" ht="14.25">
      <c r="B921" s="200"/>
      <c r="C921" s="146" t="s">
        <v>452</v>
      </c>
      <c r="D921" s="146" t="s">
        <v>335</v>
      </c>
      <c r="E921" s="147">
        <v>3.64</v>
      </c>
      <c r="F921" s="147">
        <f>'台班总'!D13</f>
        <v>28.217952134024728</v>
      </c>
      <c r="G921" s="147">
        <f>F921*E921</f>
        <v>102.71334576785002</v>
      </c>
      <c r="H921" s="146"/>
      <c r="J921" s="200"/>
      <c r="K921" s="146" t="s">
        <v>452</v>
      </c>
      <c r="L921" s="146" t="s">
        <v>335</v>
      </c>
      <c r="M921" s="147">
        <v>3.64</v>
      </c>
      <c r="N921" s="147">
        <f>F921</f>
        <v>28.217952134024728</v>
      </c>
      <c r="O921" s="147">
        <f>N921*M921</f>
        <v>102.71334576785002</v>
      </c>
      <c r="P921" s="146"/>
    </row>
    <row r="922" spans="2:16" ht="14.25">
      <c r="B922" s="200"/>
      <c r="C922" s="146" t="s">
        <v>209</v>
      </c>
      <c r="D922" s="146" t="s">
        <v>335</v>
      </c>
      <c r="E922" s="147">
        <v>121.28</v>
      </c>
      <c r="F922" s="147">
        <f>'台班总'!D20</f>
        <v>0.8132429198244914</v>
      </c>
      <c r="G922" s="147">
        <f>F922*E922</f>
        <v>98.63010131631431</v>
      </c>
      <c r="H922" s="146"/>
      <c r="J922" s="200"/>
      <c r="K922" s="146" t="s">
        <v>209</v>
      </c>
      <c r="L922" s="146" t="s">
        <v>335</v>
      </c>
      <c r="M922" s="147">
        <v>121.28</v>
      </c>
      <c r="N922" s="147">
        <f>F922</f>
        <v>0.8132429198244914</v>
      </c>
      <c r="O922" s="147">
        <f>N922*M922</f>
        <v>98.63010131631431</v>
      </c>
      <c r="P922" s="146"/>
    </row>
    <row r="923" spans="2:16" ht="14.25">
      <c r="B923" s="145">
        <v>4</v>
      </c>
      <c r="C923" s="146" t="s">
        <v>456</v>
      </c>
      <c r="D923" s="194"/>
      <c r="E923" s="147"/>
      <c r="F923" s="147"/>
      <c r="G923" s="147">
        <f>G924</f>
        <v>0</v>
      </c>
      <c r="H923" s="146"/>
      <c r="J923" s="145">
        <v>4</v>
      </c>
      <c r="K923" s="146" t="s">
        <v>456</v>
      </c>
      <c r="L923" s="194"/>
      <c r="M923" s="147"/>
      <c r="N923" s="147"/>
      <c r="O923" s="147">
        <f>O924</f>
        <v>0</v>
      </c>
      <c r="P923" s="146"/>
    </row>
    <row r="924" spans="2:16" ht="14.25">
      <c r="B924" s="195"/>
      <c r="C924" s="146" t="s">
        <v>492</v>
      </c>
      <c r="D924" s="146" t="s">
        <v>365</v>
      </c>
      <c r="E924" s="147">
        <f>E917</f>
        <v>85.93</v>
      </c>
      <c r="F924" s="147"/>
      <c r="G924" s="147">
        <f>F924*E924</f>
        <v>0</v>
      </c>
      <c r="H924" s="146"/>
      <c r="J924" s="195"/>
      <c r="K924" s="146" t="s">
        <v>492</v>
      </c>
      <c r="L924" s="146" t="s">
        <v>365</v>
      </c>
      <c r="M924" s="147">
        <f>M917</f>
        <v>85.93</v>
      </c>
      <c r="N924" s="147"/>
      <c r="O924" s="147">
        <f>N924*M924</f>
        <v>0</v>
      </c>
      <c r="P924" s="146"/>
    </row>
    <row r="925" spans="2:16" ht="14.25">
      <c r="B925" s="145" t="s">
        <v>63</v>
      </c>
      <c r="C925" s="146" t="s">
        <v>336</v>
      </c>
      <c r="D925" s="162">
        <v>0.048</v>
      </c>
      <c r="E925" s="147"/>
      <c r="F925" s="147"/>
      <c r="G925" s="147">
        <f>G912*D925</f>
        <v>2509.6263073084456</v>
      </c>
      <c r="H925" s="146"/>
      <c r="J925" s="145" t="s">
        <v>63</v>
      </c>
      <c r="K925" s="146" t="s">
        <v>336</v>
      </c>
      <c r="L925" s="162">
        <v>0.048</v>
      </c>
      <c r="M925" s="147"/>
      <c r="N925" s="147"/>
      <c r="O925" s="147">
        <f>O912*L925</f>
        <v>2161.282374810338</v>
      </c>
      <c r="P925" s="146"/>
    </row>
    <row r="926" spans="2:16" ht="14.25">
      <c r="B926" s="145" t="s">
        <v>355</v>
      </c>
      <c r="C926" s="146" t="s">
        <v>356</v>
      </c>
      <c r="D926" s="162"/>
      <c r="E926" s="147"/>
      <c r="F926" s="147"/>
      <c r="G926" s="147">
        <f>G912*D926</f>
        <v>0</v>
      </c>
      <c r="H926" s="146"/>
      <c r="J926" s="145" t="s">
        <v>355</v>
      </c>
      <c r="K926" s="146" t="s">
        <v>356</v>
      </c>
      <c r="L926" s="162"/>
      <c r="M926" s="147"/>
      <c r="N926" s="147"/>
      <c r="O926" s="147">
        <f>O912*L926</f>
        <v>0</v>
      </c>
      <c r="P926" s="146"/>
    </row>
    <row r="927" spans="2:16" ht="14.25">
      <c r="B927" s="145" t="s">
        <v>18</v>
      </c>
      <c r="C927" s="146" t="s">
        <v>337</v>
      </c>
      <c r="D927" s="162">
        <v>0.09</v>
      </c>
      <c r="E927" s="147"/>
      <c r="F927" s="147"/>
      <c r="G927" s="147">
        <f>G911*D927</f>
        <v>4931.415693861096</v>
      </c>
      <c r="H927" s="146"/>
      <c r="J927" s="145" t="s">
        <v>18</v>
      </c>
      <c r="K927" s="146" t="s">
        <v>337</v>
      </c>
      <c r="L927" s="162">
        <v>0.09</v>
      </c>
      <c r="M927" s="147"/>
      <c r="N927" s="147"/>
      <c r="O927" s="147">
        <f>O911*L927</f>
        <v>4246.919866502314</v>
      </c>
      <c r="P927" s="146"/>
    </row>
    <row r="928" spans="2:16" ht="14.25">
      <c r="B928" s="145" t="s">
        <v>20</v>
      </c>
      <c r="C928" s="146" t="s">
        <v>338</v>
      </c>
      <c r="D928" s="162">
        <v>0.07</v>
      </c>
      <c r="E928" s="147"/>
      <c r="F928" s="147"/>
      <c r="G928" s="147">
        <f>(G911+G927)*D928</f>
        <v>4180.7446382400185</v>
      </c>
      <c r="H928" s="146"/>
      <c r="J928" s="145" t="s">
        <v>20</v>
      </c>
      <c r="K928" s="146" t="s">
        <v>338</v>
      </c>
      <c r="L928" s="162">
        <v>0.07</v>
      </c>
      <c r="M928" s="147"/>
      <c r="N928" s="147"/>
      <c r="O928" s="147">
        <f>(O911+O927)*L928</f>
        <v>3600.4442868236288</v>
      </c>
      <c r="P928" s="146"/>
    </row>
    <row r="929" spans="2:16" ht="14.25">
      <c r="B929" s="145" t="s">
        <v>22</v>
      </c>
      <c r="C929" s="146" t="s">
        <v>339</v>
      </c>
      <c r="D929" s="152"/>
      <c r="E929" s="147"/>
      <c r="F929" s="147"/>
      <c r="G929" s="147">
        <f>SUM(G930:G935)</f>
        <v>5156.296244610892</v>
      </c>
      <c r="H929" s="146"/>
      <c r="J929" s="145" t="s">
        <v>22</v>
      </c>
      <c r="K929" s="146" t="s">
        <v>339</v>
      </c>
      <c r="L929" s="152"/>
      <c r="M929" s="147"/>
      <c r="N929" s="147"/>
      <c r="O929" s="147">
        <f>SUM(O930:O935)</f>
        <v>4703.135557562106</v>
      </c>
      <c r="P929" s="146"/>
    </row>
    <row r="930" spans="2:16" ht="14.25">
      <c r="B930" s="145"/>
      <c r="C930" s="146" t="s">
        <v>298</v>
      </c>
      <c r="D930" s="152" t="s">
        <v>77</v>
      </c>
      <c r="E930" s="147">
        <f>E846/100*E917*'配合'!E8/1000+E918*'配合'!E8/1000</f>
        <v>35.456247664200006</v>
      </c>
      <c r="F930" s="147">
        <f>'机械台班'!C26</f>
        <v>118.56378999999998</v>
      </c>
      <c r="G930" s="147">
        <f aca="true" t="shared" si="23" ref="G930:G935">F930*E930</f>
        <v>4203.8271022461995</v>
      </c>
      <c r="H930" s="146"/>
      <c r="J930" s="145"/>
      <c r="K930" s="146" t="s">
        <v>298</v>
      </c>
      <c r="L930" s="152" t="s">
        <v>77</v>
      </c>
      <c r="M930" s="147">
        <f>M917*0.01+E860</f>
        <v>32.417854000000005</v>
      </c>
      <c r="N930" s="147">
        <f>F930</f>
        <v>118.56378999999998</v>
      </c>
      <c r="O930" s="147">
        <f aca="true" t="shared" si="24" ref="O930:O935">N930*M930</f>
        <v>3843.58363390666</v>
      </c>
      <c r="P930" s="146"/>
    </row>
    <row r="931" spans="2:16" ht="14.25">
      <c r="B931" s="145"/>
      <c r="C931" s="146" t="s">
        <v>299</v>
      </c>
      <c r="D931" s="146" t="s">
        <v>365</v>
      </c>
      <c r="E931" s="147">
        <f>E846/100*E917*'配合'!F8+E918*'配合'!F8</f>
        <v>63.454837908</v>
      </c>
      <c r="F931" s="147">
        <f>'机械台班'!C27</f>
        <v>1.5600419999999957</v>
      </c>
      <c r="G931" s="147">
        <f t="shared" si="23"/>
        <v>98.99221223967187</v>
      </c>
      <c r="H931" s="146"/>
      <c r="J931" s="145"/>
      <c r="K931" s="146" t="s">
        <v>299</v>
      </c>
      <c r="L931" s="146" t="s">
        <v>365</v>
      </c>
      <c r="M931" s="147">
        <f>M917*0.01+E861</f>
        <v>58.04686</v>
      </c>
      <c r="N931" s="147">
        <f>F931</f>
        <v>1.5600419999999957</v>
      </c>
      <c r="O931" s="147">
        <f t="shared" si="24"/>
        <v>90.55553956811976</v>
      </c>
      <c r="P931" s="146"/>
    </row>
    <row r="932" spans="2:16" ht="14.25">
      <c r="B932" s="145"/>
      <c r="C932" s="146" t="s">
        <v>300</v>
      </c>
      <c r="D932" s="146" t="s">
        <v>365</v>
      </c>
      <c r="E932" s="147">
        <f>E846/100*E917*'配合'!G8+E918*'配合'!G8</f>
        <v>97.11644176080003</v>
      </c>
      <c r="F932" s="147">
        <f>'机械台班'!C28</f>
        <v>8.098611067961158</v>
      </c>
      <c r="G932" s="147">
        <f t="shared" si="23"/>
        <v>786.5082901250204</v>
      </c>
      <c r="H932" s="146"/>
      <c r="J932" s="145"/>
      <c r="K932" s="146" t="s">
        <v>300</v>
      </c>
      <c r="L932" s="146" t="s">
        <v>365</v>
      </c>
      <c r="M932" s="147">
        <f>M917*0.01+E862</f>
        <v>86.68495600000003</v>
      </c>
      <c r="N932" s="147">
        <f>F932</f>
        <v>8.098611067961158</v>
      </c>
      <c r="O932" s="147">
        <f t="shared" si="24"/>
        <v>702.0277440873263</v>
      </c>
      <c r="P932" s="146"/>
    </row>
    <row r="933" spans="2:16" ht="14.25">
      <c r="B933" s="145"/>
      <c r="C933" s="146" t="s">
        <v>411</v>
      </c>
      <c r="D933" s="146" t="s">
        <v>365</v>
      </c>
      <c r="E933" s="147"/>
      <c r="F933" s="147"/>
      <c r="G933" s="147">
        <f t="shared" si="23"/>
        <v>0</v>
      </c>
      <c r="H933" s="146"/>
      <c r="J933" s="145"/>
      <c r="K933" s="146" t="s">
        <v>411</v>
      </c>
      <c r="L933" s="146" t="s">
        <v>365</v>
      </c>
      <c r="M933" s="147"/>
      <c r="N933" s="147"/>
      <c r="O933" s="147">
        <f t="shared" si="24"/>
        <v>0</v>
      </c>
      <c r="P933" s="146"/>
    </row>
    <row r="934" spans="2:16" ht="14.25">
      <c r="B934" s="145"/>
      <c r="C934" s="146" t="s">
        <v>303</v>
      </c>
      <c r="D934" s="146" t="s">
        <v>307</v>
      </c>
      <c r="E934" s="147">
        <f>E864</f>
        <v>13.248000000000001</v>
      </c>
      <c r="F934" s="147">
        <f>'机械台班'!C31</f>
        <v>5.055000000000001</v>
      </c>
      <c r="G934" s="147">
        <f t="shared" si="23"/>
        <v>66.96864000000001</v>
      </c>
      <c r="H934" s="146"/>
      <c r="J934" s="145"/>
      <c r="K934" s="146" t="s">
        <v>303</v>
      </c>
      <c r="L934" s="146" t="s">
        <v>307</v>
      </c>
      <c r="M934" s="147">
        <f>E864</f>
        <v>13.248000000000001</v>
      </c>
      <c r="N934" s="147">
        <f>F934</f>
        <v>5.055000000000001</v>
      </c>
      <c r="O934" s="147">
        <f t="shared" si="24"/>
        <v>66.96864000000001</v>
      </c>
      <c r="P934" s="146"/>
    </row>
    <row r="935" spans="2:16" ht="14.25">
      <c r="B935" s="145"/>
      <c r="C935" s="146" t="s">
        <v>304</v>
      </c>
      <c r="D935" s="152" t="s">
        <v>307</v>
      </c>
      <c r="E935" s="147"/>
      <c r="F935" s="147"/>
      <c r="G935" s="147">
        <f t="shared" si="23"/>
        <v>0</v>
      </c>
      <c r="H935" s="146"/>
      <c r="J935" s="145"/>
      <c r="K935" s="146" t="s">
        <v>304</v>
      </c>
      <c r="L935" s="152" t="s">
        <v>307</v>
      </c>
      <c r="M935" s="147"/>
      <c r="N935" s="147"/>
      <c r="O935" s="147">
        <f t="shared" si="24"/>
        <v>0</v>
      </c>
      <c r="P935" s="146"/>
    </row>
    <row r="936" spans="2:16" ht="14.25">
      <c r="B936" s="145" t="s">
        <v>24</v>
      </c>
      <c r="C936" s="146" t="s">
        <v>340</v>
      </c>
      <c r="D936" s="152">
        <v>0.09</v>
      </c>
      <c r="E936" s="147"/>
      <c r="F936" s="147"/>
      <c r="G936" s="147">
        <f>(G911+G927+G928+G929)*D936</f>
        <v>6215.576785765175</v>
      </c>
      <c r="H936" s="146"/>
      <c r="J936" s="145" t="s">
        <v>24</v>
      </c>
      <c r="K936" s="146" t="s">
        <v>340</v>
      </c>
      <c r="L936" s="152">
        <v>0.09</v>
      </c>
      <c r="M936" s="147"/>
      <c r="N936" s="147"/>
      <c r="O936" s="147">
        <f>(O911+O927+O928+O929)*L936</f>
        <v>5376.464840482238</v>
      </c>
      <c r="P936" s="146"/>
    </row>
    <row r="937" spans="2:16" ht="14.25">
      <c r="B937" s="195"/>
      <c r="C937" s="146" t="s">
        <v>36</v>
      </c>
      <c r="D937" s="146"/>
      <c r="E937" s="147"/>
      <c r="F937" s="147"/>
      <c r="G937" s="147">
        <f>G911+G927+G928+G929+G936</f>
        <v>75277.54107204491</v>
      </c>
      <c r="H937" s="146"/>
      <c r="J937" s="195"/>
      <c r="K937" s="146" t="s">
        <v>36</v>
      </c>
      <c r="L937" s="146"/>
      <c r="M937" s="147"/>
      <c r="N937" s="147"/>
      <c r="O937" s="147">
        <f>O911+O927+O928+O929+O936</f>
        <v>65114.963068062665</v>
      </c>
      <c r="P937" s="146"/>
    </row>
    <row r="938" spans="2:16" ht="14.25">
      <c r="B938" s="145" t="s">
        <v>341</v>
      </c>
      <c r="C938" s="146" t="s">
        <v>342</v>
      </c>
      <c r="D938" s="153">
        <v>0.03</v>
      </c>
      <c r="E938" s="147"/>
      <c r="F938" s="147"/>
      <c r="G938" s="147">
        <f>G937*D938</f>
        <v>2258.3262321613474</v>
      </c>
      <c r="H938" s="146"/>
      <c r="J938" s="145" t="s">
        <v>341</v>
      </c>
      <c r="K938" s="146" t="s">
        <v>342</v>
      </c>
      <c r="L938" s="153">
        <v>0.03</v>
      </c>
      <c r="M938" s="147"/>
      <c r="N938" s="147"/>
      <c r="O938" s="147">
        <f>O937*L938</f>
        <v>1953.4488920418798</v>
      </c>
      <c r="P938" s="146"/>
    </row>
    <row r="939" spans="2:16" ht="14.25">
      <c r="B939" s="195"/>
      <c r="C939" s="146" t="s">
        <v>343</v>
      </c>
      <c r="D939" s="194"/>
      <c r="E939" s="196"/>
      <c r="F939" s="196"/>
      <c r="G939" s="147">
        <f>SUM(G937:G938)</f>
        <v>77535.86730420626</v>
      </c>
      <c r="H939" s="146"/>
      <c r="J939" s="195"/>
      <c r="K939" s="146" t="s">
        <v>343</v>
      </c>
      <c r="L939" s="194"/>
      <c r="M939" s="196"/>
      <c r="N939" s="196"/>
      <c r="O939" s="147">
        <f>SUM(O937:O938)</f>
        <v>67068.41196010454</v>
      </c>
      <c r="P939" s="146"/>
    </row>
    <row r="940" spans="2:16" ht="20.25">
      <c r="B940" s="138" t="s">
        <v>317</v>
      </c>
      <c r="C940" s="138"/>
      <c r="D940" s="138"/>
      <c r="E940" s="138"/>
      <c r="F940" s="138"/>
      <c r="G940" s="138"/>
      <c r="H940" s="138"/>
      <c r="J940" s="136"/>
      <c r="K940" s="136"/>
      <c r="L940" s="136"/>
      <c r="M940" s="136"/>
      <c r="N940" s="136"/>
      <c r="O940" s="136"/>
      <c r="P940" s="136"/>
    </row>
    <row r="941" spans="2:16" ht="14.25">
      <c r="B941" s="139" t="s">
        <v>487</v>
      </c>
      <c r="C941" s="139"/>
      <c r="D941" s="139"/>
      <c r="E941" s="139"/>
      <c r="F941" s="139"/>
      <c r="G941" s="139"/>
      <c r="H941" s="139"/>
      <c r="J941" s="136"/>
      <c r="K941" s="136"/>
      <c r="L941" s="136"/>
      <c r="M941" s="136"/>
      <c r="N941" s="136"/>
      <c r="O941" s="136"/>
      <c r="P941" s="136"/>
    </row>
    <row r="942" spans="2:16" ht="14.25">
      <c r="B942" s="140" t="s">
        <v>488</v>
      </c>
      <c r="C942" s="140"/>
      <c r="D942" s="140"/>
      <c r="E942" s="140"/>
      <c r="G942" s="141" t="s">
        <v>448</v>
      </c>
      <c r="H942" s="141"/>
      <c r="J942" s="136"/>
      <c r="K942" s="136"/>
      <c r="L942" s="136"/>
      <c r="M942" s="136"/>
      <c r="N942" s="136"/>
      <c r="O942" s="136"/>
      <c r="P942" s="136"/>
    </row>
    <row r="943" spans="2:16" ht="14.25">
      <c r="B943" s="142" t="s">
        <v>494</v>
      </c>
      <c r="C943" s="143"/>
      <c r="D943" s="143"/>
      <c r="E943" s="143"/>
      <c r="F943" s="143"/>
      <c r="G943" s="143"/>
      <c r="H943" s="144"/>
      <c r="J943" s="136"/>
      <c r="K943" s="136"/>
      <c r="L943" s="136"/>
      <c r="M943" s="136"/>
      <c r="N943" s="136"/>
      <c r="O943" s="136"/>
      <c r="P943" s="136"/>
    </row>
    <row r="944" spans="2:16" ht="25.5">
      <c r="B944" s="145" t="s">
        <v>361</v>
      </c>
      <c r="C944" s="146" t="s">
        <v>322</v>
      </c>
      <c r="D944" s="146" t="s">
        <v>102</v>
      </c>
      <c r="E944" s="147" t="s">
        <v>324</v>
      </c>
      <c r="F944" s="148" t="s">
        <v>325</v>
      </c>
      <c r="G944" s="148" t="s">
        <v>326</v>
      </c>
      <c r="H944" s="146" t="s">
        <v>386</v>
      </c>
      <c r="J944" s="136"/>
      <c r="K944" s="136"/>
      <c r="L944" s="136"/>
      <c r="M944" s="136"/>
      <c r="N944" s="136"/>
      <c r="O944" s="136"/>
      <c r="P944" s="136"/>
    </row>
    <row r="945" spans="2:16" ht="14.25">
      <c r="B945" s="145" t="s">
        <v>16</v>
      </c>
      <c r="C945" s="146" t="s">
        <v>327</v>
      </c>
      <c r="D945" s="194"/>
      <c r="E945" s="147"/>
      <c r="F945" s="147"/>
      <c r="G945" s="147">
        <f>G946+G959+G960</f>
        <v>55716.8983929905</v>
      </c>
      <c r="H945" s="146"/>
      <c r="J945" s="136"/>
      <c r="K945" s="136"/>
      <c r="L945" s="136"/>
      <c r="M945" s="136"/>
      <c r="N945" s="136"/>
      <c r="O945" s="136"/>
      <c r="P945" s="136"/>
    </row>
    <row r="946" spans="2:16" ht="14.25">
      <c r="B946" s="145" t="s">
        <v>39</v>
      </c>
      <c r="C946" s="146" t="s">
        <v>328</v>
      </c>
      <c r="D946" s="194"/>
      <c r="E946" s="147"/>
      <c r="F946" s="147"/>
      <c r="G946" s="147">
        <f>G947+G950+G954+G957</f>
        <v>53164.97938262452</v>
      </c>
      <c r="H946" s="146"/>
      <c r="J946" s="136"/>
      <c r="K946" s="136"/>
      <c r="L946" s="136"/>
      <c r="M946" s="136"/>
      <c r="N946" s="136"/>
      <c r="O946" s="136"/>
      <c r="P946" s="136"/>
    </row>
    <row r="947" spans="2:16" ht="14.25">
      <c r="B947" s="145">
        <v>1</v>
      </c>
      <c r="C947" s="146" t="s">
        <v>329</v>
      </c>
      <c r="D947" s="149"/>
      <c r="E947" s="147"/>
      <c r="F947" s="147"/>
      <c r="G947" s="147">
        <f>SUM(G948:G949)</f>
        <v>8793.7026</v>
      </c>
      <c r="H947" s="146"/>
      <c r="J947" s="136"/>
      <c r="K947" s="136"/>
      <c r="L947" s="136"/>
      <c r="M947" s="136"/>
      <c r="N947" s="136"/>
      <c r="O947" s="136"/>
      <c r="P947" s="136"/>
    </row>
    <row r="948" spans="2:16" ht="14.25">
      <c r="B948" s="145"/>
      <c r="C948" s="149" t="s">
        <v>351</v>
      </c>
      <c r="D948" s="149" t="s">
        <v>163</v>
      </c>
      <c r="E948" s="147">
        <v>821.59</v>
      </c>
      <c r="F948" s="147">
        <f>'单价分析'!E15</f>
        <v>8.1</v>
      </c>
      <c r="G948" s="147">
        <f>F948*E948</f>
        <v>6654.879</v>
      </c>
      <c r="H948" s="146"/>
      <c r="J948" s="136"/>
      <c r="K948" s="136"/>
      <c r="L948" s="136"/>
      <c r="M948" s="136"/>
      <c r="N948" s="136"/>
      <c r="O948" s="136"/>
      <c r="P948" s="136"/>
    </row>
    <row r="949" spans="2:16" ht="14.25">
      <c r="B949" s="145"/>
      <c r="C949" s="149" t="s">
        <v>330</v>
      </c>
      <c r="D949" s="149" t="s">
        <v>163</v>
      </c>
      <c r="E949" s="147">
        <v>370.68</v>
      </c>
      <c r="F949" s="147">
        <f>'单价分析'!E16</f>
        <v>5.77</v>
      </c>
      <c r="G949" s="147">
        <f>F949*E949</f>
        <v>2138.8235999999997</v>
      </c>
      <c r="H949" s="146"/>
      <c r="J949" s="136"/>
      <c r="K949" s="136"/>
      <c r="L949" s="136"/>
      <c r="M949" s="136"/>
      <c r="N949" s="136"/>
      <c r="O949" s="136"/>
      <c r="P949" s="136"/>
    </row>
    <row r="950" spans="2:16" ht="14.25">
      <c r="B950" s="145">
        <v>2</v>
      </c>
      <c r="C950" s="146" t="s">
        <v>373</v>
      </c>
      <c r="D950" s="194"/>
      <c r="E950" s="147"/>
      <c r="F950" s="147"/>
      <c r="G950" s="147">
        <f>SUM(G951:G953)</f>
        <v>44198.87998487423</v>
      </c>
      <c r="H950" s="146"/>
      <c r="J950" s="136"/>
      <c r="K950" s="136"/>
      <c r="L950" s="136"/>
      <c r="M950" s="136"/>
      <c r="N950" s="136"/>
      <c r="O950" s="136"/>
      <c r="P950" s="136"/>
    </row>
    <row r="951" spans="2:16" ht="14.25">
      <c r="B951" s="145"/>
      <c r="C951" s="146" t="s">
        <v>490</v>
      </c>
      <c r="D951" s="146" t="s">
        <v>365</v>
      </c>
      <c r="E951" s="147">
        <v>91.5</v>
      </c>
      <c r="F951" s="147">
        <f>G838/100</f>
        <v>417.55516488079644</v>
      </c>
      <c r="G951" s="147">
        <f>F951*E951</f>
        <v>38206.297586592875</v>
      </c>
      <c r="H951" s="146"/>
      <c r="J951" s="136"/>
      <c r="K951" s="136"/>
      <c r="L951" s="136"/>
      <c r="M951" s="136"/>
      <c r="N951" s="136"/>
      <c r="O951" s="136"/>
      <c r="P951" s="136"/>
    </row>
    <row r="952" spans="2:16" ht="14.25">
      <c r="B952" s="145"/>
      <c r="C952" s="146" t="s">
        <v>491</v>
      </c>
      <c r="D952" s="146" t="s">
        <v>365</v>
      </c>
      <c r="E952" s="147">
        <v>22.2</v>
      </c>
      <c r="F952" s="147">
        <f>G981/100</f>
        <v>260.0309672515079</v>
      </c>
      <c r="G952" s="147">
        <f>F952*E952</f>
        <v>5772.687472983475</v>
      </c>
      <c r="H952" s="146"/>
      <c r="J952" s="136"/>
      <c r="K952" s="136"/>
      <c r="L952" s="136"/>
      <c r="M952" s="136"/>
      <c r="N952" s="136"/>
      <c r="O952" s="136"/>
      <c r="P952" s="136"/>
    </row>
    <row r="953" spans="2:16" ht="14.25">
      <c r="B953" s="145"/>
      <c r="C953" s="146" t="s">
        <v>404</v>
      </c>
      <c r="D953" s="146" t="s">
        <v>332</v>
      </c>
      <c r="E953" s="147">
        <v>0.5</v>
      </c>
      <c r="F953" s="147">
        <f>SUM(G951:G952)</f>
        <v>43978.98505957635</v>
      </c>
      <c r="G953" s="147">
        <f>F953*E953%</f>
        <v>219.89492529788174</v>
      </c>
      <c r="H953" s="146"/>
      <c r="J953" s="136"/>
      <c r="K953" s="136"/>
      <c r="L953" s="136"/>
      <c r="M953" s="136"/>
      <c r="N953" s="136"/>
      <c r="O953" s="136"/>
      <c r="P953" s="136"/>
    </row>
    <row r="954" spans="2:16" ht="14.25">
      <c r="B954" s="145">
        <v>3</v>
      </c>
      <c r="C954" s="146" t="s">
        <v>333</v>
      </c>
      <c r="D954" s="146"/>
      <c r="E954" s="147"/>
      <c r="F954" s="147"/>
      <c r="G954" s="147">
        <f>SUM(G955:G956)</f>
        <v>172.39679775029916</v>
      </c>
      <c r="H954" s="146"/>
      <c r="J954" s="136"/>
      <c r="K954" s="136"/>
      <c r="L954" s="136"/>
      <c r="M954" s="136"/>
      <c r="N954" s="136"/>
      <c r="O954" s="136"/>
      <c r="P954" s="136"/>
    </row>
    <row r="955" spans="2:16" ht="14.25">
      <c r="B955" s="200"/>
      <c r="C955" s="146" t="s">
        <v>452</v>
      </c>
      <c r="D955" s="146" t="s">
        <v>335</v>
      </c>
      <c r="E955" s="147">
        <v>2.66</v>
      </c>
      <c r="F955" s="147">
        <f>'台班总'!D13</f>
        <v>28.217952134024728</v>
      </c>
      <c r="G955" s="147">
        <f>F955*E955</f>
        <v>75.05975267650578</v>
      </c>
      <c r="H955" s="146"/>
      <c r="J955" s="136"/>
      <c r="K955" s="136"/>
      <c r="L955" s="136"/>
      <c r="M955" s="136"/>
      <c r="N955" s="136"/>
      <c r="O955" s="136"/>
      <c r="P955" s="136"/>
    </row>
    <row r="956" spans="2:16" ht="14.25">
      <c r="B956" s="200"/>
      <c r="C956" s="146" t="s">
        <v>209</v>
      </c>
      <c r="D956" s="146" t="s">
        <v>335</v>
      </c>
      <c r="E956" s="147">
        <v>119.69</v>
      </c>
      <c r="F956" s="147">
        <f>'台班总'!D20</f>
        <v>0.8132429198244914</v>
      </c>
      <c r="G956" s="147">
        <f>F956*E956</f>
        <v>97.33704507379338</v>
      </c>
      <c r="H956" s="146"/>
      <c r="J956" s="136"/>
      <c r="K956" s="136"/>
      <c r="L956" s="136"/>
      <c r="M956" s="136"/>
      <c r="N956" s="136"/>
      <c r="O956" s="136"/>
      <c r="P956" s="136"/>
    </row>
    <row r="957" spans="2:16" ht="14.25">
      <c r="B957" s="145">
        <v>4</v>
      </c>
      <c r="C957" s="146" t="s">
        <v>456</v>
      </c>
      <c r="D957" s="194"/>
      <c r="E957" s="147"/>
      <c r="F957" s="147"/>
      <c r="G957" s="147">
        <f>G958</f>
        <v>0</v>
      </c>
      <c r="H957" s="146"/>
      <c r="J957" s="136"/>
      <c r="K957" s="136"/>
      <c r="L957" s="136"/>
      <c r="M957" s="136"/>
      <c r="N957" s="136"/>
      <c r="O957" s="136"/>
      <c r="P957" s="136"/>
    </row>
    <row r="958" spans="2:16" ht="14.25">
      <c r="B958" s="195"/>
      <c r="C958" s="146" t="s">
        <v>492</v>
      </c>
      <c r="D958" s="146" t="s">
        <v>365</v>
      </c>
      <c r="E958" s="147">
        <f>E951</f>
        <v>91.5</v>
      </c>
      <c r="F958" s="147"/>
      <c r="G958" s="147">
        <f>F958*E958</f>
        <v>0</v>
      </c>
      <c r="H958" s="146"/>
      <c r="J958" s="136"/>
      <c r="K958" s="136"/>
      <c r="L958" s="136"/>
      <c r="M958" s="136"/>
      <c r="N958" s="136"/>
      <c r="O958" s="136"/>
      <c r="P958" s="136"/>
    </row>
    <row r="959" spans="2:16" ht="14.25">
      <c r="B959" s="145" t="s">
        <v>63</v>
      </c>
      <c r="C959" s="146" t="s">
        <v>336</v>
      </c>
      <c r="D959" s="162">
        <v>0.048</v>
      </c>
      <c r="E959" s="147"/>
      <c r="F959" s="147"/>
      <c r="G959" s="147">
        <f>G946*D959</f>
        <v>2551.919010365977</v>
      </c>
      <c r="H959" s="146"/>
      <c r="J959" s="136"/>
      <c r="K959" s="136"/>
      <c r="L959" s="136"/>
      <c r="M959" s="136"/>
      <c r="N959" s="136"/>
      <c r="O959" s="136"/>
      <c r="P959" s="136"/>
    </row>
    <row r="960" spans="2:16" ht="14.25">
      <c r="B960" s="145" t="s">
        <v>355</v>
      </c>
      <c r="C960" s="146" t="s">
        <v>356</v>
      </c>
      <c r="D960" s="162"/>
      <c r="E960" s="147"/>
      <c r="F960" s="147"/>
      <c r="G960" s="147">
        <f>G946*D960</f>
        <v>0</v>
      </c>
      <c r="H960" s="146"/>
      <c r="J960" s="136"/>
      <c r="K960" s="136"/>
      <c r="L960" s="136"/>
      <c r="M960" s="136"/>
      <c r="N960" s="136"/>
      <c r="O960" s="136"/>
      <c r="P960" s="136"/>
    </row>
    <row r="961" spans="2:16" ht="14.25">
      <c r="B961" s="145" t="s">
        <v>18</v>
      </c>
      <c r="C961" s="146" t="s">
        <v>337</v>
      </c>
      <c r="D961" s="162">
        <v>0.09</v>
      </c>
      <c r="E961" s="147"/>
      <c r="F961" s="147"/>
      <c r="G961" s="147">
        <f>G945*D961</f>
        <v>5014.520855369145</v>
      </c>
      <c r="H961" s="146"/>
      <c r="J961" s="136"/>
      <c r="K961" s="136"/>
      <c r="L961" s="136"/>
      <c r="M961" s="136"/>
      <c r="N961" s="136"/>
      <c r="O961" s="136"/>
      <c r="P961" s="136"/>
    </row>
    <row r="962" spans="2:16" ht="14.25">
      <c r="B962" s="145" t="s">
        <v>20</v>
      </c>
      <c r="C962" s="146" t="s">
        <v>338</v>
      </c>
      <c r="D962" s="162">
        <v>0.07</v>
      </c>
      <c r="E962" s="147"/>
      <c r="F962" s="147"/>
      <c r="G962" s="147">
        <f>(G945+G961)*D962</f>
        <v>4251.199347385175</v>
      </c>
      <c r="H962" s="146"/>
      <c r="J962" s="136"/>
      <c r="K962" s="136"/>
      <c r="L962" s="136"/>
      <c r="M962" s="136"/>
      <c r="N962" s="136"/>
      <c r="O962" s="136"/>
      <c r="P962" s="136"/>
    </row>
    <row r="963" spans="2:8" ht="14.25">
      <c r="B963" s="145" t="s">
        <v>22</v>
      </c>
      <c r="C963" s="146" t="s">
        <v>339</v>
      </c>
      <c r="D963" s="152"/>
      <c r="E963" s="147"/>
      <c r="F963" s="147"/>
      <c r="G963" s="147">
        <f>SUM(G964:G969)</f>
        <v>5161.208373983052</v>
      </c>
      <c r="H963" s="146"/>
    </row>
    <row r="964" spans="2:11" ht="14.25">
      <c r="B964" s="145"/>
      <c r="C964" s="146" t="s">
        <v>298</v>
      </c>
      <c r="D964" s="152" t="s">
        <v>77</v>
      </c>
      <c r="E964" s="147">
        <f>E846/100*E951*'配合'!E8/1000+E952*'配合'!E8/1000</f>
        <v>35.49046941</v>
      </c>
      <c r="F964" s="147">
        <f>'机械台班'!C26</f>
        <v>118.56378999999998</v>
      </c>
      <c r="G964" s="147">
        <f aca="true" t="shared" si="25" ref="G964:G969">F964*E964</f>
        <v>4207.884562128664</v>
      </c>
      <c r="H964" s="146"/>
      <c r="J964" s="231"/>
      <c r="K964" s="231"/>
    </row>
    <row r="965" spans="2:11" ht="14.25">
      <c r="B965" s="145"/>
      <c r="C965" s="146" t="s">
        <v>299</v>
      </c>
      <c r="D965" s="146" t="s">
        <v>365</v>
      </c>
      <c r="E965" s="147">
        <f>E846/100*E951*'配合'!F8+E952*'配合'!F8</f>
        <v>63.5160834</v>
      </c>
      <c r="F965" s="147">
        <f>'机械台班'!C27</f>
        <v>1.5600419999999957</v>
      </c>
      <c r="G965" s="147">
        <f t="shared" si="25"/>
        <v>99.08775777950252</v>
      </c>
      <c r="H965" s="146"/>
      <c r="J965" s="232"/>
      <c r="K965" s="232"/>
    </row>
    <row r="966" spans="2:11" ht="14.25">
      <c r="B966" s="145"/>
      <c r="C966" s="146" t="s">
        <v>300</v>
      </c>
      <c r="D966" s="146" t="s">
        <v>365</v>
      </c>
      <c r="E966" s="147">
        <f>E846/100*E951*'配合'!G8+E952*'配合'!G8</f>
        <v>97.21017684000002</v>
      </c>
      <c r="F966" s="147">
        <f>'机械台班'!C28</f>
        <v>8.098611067961158</v>
      </c>
      <c r="G966" s="147">
        <f t="shared" si="25"/>
        <v>787.2674140748857</v>
      </c>
      <c r="H966" s="146"/>
      <c r="J966" s="233"/>
      <c r="K966" s="233"/>
    </row>
    <row r="967" spans="2:11" ht="14.25">
      <c r="B967" s="145"/>
      <c r="C967" s="146" t="s">
        <v>411</v>
      </c>
      <c r="D967" s="146" t="s">
        <v>365</v>
      </c>
      <c r="E967" s="147"/>
      <c r="F967" s="147"/>
      <c r="G967" s="147">
        <f t="shared" si="25"/>
        <v>0</v>
      </c>
      <c r="H967" s="146"/>
      <c r="J967" s="234"/>
      <c r="K967" s="234"/>
    </row>
    <row r="968" spans="2:8" ht="14.25">
      <c r="B968" s="145"/>
      <c r="C968" s="146" t="s">
        <v>303</v>
      </c>
      <c r="D968" s="146" t="s">
        <v>307</v>
      </c>
      <c r="E968" s="147">
        <f>E864</f>
        <v>13.248000000000001</v>
      </c>
      <c r="F968" s="147">
        <f>'机械台班'!C31</f>
        <v>5.055000000000001</v>
      </c>
      <c r="G968" s="147">
        <f t="shared" si="25"/>
        <v>66.96864000000001</v>
      </c>
      <c r="H968" s="146"/>
    </row>
    <row r="969" spans="2:8" ht="14.25">
      <c r="B969" s="145"/>
      <c r="C969" s="146" t="s">
        <v>304</v>
      </c>
      <c r="D969" s="152" t="s">
        <v>307</v>
      </c>
      <c r="E969" s="147"/>
      <c r="F969" s="147"/>
      <c r="G969" s="147">
        <f t="shared" si="25"/>
        <v>0</v>
      </c>
      <c r="H969" s="146"/>
    </row>
    <row r="970" spans="2:8" ht="14.25">
      <c r="B970" s="145" t="s">
        <v>24</v>
      </c>
      <c r="C970" s="146" t="s">
        <v>340</v>
      </c>
      <c r="D970" s="152">
        <v>0.09</v>
      </c>
      <c r="E970" s="147"/>
      <c r="F970" s="147"/>
      <c r="G970" s="147">
        <f>(G945+G961+G962+G963)*D970</f>
        <v>6312.944427275508</v>
      </c>
      <c r="H970" s="146"/>
    </row>
    <row r="971" spans="2:8" ht="14.25">
      <c r="B971" s="195"/>
      <c r="C971" s="146" t="s">
        <v>36</v>
      </c>
      <c r="D971" s="146"/>
      <c r="E971" s="147"/>
      <c r="F971" s="147"/>
      <c r="G971" s="147">
        <f>G945+G961+G962+G963+G970</f>
        <v>76456.77139700338</v>
      </c>
      <c r="H971" s="146"/>
    </row>
    <row r="972" spans="2:8" ht="14.25">
      <c r="B972" s="145" t="s">
        <v>341</v>
      </c>
      <c r="C972" s="146" t="s">
        <v>342</v>
      </c>
      <c r="D972" s="153">
        <v>0.03</v>
      </c>
      <c r="E972" s="147"/>
      <c r="F972" s="147"/>
      <c r="G972" s="147">
        <f>G971*D972</f>
        <v>2293.7031419101013</v>
      </c>
      <c r="H972" s="146"/>
    </row>
    <row r="973" spans="2:8" ht="14.25">
      <c r="B973" s="195"/>
      <c r="C973" s="146" t="s">
        <v>343</v>
      </c>
      <c r="D973" s="194"/>
      <c r="E973" s="196"/>
      <c r="F973" s="196"/>
      <c r="G973" s="147">
        <f>SUM(G971:G972)</f>
        <v>78750.47453891348</v>
      </c>
      <c r="H973" s="146"/>
    </row>
    <row r="975" spans="2:17" s="135" customFormat="1" ht="19.5" customHeight="1">
      <c r="B975" s="138" t="s">
        <v>317</v>
      </c>
      <c r="C975" s="138"/>
      <c r="D975" s="138"/>
      <c r="E975" s="138"/>
      <c r="F975" s="138"/>
      <c r="G975" s="138"/>
      <c r="H975" s="138"/>
      <c r="K975" s="138" t="s">
        <v>317</v>
      </c>
      <c r="L975" s="138"/>
      <c r="M975" s="138"/>
      <c r="N975" s="138"/>
      <c r="O975" s="138"/>
      <c r="P975" s="138"/>
      <c r="Q975" s="138"/>
    </row>
    <row r="976" spans="2:17" s="135" customFormat="1" ht="13.5" customHeight="1">
      <c r="B976" s="139" t="s">
        <v>495</v>
      </c>
      <c r="C976" s="139"/>
      <c r="D976" s="139"/>
      <c r="E976" s="139"/>
      <c r="F976" s="139"/>
      <c r="G976" s="139"/>
      <c r="H976" s="139"/>
      <c r="K976" s="139" t="s">
        <v>495</v>
      </c>
      <c r="L976" s="139"/>
      <c r="M976" s="139"/>
      <c r="N976" s="139"/>
      <c r="O976" s="139"/>
      <c r="P976" s="139"/>
      <c r="Q976" s="139"/>
    </row>
    <row r="977" spans="2:17" s="135" customFormat="1" ht="13.5" customHeight="1">
      <c r="B977" s="140" t="s">
        <v>496</v>
      </c>
      <c r="C977" s="140"/>
      <c r="D977" s="140"/>
      <c r="E977" s="140"/>
      <c r="F977" s="137"/>
      <c r="G977" s="219" t="s">
        <v>320</v>
      </c>
      <c r="H977" s="219"/>
      <c r="K977" s="140" t="s">
        <v>496</v>
      </c>
      <c r="L977" s="140"/>
      <c r="M977" s="140"/>
      <c r="N977" s="140"/>
      <c r="O977" s="137"/>
      <c r="P977" s="140" t="s">
        <v>320</v>
      </c>
      <c r="Q977" s="140"/>
    </row>
    <row r="978" spans="2:17" s="135" customFormat="1" ht="13.5" customHeight="1">
      <c r="B978" s="142" t="s">
        <v>360</v>
      </c>
      <c r="C978" s="143"/>
      <c r="D978" s="143"/>
      <c r="E978" s="143"/>
      <c r="F978" s="143"/>
      <c r="G978" s="143"/>
      <c r="H978" s="144"/>
      <c r="K978" s="142" t="s">
        <v>360</v>
      </c>
      <c r="L978" s="143"/>
      <c r="M978" s="143"/>
      <c r="N978" s="143"/>
      <c r="O978" s="143"/>
      <c r="P978" s="143"/>
      <c r="Q978" s="144"/>
    </row>
    <row r="979" spans="2:17" s="135" customFormat="1" ht="28.5" customHeight="1">
      <c r="B979" s="195" t="s">
        <v>31</v>
      </c>
      <c r="C979" s="146" t="s">
        <v>322</v>
      </c>
      <c r="D979" s="194" t="s">
        <v>33</v>
      </c>
      <c r="E979" s="147" t="s">
        <v>34</v>
      </c>
      <c r="F979" s="161" t="s">
        <v>325</v>
      </c>
      <c r="G979" s="161" t="s">
        <v>326</v>
      </c>
      <c r="H979" s="146" t="s">
        <v>37</v>
      </c>
      <c r="K979" s="195" t="s">
        <v>31</v>
      </c>
      <c r="L979" s="146" t="s">
        <v>322</v>
      </c>
      <c r="M979" s="235" t="s">
        <v>33</v>
      </c>
      <c r="N979" s="147" t="s">
        <v>34</v>
      </c>
      <c r="O979" s="161" t="s">
        <v>325</v>
      </c>
      <c r="P979" s="161" t="s">
        <v>326</v>
      </c>
      <c r="Q979" s="146" t="s">
        <v>37</v>
      </c>
    </row>
    <row r="980" spans="2:17" s="135" customFormat="1" ht="13.5" customHeight="1">
      <c r="B980" s="145" t="s">
        <v>16</v>
      </c>
      <c r="C980" s="146" t="s">
        <v>327</v>
      </c>
      <c r="D980" s="146"/>
      <c r="E980" s="147"/>
      <c r="F980" s="147"/>
      <c r="G980" s="147">
        <f>G981+G999+G1000</f>
        <v>27251.245367958025</v>
      </c>
      <c r="H980" s="146"/>
      <c r="K980" s="145" t="s">
        <v>16</v>
      </c>
      <c r="L980" s="146" t="s">
        <v>327</v>
      </c>
      <c r="M980" s="236"/>
      <c r="N980" s="147"/>
      <c r="O980" s="147"/>
      <c r="P980" s="147">
        <f>P981+P999+P1000</f>
        <v>24489.778877618603</v>
      </c>
      <c r="Q980" s="146"/>
    </row>
    <row r="981" spans="2:17" s="135" customFormat="1" ht="13.5" customHeight="1">
      <c r="B981" s="145" t="s">
        <v>39</v>
      </c>
      <c r="C981" s="146" t="s">
        <v>328</v>
      </c>
      <c r="D981" s="146"/>
      <c r="E981" s="147"/>
      <c r="F981" s="147"/>
      <c r="G981" s="147">
        <f>G982+G985+G989+G995</f>
        <v>26003.096725150786</v>
      </c>
      <c r="H981" s="146"/>
      <c r="K981" s="145" t="s">
        <v>39</v>
      </c>
      <c r="L981" s="146" t="s">
        <v>328</v>
      </c>
      <c r="M981" s="236"/>
      <c r="N981" s="147"/>
      <c r="O981" s="147"/>
      <c r="P981" s="147">
        <f>P982+P985+P989+P995</f>
        <v>23368.109616048285</v>
      </c>
      <c r="Q981" s="146"/>
    </row>
    <row r="982" spans="2:17" s="135" customFormat="1" ht="13.5" customHeight="1">
      <c r="B982" s="145">
        <v>1</v>
      </c>
      <c r="C982" s="146" t="s">
        <v>329</v>
      </c>
      <c r="D982" s="146"/>
      <c r="E982" s="147"/>
      <c r="F982" s="147"/>
      <c r="G982" s="147">
        <f>G983+G984</f>
        <v>4075.6839999999993</v>
      </c>
      <c r="H982" s="146"/>
      <c r="K982" s="145">
        <v>1</v>
      </c>
      <c r="L982" s="146" t="s">
        <v>329</v>
      </c>
      <c r="M982" s="236"/>
      <c r="N982" s="147"/>
      <c r="O982" s="147"/>
      <c r="P982" s="147">
        <f>P983+P984</f>
        <v>4075.6839999999993</v>
      </c>
      <c r="Q982" s="146"/>
    </row>
    <row r="983" spans="2:17" s="135" customFormat="1" ht="13.5" customHeight="1">
      <c r="B983" s="145"/>
      <c r="C983" s="149" t="s">
        <v>351</v>
      </c>
      <c r="D983" s="149" t="s">
        <v>163</v>
      </c>
      <c r="E983" s="147">
        <v>287.9</v>
      </c>
      <c r="F983" s="147">
        <f>'单价分析'!E15</f>
        <v>8.1</v>
      </c>
      <c r="G983" s="147">
        <f>E983*F983</f>
        <v>2331.99</v>
      </c>
      <c r="H983" s="146"/>
      <c r="K983" s="145"/>
      <c r="L983" s="149" t="s">
        <v>351</v>
      </c>
      <c r="M983" s="237" t="s">
        <v>163</v>
      </c>
      <c r="N983" s="147">
        <v>287.9</v>
      </c>
      <c r="O983" s="147">
        <f>'单价分析'!E15</f>
        <v>8.1</v>
      </c>
      <c r="P983" s="147">
        <f>N983*O983</f>
        <v>2331.99</v>
      </c>
      <c r="Q983" s="146"/>
    </row>
    <row r="984" spans="2:17" s="135" customFormat="1" ht="13.5" customHeight="1">
      <c r="B984" s="145"/>
      <c r="C984" s="149" t="s">
        <v>330</v>
      </c>
      <c r="D984" s="149" t="s">
        <v>163</v>
      </c>
      <c r="E984" s="147">
        <v>302.2</v>
      </c>
      <c r="F984" s="147">
        <f>'单价分析'!E16</f>
        <v>5.77</v>
      </c>
      <c r="G984" s="147">
        <f>E984*F984</f>
        <v>1743.6939999999997</v>
      </c>
      <c r="H984" s="146"/>
      <c r="K984" s="145"/>
      <c r="L984" s="149" t="s">
        <v>330</v>
      </c>
      <c r="M984" s="237" t="s">
        <v>163</v>
      </c>
      <c r="N984" s="147">
        <v>302.2</v>
      </c>
      <c r="O984" s="147">
        <f>'单价分析'!E16</f>
        <v>5.77</v>
      </c>
      <c r="P984" s="147">
        <f>N984*O984</f>
        <v>1743.6939999999997</v>
      </c>
      <c r="Q984" s="146"/>
    </row>
    <row r="985" spans="2:17" s="135" customFormat="1" ht="13.5" customHeight="1">
      <c r="B985" s="145">
        <v>2</v>
      </c>
      <c r="C985" s="146" t="s">
        <v>373</v>
      </c>
      <c r="D985" s="146"/>
      <c r="E985" s="147"/>
      <c r="F985" s="147"/>
      <c r="G985" s="147">
        <f>SUM(G986:G988)</f>
        <v>18338.531803635</v>
      </c>
      <c r="H985" s="146"/>
      <c r="K985" s="145">
        <v>2</v>
      </c>
      <c r="L985" s="146" t="s">
        <v>373</v>
      </c>
      <c r="M985" s="236"/>
      <c r="N985" s="147"/>
      <c r="O985" s="147"/>
      <c r="P985" s="147">
        <f>SUM(P986:P988)</f>
        <v>15703.5446945325</v>
      </c>
      <c r="Q985" s="146"/>
    </row>
    <row r="986" spans="2:17" s="135" customFormat="1" ht="13.5" customHeight="1">
      <c r="B986" s="145"/>
      <c r="C986" s="146" t="s">
        <v>497</v>
      </c>
      <c r="D986" s="146" t="s">
        <v>365</v>
      </c>
      <c r="E986" s="147">
        <v>103</v>
      </c>
      <c r="F986" s="147">
        <f>'配合'!I8</f>
        <v>176.40480900000003</v>
      </c>
      <c r="G986" s="147">
        <f aca="true" t="shared" si="26" ref="G986:G993">F986*E986</f>
        <v>18169.695327</v>
      </c>
      <c r="H986" s="146"/>
      <c r="K986" s="145"/>
      <c r="L986" s="146" t="s">
        <v>498</v>
      </c>
      <c r="M986" s="236" t="s">
        <v>365</v>
      </c>
      <c r="N986" s="147">
        <v>103</v>
      </c>
      <c r="O986" s="147">
        <f>'配合'!I6</f>
        <v>150.94968550000002</v>
      </c>
      <c r="P986" s="147">
        <f aca="true" t="shared" si="27" ref="P986:P993">O986*N986</f>
        <v>15547.8176065</v>
      </c>
      <c r="Q986" s="146"/>
    </row>
    <row r="987" spans="2:17" s="135" customFormat="1" ht="13.5" customHeight="1">
      <c r="B987" s="145"/>
      <c r="C987" s="146" t="s">
        <v>413</v>
      </c>
      <c r="D987" s="146" t="s">
        <v>365</v>
      </c>
      <c r="E987" s="147">
        <v>20</v>
      </c>
      <c r="F987" s="147">
        <f>'单价分析'!E17</f>
        <v>3.88</v>
      </c>
      <c r="G987" s="147">
        <f t="shared" si="26"/>
        <v>77.6</v>
      </c>
      <c r="H987" s="146"/>
      <c r="K987" s="145"/>
      <c r="L987" s="146" t="s">
        <v>413</v>
      </c>
      <c r="M987" s="236" t="s">
        <v>365</v>
      </c>
      <c r="N987" s="147">
        <v>20</v>
      </c>
      <c r="O987" s="147">
        <f>'单价分析'!E17</f>
        <v>3.88</v>
      </c>
      <c r="P987" s="147">
        <f t="shared" si="27"/>
        <v>77.6</v>
      </c>
      <c r="Q987" s="146"/>
    </row>
    <row r="988" spans="2:17" s="135" customFormat="1" ht="13.5" customHeight="1">
      <c r="B988" s="145"/>
      <c r="C988" s="146" t="s">
        <v>404</v>
      </c>
      <c r="D988" s="146" t="s">
        <v>332</v>
      </c>
      <c r="E988" s="147">
        <v>0.5</v>
      </c>
      <c r="F988" s="147">
        <f>G986+G987</f>
        <v>18247.295327</v>
      </c>
      <c r="G988" s="147">
        <f>F988*E988%</f>
        <v>91.236476635</v>
      </c>
      <c r="H988" s="146"/>
      <c r="K988" s="145"/>
      <c r="L988" s="146" t="s">
        <v>404</v>
      </c>
      <c r="M988" s="236" t="s">
        <v>332</v>
      </c>
      <c r="N988" s="147">
        <v>0.5</v>
      </c>
      <c r="O988" s="147">
        <f>P986+P987</f>
        <v>15625.417606500001</v>
      </c>
      <c r="P988" s="147">
        <f>O988*N988%</f>
        <v>78.12708803250001</v>
      </c>
      <c r="Q988" s="146"/>
    </row>
    <row r="989" spans="2:17" s="135" customFormat="1" ht="13.5" customHeight="1">
      <c r="B989" s="145">
        <v>3</v>
      </c>
      <c r="C989" s="146" t="s">
        <v>352</v>
      </c>
      <c r="D989" s="146"/>
      <c r="E989" s="147"/>
      <c r="F989" s="147"/>
      <c r="G989" s="147">
        <f>SUM(G990:G994)</f>
        <v>698.5995867427202</v>
      </c>
      <c r="H989" s="146"/>
      <c r="K989" s="145">
        <v>3</v>
      </c>
      <c r="L989" s="146" t="s">
        <v>352</v>
      </c>
      <c r="M989" s="236"/>
      <c r="N989" s="147"/>
      <c r="O989" s="147"/>
      <c r="P989" s="147">
        <f>SUM(P990:P994)</f>
        <v>698.5995867427202</v>
      </c>
      <c r="Q989" s="146"/>
    </row>
    <row r="990" spans="2:17" s="135" customFormat="1" ht="13.5" customHeight="1">
      <c r="B990" s="145"/>
      <c r="C990" s="146" t="s">
        <v>499</v>
      </c>
      <c r="D990" s="146" t="s">
        <v>335</v>
      </c>
      <c r="E990" s="147">
        <v>18.54</v>
      </c>
      <c r="F990" s="147">
        <f>'台班总'!D13</f>
        <v>28.217952134024728</v>
      </c>
      <c r="G990" s="147">
        <f t="shared" si="26"/>
        <v>523.1608325648184</v>
      </c>
      <c r="H990" s="146"/>
      <c r="K990" s="145"/>
      <c r="L990" s="146" t="s">
        <v>499</v>
      </c>
      <c r="M990" s="236" t="s">
        <v>335</v>
      </c>
      <c r="N990" s="147">
        <v>18.54</v>
      </c>
      <c r="O990" s="147">
        <f>'台班总'!D13</f>
        <v>28.217952134024728</v>
      </c>
      <c r="P990" s="147">
        <f t="shared" si="27"/>
        <v>523.1608325648184</v>
      </c>
      <c r="Q990" s="146"/>
    </row>
    <row r="991" spans="2:17" s="135" customFormat="1" ht="13.5" customHeight="1">
      <c r="B991" s="145"/>
      <c r="C991" s="146" t="s">
        <v>203</v>
      </c>
      <c r="D991" s="146" t="s">
        <v>335</v>
      </c>
      <c r="E991" s="147">
        <v>20</v>
      </c>
      <c r="F991" s="147">
        <f>'台班总'!D14</f>
        <v>2.221526924611089</v>
      </c>
      <c r="G991" s="147">
        <f t="shared" si="26"/>
        <v>44.43053849222178</v>
      </c>
      <c r="H991" s="146"/>
      <c r="K991" s="145"/>
      <c r="L991" s="146" t="s">
        <v>203</v>
      </c>
      <c r="M991" s="236" t="s">
        <v>335</v>
      </c>
      <c r="N991" s="147">
        <v>20</v>
      </c>
      <c r="O991" s="147">
        <f>'台班总'!D14</f>
        <v>2.221526924611089</v>
      </c>
      <c r="P991" s="147">
        <f t="shared" si="27"/>
        <v>44.43053849222178</v>
      </c>
      <c r="Q991" s="146"/>
    </row>
    <row r="992" spans="2:17" s="135" customFormat="1" ht="13.5" customHeight="1">
      <c r="B992" s="145"/>
      <c r="C992" s="146" t="s">
        <v>237</v>
      </c>
      <c r="D992" s="146" t="s">
        <v>335</v>
      </c>
      <c r="E992" s="147"/>
      <c r="F992" s="147"/>
      <c r="G992" s="147">
        <f t="shared" si="26"/>
        <v>0</v>
      </c>
      <c r="H992" s="146"/>
      <c r="K992" s="145"/>
      <c r="L992" s="146" t="s">
        <v>237</v>
      </c>
      <c r="M992" s="236" t="s">
        <v>335</v>
      </c>
      <c r="N992" s="147"/>
      <c r="O992" s="147"/>
      <c r="P992" s="147">
        <f t="shared" si="27"/>
        <v>0</v>
      </c>
      <c r="Q992" s="146"/>
    </row>
    <row r="993" spans="2:17" s="135" customFormat="1" ht="13.5" customHeight="1">
      <c r="B993" s="145"/>
      <c r="C993" s="146" t="s">
        <v>500</v>
      </c>
      <c r="D993" s="146" t="s">
        <v>335</v>
      </c>
      <c r="E993" s="147">
        <v>83</v>
      </c>
      <c r="F993" s="147">
        <f>'台班总'!D20</f>
        <v>0.8132429198244914</v>
      </c>
      <c r="G993" s="147">
        <f t="shared" si="26"/>
        <v>67.49916234543278</v>
      </c>
      <c r="H993" s="194"/>
      <c r="K993" s="145"/>
      <c r="L993" s="146" t="s">
        <v>500</v>
      </c>
      <c r="M993" s="236" t="s">
        <v>335</v>
      </c>
      <c r="N993" s="147">
        <v>83</v>
      </c>
      <c r="O993" s="147">
        <f>'台班总'!D20</f>
        <v>0.8132429198244914</v>
      </c>
      <c r="P993" s="147">
        <f t="shared" si="27"/>
        <v>67.49916234543278</v>
      </c>
      <c r="Q993" s="194"/>
    </row>
    <row r="994" spans="2:17" s="135" customFormat="1" ht="13.5" customHeight="1">
      <c r="B994" s="145"/>
      <c r="C994" s="146" t="s">
        <v>370</v>
      </c>
      <c r="D994" s="146" t="s">
        <v>332</v>
      </c>
      <c r="E994" s="147">
        <v>10</v>
      </c>
      <c r="F994" s="147">
        <f>SUM(G990:G993)</f>
        <v>635.0905334024729</v>
      </c>
      <c r="G994" s="147">
        <f>F994*E994%</f>
        <v>63.5090533402473</v>
      </c>
      <c r="H994" s="194"/>
      <c r="K994" s="145"/>
      <c r="L994" s="146" t="s">
        <v>370</v>
      </c>
      <c r="M994" s="236" t="s">
        <v>332</v>
      </c>
      <c r="N994" s="147">
        <v>10</v>
      </c>
      <c r="O994" s="147">
        <f>SUM(P990:P993)</f>
        <v>635.0905334024729</v>
      </c>
      <c r="P994" s="147">
        <f>O994*N994%</f>
        <v>63.5090533402473</v>
      </c>
      <c r="Q994" s="194"/>
    </row>
    <row r="995" spans="2:17" s="135" customFormat="1" ht="13.5" customHeight="1">
      <c r="B995" s="145">
        <v>4</v>
      </c>
      <c r="C995" s="146" t="s">
        <v>456</v>
      </c>
      <c r="D995" s="194"/>
      <c r="E995" s="196"/>
      <c r="F995" s="196"/>
      <c r="G995" s="147">
        <f>G997+G996</f>
        <v>2890.281334773067</v>
      </c>
      <c r="H995" s="194"/>
      <c r="K995" s="145">
        <v>4</v>
      </c>
      <c r="L995" s="146" t="s">
        <v>456</v>
      </c>
      <c r="M995" s="235"/>
      <c r="N995" s="196"/>
      <c r="O995" s="196"/>
      <c r="P995" s="147">
        <f>P997+P996</f>
        <v>2890.281334773067</v>
      </c>
      <c r="Q995" s="194"/>
    </row>
    <row r="996" spans="2:17" s="135" customFormat="1" ht="13.5" customHeight="1">
      <c r="B996" s="195"/>
      <c r="C996" s="146" t="s">
        <v>419</v>
      </c>
      <c r="D996" s="146" t="s">
        <v>365</v>
      </c>
      <c r="E996" s="147">
        <v>103</v>
      </c>
      <c r="F996" s="147">
        <f>O612/100</f>
        <v>6.7016673898683665</v>
      </c>
      <c r="G996" s="147">
        <f>F996*E996</f>
        <v>690.2717411564417</v>
      </c>
      <c r="H996" s="194"/>
      <c r="K996" s="195"/>
      <c r="L996" s="146" t="s">
        <v>419</v>
      </c>
      <c r="M996" s="236" t="s">
        <v>365</v>
      </c>
      <c r="N996" s="147">
        <v>103</v>
      </c>
      <c r="O996" s="147">
        <f>O612/100</f>
        <v>6.7016673898683665</v>
      </c>
      <c r="P996" s="147">
        <f>O996*N996</f>
        <v>690.2717411564417</v>
      </c>
      <c r="Q996" s="194"/>
    </row>
    <row r="997" spans="2:17" s="135" customFormat="1" ht="13.5" customHeight="1">
      <c r="B997" s="195"/>
      <c r="C997" s="146" t="s">
        <v>420</v>
      </c>
      <c r="D997" s="146" t="s">
        <v>365</v>
      </c>
      <c r="E997" s="147">
        <v>103</v>
      </c>
      <c r="F997" s="147">
        <f>O594/100</f>
        <v>21.35931644287986</v>
      </c>
      <c r="G997" s="147">
        <f>F997*E997</f>
        <v>2200.0095936166254</v>
      </c>
      <c r="H997" s="194"/>
      <c r="K997" s="195"/>
      <c r="L997" s="146" t="s">
        <v>420</v>
      </c>
      <c r="M997" s="236" t="s">
        <v>365</v>
      </c>
      <c r="N997" s="147">
        <v>103</v>
      </c>
      <c r="O997" s="147">
        <f>O594/100</f>
        <v>21.35931644287986</v>
      </c>
      <c r="P997" s="147">
        <f>O997*N997</f>
        <v>2200.0095936166254</v>
      </c>
      <c r="Q997" s="194"/>
    </row>
    <row r="998" spans="2:17" s="135" customFormat="1" ht="13.5" customHeight="1">
      <c r="B998" s="145"/>
      <c r="C998" s="146"/>
      <c r="D998" s="152"/>
      <c r="E998" s="147"/>
      <c r="F998" s="147"/>
      <c r="G998" s="147"/>
      <c r="H998" s="194"/>
      <c r="K998" s="145"/>
      <c r="L998" s="146"/>
      <c r="M998" s="152"/>
      <c r="N998" s="147"/>
      <c r="O998" s="147"/>
      <c r="P998" s="147"/>
      <c r="Q998" s="194"/>
    </row>
    <row r="999" spans="2:17" s="135" customFormat="1" ht="13.5" customHeight="1">
      <c r="B999" s="145" t="s">
        <v>63</v>
      </c>
      <c r="C999" s="146" t="s">
        <v>336</v>
      </c>
      <c r="D999" s="162">
        <v>0.048</v>
      </c>
      <c r="E999" s="147"/>
      <c r="F999" s="147"/>
      <c r="G999" s="147">
        <f>(G981)*D999</f>
        <v>1248.1486428072378</v>
      </c>
      <c r="H999" s="194"/>
      <c r="K999" s="145" t="s">
        <v>63</v>
      </c>
      <c r="L999" s="146" t="s">
        <v>336</v>
      </c>
      <c r="M999" s="162">
        <v>0.048</v>
      </c>
      <c r="N999" s="147"/>
      <c r="O999" s="147"/>
      <c r="P999" s="147">
        <f>(P981)*M999</f>
        <v>1121.6692615703178</v>
      </c>
      <c r="Q999" s="194"/>
    </row>
    <row r="1000" spans="2:17" s="135" customFormat="1" ht="13.5" customHeight="1">
      <c r="B1000" s="145" t="s">
        <v>355</v>
      </c>
      <c r="C1000" s="146" t="s">
        <v>356</v>
      </c>
      <c r="D1000" s="162"/>
      <c r="E1000" s="147"/>
      <c r="F1000" s="147"/>
      <c r="G1000" s="147">
        <f>G981*D1000</f>
        <v>0</v>
      </c>
      <c r="H1000" s="194"/>
      <c r="K1000" s="145" t="s">
        <v>355</v>
      </c>
      <c r="L1000" s="146" t="s">
        <v>356</v>
      </c>
      <c r="M1000" s="162"/>
      <c r="N1000" s="147"/>
      <c r="O1000" s="147"/>
      <c r="P1000" s="147">
        <f>P981*M1000</f>
        <v>0</v>
      </c>
      <c r="Q1000" s="194"/>
    </row>
    <row r="1001" spans="2:17" s="135" customFormat="1" ht="13.5" customHeight="1">
      <c r="B1001" s="145" t="s">
        <v>18</v>
      </c>
      <c r="C1001" s="146" t="s">
        <v>337</v>
      </c>
      <c r="D1001" s="162">
        <v>0.08</v>
      </c>
      <c r="E1001" s="147"/>
      <c r="F1001" s="147"/>
      <c r="G1001" s="147">
        <f>G980*D1001</f>
        <v>2180.099629436642</v>
      </c>
      <c r="H1001" s="194"/>
      <c r="K1001" s="145" t="s">
        <v>18</v>
      </c>
      <c r="L1001" s="146" t="s">
        <v>337</v>
      </c>
      <c r="M1001" s="162">
        <v>0.08</v>
      </c>
      <c r="N1001" s="147"/>
      <c r="O1001" s="147"/>
      <c r="P1001" s="147">
        <f>P980*M1001</f>
        <v>1959.1823102094882</v>
      </c>
      <c r="Q1001" s="194"/>
    </row>
    <row r="1002" spans="2:17" s="135" customFormat="1" ht="13.5" customHeight="1">
      <c r="B1002" s="145" t="s">
        <v>20</v>
      </c>
      <c r="C1002" s="146" t="s">
        <v>501</v>
      </c>
      <c r="D1002" s="162">
        <v>0.07</v>
      </c>
      <c r="E1002" s="147"/>
      <c r="F1002" s="147"/>
      <c r="G1002" s="147">
        <f>(G980+G1001)*D1002</f>
        <v>2060.194149817627</v>
      </c>
      <c r="H1002" s="194"/>
      <c r="K1002" s="145" t="s">
        <v>20</v>
      </c>
      <c r="L1002" s="146" t="s">
        <v>501</v>
      </c>
      <c r="M1002" s="162">
        <v>0.07</v>
      </c>
      <c r="N1002" s="147"/>
      <c r="O1002" s="147"/>
      <c r="P1002" s="147">
        <f>(P980+P1001)*M1002</f>
        <v>1851.4272831479666</v>
      </c>
      <c r="Q1002" s="194"/>
    </row>
    <row r="1003" spans="2:17" s="135" customFormat="1" ht="13.5" customHeight="1">
      <c r="B1003" s="145" t="s">
        <v>22</v>
      </c>
      <c r="C1003" s="146" t="s">
        <v>339</v>
      </c>
      <c r="D1003" s="152"/>
      <c r="E1003" s="147"/>
      <c r="F1003" s="147"/>
      <c r="G1003" s="147">
        <f>SUM(G1004:G1006)</f>
        <v>4541.735415911489</v>
      </c>
      <c r="H1003" s="194"/>
      <c r="K1003" s="145" t="s">
        <v>22</v>
      </c>
      <c r="L1003" s="146" t="s">
        <v>339</v>
      </c>
      <c r="M1003" s="152"/>
      <c r="N1003" s="147"/>
      <c r="O1003" s="147"/>
      <c r="P1003" s="147">
        <f>SUM(P1004:P1006)</f>
        <v>3193.5449709783297</v>
      </c>
      <c r="Q1003" s="194"/>
    </row>
    <row r="1004" spans="2:17" s="135" customFormat="1" ht="13.5" customHeight="1">
      <c r="B1004" s="145"/>
      <c r="C1004" s="146" t="s">
        <v>298</v>
      </c>
      <c r="D1004" s="152" t="s">
        <v>77</v>
      </c>
      <c r="E1004" s="147">
        <f>E986*'配合'!E8/1000</f>
        <v>31.641291000000006</v>
      </c>
      <c r="F1004" s="147">
        <f>'机械台班'!C26</f>
        <v>118.56378999999998</v>
      </c>
      <c r="G1004" s="147">
        <f>E1004*F1004</f>
        <v>3751.51138145289</v>
      </c>
      <c r="H1004" s="194"/>
      <c r="K1004" s="145"/>
      <c r="L1004" s="146" t="s">
        <v>298</v>
      </c>
      <c r="M1004" s="152" t="s">
        <v>77</v>
      </c>
      <c r="N1004" s="147">
        <f>N986*'配合'!E6/1000</f>
        <v>18.662300140000003</v>
      </c>
      <c r="O1004" s="147">
        <f>'机械台班'!C26</f>
        <v>118.56378999999998</v>
      </c>
      <c r="P1004" s="147">
        <f>N1004*O1004</f>
        <v>2212.6730347159305</v>
      </c>
      <c r="Q1004" s="194"/>
    </row>
    <row r="1005" spans="2:17" s="135" customFormat="1" ht="13.5" customHeight="1">
      <c r="B1005" s="145"/>
      <c r="C1005" s="146" t="s">
        <v>299</v>
      </c>
      <c r="D1005" s="146" t="s">
        <v>365</v>
      </c>
      <c r="E1005" s="147">
        <f>E986*'配合'!F8</f>
        <v>56.627340000000004</v>
      </c>
      <c r="F1005" s="147">
        <f>'机械台班'!C27</f>
        <v>1.5600419999999957</v>
      </c>
      <c r="G1005" s="147">
        <f>E1005*F1005</f>
        <v>88.34102874827977</v>
      </c>
      <c r="H1005" s="194"/>
      <c r="K1005" s="145"/>
      <c r="L1005" s="146" t="s">
        <v>299</v>
      </c>
      <c r="M1005" s="236" t="s">
        <v>365</v>
      </c>
      <c r="N1005" s="147">
        <f>N986*'配合'!F6</f>
        <v>39.972240000000006</v>
      </c>
      <c r="O1005" s="147">
        <f>'机械台班'!C27</f>
        <v>1.5600419999999957</v>
      </c>
      <c r="P1005" s="147">
        <f>N1005*O1005</f>
        <v>62.35837323407984</v>
      </c>
      <c r="Q1005" s="194"/>
    </row>
    <row r="1006" spans="2:17" s="135" customFormat="1" ht="13.5" customHeight="1">
      <c r="B1006" s="145"/>
      <c r="C1006" s="146" t="s">
        <v>300</v>
      </c>
      <c r="D1006" s="146" t="s">
        <v>365</v>
      </c>
      <c r="E1006" s="147">
        <f>E986*'配合'!G8</f>
        <v>86.66708400000002</v>
      </c>
      <c r="F1006" s="147">
        <f>'机械台班'!C28</f>
        <v>8.098611067961158</v>
      </c>
      <c r="G1006" s="147">
        <f>E1006*F1006</f>
        <v>701.8830057103196</v>
      </c>
      <c r="H1006" s="194"/>
      <c r="K1006" s="145"/>
      <c r="L1006" s="146" t="s">
        <v>300</v>
      </c>
      <c r="M1006" s="236" t="s">
        <v>365</v>
      </c>
      <c r="N1006" s="147">
        <f>N986*'配合'!G6</f>
        <v>113.41618400000002</v>
      </c>
      <c r="O1006" s="147">
        <f>'机械台班'!C28</f>
        <v>8.098611067961158</v>
      </c>
      <c r="P1006" s="147">
        <f>N1006*O1006</f>
        <v>918.5135630283194</v>
      </c>
      <c r="Q1006" s="194"/>
    </row>
    <row r="1007" spans="2:17" s="135" customFormat="1" ht="13.5" customHeight="1">
      <c r="B1007" s="145" t="s">
        <v>24</v>
      </c>
      <c r="C1007" s="146" t="s">
        <v>340</v>
      </c>
      <c r="D1007" s="152">
        <v>0.09</v>
      </c>
      <c r="E1007" s="147"/>
      <c r="F1007" s="147"/>
      <c r="G1007" s="147">
        <f>(G980+G1001+G1002+G1003)*D1007</f>
        <v>3242.9947106811405</v>
      </c>
      <c r="H1007" s="194"/>
      <c r="K1007" s="145" t="s">
        <v>24</v>
      </c>
      <c r="L1007" s="146" t="s">
        <v>340</v>
      </c>
      <c r="M1007" s="152">
        <v>0.09</v>
      </c>
      <c r="N1007" s="147"/>
      <c r="O1007" s="147"/>
      <c r="P1007" s="147">
        <f>(P980+P1001+P1002+P1003)*M1007</f>
        <v>2834.454009775895</v>
      </c>
      <c r="Q1007" s="194"/>
    </row>
    <row r="1008" spans="2:17" s="135" customFormat="1" ht="13.5" customHeight="1">
      <c r="B1008" s="195"/>
      <c r="C1008" s="146" t="s">
        <v>36</v>
      </c>
      <c r="D1008" s="146"/>
      <c r="E1008" s="147"/>
      <c r="F1008" s="147"/>
      <c r="G1008" s="147">
        <f>G980+G1001+G1002+G1003+G1007</f>
        <v>39276.26927380492</v>
      </c>
      <c r="H1008" s="194"/>
      <c r="K1008" s="195"/>
      <c r="L1008" s="146" t="s">
        <v>36</v>
      </c>
      <c r="M1008" s="236"/>
      <c r="N1008" s="147"/>
      <c r="O1008" s="147"/>
      <c r="P1008" s="147">
        <f>P980+P1001+P1002+P1003+P1007</f>
        <v>34328.38745173028</v>
      </c>
      <c r="Q1008" s="194"/>
    </row>
    <row r="1009" spans="2:17" s="135" customFormat="1" ht="13.5" customHeight="1">
      <c r="B1009" s="145" t="s">
        <v>341</v>
      </c>
      <c r="C1009" s="146" t="s">
        <v>342</v>
      </c>
      <c r="D1009" s="153">
        <v>0.03</v>
      </c>
      <c r="E1009" s="230"/>
      <c r="F1009" s="147"/>
      <c r="G1009" s="147">
        <f>G1008*D1009</f>
        <v>1178.2880782141476</v>
      </c>
      <c r="H1009" s="194"/>
      <c r="K1009" s="145" t="s">
        <v>341</v>
      </c>
      <c r="L1009" s="146" t="s">
        <v>342</v>
      </c>
      <c r="M1009" s="153">
        <v>0.03</v>
      </c>
      <c r="N1009" s="147"/>
      <c r="O1009" s="147"/>
      <c r="P1009" s="147">
        <f>P1008*M1009</f>
        <v>1029.8516235519085</v>
      </c>
      <c r="Q1009" s="194"/>
    </row>
    <row r="1010" spans="2:17" s="135" customFormat="1" ht="13.5" customHeight="1">
      <c r="B1010" s="195"/>
      <c r="C1010" s="146" t="s">
        <v>343</v>
      </c>
      <c r="D1010" s="194"/>
      <c r="E1010" s="196"/>
      <c r="F1010" s="196"/>
      <c r="G1010" s="147">
        <f>SUM(G1008:G1009)</f>
        <v>40454.557352019074</v>
      </c>
      <c r="H1010" s="194"/>
      <c r="K1010" s="195"/>
      <c r="L1010" s="146" t="s">
        <v>343</v>
      </c>
      <c r="M1010" s="235"/>
      <c r="N1010" s="196"/>
      <c r="O1010" s="196"/>
      <c r="P1010" s="147">
        <f>SUM(P1008:P1009)</f>
        <v>35358.23907528219</v>
      </c>
      <c r="Q1010" s="194"/>
    </row>
    <row r="1013" spans="2:8" ht="20.25">
      <c r="B1013" s="138" t="s">
        <v>317</v>
      </c>
      <c r="C1013" s="138"/>
      <c r="D1013" s="138"/>
      <c r="E1013" s="138"/>
      <c r="F1013" s="138"/>
      <c r="G1013" s="138"/>
      <c r="H1013" s="138"/>
    </row>
    <row r="1014" spans="2:8" ht="14.25">
      <c r="B1014" s="139" t="s">
        <v>502</v>
      </c>
      <c r="C1014" s="139"/>
      <c r="D1014" s="139"/>
      <c r="E1014" s="139"/>
      <c r="F1014" s="139"/>
      <c r="G1014" s="139"/>
      <c r="H1014" s="139"/>
    </row>
    <row r="1015" spans="2:8" ht="14.25">
      <c r="B1015" s="140" t="s">
        <v>503</v>
      </c>
      <c r="C1015" s="140"/>
      <c r="D1015" s="140"/>
      <c r="E1015" s="140"/>
      <c r="G1015" s="141" t="s">
        <v>320</v>
      </c>
      <c r="H1015" s="141"/>
    </row>
    <row r="1016" spans="2:8" ht="14.25">
      <c r="B1016" s="142" t="s">
        <v>360</v>
      </c>
      <c r="C1016" s="143"/>
      <c r="D1016" s="143"/>
      <c r="E1016" s="143"/>
      <c r="F1016" s="143"/>
      <c r="G1016" s="143"/>
      <c r="H1016" s="144"/>
    </row>
    <row r="1017" spans="2:8" ht="25.5">
      <c r="B1017" s="145" t="s">
        <v>361</v>
      </c>
      <c r="C1017" s="146" t="s">
        <v>322</v>
      </c>
      <c r="D1017" s="146" t="s">
        <v>323</v>
      </c>
      <c r="E1017" s="147" t="s">
        <v>350</v>
      </c>
      <c r="F1017" s="148" t="s">
        <v>325</v>
      </c>
      <c r="G1017" s="148" t="s">
        <v>326</v>
      </c>
      <c r="H1017" s="146" t="s">
        <v>386</v>
      </c>
    </row>
    <row r="1018" spans="2:8" ht="14.25">
      <c r="B1018" s="145" t="s">
        <v>16</v>
      </c>
      <c r="C1018" s="146" t="s">
        <v>327</v>
      </c>
      <c r="D1018" s="194"/>
      <c r="E1018" s="147"/>
      <c r="F1018" s="147"/>
      <c r="G1018" s="147">
        <f>G1019+G1030+G1031</f>
        <v>32013.69266200996</v>
      </c>
      <c r="H1018" s="194"/>
    </row>
    <row r="1019" spans="2:8" ht="14.25">
      <c r="B1019" s="145" t="s">
        <v>39</v>
      </c>
      <c r="C1019" s="146" t="s">
        <v>328</v>
      </c>
      <c r="D1019" s="194"/>
      <c r="E1019" s="147"/>
      <c r="F1019" s="147"/>
      <c r="G1019" s="147">
        <f>G1020+G1023+G1027</f>
        <v>30547.416662223244</v>
      </c>
      <c r="H1019" s="194"/>
    </row>
    <row r="1020" spans="2:8" ht="14.25">
      <c r="B1020" s="145">
        <v>1</v>
      </c>
      <c r="C1020" s="146" t="s">
        <v>329</v>
      </c>
      <c r="D1020" s="149"/>
      <c r="E1020" s="147"/>
      <c r="F1020" s="147"/>
      <c r="G1020" s="147">
        <f>SUM(G1021:G1022)</f>
        <v>8660.604</v>
      </c>
      <c r="H1020" s="194"/>
    </row>
    <row r="1021" spans="2:8" ht="14.25">
      <c r="B1021" s="145"/>
      <c r="C1021" s="149" t="s">
        <v>351</v>
      </c>
      <c r="D1021" s="149" t="s">
        <v>163</v>
      </c>
      <c r="E1021" s="147">
        <v>401.6</v>
      </c>
      <c r="F1021" s="147">
        <f>'单价分析'!E15</f>
        <v>8.1</v>
      </c>
      <c r="G1021" s="147">
        <f>F1021*E1021</f>
        <v>3252.96</v>
      </c>
      <c r="H1021" s="194"/>
    </row>
    <row r="1022" spans="2:8" ht="14.25">
      <c r="B1022" s="145"/>
      <c r="C1022" s="149" t="s">
        <v>330</v>
      </c>
      <c r="D1022" s="149" t="s">
        <v>163</v>
      </c>
      <c r="E1022" s="147">
        <v>937.2</v>
      </c>
      <c r="F1022" s="147">
        <f>'单价分析'!E16</f>
        <v>5.77</v>
      </c>
      <c r="G1022" s="147">
        <f>F1022*E1022</f>
        <v>5407.644</v>
      </c>
      <c r="H1022" s="194"/>
    </row>
    <row r="1023" spans="2:8" ht="14.25">
      <c r="B1023" s="145">
        <v>2</v>
      </c>
      <c r="C1023" s="146" t="s">
        <v>373</v>
      </c>
      <c r="D1023" s="194"/>
      <c r="E1023" s="147"/>
      <c r="F1023" s="147"/>
      <c r="G1023" s="147">
        <f>SUM(G1024:G1026)</f>
        <v>21655.73754981</v>
      </c>
      <c r="H1023" s="194"/>
    </row>
    <row r="1024" spans="2:8" ht="14.25">
      <c r="B1024" s="145"/>
      <c r="C1024" s="146" t="s">
        <v>504</v>
      </c>
      <c r="D1024" s="146" t="s">
        <v>505</v>
      </c>
      <c r="E1024" s="147">
        <v>52</v>
      </c>
      <c r="F1024" s="147">
        <v>350</v>
      </c>
      <c r="G1024" s="147">
        <f>F1024*E1024</f>
        <v>18200</v>
      </c>
      <c r="H1024" s="194"/>
    </row>
    <row r="1025" spans="2:8" ht="14.25">
      <c r="B1025" s="145"/>
      <c r="C1025" s="146" t="s">
        <v>433</v>
      </c>
      <c r="D1025" s="146" t="s">
        <v>365</v>
      </c>
      <c r="E1025" s="147">
        <v>24.7</v>
      </c>
      <c r="F1025" s="147">
        <f>'配合'!I13</f>
        <v>135.54646</v>
      </c>
      <c r="G1025" s="147">
        <f>F1025*E1025</f>
        <v>3347.997562</v>
      </c>
      <c r="H1025" s="194"/>
    </row>
    <row r="1026" spans="2:8" ht="14.25">
      <c r="B1026" s="145"/>
      <c r="C1026" s="146" t="s">
        <v>404</v>
      </c>
      <c r="D1026" s="146" t="s">
        <v>332</v>
      </c>
      <c r="E1026" s="147">
        <v>0.5</v>
      </c>
      <c r="F1026" s="147">
        <f>G1025+G1024</f>
        <v>21547.997562</v>
      </c>
      <c r="G1026" s="147">
        <f>F1026*E1026/100</f>
        <v>107.73998781</v>
      </c>
      <c r="H1026" s="194"/>
    </row>
    <row r="1027" spans="2:8" ht="14.25">
      <c r="B1027" s="145">
        <v>3</v>
      </c>
      <c r="C1027" s="146" t="s">
        <v>333</v>
      </c>
      <c r="D1027" s="146"/>
      <c r="E1027" s="147"/>
      <c r="F1027" s="147"/>
      <c r="G1027" s="147">
        <f>SUM(G1028:G1029)</f>
        <v>231.0751124132429</v>
      </c>
      <c r="H1027" s="194"/>
    </row>
    <row r="1028" spans="2:8" ht="14.25">
      <c r="B1028" s="145"/>
      <c r="C1028" s="146" t="s">
        <v>434</v>
      </c>
      <c r="D1028" s="146" t="s">
        <v>335</v>
      </c>
      <c r="E1028" s="147">
        <v>4.47</v>
      </c>
      <c r="F1028" s="147">
        <f>'台班总'!D13</f>
        <v>28.217952134024728</v>
      </c>
      <c r="G1028" s="147">
        <f>F1028*E1028</f>
        <v>126.13424603909053</v>
      </c>
      <c r="H1028" s="194"/>
    </row>
    <row r="1029" spans="2:8" ht="14.25">
      <c r="B1029" s="145"/>
      <c r="C1029" s="146" t="s">
        <v>209</v>
      </c>
      <c r="D1029" s="146" t="s">
        <v>335</v>
      </c>
      <c r="E1029" s="147">
        <v>129.04</v>
      </c>
      <c r="F1029" s="147">
        <f>'台班总'!D20</f>
        <v>0.8132429198244914</v>
      </c>
      <c r="G1029" s="147">
        <f>F1029*E1029</f>
        <v>104.94086637415236</v>
      </c>
      <c r="H1029" s="194"/>
    </row>
    <row r="1030" spans="2:8" ht="14.25">
      <c r="B1030" s="145" t="s">
        <v>63</v>
      </c>
      <c r="C1030" s="146" t="s">
        <v>336</v>
      </c>
      <c r="D1030" s="162">
        <v>0.048</v>
      </c>
      <c r="E1030" s="147"/>
      <c r="F1030" s="147"/>
      <c r="G1030" s="147">
        <f>G1019*D1030</f>
        <v>1466.2759997867158</v>
      </c>
      <c r="H1030" s="194"/>
    </row>
    <row r="1031" spans="2:8" ht="14.25">
      <c r="B1031" s="145" t="s">
        <v>355</v>
      </c>
      <c r="C1031" s="146" t="s">
        <v>356</v>
      </c>
      <c r="D1031" s="162"/>
      <c r="E1031" s="147"/>
      <c r="F1031" s="147"/>
      <c r="G1031" s="147">
        <f>G1019*D1031</f>
        <v>0</v>
      </c>
      <c r="H1031" s="194"/>
    </row>
    <row r="1032" spans="2:8" ht="14.25">
      <c r="B1032" s="145" t="s">
        <v>18</v>
      </c>
      <c r="C1032" s="146" t="s">
        <v>337</v>
      </c>
      <c r="D1032" s="162">
        <v>0.09</v>
      </c>
      <c r="E1032" s="147"/>
      <c r="F1032" s="147"/>
      <c r="G1032" s="147">
        <f>G1018*D1032</f>
        <v>2881.232339580896</v>
      </c>
      <c r="H1032" s="194"/>
    </row>
    <row r="1033" spans="2:8" ht="14.25">
      <c r="B1033" s="145" t="s">
        <v>20</v>
      </c>
      <c r="C1033" s="146" t="s">
        <v>338</v>
      </c>
      <c r="D1033" s="162">
        <v>0.07</v>
      </c>
      <c r="E1033" s="147"/>
      <c r="F1033" s="147"/>
      <c r="G1033" s="147">
        <f>(G1018+G1032)*D1033</f>
        <v>2442.6447501113603</v>
      </c>
      <c r="H1033" s="194"/>
    </row>
    <row r="1034" spans="2:8" ht="14.25">
      <c r="B1034" s="145" t="s">
        <v>22</v>
      </c>
      <c r="C1034" s="146" t="s">
        <v>339</v>
      </c>
      <c r="D1034" s="152"/>
      <c r="E1034" s="147"/>
      <c r="F1034" s="147"/>
      <c r="G1034" s="147">
        <f>SUM(G1035:G1037)</f>
        <v>700.1085306079798</v>
      </c>
      <c r="H1034" s="194"/>
    </row>
    <row r="1035" spans="2:8" ht="14.25">
      <c r="B1035" s="145"/>
      <c r="C1035" s="146" t="s">
        <v>298</v>
      </c>
      <c r="D1035" s="152" t="s">
        <v>77</v>
      </c>
      <c r="E1035" s="147">
        <f>E1025*'配合'!E13/1000</f>
        <v>5.544162</v>
      </c>
      <c r="F1035" s="147">
        <f>'机械台班'!C26</f>
        <v>118.56378999999998</v>
      </c>
      <c r="G1035" s="147">
        <f>F1035*E1035</f>
        <v>657.3368590939799</v>
      </c>
      <c r="H1035" s="194"/>
    </row>
    <row r="1036" spans="2:8" ht="14.25">
      <c r="B1036" s="145"/>
      <c r="C1036" s="146" t="s">
        <v>299</v>
      </c>
      <c r="D1036" s="146" t="s">
        <v>365</v>
      </c>
      <c r="E1036" s="147">
        <f>E1025*'配合'!F13</f>
        <v>27.417</v>
      </c>
      <c r="F1036" s="147">
        <f>'机械台班'!C27</f>
        <v>1.5600419999999957</v>
      </c>
      <c r="G1036" s="147">
        <f>F1036*E1036</f>
        <v>42.771671513999884</v>
      </c>
      <c r="H1036" s="194"/>
    </row>
    <row r="1037" spans="2:8" ht="14.25">
      <c r="B1037" s="145"/>
      <c r="C1037" s="146" t="s">
        <v>432</v>
      </c>
      <c r="D1037" s="146" t="s">
        <v>365</v>
      </c>
      <c r="E1037" s="147"/>
      <c r="F1037" s="147"/>
      <c r="G1037" s="147">
        <f>F1037*E1037</f>
        <v>0</v>
      </c>
      <c r="H1037" s="194"/>
    </row>
    <row r="1038" spans="2:8" ht="14.25">
      <c r="B1038" s="145"/>
      <c r="C1038" s="146"/>
      <c r="D1038" s="152"/>
      <c r="E1038" s="147"/>
      <c r="F1038" s="147"/>
      <c r="G1038" s="147"/>
      <c r="H1038" s="194"/>
    </row>
    <row r="1039" spans="2:8" ht="14.25">
      <c r="B1039" s="145" t="s">
        <v>24</v>
      </c>
      <c r="C1039" s="146" t="s">
        <v>435</v>
      </c>
      <c r="D1039" s="152">
        <v>0.09</v>
      </c>
      <c r="E1039" s="147"/>
      <c r="F1039" s="147"/>
      <c r="G1039" s="147">
        <f>(G1018+G1032+G1033+G1034)*D1039</f>
        <v>3423.391045407917</v>
      </c>
      <c r="H1039" s="194"/>
    </row>
    <row r="1040" spans="2:8" ht="14.25">
      <c r="B1040" s="195"/>
      <c r="C1040" s="146"/>
      <c r="D1040" s="194"/>
      <c r="E1040" s="147"/>
      <c r="F1040" s="147"/>
      <c r="G1040" s="147"/>
      <c r="H1040" s="194"/>
    </row>
    <row r="1041" spans="2:8" ht="14.25">
      <c r="B1041" s="195"/>
      <c r="C1041" s="146" t="s">
        <v>357</v>
      </c>
      <c r="D1041" s="194"/>
      <c r="E1041" s="147"/>
      <c r="F1041" s="147"/>
      <c r="G1041" s="147">
        <f>G1018++G1032+G1039+G1033+G1034</f>
        <v>41461.069327718105</v>
      </c>
      <c r="H1041" s="194"/>
    </row>
    <row r="1042" spans="2:8" ht="14.25">
      <c r="B1042" s="145" t="s">
        <v>341</v>
      </c>
      <c r="C1042" s="146" t="s">
        <v>342</v>
      </c>
      <c r="D1042" s="153">
        <v>0.03</v>
      </c>
      <c r="E1042" s="147"/>
      <c r="F1042" s="147"/>
      <c r="G1042" s="147">
        <f>G1041*D1042</f>
        <v>1243.832079831543</v>
      </c>
      <c r="H1042" s="194"/>
    </row>
    <row r="1043" spans="2:8" ht="14.25">
      <c r="B1043" s="195"/>
      <c r="C1043" s="146" t="s">
        <v>343</v>
      </c>
      <c r="D1043" s="194"/>
      <c r="E1043" s="196"/>
      <c r="F1043" s="196"/>
      <c r="G1043" s="147">
        <f>SUM(G1041:G1042)</f>
        <v>42704.901407549645</v>
      </c>
      <c r="H1043" s="194"/>
    </row>
    <row r="1046" spans="2:8" ht="18.75">
      <c r="B1046" s="238" t="s">
        <v>317</v>
      </c>
      <c r="C1046" s="238"/>
      <c r="D1046" s="238"/>
      <c r="E1046" s="238"/>
      <c r="F1046" s="238"/>
      <c r="G1046" s="238"/>
      <c r="H1046" s="238"/>
    </row>
    <row r="1047" spans="2:8" ht="14.25">
      <c r="B1047" s="139" t="s">
        <v>506</v>
      </c>
      <c r="C1047" s="139"/>
      <c r="D1047" s="139"/>
      <c r="E1047" s="139"/>
      <c r="F1047" s="139"/>
      <c r="G1047" s="139"/>
      <c r="H1047" s="139"/>
    </row>
    <row r="1048" spans="2:8" ht="14.25">
      <c r="B1048" s="140" t="s">
        <v>507</v>
      </c>
      <c r="C1048" s="140"/>
      <c r="D1048" s="140"/>
      <c r="E1048" s="140"/>
      <c r="F1048" s="156"/>
      <c r="G1048" s="141" t="s">
        <v>448</v>
      </c>
      <c r="H1048" s="141"/>
    </row>
    <row r="1049" spans="2:8" ht="14.25">
      <c r="B1049" s="142" t="s">
        <v>508</v>
      </c>
      <c r="C1049" s="143"/>
      <c r="D1049" s="143"/>
      <c r="E1049" s="143"/>
      <c r="F1049" s="143"/>
      <c r="G1049" s="143"/>
      <c r="H1049" s="144"/>
    </row>
    <row r="1050" spans="2:8" ht="14.25">
      <c r="B1050" s="145" t="s">
        <v>361</v>
      </c>
      <c r="C1050" s="146" t="s">
        <v>322</v>
      </c>
      <c r="D1050" s="146" t="s">
        <v>102</v>
      </c>
      <c r="E1050" s="236" t="s">
        <v>324</v>
      </c>
      <c r="F1050" s="239" t="s">
        <v>509</v>
      </c>
      <c r="G1050" s="240" t="s">
        <v>510</v>
      </c>
      <c r="H1050" s="146" t="s">
        <v>386</v>
      </c>
    </row>
    <row r="1051" spans="2:8" ht="14.25">
      <c r="B1051" s="145" t="s">
        <v>16</v>
      </c>
      <c r="C1051" s="146" t="s">
        <v>328</v>
      </c>
      <c r="D1051" s="194"/>
      <c r="E1051" s="236"/>
      <c r="F1051" s="236"/>
      <c r="G1051" s="241">
        <f>G1052+G1060+G1061</f>
        <v>1604.9759749193206</v>
      </c>
      <c r="H1051" s="146"/>
    </row>
    <row r="1052" spans="2:8" ht="14.25">
      <c r="B1052" s="145" t="s">
        <v>39</v>
      </c>
      <c r="C1052" s="146" t="s">
        <v>511</v>
      </c>
      <c r="D1052" s="194"/>
      <c r="E1052" s="236"/>
      <c r="F1052" s="236"/>
      <c r="G1052" s="241">
        <f>G1053+G1056+G1057</f>
        <v>1531.4656249230159</v>
      </c>
      <c r="H1052" s="146"/>
    </row>
    <row r="1053" spans="2:8" ht="14.25">
      <c r="B1053" s="145">
        <v>1</v>
      </c>
      <c r="C1053" s="146" t="s">
        <v>329</v>
      </c>
      <c r="D1053" s="149"/>
      <c r="E1053" s="236"/>
      <c r="F1053" s="242"/>
      <c r="G1053" s="241">
        <f>SUM(G1054:G1055)</f>
        <v>154.478</v>
      </c>
      <c r="H1053" s="146"/>
    </row>
    <row r="1054" spans="2:8" ht="14.25">
      <c r="B1054" s="145"/>
      <c r="C1054" s="149" t="s">
        <v>351</v>
      </c>
      <c r="D1054" s="149" t="s">
        <v>163</v>
      </c>
      <c r="E1054" s="236">
        <v>13.8</v>
      </c>
      <c r="F1054" s="242">
        <f>'单价分析'!E15</f>
        <v>8.1</v>
      </c>
      <c r="G1054" s="241">
        <f>F1054*E1054</f>
        <v>111.78</v>
      </c>
      <c r="H1054" s="146"/>
    </row>
    <row r="1055" spans="2:8" ht="14.25">
      <c r="B1055" s="145"/>
      <c r="C1055" s="149" t="s">
        <v>330</v>
      </c>
      <c r="D1055" s="149" t="s">
        <v>163</v>
      </c>
      <c r="E1055" s="236">
        <v>7.4</v>
      </c>
      <c r="F1055" s="236">
        <f>'单价分析'!E16</f>
        <v>5.77</v>
      </c>
      <c r="G1055" s="241">
        <f>F1055*E1055</f>
        <v>42.698</v>
      </c>
      <c r="H1055" s="146"/>
    </row>
    <row r="1056" spans="2:8" ht="14.25">
      <c r="B1056" s="145">
        <v>2</v>
      </c>
      <c r="C1056" s="146" t="s">
        <v>331</v>
      </c>
      <c r="D1056" s="146" t="s">
        <v>332</v>
      </c>
      <c r="E1056" s="236">
        <v>5</v>
      </c>
      <c r="F1056" s="243">
        <f>G1054+G1055+G1058</f>
        <v>1399.263204475469</v>
      </c>
      <c r="G1056" s="241">
        <f>F1056*5/100</f>
        <v>69.96316022377344</v>
      </c>
      <c r="H1056" s="146"/>
    </row>
    <row r="1057" spans="2:8" ht="14.25">
      <c r="B1057" s="145">
        <v>3</v>
      </c>
      <c r="C1057" s="146" t="s">
        <v>333</v>
      </c>
      <c r="D1057" s="146"/>
      <c r="E1057" s="236"/>
      <c r="F1057" s="236"/>
      <c r="G1057" s="241">
        <f>SUM(G1058:G1059)</f>
        <v>1307.0244646992423</v>
      </c>
      <c r="H1057" s="146"/>
    </row>
    <row r="1058" spans="2:8" ht="14.25">
      <c r="B1058" s="145"/>
      <c r="C1058" s="146" t="s">
        <v>207</v>
      </c>
      <c r="D1058" s="146" t="s">
        <v>335</v>
      </c>
      <c r="E1058" s="236">
        <v>23.94</v>
      </c>
      <c r="F1058" s="242">
        <f>'台班总'!D18</f>
        <v>51.996040287195854</v>
      </c>
      <c r="G1058" s="241">
        <f>F1058*E1058</f>
        <v>1244.7852044754688</v>
      </c>
      <c r="H1058" s="146"/>
    </row>
    <row r="1059" spans="2:8" ht="14.25">
      <c r="B1059" s="200"/>
      <c r="C1059" s="146" t="s">
        <v>370</v>
      </c>
      <c r="D1059" s="146" t="s">
        <v>332</v>
      </c>
      <c r="E1059" s="236">
        <v>5</v>
      </c>
      <c r="F1059" s="242">
        <f>SUM(G1058:G1058)</f>
        <v>1244.7852044754688</v>
      </c>
      <c r="G1059" s="241">
        <f>F1059*E1059%</f>
        <v>62.23926022377344</v>
      </c>
      <c r="H1059" s="146"/>
    </row>
    <row r="1060" spans="2:8" ht="14.25">
      <c r="B1060" s="145" t="s">
        <v>63</v>
      </c>
      <c r="C1060" s="146" t="s">
        <v>512</v>
      </c>
      <c r="D1060" s="162">
        <v>0.048</v>
      </c>
      <c r="E1060" s="236"/>
      <c r="F1060" s="236"/>
      <c r="G1060" s="241">
        <f>D1060*G1052</f>
        <v>73.51034999630477</v>
      </c>
      <c r="H1060" s="146"/>
    </row>
    <row r="1061" spans="2:8" ht="14.25">
      <c r="B1061" s="145" t="s">
        <v>355</v>
      </c>
      <c r="C1061" s="146" t="s">
        <v>356</v>
      </c>
      <c r="D1061" s="162"/>
      <c r="E1061" s="236"/>
      <c r="F1061" s="236"/>
      <c r="G1061" s="241">
        <f>D1061*G1052</f>
        <v>0</v>
      </c>
      <c r="H1061" s="146"/>
    </row>
    <row r="1062" spans="2:8" ht="14.25">
      <c r="B1062" s="145" t="s">
        <v>18</v>
      </c>
      <c r="C1062" s="146" t="s">
        <v>337</v>
      </c>
      <c r="D1062" s="162">
        <v>0.08</v>
      </c>
      <c r="E1062" s="236"/>
      <c r="F1062" s="236"/>
      <c r="G1062" s="241">
        <f>D1062*G1051</f>
        <v>128.39807799354566</v>
      </c>
      <c r="H1062" s="146"/>
    </row>
    <row r="1063" spans="2:8" ht="14.25">
      <c r="B1063" s="145" t="s">
        <v>20</v>
      </c>
      <c r="C1063" s="146" t="s">
        <v>338</v>
      </c>
      <c r="D1063" s="162">
        <v>0.07</v>
      </c>
      <c r="E1063" s="236"/>
      <c r="F1063" s="236"/>
      <c r="G1063" s="241">
        <f>(G1051+G1062)*D1063</f>
        <v>121.33618370390066</v>
      </c>
      <c r="H1063" s="146"/>
    </row>
    <row r="1064" spans="2:8" ht="14.25">
      <c r="B1064" s="145" t="s">
        <v>22</v>
      </c>
      <c r="C1064" s="146" t="s">
        <v>339</v>
      </c>
      <c r="D1064" s="152"/>
      <c r="E1064" s="236"/>
      <c r="F1064" s="236"/>
      <c r="G1064" s="241">
        <f>SUM(G1065:G1065)</f>
        <v>827.8452</v>
      </c>
      <c r="H1064" s="146"/>
    </row>
    <row r="1065" spans="2:8" ht="14.25">
      <c r="B1065" s="145"/>
      <c r="C1065" s="146" t="s">
        <v>304</v>
      </c>
      <c r="D1065" s="152" t="s">
        <v>307</v>
      </c>
      <c r="E1065" s="244">
        <f>E1058*'机械台班'!W13</f>
        <v>217.854</v>
      </c>
      <c r="F1065" s="245">
        <f>'机械台班'!C32</f>
        <v>3.8</v>
      </c>
      <c r="G1065" s="241">
        <f>F1065*E1065</f>
        <v>827.8452</v>
      </c>
      <c r="H1065" s="146"/>
    </row>
    <row r="1066" spans="2:8" ht="14.25">
      <c r="B1066" s="145" t="s">
        <v>24</v>
      </c>
      <c r="C1066" s="146" t="s">
        <v>340</v>
      </c>
      <c r="D1066" s="152">
        <v>0.09</v>
      </c>
      <c r="E1066" s="236"/>
      <c r="F1066" s="236"/>
      <c r="G1066" s="241">
        <f>(G1064+G1063+G1062+G1051)*D1066</f>
        <v>241.42998929550902</v>
      </c>
      <c r="H1066" s="146"/>
    </row>
    <row r="1067" spans="2:8" ht="14.25">
      <c r="B1067" s="195"/>
      <c r="C1067" s="146" t="s">
        <v>36</v>
      </c>
      <c r="D1067" s="146"/>
      <c r="E1067" s="236"/>
      <c r="F1067" s="236"/>
      <c r="G1067" s="241">
        <f>G1066+G1064+G1063+G1062+G1051</f>
        <v>2923.985425912276</v>
      </c>
      <c r="H1067" s="146"/>
    </row>
    <row r="1068" spans="2:8" ht="14.25">
      <c r="B1068" s="145" t="s">
        <v>341</v>
      </c>
      <c r="C1068" s="146" t="s">
        <v>342</v>
      </c>
      <c r="D1068" s="153">
        <v>0.03</v>
      </c>
      <c r="E1068" s="236"/>
      <c r="F1068" s="236"/>
      <c r="G1068" s="241">
        <f>G1067*D1068</f>
        <v>87.71956277736827</v>
      </c>
      <c r="H1068" s="194"/>
    </row>
    <row r="1069" spans="2:8" ht="14.25">
      <c r="B1069" s="195"/>
      <c r="C1069" s="146" t="s">
        <v>513</v>
      </c>
      <c r="D1069" s="194"/>
      <c r="E1069" s="235"/>
      <c r="F1069" s="235"/>
      <c r="G1069" s="241">
        <f>G1067+G1068</f>
        <v>3011.704988689644</v>
      </c>
      <c r="H1069" s="194"/>
    </row>
    <row r="1071" spans="2:8" ht="18.75">
      <c r="B1071" s="238" t="s">
        <v>317</v>
      </c>
      <c r="C1071" s="238"/>
      <c r="D1071" s="238"/>
      <c r="E1071" s="238"/>
      <c r="F1071" s="238"/>
      <c r="G1071" s="238"/>
      <c r="H1071" s="238"/>
    </row>
    <row r="1072" spans="2:8" ht="14.25">
      <c r="B1072" s="201" t="s">
        <v>514</v>
      </c>
      <c r="C1072" s="201"/>
      <c r="D1072" s="201"/>
      <c r="E1072" s="201"/>
      <c r="F1072" s="201"/>
      <c r="G1072" s="201"/>
      <c r="H1072" s="201"/>
    </row>
    <row r="1073" spans="2:8" ht="14.25">
      <c r="B1073" s="140" t="s">
        <v>515</v>
      </c>
      <c r="C1073" s="140"/>
      <c r="D1073" s="140"/>
      <c r="E1073" s="140"/>
      <c r="F1073" s="156"/>
      <c r="G1073" s="141" t="s">
        <v>448</v>
      </c>
      <c r="H1073" s="141"/>
    </row>
    <row r="1074" spans="2:8" ht="14.25">
      <c r="B1074" s="202" t="s">
        <v>360</v>
      </c>
      <c r="C1074" s="203"/>
      <c r="D1074" s="203"/>
      <c r="E1074" s="203"/>
      <c r="F1074" s="203"/>
      <c r="G1074" s="203"/>
      <c r="H1074" s="204"/>
    </row>
    <row r="1075" spans="2:8" ht="14.25">
      <c r="B1075" s="205" t="s">
        <v>3</v>
      </c>
      <c r="C1075" s="206" t="s">
        <v>322</v>
      </c>
      <c r="D1075" s="206" t="s">
        <v>102</v>
      </c>
      <c r="E1075" s="246" t="s">
        <v>324</v>
      </c>
      <c r="F1075" s="239" t="s">
        <v>509</v>
      </c>
      <c r="G1075" s="240" t="s">
        <v>510</v>
      </c>
      <c r="H1075" s="206" t="s">
        <v>386</v>
      </c>
    </row>
    <row r="1076" spans="2:8" ht="14.25">
      <c r="B1076" s="205" t="s">
        <v>16</v>
      </c>
      <c r="C1076" s="206" t="s">
        <v>328</v>
      </c>
      <c r="D1076" s="206"/>
      <c r="E1076" s="246"/>
      <c r="F1076" s="246"/>
      <c r="G1076" s="207">
        <f>G1077+G1086+G1087</f>
        <v>2970.4349712739627</v>
      </c>
      <c r="H1076" s="206"/>
    </row>
    <row r="1077" spans="2:8" ht="14.25">
      <c r="B1077" s="205" t="s">
        <v>39</v>
      </c>
      <c r="C1077" s="206" t="s">
        <v>511</v>
      </c>
      <c r="D1077" s="206"/>
      <c r="E1077" s="246"/>
      <c r="F1077" s="246"/>
      <c r="G1077" s="207">
        <f>G1078+G1082+G1081</f>
        <v>2834.3845145743917</v>
      </c>
      <c r="H1077" s="206"/>
    </row>
    <row r="1078" spans="2:8" ht="14.25">
      <c r="B1078" s="205">
        <v>1</v>
      </c>
      <c r="C1078" s="206" t="s">
        <v>329</v>
      </c>
      <c r="D1078" s="206"/>
      <c r="E1078" s="246"/>
      <c r="F1078" s="246"/>
      <c r="G1078" s="207">
        <f>G1079+G1080</f>
        <v>1774.2749999999999</v>
      </c>
      <c r="H1078" s="206"/>
    </row>
    <row r="1079" spans="2:8" ht="14.25">
      <c r="B1079" s="205"/>
      <c r="C1079" s="213" t="s">
        <v>351</v>
      </c>
      <c r="D1079" s="213" t="s">
        <v>163</v>
      </c>
      <c r="E1079" s="246"/>
      <c r="F1079" s="247"/>
      <c r="G1079" s="207">
        <f>E1079*F1079</f>
        <v>0</v>
      </c>
      <c r="H1079" s="206"/>
    </row>
    <row r="1080" spans="2:8" ht="14.25">
      <c r="B1080" s="205"/>
      <c r="C1080" s="213" t="s">
        <v>330</v>
      </c>
      <c r="D1080" s="213" t="s">
        <v>163</v>
      </c>
      <c r="E1080" s="246">
        <v>307.5</v>
      </c>
      <c r="F1080" s="246">
        <f>'单价分析'!E16</f>
        <v>5.77</v>
      </c>
      <c r="G1080" s="207">
        <f>F1080*E1080</f>
        <v>1774.2749999999999</v>
      </c>
      <c r="H1080" s="206"/>
    </row>
    <row r="1081" spans="2:8" ht="14.25">
      <c r="B1081" s="205">
        <v>2</v>
      </c>
      <c r="C1081" s="213" t="s">
        <v>331</v>
      </c>
      <c r="D1081" s="213" t="s">
        <v>332</v>
      </c>
      <c r="E1081" s="246"/>
      <c r="F1081" s="246"/>
      <c r="G1081" s="207">
        <f>G1078*E1081%</f>
        <v>0</v>
      </c>
      <c r="H1081" s="206"/>
    </row>
    <row r="1082" spans="2:8" ht="14.25">
      <c r="B1082" s="205">
        <v>3</v>
      </c>
      <c r="C1082" s="206" t="s">
        <v>352</v>
      </c>
      <c r="D1082" s="206"/>
      <c r="E1082" s="246"/>
      <c r="F1082" s="246"/>
      <c r="G1082" s="207">
        <f>SUM(G1083:G1085)</f>
        <v>1060.1095145743916</v>
      </c>
      <c r="H1082" s="206"/>
    </row>
    <row r="1083" spans="2:8" ht="14.25">
      <c r="B1083" s="205"/>
      <c r="C1083" s="206" t="s">
        <v>516</v>
      </c>
      <c r="D1083" s="206" t="s">
        <v>335</v>
      </c>
      <c r="E1083" s="246">
        <v>3.48</v>
      </c>
      <c r="F1083" s="248">
        <f>'台班总'!D5</f>
        <v>118.94887754287994</v>
      </c>
      <c r="G1083" s="207">
        <f>F1083*E1083</f>
        <v>413.9420938492222</v>
      </c>
      <c r="H1083" s="206"/>
    </row>
    <row r="1084" spans="2:8" ht="14.25">
      <c r="B1084" s="205"/>
      <c r="C1084" s="206" t="s">
        <v>395</v>
      </c>
      <c r="D1084" s="206" t="s">
        <v>335</v>
      </c>
      <c r="E1084" s="246">
        <v>6.66</v>
      </c>
      <c r="F1084" s="248">
        <f>'台班总'!D7</f>
        <v>89.44234463502194</v>
      </c>
      <c r="G1084" s="207">
        <f>F1084*E1084</f>
        <v>595.6860152692461</v>
      </c>
      <c r="H1084" s="208"/>
    </row>
    <row r="1085" spans="2:8" ht="14.25">
      <c r="B1085" s="205"/>
      <c r="C1085" s="206" t="s">
        <v>370</v>
      </c>
      <c r="D1085" s="206" t="s">
        <v>332</v>
      </c>
      <c r="E1085" s="246">
        <v>5</v>
      </c>
      <c r="F1085" s="248">
        <f>G1083+G1084</f>
        <v>1009.6281091184683</v>
      </c>
      <c r="G1085" s="207">
        <f>F1085*E1085%</f>
        <v>50.481405455923415</v>
      </c>
      <c r="H1085" s="208"/>
    </row>
    <row r="1086" spans="2:8" ht="14.25">
      <c r="B1086" s="205" t="s">
        <v>63</v>
      </c>
      <c r="C1086" s="206" t="s">
        <v>512</v>
      </c>
      <c r="D1086" s="162">
        <v>0.048</v>
      </c>
      <c r="E1086" s="246"/>
      <c r="F1086" s="246"/>
      <c r="G1086" s="207">
        <f>(G1077)*D1086</f>
        <v>136.05045669957082</v>
      </c>
      <c r="H1086" s="194"/>
    </row>
    <row r="1087" spans="2:8" ht="14.25">
      <c r="B1087" s="205" t="s">
        <v>355</v>
      </c>
      <c r="C1087" s="206" t="s">
        <v>356</v>
      </c>
      <c r="D1087" s="162"/>
      <c r="E1087" s="246"/>
      <c r="F1087" s="246"/>
      <c r="G1087" s="207">
        <f>G1077*D1087</f>
        <v>0</v>
      </c>
      <c r="H1087" s="194"/>
    </row>
    <row r="1088" spans="2:8" ht="14.25">
      <c r="B1088" s="205" t="s">
        <v>18</v>
      </c>
      <c r="C1088" s="206" t="s">
        <v>337</v>
      </c>
      <c r="D1088" s="162">
        <v>0.08</v>
      </c>
      <c r="E1088" s="246"/>
      <c r="F1088" s="246"/>
      <c r="G1088" s="207">
        <f>G1076*D1088</f>
        <v>237.63479770191702</v>
      </c>
      <c r="H1088" s="194"/>
    </row>
    <row r="1089" spans="2:8" ht="14.25">
      <c r="B1089" s="205" t="s">
        <v>20</v>
      </c>
      <c r="C1089" s="206" t="s">
        <v>338</v>
      </c>
      <c r="D1089" s="162">
        <v>0.05</v>
      </c>
      <c r="E1089" s="246"/>
      <c r="F1089" s="246"/>
      <c r="G1089" s="207">
        <f>(G1076+G1088)*D1089</f>
        <v>160.403488448794</v>
      </c>
      <c r="H1089" s="194"/>
    </row>
    <row r="1090" spans="2:8" ht="14.25">
      <c r="B1090" s="205" t="s">
        <v>22</v>
      </c>
      <c r="C1090" s="206" t="s">
        <v>339</v>
      </c>
      <c r="D1090" s="199"/>
      <c r="E1090" s="246"/>
      <c r="F1090" s="246"/>
      <c r="G1090" s="207"/>
      <c r="H1090" s="194"/>
    </row>
    <row r="1091" spans="2:8" ht="14.25">
      <c r="B1091" s="205"/>
      <c r="C1091" s="206" t="s">
        <v>304</v>
      </c>
      <c r="D1091" s="206" t="s">
        <v>307</v>
      </c>
      <c r="E1091" s="247"/>
      <c r="F1091" s="249"/>
      <c r="G1091" s="207"/>
      <c r="H1091" s="194"/>
    </row>
    <row r="1092" spans="2:8" ht="14.25">
      <c r="B1092" s="205" t="s">
        <v>24</v>
      </c>
      <c r="C1092" s="206" t="s">
        <v>340</v>
      </c>
      <c r="D1092" s="152">
        <v>0.09</v>
      </c>
      <c r="E1092" s="246"/>
      <c r="F1092" s="246"/>
      <c r="G1092" s="207">
        <f>(G1076+G1088+G1089+G1090)*D1092</f>
        <v>303.16259316822067</v>
      </c>
      <c r="H1092" s="194"/>
    </row>
    <row r="1093" spans="2:8" ht="14.25">
      <c r="B1093" s="195"/>
      <c r="C1093" s="206" t="s">
        <v>517</v>
      </c>
      <c r="D1093" s="206"/>
      <c r="E1093" s="246"/>
      <c r="F1093" s="246"/>
      <c r="G1093" s="207">
        <f>(G1089+G1088++G1092+G1076+G1090)</f>
        <v>3671.6358505928943</v>
      </c>
      <c r="H1093" s="194"/>
    </row>
    <row r="1094" spans="2:8" ht="14.25">
      <c r="B1094" s="195"/>
      <c r="C1094" s="206" t="s">
        <v>421</v>
      </c>
      <c r="D1094" s="153">
        <v>0.03</v>
      </c>
      <c r="E1094" s="235"/>
      <c r="F1094" s="235"/>
      <c r="G1094" s="147">
        <f>G1093*D1094</f>
        <v>110.14907551778683</v>
      </c>
      <c r="H1094" s="194"/>
    </row>
    <row r="1095" spans="2:8" ht="14.25">
      <c r="B1095" s="195"/>
      <c r="C1095" s="146" t="s">
        <v>513</v>
      </c>
      <c r="D1095" s="194"/>
      <c r="E1095" s="235"/>
      <c r="F1095" s="235"/>
      <c r="G1095" s="147">
        <f>G1093+G1094</f>
        <v>3781.784926110681</v>
      </c>
      <c r="H1095" s="194"/>
    </row>
    <row r="1097" spans="2:17" ht="20.25">
      <c r="B1097" s="221" t="s">
        <v>317</v>
      </c>
      <c r="C1097" s="221"/>
      <c r="D1097" s="221"/>
      <c r="E1097" s="221"/>
      <c r="F1097" s="221"/>
      <c r="G1097" s="221"/>
      <c r="H1097" s="221"/>
      <c r="I1097" s="136"/>
      <c r="J1097" s="138" t="s">
        <v>317</v>
      </c>
      <c r="K1097" s="138"/>
      <c r="L1097" s="138"/>
      <c r="M1097" s="138"/>
      <c r="N1097" s="138"/>
      <c r="O1097" s="138"/>
      <c r="P1097" s="138"/>
      <c r="Q1097" s="136"/>
    </row>
    <row r="1098" spans="2:17" ht="14.25">
      <c r="B1098" s="222" t="s">
        <v>518</v>
      </c>
      <c r="C1098" s="222"/>
      <c r="D1098" s="222"/>
      <c r="E1098" s="222"/>
      <c r="F1098" s="222"/>
      <c r="G1098" s="222"/>
      <c r="H1098" s="222"/>
      <c r="I1098" s="136"/>
      <c r="J1098" s="139" t="s">
        <v>519</v>
      </c>
      <c r="K1098" s="139"/>
      <c r="L1098" s="139"/>
      <c r="M1098" s="139"/>
      <c r="N1098" s="139"/>
      <c r="O1098" s="139"/>
      <c r="P1098" s="139"/>
      <c r="Q1098" s="136"/>
    </row>
    <row r="1099" spans="2:17" ht="14.25">
      <c r="B1099" s="140" t="s">
        <v>520</v>
      </c>
      <c r="C1099" s="140"/>
      <c r="D1099" s="140"/>
      <c r="E1099" s="140"/>
      <c r="F1099" s="136"/>
      <c r="G1099" s="159" t="s">
        <v>320</v>
      </c>
      <c r="H1099" s="159"/>
      <c r="I1099" s="136"/>
      <c r="J1099" s="140" t="s">
        <v>468</v>
      </c>
      <c r="K1099" s="140"/>
      <c r="L1099" s="140"/>
      <c r="M1099" s="140"/>
      <c r="O1099" s="141" t="s">
        <v>320</v>
      </c>
      <c r="P1099" s="141"/>
      <c r="Q1099" s="136"/>
    </row>
    <row r="1100" spans="2:17" ht="14.25">
      <c r="B1100" s="142" t="s">
        <v>360</v>
      </c>
      <c r="C1100" s="143"/>
      <c r="D1100" s="143"/>
      <c r="E1100" s="143"/>
      <c r="F1100" s="143"/>
      <c r="G1100" s="143"/>
      <c r="H1100" s="160"/>
      <c r="I1100" s="136"/>
      <c r="J1100" s="142" t="s">
        <v>360</v>
      </c>
      <c r="K1100" s="143"/>
      <c r="L1100" s="143"/>
      <c r="M1100" s="143"/>
      <c r="N1100" s="143"/>
      <c r="O1100" s="143"/>
      <c r="P1100" s="144"/>
      <c r="Q1100" s="136"/>
    </row>
    <row r="1101" spans="2:17" ht="25.5">
      <c r="B1101" s="145" t="s">
        <v>3</v>
      </c>
      <c r="C1101" s="146" t="s">
        <v>322</v>
      </c>
      <c r="D1101" s="146" t="s">
        <v>102</v>
      </c>
      <c r="E1101" s="147" t="s">
        <v>324</v>
      </c>
      <c r="F1101" s="148" t="s">
        <v>325</v>
      </c>
      <c r="G1101" s="148" t="s">
        <v>326</v>
      </c>
      <c r="H1101" s="146" t="s">
        <v>386</v>
      </c>
      <c r="I1101" s="136"/>
      <c r="J1101" s="145" t="s">
        <v>361</v>
      </c>
      <c r="K1101" s="146" t="s">
        <v>322</v>
      </c>
      <c r="L1101" s="146" t="s">
        <v>102</v>
      </c>
      <c r="M1101" s="147" t="s">
        <v>324</v>
      </c>
      <c r="N1101" s="148" t="s">
        <v>325</v>
      </c>
      <c r="O1101" s="148" t="s">
        <v>326</v>
      </c>
      <c r="P1101" s="146" t="s">
        <v>386</v>
      </c>
      <c r="Q1101" s="136"/>
    </row>
    <row r="1102" spans="2:17" ht="14.25">
      <c r="B1102" s="145" t="s">
        <v>16</v>
      </c>
      <c r="C1102" s="146" t="s">
        <v>327</v>
      </c>
      <c r="D1102" s="146"/>
      <c r="E1102" s="147"/>
      <c r="F1102" s="147"/>
      <c r="G1102" s="147">
        <f>G1103+G1124+G1125</f>
        <v>44319.10854416423</v>
      </c>
      <c r="H1102" s="146"/>
      <c r="I1102" s="136"/>
      <c r="J1102" s="145" t="s">
        <v>16</v>
      </c>
      <c r="K1102" s="146" t="s">
        <v>327</v>
      </c>
      <c r="L1102" s="194"/>
      <c r="M1102" s="147"/>
      <c r="N1102" s="147"/>
      <c r="O1102" s="147">
        <f>O1103+O1115+O1116</f>
        <v>4489.99448983823</v>
      </c>
      <c r="P1102" s="146"/>
      <c r="Q1102" s="136"/>
    </row>
    <row r="1103" spans="2:17" ht="14.25">
      <c r="B1103" s="145" t="s">
        <v>39</v>
      </c>
      <c r="C1103" s="146" t="s">
        <v>328</v>
      </c>
      <c r="D1103" s="146"/>
      <c r="E1103" s="147"/>
      <c r="F1103" s="147"/>
      <c r="G1103" s="147">
        <f>G1104+G1107+G1116+G1121</f>
        <v>42289.22571008037</v>
      </c>
      <c r="H1103" s="146"/>
      <c r="I1103" s="136"/>
      <c r="J1103" s="145" t="s">
        <v>39</v>
      </c>
      <c r="K1103" s="146" t="s">
        <v>328</v>
      </c>
      <c r="L1103" s="194"/>
      <c r="M1103" s="147"/>
      <c r="N1103" s="147"/>
      <c r="O1103" s="147">
        <f>O1104+O1107+O1111</f>
        <v>4284.34588725022</v>
      </c>
      <c r="P1103" s="146"/>
      <c r="Q1103" s="136"/>
    </row>
    <row r="1104" spans="2:17" ht="14.25">
      <c r="B1104" s="145">
        <v>1</v>
      </c>
      <c r="C1104" s="146" t="s">
        <v>329</v>
      </c>
      <c r="D1104" s="146"/>
      <c r="E1104" s="147"/>
      <c r="F1104" s="147"/>
      <c r="G1104" s="147">
        <f>G1105+G1106</f>
        <v>18598.395</v>
      </c>
      <c r="H1104" s="146"/>
      <c r="I1104" s="136"/>
      <c r="J1104" s="145">
        <v>1</v>
      </c>
      <c r="K1104" s="146" t="s">
        <v>329</v>
      </c>
      <c r="L1104" s="149"/>
      <c r="M1104" s="147"/>
      <c r="N1104" s="147"/>
      <c r="O1104" s="147">
        <f>SUM(O1105:O1106)</f>
        <v>599.761</v>
      </c>
      <c r="P1104" s="146"/>
      <c r="Q1104" s="136"/>
    </row>
    <row r="1105" spans="2:17" ht="14.25">
      <c r="B1105" s="145"/>
      <c r="C1105" s="149" t="s">
        <v>351</v>
      </c>
      <c r="D1105" s="149" t="s">
        <v>163</v>
      </c>
      <c r="E1105" s="147">
        <v>1739.4</v>
      </c>
      <c r="F1105" s="147">
        <f>'单价分析'!E15</f>
        <v>8.1</v>
      </c>
      <c r="G1105" s="147">
        <f aca="true" t="shared" si="28" ref="G1105:G1114">F1105*E1105</f>
        <v>14089.14</v>
      </c>
      <c r="H1105" s="146"/>
      <c r="I1105" s="136"/>
      <c r="J1105" s="145"/>
      <c r="K1105" s="149" t="s">
        <v>351</v>
      </c>
      <c r="L1105" s="149" t="s">
        <v>163</v>
      </c>
      <c r="M1105" s="147">
        <v>43.2</v>
      </c>
      <c r="N1105" s="147">
        <f>'单价分析'!E15</f>
        <v>8.1</v>
      </c>
      <c r="O1105" s="147">
        <f>N1105*M1105</f>
        <v>349.92</v>
      </c>
      <c r="P1105" s="146"/>
      <c r="Q1105" s="136"/>
    </row>
    <row r="1106" spans="2:17" ht="14.25">
      <c r="B1106" s="145"/>
      <c r="C1106" s="149" t="s">
        <v>330</v>
      </c>
      <c r="D1106" s="149" t="s">
        <v>163</v>
      </c>
      <c r="E1106" s="147">
        <v>781.5</v>
      </c>
      <c r="F1106" s="147">
        <f>'单价分析'!E16</f>
        <v>5.77</v>
      </c>
      <c r="G1106" s="147">
        <f t="shared" si="28"/>
        <v>4509.255</v>
      </c>
      <c r="H1106" s="146"/>
      <c r="I1106" s="136"/>
      <c r="J1106" s="145"/>
      <c r="K1106" s="149" t="s">
        <v>330</v>
      </c>
      <c r="L1106" s="149" t="s">
        <v>163</v>
      </c>
      <c r="M1106" s="147">
        <v>43.3</v>
      </c>
      <c r="N1106" s="147">
        <f>'单价分析'!E16</f>
        <v>5.77</v>
      </c>
      <c r="O1106" s="147">
        <f>N1106*M1106</f>
        <v>249.84099999999995</v>
      </c>
      <c r="P1106" s="146"/>
      <c r="Q1106" s="136"/>
    </row>
    <row r="1107" spans="2:17" ht="14.25">
      <c r="B1107" s="145">
        <v>2</v>
      </c>
      <c r="C1107" s="146" t="s">
        <v>373</v>
      </c>
      <c r="D1107" s="146"/>
      <c r="E1107" s="147"/>
      <c r="F1107" s="147"/>
      <c r="G1107" s="147">
        <f>SUM(G1108:G1115)</f>
        <v>22905.003569640005</v>
      </c>
      <c r="H1107" s="146"/>
      <c r="I1107" s="136"/>
      <c r="J1107" s="145">
        <v>2</v>
      </c>
      <c r="K1107" s="146" t="s">
        <v>373</v>
      </c>
      <c r="L1107" s="194"/>
      <c r="M1107" s="147"/>
      <c r="N1107" s="147"/>
      <c r="O1107" s="147">
        <f>SUM(O1108:O1110)</f>
        <v>253.5522675</v>
      </c>
      <c r="P1107" s="146"/>
      <c r="Q1107" s="136"/>
    </row>
    <row r="1108" spans="2:17" ht="14.25">
      <c r="B1108" s="145"/>
      <c r="C1108" s="146" t="s">
        <v>410</v>
      </c>
      <c r="D1108" s="146" t="s">
        <v>307</v>
      </c>
      <c r="E1108" s="147">
        <v>316.07</v>
      </c>
      <c r="F1108" s="147">
        <f>'机械台班'!D35</f>
        <v>4.43</v>
      </c>
      <c r="G1108" s="147">
        <f t="shared" si="28"/>
        <v>1400.1900999999998</v>
      </c>
      <c r="H1108" s="146"/>
      <c r="I1108" s="136"/>
      <c r="J1108" s="200"/>
      <c r="K1108" s="146" t="s">
        <v>411</v>
      </c>
      <c r="L1108" s="146" t="s">
        <v>365</v>
      </c>
      <c r="M1108" s="147">
        <v>0.1</v>
      </c>
      <c r="N1108" s="147">
        <f>'单价分析'!L12</f>
        <v>1789.6725</v>
      </c>
      <c r="O1108" s="147">
        <f>N1108*M1108</f>
        <v>178.96725</v>
      </c>
      <c r="P1108" s="146"/>
      <c r="Q1108" s="136"/>
    </row>
    <row r="1109" spans="2:17" ht="14.25">
      <c r="B1109" s="145"/>
      <c r="C1109" s="146" t="s">
        <v>309</v>
      </c>
      <c r="D1109" s="146" t="s">
        <v>307</v>
      </c>
      <c r="E1109" s="147">
        <v>100.6</v>
      </c>
      <c r="F1109" s="147">
        <f>'机械台班'!D37</f>
        <v>5.5</v>
      </c>
      <c r="G1109" s="147">
        <f t="shared" si="28"/>
        <v>553.3</v>
      </c>
      <c r="H1109" s="146"/>
      <c r="I1109" s="136"/>
      <c r="J1109" s="200"/>
      <c r="K1109" s="146" t="s">
        <v>312</v>
      </c>
      <c r="L1109" s="146" t="s">
        <v>307</v>
      </c>
      <c r="M1109" s="147">
        <v>12</v>
      </c>
      <c r="N1109" s="147">
        <f>'机械台班'!D40</f>
        <v>5.6</v>
      </c>
      <c r="O1109" s="147">
        <f>N1109*M1109</f>
        <v>67.19999999999999</v>
      </c>
      <c r="P1109" s="146"/>
      <c r="Q1109" s="136"/>
    </row>
    <row r="1110" spans="2:17" ht="14.25">
      <c r="B1110" s="145"/>
      <c r="C1110" s="146" t="s">
        <v>411</v>
      </c>
      <c r="D1110" s="146" t="s">
        <v>365</v>
      </c>
      <c r="E1110" s="147">
        <v>0.9</v>
      </c>
      <c r="F1110" s="147">
        <f>'单价分析'!L12</f>
        <v>1789.6725</v>
      </c>
      <c r="G1110" s="147">
        <f t="shared" si="28"/>
        <v>1610.70525</v>
      </c>
      <c r="H1110" s="146"/>
      <c r="I1110" s="136"/>
      <c r="J1110" s="145"/>
      <c r="K1110" s="146" t="s">
        <v>404</v>
      </c>
      <c r="L1110" s="146" t="s">
        <v>332</v>
      </c>
      <c r="M1110" s="147">
        <v>3</v>
      </c>
      <c r="N1110" s="147">
        <f>SUM(O1108:O1109)</f>
        <v>246.16725</v>
      </c>
      <c r="O1110" s="147">
        <f>N1110*M1110/100</f>
        <v>7.3850175</v>
      </c>
      <c r="P1110" s="146"/>
      <c r="Q1110" s="136"/>
    </row>
    <row r="1111" spans="2:17" ht="14.25">
      <c r="B1111" s="145"/>
      <c r="C1111" s="146" t="s">
        <v>312</v>
      </c>
      <c r="D1111" s="146" t="s">
        <v>307</v>
      </c>
      <c r="E1111" s="147">
        <v>71.36</v>
      </c>
      <c r="F1111" s="147">
        <f>'机械台班'!D40</f>
        <v>5.6</v>
      </c>
      <c r="G1111" s="147">
        <f t="shared" si="28"/>
        <v>399.616</v>
      </c>
      <c r="H1111" s="146"/>
      <c r="I1111" s="136"/>
      <c r="J1111" s="145">
        <v>3</v>
      </c>
      <c r="K1111" s="146" t="s">
        <v>333</v>
      </c>
      <c r="L1111" s="146"/>
      <c r="M1111" s="147"/>
      <c r="N1111" s="147"/>
      <c r="O1111" s="147">
        <f>SUM(O1112:O1114)</f>
        <v>3431.03261975022</v>
      </c>
      <c r="P1111" s="146"/>
      <c r="Q1111" s="136"/>
    </row>
    <row r="1112" spans="2:17" ht="15">
      <c r="B1112" s="145"/>
      <c r="C1112" s="146" t="s">
        <v>425</v>
      </c>
      <c r="D1112" s="146" t="s">
        <v>365</v>
      </c>
      <c r="E1112" s="147">
        <v>102</v>
      </c>
      <c r="F1112" s="147">
        <f>'配合'!I8</f>
        <v>176.40480900000003</v>
      </c>
      <c r="G1112" s="147">
        <f t="shared" si="28"/>
        <v>17993.290518</v>
      </c>
      <c r="H1112" s="146"/>
      <c r="I1112" s="136"/>
      <c r="J1112" s="145"/>
      <c r="K1112" s="146" t="s">
        <v>206</v>
      </c>
      <c r="L1112" s="146" t="s">
        <v>335</v>
      </c>
      <c r="M1112" s="147">
        <v>34.74</v>
      </c>
      <c r="N1112" s="147">
        <f>'机械台班'!T18</f>
        <v>74.45930873554049</v>
      </c>
      <c r="O1112" s="147">
        <f>N1112*M1112</f>
        <v>2586.716385472677</v>
      </c>
      <c r="P1112" s="146"/>
      <c r="Q1112" s="136"/>
    </row>
    <row r="1113" spans="2:17" ht="14.25">
      <c r="B1113" s="145"/>
      <c r="C1113" s="146" t="s">
        <v>462</v>
      </c>
      <c r="D1113" s="146" t="s">
        <v>365</v>
      </c>
      <c r="E1113" s="147">
        <v>1</v>
      </c>
      <c r="F1113" s="147">
        <f>'配合'!I13</f>
        <v>135.54646</v>
      </c>
      <c r="G1113" s="147">
        <f t="shared" si="28"/>
        <v>135.54646</v>
      </c>
      <c r="H1113" s="146"/>
      <c r="I1113" s="136"/>
      <c r="J1113" s="200"/>
      <c r="K1113" s="146" t="s">
        <v>213</v>
      </c>
      <c r="L1113" s="146" t="s">
        <v>335</v>
      </c>
      <c r="M1113" s="147">
        <v>13</v>
      </c>
      <c r="N1113" s="147">
        <f>'机械台班'!AH18</f>
        <v>62.33427802153969</v>
      </c>
      <c r="O1113" s="147">
        <f>N1113*M1113</f>
        <v>810.345614280016</v>
      </c>
      <c r="P1113" s="146"/>
      <c r="Q1113" s="136"/>
    </row>
    <row r="1114" spans="2:17" ht="14.25">
      <c r="B1114" s="145"/>
      <c r="C1114" s="146" t="s">
        <v>413</v>
      </c>
      <c r="D1114" s="146" t="s">
        <v>365</v>
      </c>
      <c r="E1114" s="147">
        <v>180</v>
      </c>
      <c r="F1114" s="147">
        <f>'单价分析'!E17</f>
        <v>3.88</v>
      </c>
      <c r="G1114" s="147">
        <f t="shared" si="28"/>
        <v>698.4</v>
      </c>
      <c r="H1114" s="146"/>
      <c r="I1114" s="136"/>
      <c r="J1114" s="200"/>
      <c r="K1114" s="146" t="s">
        <v>370</v>
      </c>
      <c r="L1114" s="146" t="s">
        <v>332</v>
      </c>
      <c r="M1114" s="147">
        <v>1</v>
      </c>
      <c r="N1114" s="147">
        <f>SUM(O1112:O1113)</f>
        <v>3397.061999752693</v>
      </c>
      <c r="O1114" s="147">
        <f>N1114*M1114%</f>
        <v>33.97061999752693</v>
      </c>
      <c r="P1114" s="146"/>
      <c r="Q1114" s="136"/>
    </row>
    <row r="1115" spans="2:17" ht="14.25">
      <c r="B1115" s="145"/>
      <c r="C1115" s="146" t="s">
        <v>404</v>
      </c>
      <c r="D1115" s="146" t="s">
        <v>332</v>
      </c>
      <c r="E1115" s="147">
        <v>0.5</v>
      </c>
      <c r="F1115" s="147">
        <f>SUM(G1108:G1114)</f>
        <v>22791.048328000004</v>
      </c>
      <c r="G1115" s="147">
        <f>F1115*E1115/100</f>
        <v>113.95524164000003</v>
      </c>
      <c r="H1115" s="146"/>
      <c r="I1115" s="136"/>
      <c r="J1115" s="145" t="s">
        <v>63</v>
      </c>
      <c r="K1115" s="146" t="s">
        <v>336</v>
      </c>
      <c r="L1115" s="198">
        <v>0.048</v>
      </c>
      <c r="M1115" s="147"/>
      <c r="N1115" s="147"/>
      <c r="O1115" s="147">
        <f>L1115*O1103</f>
        <v>205.64860258801056</v>
      </c>
      <c r="P1115" s="146"/>
      <c r="Q1115" s="136"/>
    </row>
    <row r="1116" spans="2:17" ht="14.25">
      <c r="B1116" s="145">
        <v>3</v>
      </c>
      <c r="C1116" s="146" t="s">
        <v>352</v>
      </c>
      <c r="D1116" s="146"/>
      <c r="E1116" s="147"/>
      <c r="F1116" s="147"/>
      <c r="G1116" s="147">
        <f>SUM(G1117:G1120)</f>
        <v>785.8271404403667</v>
      </c>
      <c r="H1116" s="146"/>
      <c r="I1116" s="136"/>
      <c r="J1116" s="145" t="s">
        <v>355</v>
      </c>
      <c r="K1116" s="146" t="s">
        <v>356</v>
      </c>
      <c r="L1116" s="198"/>
      <c r="M1116" s="147"/>
      <c r="N1116" s="147"/>
      <c r="O1116" s="147">
        <f>L1116*O1103</f>
        <v>0</v>
      </c>
      <c r="P1116" s="146"/>
      <c r="Q1116" s="136"/>
    </row>
    <row r="1117" spans="2:17" ht="14.25">
      <c r="B1117" s="145"/>
      <c r="C1117" s="146" t="s">
        <v>521</v>
      </c>
      <c r="D1117" s="146" t="s">
        <v>335</v>
      </c>
      <c r="E1117" s="147">
        <v>18.36</v>
      </c>
      <c r="F1117" s="147">
        <f>'台班总'!D13</f>
        <v>28.217952134024728</v>
      </c>
      <c r="G1117" s="147">
        <f>F1117*E1117</f>
        <v>518.081601180694</v>
      </c>
      <c r="H1117" s="146"/>
      <c r="I1117" s="136"/>
      <c r="J1117" s="145" t="s">
        <v>18</v>
      </c>
      <c r="K1117" s="146" t="s">
        <v>337</v>
      </c>
      <c r="L1117" s="198">
        <v>0.08</v>
      </c>
      <c r="M1117" s="147"/>
      <c r="N1117" s="147"/>
      <c r="O1117" s="147">
        <f>L1117*O1102</f>
        <v>359.1995591870584</v>
      </c>
      <c r="P1117" s="146"/>
      <c r="Q1117" s="136"/>
    </row>
    <row r="1118" spans="2:17" ht="14.25">
      <c r="B1118" s="145"/>
      <c r="C1118" s="146" t="s">
        <v>209</v>
      </c>
      <c r="D1118" s="146" t="s">
        <v>335</v>
      </c>
      <c r="E1118" s="147">
        <v>83</v>
      </c>
      <c r="F1118" s="147">
        <f>'台班总'!D20</f>
        <v>0.8132429198244914</v>
      </c>
      <c r="G1118" s="147">
        <f>F1118*E1118</f>
        <v>67.49916234543278</v>
      </c>
      <c r="H1118" s="194"/>
      <c r="I1118" s="136"/>
      <c r="J1118" s="145" t="s">
        <v>20</v>
      </c>
      <c r="K1118" s="146" t="s">
        <v>338</v>
      </c>
      <c r="L1118" s="199">
        <v>0.07</v>
      </c>
      <c r="M1118" s="147"/>
      <c r="N1118" s="147"/>
      <c r="O1118" s="147">
        <f>(O1102+O1117)*L1118</f>
        <v>339.4435834317702</v>
      </c>
      <c r="P1118" s="146"/>
      <c r="Q1118" s="136"/>
    </row>
    <row r="1119" spans="2:17" ht="14.25">
      <c r="B1119" s="145"/>
      <c r="C1119" s="146" t="s">
        <v>417</v>
      </c>
      <c r="D1119" s="146" t="s">
        <v>335</v>
      </c>
      <c r="E1119" s="147">
        <v>44</v>
      </c>
      <c r="F1119" s="147">
        <f>'台班总'!D14</f>
        <v>2.221526924611089</v>
      </c>
      <c r="G1119" s="147">
        <f>F1119*E1119</f>
        <v>97.7471846828879</v>
      </c>
      <c r="H1119" s="194"/>
      <c r="I1119" s="136"/>
      <c r="J1119" s="145" t="s">
        <v>22</v>
      </c>
      <c r="K1119" s="146" t="s">
        <v>339</v>
      </c>
      <c r="L1119" s="152"/>
      <c r="M1119" s="147"/>
      <c r="N1119" s="147"/>
      <c r="O1119" s="147">
        <f>SUM(O1120:O1122)</f>
        <v>1556.0538</v>
      </c>
      <c r="P1119" s="146"/>
      <c r="Q1119" s="136"/>
    </row>
    <row r="1120" spans="2:17" ht="14.25">
      <c r="B1120" s="145"/>
      <c r="C1120" s="146" t="s">
        <v>370</v>
      </c>
      <c r="D1120" s="146" t="s">
        <v>332</v>
      </c>
      <c r="E1120" s="147">
        <v>15</v>
      </c>
      <c r="F1120" s="147">
        <f>SUM(G1117:G1119)</f>
        <v>683.3279482090146</v>
      </c>
      <c r="G1120" s="147">
        <f>F1120*E1120%</f>
        <v>102.49919223135218</v>
      </c>
      <c r="H1120" s="194"/>
      <c r="I1120" s="136"/>
      <c r="J1120" s="145"/>
      <c r="K1120" s="146" t="s">
        <v>411</v>
      </c>
      <c r="L1120" s="146" t="s">
        <v>365</v>
      </c>
      <c r="M1120" s="147">
        <f>M1108</f>
        <v>0.1</v>
      </c>
      <c r="N1120" s="147">
        <f>'机械台班'!C33</f>
        <v>0</v>
      </c>
      <c r="O1120" s="147">
        <f>N1120*M1120</f>
        <v>0</v>
      </c>
      <c r="P1120" s="146"/>
      <c r="Q1120" s="136"/>
    </row>
    <row r="1121" spans="2:17" ht="14.25">
      <c r="B1121" s="145">
        <v>4</v>
      </c>
      <c r="C1121" s="146" t="s">
        <v>418</v>
      </c>
      <c r="D1121" s="194"/>
      <c r="E1121" s="147"/>
      <c r="F1121" s="147"/>
      <c r="G1121" s="147">
        <f>G1122+G1123</f>
        <v>0</v>
      </c>
      <c r="H1121" s="194"/>
      <c r="I1121" s="136"/>
      <c r="J1121" s="145"/>
      <c r="K1121" s="146" t="s">
        <v>303</v>
      </c>
      <c r="L1121" s="146" t="s">
        <v>307</v>
      </c>
      <c r="M1121" s="147">
        <f>M1113*'机械台班'!AH13</f>
        <v>75.39999999999999</v>
      </c>
      <c r="N1121" s="147">
        <f>'机械台班'!C31</f>
        <v>5.055000000000001</v>
      </c>
      <c r="O1121" s="147">
        <f>N1121*M1121</f>
        <v>381.147</v>
      </c>
      <c r="P1121" s="146"/>
      <c r="Q1121" s="136"/>
    </row>
    <row r="1122" spans="2:17" ht="14.25">
      <c r="B1122" s="145"/>
      <c r="C1122" s="146" t="s">
        <v>419</v>
      </c>
      <c r="D1122" s="146" t="s">
        <v>365</v>
      </c>
      <c r="E1122" s="147"/>
      <c r="F1122" s="147"/>
      <c r="G1122" s="147">
        <f>E1122*F1122</f>
        <v>0</v>
      </c>
      <c r="H1122" s="194"/>
      <c r="I1122" s="136"/>
      <c r="J1122" s="145"/>
      <c r="K1122" s="146" t="s">
        <v>304</v>
      </c>
      <c r="L1122" s="152" t="s">
        <v>307</v>
      </c>
      <c r="M1122" s="147">
        <f>M1112*'机械台班'!T13</f>
        <v>309.18600000000004</v>
      </c>
      <c r="N1122" s="147">
        <f>'机械台班'!C32</f>
        <v>3.8</v>
      </c>
      <c r="O1122" s="147">
        <f>N1122*M1122</f>
        <v>1174.9068</v>
      </c>
      <c r="P1122" s="146"/>
      <c r="Q1122" s="136"/>
    </row>
    <row r="1123" spans="2:17" ht="14.25">
      <c r="B1123" s="145"/>
      <c r="C1123" s="146" t="s">
        <v>420</v>
      </c>
      <c r="D1123" s="146" t="s">
        <v>365</v>
      </c>
      <c r="E1123" s="147"/>
      <c r="F1123" s="147"/>
      <c r="G1123" s="147">
        <f>E1123*F1123</f>
        <v>0</v>
      </c>
      <c r="H1123" s="194"/>
      <c r="I1123" s="136"/>
      <c r="J1123" s="145" t="s">
        <v>24</v>
      </c>
      <c r="K1123" s="146" t="s">
        <v>340</v>
      </c>
      <c r="L1123" s="152">
        <v>0.09</v>
      </c>
      <c r="M1123" s="147"/>
      <c r="N1123" s="147"/>
      <c r="O1123" s="147">
        <f>(O1119+O1118+O1117+O1102)*L1123</f>
        <v>607.0222289211353</v>
      </c>
      <c r="P1123" s="146"/>
      <c r="Q1123" s="136"/>
    </row>
    <row r="1124" spans="2:17" ht="14.25">
      <c r="B1124" s="145" t="s">
        <v>63</v>
      </c>
      <c r="C1124" s="146" t="s">
        <v>336</v>
      </c>
      <c r="D1124" s="162">
        <v>0.048</v>
      </c>
      <c r="E1124" s="147"/>
      <c r="F1124" s="147"/>
      <c r="G1124" s="147">
        <f>(G1103)*D1124</f>
        <v>2029.8828340838577</v>
      </c>
      <c r="H1124" s="194"/>
      <c r="I1124" s="136"/>
      <c r="J1124" s="195"/>
      <c r="K1124" s="146" t="s">
        <v>36</v>
      </c>
      <c r="L1124" s="146"/>
      <c r="M1124" s="147"/>
      <c r="N1124" s="147"/>
      <c r="O1124" s="147">
        <f>O1123+O1119+O1118+O1117+O1102</f>
        <v>7351.713661378194</v>
      </c>
      <c r="P1124" s="146"/>
      <c r="Q1124" s="136"/>
    </row>
    <row r="1125" spans="2:17" ht="14.25">
      <c r="B1125" s="145" t="s">
        <v>355</v>
      </c>
      <c r="C1125" s="146" t="s">
        <v>356</v>
      </c>
      <c r="D1125" s="162"/>
      <c r="E1125" s="147"/>
      <c r="F1125" s="147"/>
      <c r="G1125" s="147">
        <f>G1103*D1125</f>
        <v>0</v>
      </c>
      <c r="H1125" s="194"/>
      <c r="I1125" s="136"/>
      <c r="J1125" s="145" t="s">
        <v>341</v>
      </c>
      <c r="K1125" s="146" t="s">
        <v>342</v>
      </c>
      <c r="L1125" s="153">
        <v>0.03</v>
      </c>
      <c r="M1125" s="147"/>
      <c r="N1125" s="147"/>
      <c r="O1125" s="147">
        <f>O1124*L1125</f>
        <v>220.55140984134582</v>
      </c>
      <c r="P1125" s="194"/>
      <c r="Q1125" s="136"/>
    </row>
    <row r="1126" spans="2:17" ht="14.25">
      <c r="B1126" s="145" t="s">
        <v>18</v>
      </c>
      <c r="C1126" s="146" t="s">
        <v>337</v>
      </c>
      <c r="D1126" s="162">
        <v>0.08</v>
      </c>
      <c r="E1126" s="147"/>
      <c r="F1126" s="147"/>
      <c r="G1126" s="147">
        <f>G1102*D1126</f>
        <v>3545.5286835331385</v>
      </c>
      <c r="H1126" s="194"/>
      <c r="I1126" s="136"/>
      <c r="J1126" s="195"/>
      <c r="K1126" s="146" t="s">
        <v>343</v>
      </c>
      <c r="L1126" s="194"/>
      <c r="M1126" s="196"/>
      <c r="N1126" s="196"/>
      <c r="O1126" s="147">
        <f>O1124+O1125</f>
        <v>7572.26507121954</v>
      </c>
      <c r="P1126" s="194"/>
      <c r="Q1126" s="136"/>
    </row>
    <row r="1127" spans="2:17" ht="14.25">
      <c r="B1127" s="145" t="s">
        <v>20</v>
      </c>
      <c r="C1127" s="146" t="s">
        <v>338</v>
      </c>
      <c r="D1127" s="162">
        <v>0.07</v>
      </c>
      <c r="E1127" s="147"/>
      <c r="F1127" s="147"/>
      <c r="G1127" s="147">
        <f>(G1102+G1126)*D1127</f>
        <v>3350.524605938816</v>
      </c>
      <c r="H1127" s="194"/>
      <c r="I1127" s="136"/>
      <c r="J1127" s="136"/>
      <c r="K1127" s="136"/>
      <c r="L1127" s="136"/>
      <c r="M1127" s="136"/>
      <c r="N1127" s="136"/>
      <c r="O1127" s="136"/>
      <c r="P1127" s="136"/>
      <c r="Q1127" s="136"/>
    </row>
    <row r="1128" spans="2:17" ht="14.25">
      <c r="B1128" s="145" t="s">
        <v>22</v>
      </c>
      <c r="C1128" s="146" t="s">
        <v>339</v>
      </c>
      <c r="D1128" s="152"/>
      <c r="E1128" s="147"/>
      <c r="F1128" s="147"/>
      <c r="G1128" s="147">
        <f>SUM(G1129:G1134)</f>
        <v>4525.985372233807</v>
      </c>
      <c r="H1128" s="194"/>
      <c r="I1128" s="136"/>
      <c r="J1128" s="136"/>
      <c r="K1128" s="136"/>
      <c r="L1128" s="136"/>
      <c r="M1128" s="136"/>
      <c r="N1128" s="136"/>
      <c r="O1128" s="136"/>
      <c r="P1128" s="136"/>
      <c r="Q1128" s="136"/>
    </row>
    <row r="1129" spans="2:17" ht="14.25">
      <c r="B1129" s="145"/>
      <c r="C1129" s="146" t="s">
        <v>298</v>
      </c>
      <c r="D1129" s="152" t="s">
        <v>77</v>
      </c>
      <c r="E1129" s="147">
        <f>E1112*'配合'!E8/1000+E1113*'配合'!E13/1000</f>
        <v>31.558554000000004</v>
      </c>
      <c r="F1129" s="147">
        <f>'机械台班'!C26</f>
        <v>118.56378999999998</v>
      </c>
      <c r="G1129" s="147">
        <f aca="true" t="shared" si="29" ref="G1129:G1134">F1129*E1129</f>
        <v>3741.70176915966</v>
      </c>
      <c r="H1129" s="194"/>
      <c r="I1129" s="136"/>
      <c r="J1129" s="136"/>
      <c r="K1129" s="136"/>
      <c r="L1129" s="136"/>
      <c r="M1129" s="136"/>
      <c r="N1129" s="136"/>
      <c r="O1129" s="136"/>
      <c r="P1129" s="136"/>
      <c r="Q1129" s="136"/>
    </row>
    <row r="1130" spans="2:17" ht="14.25">
      <c r="B1130" s="145"/>
      <c r="C1130" s="146" t="s">
        <v>299</v>
      </c>
      <c r="D1130" s="146" t="s">
        <v>365</v>
      </c>
      <c r="E1130" s="147">
        <f>E1112*'配合'!F8+E1113*'配合'!F13</f>
        <v>57.187560000000005</v>
      </c>
      <c r="F1130" s="147">
        <f>'机械台班'!C27</f>
        <v>1.5600419999999957</v>
      </c>
      <c r="G1130" s="147">
        <f t="shared" si="29"/>
        <v>89.21499547751976</v>
      </c>
      <c r="H1130" s="194"/>
      <c r="I1130" s="136"/>
      <c r="J1130" s="136"/>
      <c r="K1130" s="136"/>
      <c r="L1130" s="136"/>
      <c r="M1130" s="136"/>
      <c r="N1130" s="136"/>
      <c r="O1130" s="136"/>
      <c r="P1130" s="136"/>
      <c r="Q1130" s="136"/>
    </row>
    <row r="1131" spans="2:17" ht="14.25">
      <c r="B1131" s="145"/>
      <c r="C1131" s="146" t="s">
        <v>300</v>
      </c>
      <c r="D1131" s="146" t="s">
        <v>365</v>
      </c>
      <c r="E1131" s="147">
        <f>E1112*'配合'!G8</f>
        <v>85.82565600000002</v>
      </c>
      <c r="F1131" s="147">
        <f>'机械台班'!C28</f>
        <v>8.098611067961158</v>
      </c>
      <c r="G1131" s="147">
        <f t="shared" si="29"/>
        <v>695.0686075966272</v>
      </c>
      <c r="H1131" s="194"/>
      <c r="I1131" s="136"/>
      <c r="J1131" s="136"/>
      <c r="K1131" s="136"/>
      <c r="L1131" s="136"/>
      <c r="M1131" s="136"/>
      <c r="N1131" s="136"/>
      <c r="O1131" s="136"/>
      <c r="P1131" s="136"/>
      <c r="Q1131" s="136"/>
    </row>
    <row r="1132" spans="2:17" ht="14.25">
      <c r="B1132" s="145"/>
      <c r="C1132" s="146" t="s">
        <v>411</v>
      </c>
      <c r="D1132" s="146" t="s">
        <v>365</v>
      </c>
      <c r="E1132" s="147">
        <f>E1110</f>
        <v>0.9</v>
      </c>
      <c r="F1132" s="147">
        <f>'机械台班'!C33</f>
        <v>0</v>
      </c>
      <c r="G1132" s="147">
        <f t="shared" si="29"/>
        <v>0</v>
      </c>
      <c r="H1132" s="194"/>
      <c r="I1132" s="136"/>
      <c r="J1132" s="136"/>
      <c r="K1132" s="136"/>
      <c r="L1132" s="136"/>
      <c r="M1132" s="136"/>
      <c r="N1132" s="136"/>
      <c r="O1132" s="136"/>
      <c r="P1132" s="136"/>
      <c r="Q1132" s="136"/>
    </row>
    <row r="1133" spans="2:17" ht="14.25">
      <c r="B1133" s="145"/>
      <c r="C1133" s="146" t="s">
        <v>303</v>
      </c>
      <c r="D1133" s="146" t="s">
        <v>307</v>
      </c>
      <c r="E1133" s="147"/>
      <c r="F1133" s="147"/>
      <c r="G1133" s="147">
        <f t="shared" si="29"/>
        <v>0</v>
      </c>
      <c r="H1133" s="194"/>
      <c r="I1133" s="136"/>
      <c r="J1133" s="136"/>
      <c r="K1133" s="136"/>
      <c r="L1133" s="136"/>
      <c r="M1133" s="136"/>
      <c r="N1133" s="136"/>
      <c r="O1133" s="136"/>
      <c r="P1133" s="136"/>
      <c r="Q1133" s="136"/>
    </row>
    <row r="1134" spans="2:17" ht="14.25">
      <c r="B1134" s="145"/>
      <c r="C1134" s="146" t="s">
        <v>304</v>
      </c>
      <c r="D1134" s="146" t="s">
        <v>307</v>
      </c>
      <c r="E1134" s="147"/>
      <c r="F1134" s="147"/>
      <c r="G1134" s="147">
        <f t="shared" si="29"/>
        <v>0</v>
      </c>
      <c r="H1134" s="194"/>
      <c r="I1134" s="136"/>
      <c r="J1134" s="136"/>
      <c r="K1134" s="136"/>
      <c r="L1134" s="136"/>
      <c r="M1134" s="136"/>
      <c r="N1134" s="136"/>
      <c r="O1134" s="136"/>
      <c r="P1134" s="136"/>
      <c r="Q1134" s="136"/>
    </row>
    <row r="1135" spans="2:17" ht="14.25">
      <c r="B1135" s="145" t="s">
        <v>24</v>
      </c>
      <c r="C1135" s="146" t="s">
        <v>340</v>
      </c>
      <c r="D1135" s="152">
        <v>0.09</v>
      </c>
      <c r="E1135" s="147"/>
      <c r="F1135" s="147"/>
      <c r="G1135" s="147">
        <f>(G1102+G1126+G1127+G1128)*D1135</f>
        <v>5016.703248528299</v>
      </c>
      <c r="H1135" s="194"/>
      <c r="I1135" s="136"/>
      <c r="J1135" s="136"/>
      <c r="K1135" s="136"/>
      <c r="L1135" s="136"/>
      <c r="M1135" s="136"/>
      <c r="N1135" s="136"/>
      <c r="O1135" s="136"/>
      <c r="P1135" s="136"/>
      <c r="Q1135" s="136"/>
    </row>
    <row r="1136" spans="2:17" ht="14.25">
      <c r="B1136" s="195"/>
      <c r="C1136" s="146" t="s">
        <v>36</v>
      </c>
      <c r="D1136" s="146"/>
      <c r="E1136" s="147"/>
      <c r="F1136" s="147"/>
      <c r="G1136" s="147">
        <f>(G1127+G1126++G1135+G1102+G1128)</f>
        <v>60757.85045439829</v>
      </c>
      <c r="H1136" s="194"/>
      <c r="I1136" s="136"/>
      <c r="J1136" s="136"/>
      <c r="K1136" s="136"/>
      <c r="L1136" s="136"/>
      <c r="M1136" s="136"/>
      <c r="N1136" s="136"/>
      <c r="O1136" s="136"/>
      <c r="P1136" s="136"/>
      <c r="Q1136" s="136"/>
    </row>
    <row r="1137" spans="2:17" ht="14.25">
      <c r="B1137" s="195"/>
      <c r="C1137" s="146" t="s">
        <v>421</v>
      </c>
      <c r="D1137" s="153">
        <v>0.03</v>
      </c>
      <c r="E1137" s="147"/>
      <c r="F1137" s="147"/>
      <c r="G1137" s="147">
        <f>G1136*D1137</f>
        <v>1822.7355136319486</v>
      </c>
      <c r="H1137" s="194"/>
      <c r="I1137" s="136"/>
      <c r="J1137" s="136"/>
      <c r="K1137" s="136"/>
      <c r="L1137" s="136"/>
      <c r="M1137" s="136"/>
      <c r="N1137" s="136"/>
      <c r="O1137" s="136"/>
      <c r="P1137" s="136"/>
      <c r="Q1137" s="136"/>
    </row>
    <row r="1138" spans="2:17" ht="14.25">
      <c r="B1138" s="195"/>
      <c r="C1138" s="146" t="s">
        <v>343</v>
      </c>
      <c r="D1138" s="194"/>
      <c r="E1138" s="196"/>
      <c r="F1138" s="196"/>
      <c r="G1138" s="147">
        <f>G1136+G1137</f>
        <v>62580.58596803024</v>
      </c>
      <c r="H1138" s="194"/>
      <c r="I1138" s="136"/>
      <c r="J1138" s="136"/>
      <c r="K1138" s="136"/>
      <c r="L1138" s="136"/>
      <c r="M1138" s="136"/>
      <c r="N1138" s="136"/>
      <c r="O1138" s="136"/>
      <c r="P1138" s="136"/>
      <c r="Q1138" s="136"/>
    </row>
    <row r="1139" spans="2:17" ht="14.25">
      <c r="B1139" s="136"/>
      <c r="C1139" s="136"/>
      <c r="D1139" s="136"/>
      <c r="E1139" s="223"/>
      <c r="F1139" s="223"/>
      <c r="G1139" s="223"/>
      <c r="H1139" s="226"/>
      <c r="I1139" s="136"/>
      <c r="J1139" s="136"/>
      <c r="K1139" s="136"/>
      <c r="L1139" s="136"/>
      <c r="M1139" s="136"/>
      <c r="N1139" s="136"/>
      <c r="O1139" s="136"/>
      <c r="P1139" s="136"/>
      <c r="Q1139" s="136"/>
    </row>
    <row r="1140" spans="2:17" ht="20.25">
      <c r="B1140" s="221" t="s">
        <v>317</v>
      </c>
      <c r="C1140" s="221"/>
      <c r="D1140" s="221"/>
      <c r="E1140" s="221"/>
      <c r="F1140" s="221"/>
      <c r="G1140" s="221"/>
      <c r="H1140" s="221"/>
      <c r="I1140" s="136"/>
      <c r="J1140" s="136"/>
      <c r="K1140" s="136"/>
      <c r="L1140" s="136"/>
      <c r="M1140" s="136"/>
      <c r="N1140" s="136"/>
      <c r="O1140" s="136"/>
      <c r="P1140" s="136"/>
      <c r="Q1140" s="136"/>
    </row>
    <row r="1141" spans="2:17" ht="14.25">
      <c r="B1141" s="222" t="s">
        <v>522</v>
      </c>
      <c r="C1141" s="222"/>
      <c r="D1141" s="222"/>
      <c r="E1141" s="222"/>
      <c r="F1141" s="222"/>
      <c r="G1141" s="222"/>
      <c r="H1141" s="222"/>
      <c r="I1141" s="136"/>
      <c r="J1141" s="136"/>
      <c r="K1141" s="136"/>
      <c r="L1141" s="136"/>
      <c r="M1141" s="136"/>
      <c r="N1141" s="136"/>
      <c r="O1141" s="136"/>
      <c r="P1141" s="136"/>
      <c r="Q1141" s="136"/>
    </row>
    <row r="1142" spans="2:17" ht="14.25">
      <c r="B1142" s="140" t="s">
        <v>523</v>
      </c>
      <c r="C1142" s="140"/>
      <c r="D1142" s="140"/>
      <c r="E1142" s="140"/>
      <c r="F1142" s="136"/>
      <c r="G1142" s="159" t="s">
        <v>320</v>
      </c>
      <c r="H1142" s="159"/>
      <c r="I1142" s="136"/>
      <c r="J1142" s="136"/>
      <c r="K1142" s="136"/>
      <c r="L1142" s="136"/>
      <c r="M1142" s="136"/>
      <c r="N1142" s="136"/>
      <c r="O1142" s="136"/>
      <c r="P1142" s="136"/>
      <c r="Q1142" s="136"/>
    </row>
    <row r="1143" spans="2:17" ht="14.25">
      <c r="B1143" s="142" t="s">
        <v>360</v>
      </c>
      <c r="C1143" s="143"/>
      <c r="D1143" s="143"/>
      <c r="E1143" s="143"/>
      <c r="F1143" s="143"/>
      <c r="G1143" s="143"/>
      <c r="H1143" s="160"/>
      <c r="I1143" s="136"/>
      <c r="J1143" s="136"/>
      <c r="K1143" s="136"/>
      <c r="L1143" s="136"/>
      <c r="M1143" s="136"/>
      <c r="N1143" s="136"/>
      <c r="O1143" s="136"/>
      <c r="P1143" s="136"/>
      <c r="Q1143" s="136"/>
    </row>
    <row r="1144" spans="2:17" ht="25.5">
      <c r="B1144" s="145" t="s">
        <v>3</v>
      </c>
      <c r="C1144" s="146" t="s">
        <v>322</v>
      </c>
      <c r="D1144" s="146" t="s">
        <v>102</v>
      </c>
      <c r="E1144" s="147" t="s">
        <v>324</v>
      </c>
      <c r="F1144" s="148" t="s">
        <v>325</v>
      </c>
      <c r="G1144" s="148" t="s">
        <v>326</v>
      </c>
      <c r="H1144" s="146" t="s">
        <v>386</v>
      </c>
      <c r="I1144" s="136"/>
      <c r="J1144" s="136"/>
      <c r="K1144" s="136"/>
      <c r="L1144" s="136"/>
      <c r="M1144" s="136"/>
      <c r="N1144" s="136"/>
      <c r="O1144" s="136"/>
      <c r="P1144" s="136"/>
      <c r="Q1144" s="136"/>
    </row>
    <row r="1145" spans="2:17" ht="14.25">
      <c r="B1145" s="145" t="s">
        <v>16</v>
      </c>
      <c r="C1145" s="146" t="s">
        <v>327</v>
      </c>
      <c r="D1145" s="146"/>
      <c r="E1145" s="147"/>
      <c r="F1145" s="147"/>
      <c r="G1145" s="147">
        <f>G1146+G1167+G1168</f>
        <v>69156.02991580853</v>
      </c>
      <c r="H1145" s="146"/>
      <c r="I1145" s="136"/>
      <c r="J1145" s="136"/>
      <c r="K1145" s="136"/>
      <c r="L1145" s="136"/>
      <c r="M1145" s="136"/>
      <c r="N1145" s="136"/>
      <c r="O1145" s="136"/>
      <c r="P1145" s="136"/>
      <c r="Q1145" s="136"/>
    </row>
    <row r="1146" spans="2:17" ht="14.25">
      <c r="B1146" s="145" t="s">
        <v>39</v>
      </c>
      <c r="C1146" s="146" t="s">
        <v>328</v>
      </c>
      <c r="D1146" s="146"/>
      <c r="E1146" s="147"/>
      <c r="F1146" s="147"/>
      <c r="G1146" s="147">
        <f>G1147+G1150+G1159+G1164</f>
        <v>65988.57816393943</v>
      </c>
      <c r="H1146" s="146"/>
      <c r="I1146" s="136"/>
      <c r="J1146" s="136"/>
      <c r="K1146" s="136"/>
      <c r="L1146" s="136"/>
      <c r="M1146" s="136"/>
      <c r="N1146" s="136"/>
      <c r="O1146" s="136"/>
      <c r="P1146" s="136"/>
      <c r="Q1146" s="136"/>
    </row>
    <row r="1147" spans="2:17" ht="14.25">
      <c r="B1147" s="145">
        <v>1</v>
      </c>
      <c r="C1147" s="146" t="s">
        <v>329</v>
      </c>
      <c r="D1147" s="146"/>
      <c r="E1147" s="147"/>
      <c r="F1147" s="147"/>
      <c r="G1147" s="147">
        <f>G1148+G1149</f>
        <v>9130.32</v>
      </c>
      <c r="H1147" s="146"/>
      <c r="I1147" s="136"/>
      <c r="J1147" s="136"/>
      <c r="K1147" s="136"/>
      <c r="L1147" s="136"/>
      <c r="M1147" s="136"/>
      <c r="N1147" s="136"/>
      <c r="O1147" s="136"/>
      <c r="P1147" s="136"/>
      <c r="Q1147" s="136"/>
    </row>
    <row r="1148" spans="2:17" ht="14.25">
      <c r="B1148" s="145"/>
      <c r="C1148" s="149" t="s">
        <v>351</v>
      </c>
      <c r="D1148" s="149" t="s">
        <v>163</v>
      </c>
      <c r="E1148" s="147">
        <v>1127.2</v>
      </c>
      <c r="F1148" s="147">
        <f>'单价分析'!E15</f>
        <v>8.1</v>
      </c>
      <c r="G1148" s="147">
        <f aca="true" t="shared" si="30" ref="G1148:G1157">F1148*E1148</f>
        <v>9130.32</v>
      </c>
      <c r="H1148" s="146"/>
      <c r="I1148" s="136"/>
      <c r="J1148" s="136"/>
      <c r="K1148" s="136"/>
      <c r="L1148" s="136"/>
      <c r="M1148" s="136"/>
      <c r="N1148" s="136"/>
      <c r="O1148" s="136"/>
      <c r="P1148" s="136"/>
      <c r="Q1148" s="136"/>
    </row>
    <row r="1149" spans="2:17" ht="14.25">
      <c r="B1149" s="145"/>
      <c r="C1149" s="149" t="s">
        <v>330</v>
      </c>
      <c r="D1149" s="149" t="s">
        <v>163</v>
      </c>
      <c r="E1149" s="147"/>
      <c r="F1149" s="147"/>
      <c r="G1149" s="147">
        <f t="shared" si="30"/>
        <v>0</v>
      </c>
      <c r="H1149" s="146"/>
      <c r="I1149" s="136"/>
      <c r="J1149" s="136"/>
      <c r="K1149" s="136"/>
      <c r="L1149" s="136"/>
      <c r="M1149" s="136"/>
      <c r="N1149" s="136"/>
      <c r="O1149" s="136"/>
      <c r="P1149" s="136"/>
      <c r="Q1149" s="136"/>
    </row>
    <row r="1150" spans="2:17" ht="14.25">
      <c r="B1150" s="145">
        <v>2</v>
      </c>
      <c r="C1150" s="146" t="s">
        <v>373</v>
      </c>
      <c r="D1150" s="146"/>
      <c r="E1150" s="147"/>
      <c r="F1150" s="147"/>
      <c r="G1150" s="147">
        <f>SUM(G1151:G1158)</f>
        <v>47938.445524658775</v>
      </c>
      <c r="H1150" s="146"/>
      <c r="I1150" s="136"/>
      <c r="J1150" s="136"/>
      <c r="K1150" s="136"/>
      <c r="L1150" s="136"/>
      <c r="M1150" s="136"/>
      <c r="N1150" s="136"/>
      <c r="O1150" s="136"/>
      <c r="P1150" s="136"/>
      <c r="Q1150" s="136"/>
    </row>
    <row r="1151" spans="2:17" ht="14.25">
      <c r="B1151" s="145"/>
      <c r="C1151" s="146" t="s">
        <v>411</v>
      </c>
      <c r="D1151" s="146" t="s">
        <v>365</v>
      </c>
      <c r="E1151" s="147">
        <v>0.82</v>
      </c>
      <c r="F1151" s="147">
        <f>'单价分析'!L12</f>
        <v>1789.6725</v>
      </c>
      <c r="G1151" s="147">
        <f t="shared" si="30"/>
        <v>1467.5314499999997</v>
      </c>
      <c r="H1151" s="146"/>
      <c r="I1151" s="136"/>
      <c r="J1151" s="136"/>
      <c r="K1151" s="136"/>
      <c r="L1151" s="136"/>
      <c r="M1151" s="136"/>
      <c r="N1151" s="136"/>
      <c r="O1151" s="136"/>
      <c r="P1151" s="136"/>
      <c r="Q1151" s="136"/>
    </row>
    <row r="1152" spans="2:17" ht="14.25">
      <c r="B1152" s="145"/>
      <c r="C1152" s="146" t="s">
        <v>316</v>
      </c>
      <c r="D1152" s="146" t="s">
        <v>307</v>
      </c>
      <c r="E1152" s="147">
        <v>264.3</v>
      </c>
      <c r="F1152" s="147">
        <f>'机械台班'!D44</f>
        <v>5.8</v>
      </c>
      <c r="G1152" s="147">
        <f t="shared" si="30"/>
        <v>1532.94</v>
      </c>
      <c r="H1152" s="146"/>
      <c r="I1152" s="136"/>
      <c r="J1152" s="136"/>
      <c r="K1152" s="136"/>
      <c r="L1152" s="136"/>
      <c r="M1152" s="136"/>
      <c r="N1152" s="136"/>
      <c r="O1152" s="136"/>
      <c r="P1152" s="136"/>
      <c r="Q1152" s="136"/>
    </row>
    <row r="1153" spans="2:17" ht="14.25">
      <c r="B1153" s="145"/>
      <c r="C1153" s="146" t="s">
        <v>310</v>
      </c>
      <c r="D1153" s="146" t="s">
        <v>307</v>
      </c>
      <c r="E1153" s="147">
        <v>153.1</v>
      </c>
      <c r="F1153" s="147">
        <f>'机械台班'!D38</f>
        <v>6.15</v>
      </c>
      <c r="G1153" s="147">
        <f t="shared" si="30"/>
        <v>941.565</v>
      </c>
      <c r="H1153" s="146"/>
      <c r="I1153" s="136"/>
      <c r="J1153" s="136"/>
      <c r="K1153" s="136"/>
      <c r="L1153" s="136"/>
      <c r="M1153" s="136"/>
      <c r="N1153" s="136"/>
      <c r="O1153" s="136"/>
      <c r="P1153" s="136"/>
      <c r="Q1153" s="136"/>
    </row>
    <row r="1154" spans="2:17" ht="14.25">
      <c r="B1154" s="145"/>
      <c r="C1154" s="146" t="s">
        <v>524</v>
      </c>
      <c r="D1154" s="146" t="s">
        <v>365</v>
      </c>
      <c r="E1154" s="147">
        <v>100</v>
      </c>
      <c r="F1154" s="147">
        <f>G1103/100</f>
        <v>422.8922571008037</v>
      </c>
      <c r="G1154" s="147">
        <f t="shared" si="30"/>
        <v>42289.22571008037</v>
      </c>
      <c r="H1154" s="146"/>
      <c r="I1154" s="136"/>
      <c r="J1154" s="136"/>
      <c r="K1154" s="136"/>
      <c r="L1154" s="136"/>
      <c r="M1154" s="136"/>
      <c r="N1154" s="136"/>
      <c r="O1154" s="136"/>
      <c r="P1154" s="136"/>
      <c r="Q1154" s="136"/>
    </row>
    <row r="1155" spans="2:17" ht="15">
      <c r="B1155" s="145"/>
      <c r="C1155" s="146" t="s">
        <v>425</v>
      </c>
      <c r="D1155" s="146" t="s">
        <v>365</v>
      </c>
      <c r="E1155" s="147">
        <v>6.4</v>
      </c>
      <c r="F1155" s="147">
        <f>'配合'!I8</f>
        <v>176.40480900000003</v>
      </c>
      <c r="G1155" s="147">
        <f t="shared" si="30"/>
        <v>1128.9907776000002</v>
      </c>
      <c r="H1155" s="146"/>
      <c r="I1155" s="136"/>
      <c r="J1155" s="136"/>
      <c r="K1155" s="136"/>
      <c r="L1155" s="136"/>
      <c r="M1155" s="136"/>
      <c r="N1155" s="136"/>
      <c r="O1155" s="136"/>
      <c r="P1155" s="136"/>
      <c r="Q1155" s="136"/>
    </row>
    <row r="1156" spans="2:17" ht="14.25">
      <c r="B1156" s="145"/>
      <c r="C1156" s="146" t="s">
        <v>184</v>
      </c>
      <c r="D1156" s="146" t="s">
        <v>365</v>
      </c>
      <c r="E1156" s="147">
        <v>2.3</v>
      </c>
      <c r="F1156" s="147">
        <f>'配合'!I13</f>
        <v>135.54646</v>
      </c>
      <c r="G1156" s="147">
        <f t="shared" si="30"/>
        <v>311.75685799999997</v>
      </c>
      <c r="H1156" s="146"/>
      <c r="I1156" s="136"/>
      <c r="J1156" s="136"/>
      <c r="K1156" s="136"/>
      <c r="L1156" s="136"/>
      <c r="M1156" s="136"/>
      <c r="N1156" s="136"/>
      <c r="O1156" s="136"/>
      <c r="P1156" s="136"/>
      <c r="Q1156" s="136"/>
    </row>
    <row r="1157" spans="2:17" ht="14.25">
      <c r="B1157" s="145"/>
      <c r="C1157" s="146" t="s">
        <v>413</v>
      </c>
      <c r="D1157" s="146" t="s">
        <v>365</v>
      </c>
      <c r="E1157" s="147">
        <v>7.2</v>
      </c>
      <c r="F1157" s="147">
        <f>'单价分析'!E17</f>
        <v>3.88</v>
      </c>
      <c r="G1157" s="147">
        <f t="shared" si="30"/>
        <v>27.936</v>
      </c>
      <c r="H1157" s="146"/>
      <c r="I1157" s="136"/>
      <c r="J1157" s="136"/>
      <c r="K1157" s="136"/>
      <c r="L1157" s="136"/>
      <c r="M1157" s="136"/>
      <c r="N1157" s="136"/>
      <c r="O1157" s="136"/>
      <c r="P1157" s="136"/>
      <c r="Q1157" s="136"/>
    </row>
    <row r="1158" spans="2:17" ht="14.25">
      <c r="B1158" s="145"/>
      <c r="C1158" s="146" t="s">
        <v>404</v>
      </c>
      <c r="D1158" s="146" t="s">
        <v>332</v>
      </c>
      <c r="E1158" s="147">
        <v>0.5</v>
      </c>
      <c r="F1158" s="147">
        <f>SUM(G1151:G1157)</f>
        <v>47699.945795680374</v>
      </c>
      <c r="G1158" s="147">
        <f>F1158*E1158/100</f>
        <v>238.49972897840186</v>
      </c>
      <c r="H1158" s="146"/>
      <c r="I1158" s="136"/>
      <c r="J1158" s="136"/>
      <c r="K1158" s="136"/>
      <c r="L1158" s="136"/>
      <c r="M1158" s="136"/>
      <c r="N1158" s="136"/>
      <c r="O1158" s="136"/>
      <c r="P1158" s="136"/>
      <c r="Q1158" s="136"/>
    </row>
    <row r="1159" spans="2:17" ht="14.25">
      <c r="B1159" s="145">
        <v>3</v>
      </c>
      <c r="C1159" s="146" t="s">
        <v>352</v>
      </c>
      <c r="D1159" s="146"/>
      <c r="E1159" s="147"/>
      <c r="F1159" s="147"/>
      <c r="G1159" s="147">
        <f>SUM(G1160:G1163)</f>
        <v>1347.547568061109</v>
      </c>
      <c r="H1159" s="146"/>
      <c r="I1159" s="136"/>
      <c r="J1159" s="136"/>
      <c r="K1159" s="136"/>
      <c r="L1159" s="136"/>
      <c r="M1159" s="136"/>
      <c r="N1159" s="136"/>
      <c r="O1159" s="136"/>
      <c r="P1159" s="136"/>
      <c r="Q1159" s="136"/>
    </row>
    <row r="1160" spans="2:17" ht="14.25">
      <c r="B1160" s="145"/>
      <c r="C1160" s="146" t="s">
        <v>414</v>
      </c>
      <c r="D1160" s="146" t="s">
        <v>335</v>
      </c>
      <c r="E1160" s="147">
        <v>1.57</v>
      </c>
      <c r="F1160" s="147">
        <f>'台班总'!D13</f>
        <v>28.217952134024728</v>
      </c>
      <c r="G1160" s="147">
        <f>F1160*E1160</f>
        <v>44.302184850418826</v>
      </c>
      <c r="H1160" s="146"/>
      <c r="I1160" s="136"/>
      <c r="J1160" s="136"/>
      <c r="K1160" s="136"/>
      <c r="L1160" s="136"/>
      <c r="M1160" s="136"/>
      <c r="N1160" s="136"/>
      <c r="O1160" s="136"/>
      <c r="P1160" s="136"/>
      <c r="Q1160" s="136"/>
    </row>
    <row r="1161" spans="2:17" ht="14.25">
      <c r="B1161" s="145"/>
      <c r="C1161" s="146" t="s">
        <v>464</v>
      </c>
      <c r="D1161" s="146" t="s">
        <v>335</v>
      </c>
      <c r="E1161" s="147">
        <v>82.5</v>
      </c>
      <c r="F1161" s="147">
        <f>'台班总'!D31</f>
        <v>15.587185879537296</v>
      </c>
      <c r="G1161" s="147">
        <f>F1161*E1161</f>
        <v>1285.9428350618268</v>
      </c>
      <c r="H1161" s="146"/>
      <c r="I1161" s="136"/>
      <c r="J1161" s="136"/>
      <c r="K1161" s="136"/>
      <c r="L1161" s="136"/>
      <c r="M1161" s="136"/>
      <c r="N1161" s="136"/>
      <c r="O1161" s="136"/>
      <c r="P1161" s="136"/>
      <c r="Q1161" s="136"/>
    </row>
    <row r="1162" spans="2:17" ht="14.25">
      <c r="B1162" s="145"/>
      <c r="C1162" s="146" t="s">
        <v>209</v>
      </c>
      <c r="D1162" s="146" t="s">
        <v>335</v>
      </c>
      <c r="E1162" s="147">
        <v>4.87</v>
      </c>
      <c r="F1162" s="147">
        <f>'台班总'!D20</f>
        <v>0.8132429198244914</v>
      </c>
      <c r="G1162" s="147">
        <f>F1162*E1162</f>
        <v>3.960493019545273</v>
      </c>
      <c r="H1162" s="194"/>
      <c r="I1162" s="136"/>
      <c r="J1162" s="136"/>
      <c r="K1162" s="136"/>
      <c r="L1162" s="136"/>
      <c r="M1162" s="136"/>
      <c r="N1162" s="136"/>
      <c r="O1162" s="136"/>
      <c r="P1162" s="136"/>
      <c r="Q1162" s="136"/>
    </row>
    <row r="1163" spans="2:17" ht="14.25">
      <c r="B1163" s="145"/>
      <c r="C1163" s="146" t="s">
        <v>370</v>
      </c>
      <c r="D1163" s="146" t="s">
        <v>332</v>
      </c>
      <c r="E1163" s="147">
        <v>1</v>
      </c>
      <c r="F1163" s="147">
        <f>SUM(G1160:G1162)</f>
        <v>1334.205512931791</v>
      </c>
      <c r="G1163" s="147">
        <f>F1163*E1163%</f>
        <v>13.34205512931791</v>
      </c>
      <c r="H1163" s="194"/>
      <c r="I1163" s="136"/>
      <c r="J1163" s="136"/>
      <c r="K1163" s="136"/>
      <c r="L1163" s="136"/>
      <c r="M1163" s="136"/>
      <c r="N1163" s="136"/>
      <c r="O1163" s="136"/>
      <c r="P1163" s="136"/>
      <c r="Q1163" s="136"/>
    </row>
    <row r="1164" spans="2:17" ht="14.25">
      <c r="B1164" s="145">
        <v>4</v>
      </c>
      <c r="C1164" s="146" t="s">
        <v>418</v>
      </c>
      <c r="D1164" s="194"/>
      <c r="E1164" s="147"/>
      <c r="F1164" s="147"/>
      <c r="G1164" s="147">
        <f>G1165+G1166</f>
        <v>7572.26507121954</v>
      </c>
      <c r="H1164" s="194"/>
      <c r="I1164" s="136"/>
      <c r="J1164" s="136"/>
      <c r="K1164" s="136"/>
      <c r="L1164" s="136"/>
      <c r="M1164" s="136"/>
      <c r="N1164" s="136"/>
      <c r="O1164" s="136"/>
      <c r="P1164" s="136"/>
      <c r="Q1164" s="136"/>
    </row>
    <row r="1165" spans="2:17" ht="14.25">
      <c r="B1165" s="145"/>
      <c r="C1165" s="146" t="s">
        <v>525</v>
      </c>
      <c r="D1165" s="146" t="s">
        <v>365</v>
      </c>
      <c r="E1165" s="147">
        <v>100</v>
      </c>
      <c r="F1165" s="147">
        <f>'单价表'!O1126/100</f>
        <v>75.7226507121954</v>
      </c>
      <c r="G1165" s="147">
        <f>E1165*F1165</f>
        <v>7572.26507121954</v>
      </c>
      <c r="H1165" s="194"/>
      <c r="I1165" s="136"/>
      <c r="J1165" s="136"/>
      <c r="K1165" s="136"/>
      <c r="L1165" s="136"/>
      <c r="M1165" s="136"/>
      <c r="N1165" s="136"/>
      <c r="O1165" s="136"/>
      <c r="P1165" s="136"/>
      <c r="Q1165" s="136"/>
    </row>
    <row r="1166" spans="2:17" ht="14.25">
      <c r="B1166" s="145"/>
      <c r="C1166" s="146" t="s">
        <v>420</v>
      </c>
      <c r="D1166" s="146" t="s">
        <v>365</v>
      </c>
      <c r="E1166" s="147"/>
      <c r="F1166" s="147"/>
      <c r="G1166" s="147">
        <f>E1166*F1166</f>
        <v>0</v>
      </c>
      <c r="H1166" s="194"/>
      <c r="I1166" s="136"/>
      <c r="J1166" s="136"/>
      <c r="K1166" s="136"/>
      <c r="L1166" s="136"/>
      <c r="M1166" s="136"/>
      <c r="N1166" s="136"/>
      <c r="O1166" s="136"/>
      <c r="P1166" s="136"/>
      <c r="Q1166" s="136"/>
    </row>
    <row r="1167" spans="2:17" ht="14.25">
      <c r="B1167" s="145" t="s">
        <v>63</v>
      </c>
      <c r="C1167" s="146" t="s">
        <v>336</v>
      </c>
      <c r="D1167" s="162">
        <v>0.048</v>
      </c>
      <c r="E1167" s="147"/>
      <c r="F1167" s="147"/>
      <c r="G1167" s="147">
        <f>(G1146)*D1167</f>
        <v>3167.4517518690927</v>
      </c>
      <c r="H1167" s="194"/>
      <c r="I1167" s="136"/>
      <c r="J1167" s="136"/>
      <c r="K1167" s="136"/>
      <c r="L1167" s="136"/>
      <c r="M1167" s="136"/>
      <c r="N1167" s="136"/>
      <c r="O1167" s="136"/>
      <c r="P1167" s="136"/>
      <c r="Q1167" s="136"/>
    </row>
    <row r="1168" spans="2:17" ht="14.25">
      <c r="B1168" s="145" t="s">
        <v>355</v>
      </c>
      <c r="C1168" s="146" t="s">
        <v>356</v>
      </c>
      <c r="D1168" s="162"/>
      <c r="E1168" s="147"/>
      <c r="F1168" s="147"/>
      <c r="G1168" s="147">
        <f>G1146*D1168</f>
        <v>0</v>
      </c>
      <c r="H1168" s="194"/>
      <c r="I1168" s="136"/>
      <c r="J1168" s="136"/>
      <c r="K1168" s="136"/>
      <c r="L1168" s="136"/>
      <c r="M1168" s="136"/>
      <c r="N1168" s="136"/>
      <c r="O1168" s="136"/>
      <c r="P1168" s="136"/>
      <c r="Q1168" s="136"/>
    </row>
    <row r="1169" spans="2:17" ht="14.25">
      <c r="B1169" s="145" t="s">
        <v>18</v>
      </c>
      <c r="C1169" s="146" t="s">
        <v>337</v>
      </c>
      <c r="D1169" s="162">
        <v>0.08</v>
      </c>
      <c r="E1169" s="147"/>
      <c r="F1169" s="147"/>
      <c r="G1169" s="147">
        <f>G1145*D1169</f>
        <v>5532.482393264682</v>
      </c>
      <c r="H1169" s="194"/>
      <c r="I1169" s="136"/>
      <c r="J1169" s="136"/>
      <c r="K1169" s="136"/>
      <c r="L1169" s="136"/>
      <c r="M1169" s="136"/>
      <c r="N1169" s="136"/>
      <c r="O1169" s="136"/>
      <c r="P1169" s="136"/>
      <c r="Q1169" s="136"/>
    </row>
    <row r="1170" spans="2:17" ht="14.25">
      <c r="B1170" s="145" t="s">
        <v>20</v>
      </c>
      <c r="C1170" s="146" t="s">
        <v>338</v>
      </c>
      <c r="D1170" s="162">
        <v>0.07</v>
      </c>
      <c r="E1170" s="147"/>
      <c r="F1170" s="147"/>
      <c r="G1170" s="147">
        <f>(G1145+G1169)*D1170</f>
        <v>5228.195861635125</v>
      </c>
      <c r="H1170" s="194"/>
      <c r="I1170" s="136"/>
      <c r="J1170" s="136"/>
      <c r="K1170" s="136"/>
      <c r="L1170" s="136"/>
      <c r="M1170" s="136"/>
      <c r="N1170" s="136"/>
      <c r="O1170" s="136"/>
      <c r="P1170" s="136"/>
      <c r="Q1170" s="136"/>
    </row>
    <row r="1171" spans="2:17" ht="14.25">
      <c r="B1171" s="145" t="s">
        <v>22</v>
      </c>
      <c r="C1171" s="146" t="s">
        <v>339</v>
      </c>
      <c r="D1171" s="152"/>
      <c r="E1171" s="147"/>
      <c r="F1171" s="147"/>
      <c r="G1171" s="147">
        <f>SUM(G1172:G1177)</f>
        <v>4873.382583604554</v>
      </c>
      <c r="H1171" s="194"/>
      <c r="I1171" s="136"/>
      <c r="J1171" s="136"/>
      <c r="K1171" s="136"/>
      <c r="L1171" s="136"/>
      <c r="M1171" s="136"/>
      <c r="N1171" s="136"/>
      <c r="O1171" s="136"/>
      <c r="P1171" s="136"/>
      <c r="Q1171" s="136"/>
    </row>
    <row r="1172" spans="2:17" ht="14.25">
      <c r="B1172" s="145"/>
      <c r="C1172" s="146" t="s">
        <v>298</v>
      </c>
      <c r="D1172" s="152" t="s">
        <v>77</v>
      </c>
      <c r="E1172" s="147">
        <f>E1155*'配合'!E8/1000+E1156*'配合'!E13/1000+E1129</f>
        <v>34.0408728</v>
      </c>
      <c r="F1172" s="147">
        <f>'机械台班'!C26</f>
        <v>118.56378999999998</v>
      </c>
      <c r="G1172" s="147">
        <f aca="true" t="shared" si="31" ref="G1172:G1177">F1172*E1172</f>
        <v>4036.014894075912</v>
      </c>
      <c r="H1172" s="194"/>
      <c r="I1172" s="136"/>
      <c r="J1172" s="136"/>
      <c r="K1172" s="136"/>
      <c r="L1172" s="136"/>
      <c r="M1172" s="136"/>
      <c r="N1172" s="136"/>
      <c r="O1172" s="136"/>
      <c r="P1172" s="136"/>
      <c r="Q1172" s="136"/>
    </row>
    <row r="1173" spans="2:17" ht="14.25">
      <c r="B1173" s="145"/>
      <c r="C1173" s="146" t="s">
        <v>299</v>
      </c>
      <c r="D1173" s="146" t="s">
        <v>365</v>
      </c>
      <c r="E1173" s="147">
        <f>E1155*'配合'!F8+E1156*'配合'!F13+E1130</f>
        <v>63.25915200000001</v>
      </c>
      <c r="F1173" s="147">
        <f>'机械台班'!C27</f>
        <v>1.5600419999999957</v>
      </c>
      <c r="G1173" s="147">
        <f t="shared" si="31"/>
        <v>98.68693400438374</v>
      </c>
      <c r="H1173" s="194"/>
      <c r="I1173" s="136"/>
      <c r="J1173" s="136"/>
      <c r="K1173" s="136"/>
      <c r="L1173" s="136"/>
      <c r="M1173" s="136"/>
      <c r="N1173" s="136"/>
      <c r="O1173" s="136"/>
      <c r="P1173" s="136"/>
      <c r="Q1173" s="136"/>
    </row>
    <row r="1174" spans="2:17" ht="14.25">
      <c r="B1174" s="145"/>
      <c r="C1174" s="146" t="s">
        <v>300</v>
      </c>
      <c r="D1174" s="146" t="s">
        <v>365</v>
      </c>
      <c r="E1174" s="147">
        <f>E1155*'配合'!G8+E1131</f>
        <v>91.21079520000002</v>
      </c>
      <c r="F1174" s="147">
        <f>'机械台班'!C28</f>
        <v>8.098611067961158</v>
      </c>
      <c r="G1174" s="147">
        <f t="shared" si="31"/>
        <v>738.6807555242586</v>
      </c>
      <c r="H1174" s="194"/>
      <c r="I1174" s="136"/>
      <c r="J1174" s="136"/>
      <c r="K1174" s="136"/>
      <c r="L1174" s="136"/>
      <c r="M1174" s="136"/>
      <c r="N1174" s="136"/>
      <c r="O1174" s="136"/>
      <c r="P1174" s="136"/>
      <c r="Q1174" s="136"/>
    </row>
    <row r="1175" spans="2:17" ht="14.25">
      <c r="B1175" s="145"/>
      <c r="C1175" s="146" t="s">
        <v>411</v>
      </c>
      <c r="D1175" s="146" t="s">
        <v>365</v>
      </c>
      <c r="E1175" s="147">
        <f>E1151+E1132</f>
        <v>1.72</v>
      </c>
      <c r="F1175" s="147">
        <f>'机械台班'!C33</f>
        <v>0</v>
      </c>
      <c r="G1175" s="147">
        <f t="shared" si="31"/>
        <v>0</v>
      </c>
      <c r="H1175" s="194"/>
      <c r="I1175" s="136"/>
      <c r="J1175" s="136"/>
      <c r="K1175" s="136"/>
      <c r="L1175" s="136"/>
      <c r="M1175" s="136"/>
      <c r="N1175" s="136"/>
      <c r="O1175" s="136"/>
      <c r="P1175" s="136"/>
      <c r="Q1175" s="136"/>
    </row>
    <row r="1176" spans="2:17" ht="14.25">
      <c r="B1176" s="145"/>
      <c r="C1176" s="146" t="s">
        <v>303</v>
      </c>
      <c r="D1176" s="146" t="s">
        <v>307</v>
      </c>
      <c r="E1176" s="147"/>
      <c r="F1176" s="147"/>
      <c r="G1176" s="147">
        <f t="shared" si="31"/>
        <v>0</v>
      </c>
      <c r="H1176" s="194"/>
      <c r="I1176" s="136"/>
      <c r="J1176" s="136"/>
      <c r="K1176" s="136"/>
      <c r="L1176" s="136"/>
      <c r="M1176" s="136"/>
      <c r="N1176" s="136"/>
      <c r="O1176" s="136"/>
      <c r="P1176" s="136"/>
      <c r="Q1176" s="136"/>
    </row>
    <row r="1177" spans="2:17" ht="14.25">
      <c r="B1177" s="145"/>
      <c r="C1177" s="146" t="s">
        <v>304</v>
      </c>
      <c r="D1177" s="146" t="s">
        <v>307</v>
      </c>
      <c r="E1177" s="147"/>
      <c r="F1177" s="147"/>
      <c r="G1177" s="147">
        <f t="shared" si="31"/>
        <v>0</v>
      </c>
      <c r="H1177" s="194"/>
      <c r="I1177" s="136"/>
      <c r="J1177" s="136"/>
      <c r="K1177" s="136"/>
      <c r="L1177" s="136"/>
      <c r="M1177" s="136"/>
      <c r="N1177" s="136"/>
      <c r="O1177" s="136"/>
      <c r="P1177" s="136"/>
      <c r="Q1177" s="136"/>
    </row>
    <row r="1178" spans="2:17" ht="14.25">
      <c r="B1178" s="145" t="s">
        <v>24</v>
      </c>
      <c r="C1178" s="146" t="s">
        <v>340</v>
      </c>
      <c r="D1178" s="152">
        <v>0.09</v>
      </c>
      <c r="E1178" s="147"/>
      <c r="F1178" s="147"/>
      <c r="G1178" s="147">
        <f>(G1145+G1169+G1170+G1171)*D1178</f>
        <v>7631.108167888159</v>
      </c>
      <c r="H1178" s="194"/>
      <c r="I1178" s="136"/>
      <c r="J1178" s="136"/>
      <c r="K1178" s="136"/>
      <c r="L1178" s="136"/>
      <c r="M1178" s="136"/>
      <c r="N1178" s="136"/>
      <c r="O1178" s="136"/>
      <c r="P1178" s="136"/>
      <c r="Q1178" s="136"/>
    </row>
    <row r="1179" spans="2:17" ht="14.25">
      <c r="B1179" s="195"/>
      <c r="C1179" s="146" t="s">
        <v>36</v>
      </c>
      <c r="D1179" s="146"/>
      <c r="E1179" s="147"/>
      <c r="F1179" s="147"/>
      <c r="G1179" s="147">
        <f>(G1170+G1169++G1178+G1145+G1171)</f>
        <v>92421.19892220105</v>
      </c>
      <c r="H1179" s="194"/>
      <c r="I1179" s="136"/>
      <c r="J1179" s="136"/>
      <c r="K1179" s="136"/>
      <c r="L1179" s="136"/>
      <c r="M1179" s="136"/>
      <c r="N1179" s="136"/>
      <c r="O1179" s="136"/>
      <c r="P1179" s="136"/>
      <c r="Q1179" s="136"/>
    </row>
    <row r="1180" spans="2:17" ht="14.25">
      <c r="B1180" s="195"/>
      <c r="C1180" s="146" t="s">
        <v>421</v>
      </c>
      <c r="D1180" s="153">
        <v>0.03</v>
      </c>
      <c r="E1180" s="147"/>
      <c r="F1180" s="147"/>
      <c r="G1180" s="147">
        <f>G1179*D1180</f>
        <v>2772.6359676660313</v>
      </c>
      <c r="H1180" s="194"/>
      <c r="I1180" s="136"/>
      <c r="J1180" s="136"/>
      <c r="K1180" s="136"/>
      <c r="L1180" s="136"/>
      <c r="M1180" s="136"/>
      <c r="N1180" s="136"/>
      <c r="O1180" s="136"/>
      <c r="P1180" s="136"/>
      <c r="Q1180" s="136"/>
    </row>
    <row r="1181" spans="2:17" ht="14.25">
      <c r="B1181" s="195"/>
      <c r="C1181" s="146" t="s">
        <v>343</v>
      </c>
      <c r="D1181" s="194"/>
      <c r="E1181" s="196"/>
      <c r="F1181" s="196"/>
      <c r="G1181" s="147">
        <f>G1179+G1180</f>
        <v>95193.83488986708</v>
      </c>
      <c r="H1181" s="194"/>
      <c r="I1181" s="136"/>
      <c r="J1181" s="136"/>
      <c r="K1181" s="136"/>
      <c r="L1181" s="136"/>
      <c r="M1181" s="136"/>
      <c r="N1181" s="136"/>
      <c r="O1181" s="136"/>
      <c r="P1181" s="136"/>
      <c r="Q1181" s="136"/>
    </row>
    <row r="1182" spans="2:17" ht="14.25">
      <c r="B1182" s="136"/>
      <c r="C1182" s="136"/>
      <c r="D1182" s="136"/>
      <c r="E1182" s="136"/>
      <c r="F1182" s="136"/>
      <c r="G1182" s="136"/>
      <c r="H1182" s="136"/>
      <c r="I1182" s="136"/>
      <c r="J1182" s="136"/>
      <c r="K1182" s="136"/>
      <c r="L1182" s="136"/>
      <c r="M1182" s="136"/>
      <c r="N1182" s="136"/>
      <c r="O1182" s="136"/>
      <c r="P1182" s="136"/>
      <c r="Q1182" s="136"/>
    </row>
    <row r="1183" spans="2:17" ht="20.25">
      <c r="B1183" s="138" t="s">
        <v>317</v>
      </c>
      <c r="C1183" s="138"/>
      <c r="D1183" s="138"/>
      <c r="E1183" s="138"/>
      <c r="F1183" s="138"/>
      <c r="G1183" s="138"/>
      <c r="H1183" s="138"/>
      <c r="I1183" s="136"/>
      <c r="J1183" s="136"/>
      <c r="K1183" s="136"/>
      <c r="L1183" s="136"/>
      <c r="M1183" s="136"/>
      <c r="N1183" s="136"/>
      <c r="O1183" s="136"/>
      <c r="P1183" s="136"/>
      <c r="Q1183" s="136"/>
    </row>
    <row r="1184" spans="2:17" ht="14.25">
      <c r="B1184" s="139" t="s">
        <v>526</v>
      </c>
      <c r="C1184" s="139"/>
      <c r="D1184" s="139"/>
      <c r="E1184" s="139"/>
      <c r="F1184" s="139"/>
      <c r="G1184" s="139"/>
      <c r="H1184" s="139"/>
      <c r="I1184" s="136"/>
      <c r="J1184" s="136"/>
      <c r="K1184" s="136"/>
      <c r="L1184" s="136"/>
      <c r="M1184" s="136"/>
      <c r="N1184" s="136"/>
      <c r="O1184" s="136"/>
      <c r="P1184" s="136"/>
      <c r="Q1184" s="136"/>
    </row>
    <row r="1185" spans="2:17" ht="14.25">
      <c r="B1185" s="140" t="s">
        <v>527</v>
      </c>
      <c r="C1185" s="140"/>
      <c r="D1185" s="140"/>
      <c r="E1185" s="140"/>
      <c r="F1185" s="192"/>
      <c r="G1185" s="219" t="s">
        <v>528</v>
      </c>
      <c r="H1185" s="219"/>
      <c r="I1185" s="136"/>
      <c r="J1185" s="136"/>
      <c r="K1185" s="136"/>
      <c r="L1185" s="136"/>
      <c r="M1185" s="136"/>
      <c r="N1185" s="136"/>
      <c r="O1185" s="136"/>
      <c r="P1185" s="136"/>
      <c r="Q1185" s="136"/>
    </row>
    <row r="1186" spans="2:17" ht="14.25">
      <c r="B1186" s="142" t="s">
        <v>529</v>
      </c>
      <c r="C1186" s="143"/>
      <c r="D1186" s="143"/>
      <c r="E1186" s="143"/>
      <c r="F1186" s="143"/>
      <c r="G1186" s="143"/>
      <c r="H1186" s="160"/>
      <c r="I1186" s="136"/>
      <c r="J1186" s="136"/>
      <c r="K1186" s="136"/>
      <c r="L1186" s="136"/>
      <c r="M1186" s="136"/>
      <c r="N1186" s="136"/>
      <c r="O1186" s="136"/>
      <c r="P1186" s="136"/>
      <c r="Q1186" s="136"/>
    </row>
    <row r="1187" spans="2:17" ht="25.5">
      <c r="B1187" s="145" t="s">
        <v>31</v>
      </c>
      <c r="C1187" s="146" t="s">
        <v>322</v>
      </c>
      <c r="D1187" s="146" t="s">
        <v>102</v>
      </c>
      <c r="E1187" s="147" t="s">
        <v>394</v>
      </c>
      <c r="F1187" s="148" t="s">
        <v>325</v>
      </c>
      <c r="G1187" s="148" t="s">
        <v>326</v>
      </c>
      <c r="H1187" s="146" t="s">
        <v>37</v>
      </c>
      <c r="I1187" s="136"/>
      <c r="J1187" s="136"/>
      <c r="K1187" s="136"/>
      <c r="L1187" s="136"/>
      <c r="M1187" s="136"/>
      <c r="N1187" s="136"/>
      <c r="O1187" s="136"/>
      <c r="P1187" s="136"/>
      <c r="Q1187" s="136"/>
    </row>
    <row r="1188" spans="2:17" ht="14.25">
      <c r="B1188" s="145" t="s">
        <v>16</v>
      </c>
      <c r="C1188" s="146" t="s">
        <v>327</v>
      </c>
      <c r="D1188" s="146"/>
      <c r="E1188" s="147"/>
      <c r="F1188" s="147"/>
      <c r="G1188" s="147">
        <f>G1189+G1202+G1203</f>
        <v>9444.515695810751</v>
      </c>
      <c r="H1188" s="146"/>
      <c r="I1188" s="136"/>
      <c r="J1188" s="136"/>
      <c r="K1188" s="136"/>
      <c r="L1188" s="136"/>
      <c r="M1188" s="136"/>
      <c r="N1188" s="136"/>
      <c r="O1188" s="136"/>
      <c r="P1188" s="136"/>
      <c r="Q1188" s="136"/>
    </row>
    <row r="1189" spans="2:17" ht="14.25">
      <c r="B1189" s="145" t="s">
        <v>39</v>
      </c>
      <c r="C1189" s="146" t="s">
        <v>328</v>
      </c>
      <c r="D1189" s="146"/>
      <c r="E1189" s="147"/>
      <c r="F1189" s="147"/>
      <c r="G1189" s="147">
        <f>G1190+G1193+G1199</f>
        <v>9011.942457834686</v>
      </c>
      <c r="H1189" s="146"/>
      <c r="I1189" s="136"/>
      <c r="J1189" s="136"/>
      <c r="K1189" s="136"/>
      <c r="L1189" s="136"/>
      <c r="M1189" s="136"/>
      <c r="N1189" s="136"/>
      <c r="O1189" s="136"/>
      <c r="P1189" s="136"/>
      <c r="Q1189" s="136"/>
    </row>
    <row r="1190" spans="2:17" ht="14.25">
      <c r="B1190" s="145">
        <v>1</v>
      </c>
      <c r="C1190" s="146" t="s">
        <v>329</v>
      </c>
      <c r="D1190" s="146"/>
      <c r="E1190" s="147"/>
      <c r="F1190" s="147"/>
      <c r="G1190" s="147">
        <f>SUM(G1191:G1192)</f>
        <v>910.54</v>
      </c>
      <c r="H1190" s="146"/>
      <c r="I1190" s="136"/>
      <c r="J1190" s="136"/>
      <c r="K1190" s="136"/>
      <c r="L1190" s="136"/>
      <c r="M1190" s="136"/>
      <c r="N1190" s="136"/>
      <c r="O1190" s="136"/>
      <c r="P1190" s="136"/>
      <c r="Q1190" s="136"/>
    </row>
    <row r="1191" spans="2:17" ht="14.25">
      <c r="B1191" s="145"/>
      <c r="C1191" s="149" t="s">
        <v>351</v>
      </c>
      <c r="D1191" s="149" t="s">
        <v>163</v>
      </c>
      <c r="E1191" s="147">
        <f>137-10*8.3</f>
        <v>54</v>
      </c>
      <c r="F1191" s="147">
        <f>8.1</f>
        <v>8.1</v>
      </c>
      <c r="G1191" s="147">
        <f aca="true" t="shared" si="32" ref="G1191:G1196">F1191*E1191</f>
        <v>437.4</v>
      </c>
      <c r="H1191" s="146"/>
      <c r="I1191" s="136"/>
      <c r="J1191" s="136"/>
      <c r="K1191" s="136"/>
      <c r="L1191" s="136"/>
      <c r="M1191" s="136"/>
      <c r="N1191" s="136"/>
      <c r="O1191" s="136"/>
      <c r="P1191" s="136"/>
      <c r="Q1191" s="136"/>
    </row>
    <row r="1192" spans="2:17" ht="14.25">
      <c r="B1192" s="145"/>
      <c r="C1192" s="149" t="s">
        <v>330</v>
      </c>
      <c r="D1192" s="149" t="s">
        <v>163</v>
      </c>
      <c r="E1192" s="147">
        <f>206-10*12.4</f>
        <v>82</v>
      </c>
      <c r="F1192" s="147">
        <v>5.77</v>
      </c>
      <c r="G1192" s="147">
        <f t="shared" si="32"/>
        <v>473.14</v>
      </c>
      <c r="H1192" s="146"/>
      <c r="I1192" s="136"/>
      <c r="J1192" s="136"/>
      <c r="K1192" s="136"/>
      <c r="L1192" s="136"/>
      <c r="M1192" s="136"/>
      <c r="N1192" s="136"/>
      <c r="O1192" s="136"/>
      <c r="P1192" s="136"/>
      <c r="Q1192" s="136"/>
    </row>
    <row r="1193" spans="2:17" ht="14.25">
      <c r="B1193" s="145">
        <v>2</v>
      </c>
      <c r="C1193" s="146" t="s">
        <v>373</v>
      </c>
      <c r="D1193" s="146"/>
      <c r="E1193" s="147"/>
      <c r="F1193" s="147"/>
      <c r="G1193" s="147">
        <f>SUM(G1194:G1198)</f>
        <v>7772.872667421843</v>
      </c>
      <c r="H1193" s="146"/>
      <c r="I1193" s="136"/>
      <c r="J1193" s="136"/>
      <c r="K1193" s="136"/>
      <c r="L1193" s="136"/>
      <c r="M1193" s="136"/>
      <c r="N1193" s="136"/>
      <c r="O1193" s="136"/>
      <c r="P1193" s="136"/>
      <c r="Q1193" s="136"/>
    </row>
    <row r="1194" spans="2:17" ht="14.25">
      <c r="B1194" s="145"/>
      <c r="C1194" s="146" t="s">
        <v>299</v>
      </c>
      <c r="D1194" s="146" t="s">
        <v>365</v>
      </c>
      <c r="E1194" s="147">
        <f>99-4.95*10</f>
        <v>49.5</v>
      </c>
      <c r="F1194" s="147">
        <f>'单价分析'!L8</f>
        <v>53.02579553398057</v>
      </c>
      <c r="G1194" s="147">
        <f t="shared" si="32"/>
        <v>2624.776878932038</v>
      </c>
      <c r="H1194" s="146"/>
      <c r="I1194" s="136"/>
      <c r="J1194" s="136"/>
      <c r="K1194" s="136"/>
      <c r="L1194" s="136"/>
      <c r="M1194" s="136"/>
      <c r="N1194" s="136"/>
      <c r="O1194" s="136"/>
      <c r="P1194" s="136"/>
      <c r="Q1194" s="136"/>
    </row>
    <row r="1195" spans="2:17" ht="14.25">
      <c r="B1195" s="145"/>
      <c r="C1195" s="146" t="s">
        <v>530</v>
      </c>
      <c r="D1195" s="146" t="s">
        <v>365</v>
      </c>
      <c r="E1195" s="147">
        <f>188-10*9.4</f>
        <v>94</v>
      </c>
      <c r="F1195" s="147">
        <f>F1194</f>
        <v>53.02579553398057</v>
      </c>
      <c r="G1195" s="147">
        <f t="shared" si="32"/>
        <v>4984.424780194174</v>
      </c>
      <c r="H1195" s="146"/>
      <c r="I1195" s="136"/>
      <c r="J1195" s="136"/>
      <c r="K1195" s="136"/>
      <c r="L1195" s="136"/>
      <c r="M1195" s="136"/>
      <c r="N1195" s="136"/>
      <c r="O1195" s="136"/>
      <c r="P1195" s="136"/>
      <c r="Q1195" s="136"/>
    </row>
    <row r="1196" spans="2:17" ht="14.25">
      <c r="B1196" s="145"/>
      <c r="C1196" s="146" t="s">
        <v>531</v>
      </c>
      <c r="D1196" s="146" t="s">
        <v>365</v>
      </c>
      <c r="E1196" s="147">
        <f>50-10*2.5</f>
        <v>25</v>
      </c>
      <c r="F1196" s="147">
        <v>5</v>
      </c>
      <c r="G1196" s="147">
        <f t="shared" si="32"/>
        <v>125</v>
      </c>
      <c r="H1196" s="146"/>
      <c r="I1196" s="136"/>
      <c r="J1196" s="136"/>
      <c r="K1196" s="136"/>
      <c r="L1196" s="136"/>
      <c r="M1196" s="136"/>
      <c r="N1196" s="136"/>
      <c r="O1196" s="136"/>
      <c r="P1196" s="136"/>
      <c r="Q1196" s="136"/>
    </row>
    <row r="1197" spans="2:17" ht="14.25">
      <c r="B1197" s="145"/>
      <c r="C1197" s="146"/>
      <c r="D1197" s="146"/>
      <c r="E1197" s="147"/>
      <c r="F1197" s="147"/>
      <c r="G1197" s="147"/>
      <c r="H1197" s="146"/>
      <c r="I1197" s="136"/>
      <c r="J1197" s="136"/>
      <c r="K1197" s="136"/>
      <c r="L1197" s="136"/>
      <c r="M1197" s="136"/>
      <c r="N1197" s="136"/>
      <c r="O1197" s="136"/>
      <c r="P1197" s="136"/>
      <c r="Q1197" s="136"/>
    </row>
    <row r="1198" spans="2:17" ht="14.25">
      <c r="B1198" s="145"/>
      <c r="C1198" s="146" t="s">
        <v>404</v>
      </c>
      <c r="D1198" s="146" t="s">
        <v>332</v>
      </c>
      <c r="E1198" s="147">
        <v>0.5</v>
      </c>
      <c r="F1198" s="147">
        <f>SUM(G1194:G1197)</f>
        <v>7734.201659126212</v>
      </c>
      <c r="G1198" s="147">
        <f>F1198*E1198/100</f>
        <v>38.67100829563106</v>
      </c>
      <c r="H1198" s="146"/>
      <c r="I1198" s="136"/>
      <c r="J1198" s="136"/>
      <c r="K1198" s="136"/>
      <c r="L1198" s="136"/>
      <c r="M1198" s="136"/>
      <c r="N1198" s="136"/>
      <c r="O1198" s="136"/>
      <c r="P1198" s="136"/>
      <c r="Q1198" s="136"/>
    </row>
    <row r="1199" spans="2:17" ht="14.25">
      <c r="B1199" s="145">
        <v>3</v>
      </c>
      <c r="C1199" s="146" t="s">
        <v>333</v>
      </c>
      <c r="D1199" s="146"/>
      <c r="E1199" s="147"/>
      <c r="F1199" s="147"/>
      <c r="G1199" s="147">
        <f>SUM(G1200:G1201)</f>
        <v>328.529790412844</v>
      </c>
      <c r="H1199" s="146"/>
      <c r="I1199" s="136"/>
      <c r="J1199" s="136"/>
      <c r="K1199" s="136"/>
      <c r="L1199" s="136"/>
      <c r="M1199" s="136"/>
      <c r="N1199" s="136"/>
      <c r="O1199" s="136"/>
      <c r="P1199" s="136"/>
      <c r="Q1199" s="136"/>
    </row>
    <row r="1200" spans="2:17" ht="14.25">
      <c r="B1200" s="145"/>
      <c r="C1200" s="146" t="s">
        <v>532</v>
      </c>
      <c r="D1200" s="146" t="s">
        <v>335</v>
      </c>
      <c r="E1200" s="147">
        <f>6.57-10*0.15</f>
        <v>5.07</v>
      </c>
      <c r="F1200" s="147">
        <f>'机械台班'!H18</f>
        <v>63.52821100917431</v>
      </c>
      <c r="G1200" s="147">
        <f>F1200*E1200</f>
        <v>322.08802981651377</v>
      </c>
      <c r="H1200" s="146"/>
      <c r="I1200" s="136"/>
      <c r="J1200" s="136"/>
      <c r="K1200" s="136"/>
      <c r="L1200" s="136"/>
      <c r="M1200" s="136"/>
      <c r="N1200" s="136"/>
      <c r="O1200" s="136"/>
      <c r="P1200" s="136"/>
      <c r="Q1200" s="136"/>
    </row>
    <row r="1201" spans="2:17" ht="14.25">
      <c r="B1201" s="145"/>
      <c r="C1201" s="146" t="s">
        <v>370</v>
      </c>
      <c r="D1201" s="146" t="s">
        <v>332</v>
      </c>
      <c r="E1201" s="147">
        <v>2</v>
      </c>
      <c r="F1201" s="147">
        <f>SUM(G1200)</f>
        <v>322.08802981651377</v>
      </c>
      <c r="G1201" s="147">
        <f>F1201*E1201/100</f>
        <v>6.441760596330275</v>
      </c>
      <c r="H1201" s="194"/>
      <c r="I1201" s="136"/>
      <c r="J1201" s="136"/>
      <c r="K1201" s="136"/>
      <c r="L1201" s="136"/>
      <c r="M1201" s="136"/>
      <c r="N1201" s="136"/>
      <c r="O1201" s="136"/>
      <c r="P1201" s="136"/>
      <c r="Q1201" s="136"/>
    </row>
    <row r="1202" spans="2:17" ht="14.25">
      <c r="B1202" s="145" t="s">
        <v>63</v>
      </c>
      <c r="C1202" s="146" t="s">
        <v>336</v>
      </c>
      <c r="D1202" s="162">
        <v>0.048</v>
      </c>
      <c r="E1202" s="147"/>
      <c r="F1202" s="147"/>
      <c r="G1202" s="147">
        <f>G1189*D1202</f>
        <v>432.57323797606495</v>
      </c>
      <c r="H1202" s="146"/>
      <c r="I1202" s="136"/>
      <c r="J1202" s="136"/>
      <c r="K1202" s="136"/>
      <c r="L1202" s="136"/>
      <c r="M1202" s="136"/>
      <c r="N1202" s="136"/>
      <c r="O1202" s="136"/>
      <c r="P1202" s="136"/>
      <c r="Q1202" s="136"/>
    </row>
    <row r="1203" spans="2:17" ht="14.25">
      <c r="B1203" s="145" t="s">
        <v>355</v>
      </c>
      <c r="C1203" s="146" t="s">
        <v>356</v>
      </c>
      <c r="D1203" s="162"/>
      <c r="E1203" s="147"/>
      <c r="F1203" s="147"/>
      <c r="G1203" s="147">
        <f>G1189*D1203</f>
        <v>0</v>
      </c>
      <c r="H1203" s="146"/>
      <c r="I1203" s="136"/>
      <c r="J1203" s="136"/>
      <c r="K1203" s="136"/>
      <c r="L1203" s="136"/>
      <c r="M1203" s="136"/>
      <c r="N1203" s="136"/>
      <c r="O1203" s="136"/>
      <c r="P1203" s="136"/>
      <c r="Q1203" s="136"/>
    </row>
    <row r="1204" spans="2:17" ht="14.25">
      <c r="B1204" s="145" t="s">
        <v>18</v>
      </c>
      <c r="C1204" s="146" t="s">
        <v>337</v>
      </c>
      <c r="D1204" s="198">
        <v>0.0725</v>
      </c>
      <c r="E1204" s="147"/>
      <c r="F1204" s="147"/>
      <c r="G1204" s="147">
        <f>G1188*D1204</f>
        <v>684.7273879462794</v>
      </c>
      <c r="H1204" s="146"/>
      <c r="I1204" s="136"/>
      <c r="J1204" s="136"/>
      <c r="K1204" s="136"/>
      <c r="L1204" s="136"/>
      <c r="M1204" s="136"/>
      <c r="N1204" s="136"/>
      <c r="O1204" s="136"/>
      <c r="P1204" s="136"/>
      <c r="Q1204" s="136"/>
    </row>
    <row r="1205" spans="2:17" ht="14.25">
      <c r="B1205" s="145" t="s">
        <v>20</v>
      </c>
      <c r="C1205" s="146" t="s">
        <v>338</v>
      </c>
      <c r="D1205" s="162">
        <v>0.07</v>
      </c>
      <c r="E1205" s="147"/>
      <c r="F1205" s="147"/>
      <c r="G1205" s="147">
        <f>(G1188+G1204)*D1205</f>
        <v>709.0470158629922</v>
      </c>
      <c r="H1205" s="146"/>
      <c r="I1205" s="136"/>
      <c r="J1205" s="136"/>
      <c r="K1205" s="136"/>
      <c r="L1205" s="136"/>
      <c r="M1205" s="136"/>
      <c r="N1205" s="136"/>
      <c r="O1205" s="136"/>
      <c r="P1205" s="136"/>
      <c r="Q1205" s="136"/>
    </row>
    <row r="1206" spans="2:17" ht="14.25">
      <c r="B1206" s="250" t="s">
        <v>22</v>
      </c>
      <c r="C1206" s="251" t="s">
        <v>339</v>
      </c>
      <c r="D1206" s="162"/>
      <c r="E1206" s="147"/>
      <c r="F1206" s="147"/>
      <c r="G1206" s="147">
        <f>G1207</f>
        <v>125.22899999999998</v>
      </c>
      <c r="H1206" s="146"/>
      <c r="I1206" s="136"/>
      <c r="J1206" s="136"/>
      <c r="K1206" s="136"/>
      <c r="L1206" s="136"/>
      <c r="M1206" s="136"/>
      <c r="N1206" s="136"/>
      <c r="O1206" s="136"/>
      <c r="P1206" s="136"/>
      <c r="Q1206" s="136"/>
    </row>
    <row r="1207" spans="2:17" ht="14.25">
      <c r="B1207" s="145"/>
      <c r="C1207" s="251" t="s">
        <v>304</v>
      </c>
      <c r="D1207" s="252" t="s">
        <v>307</v>
      </c>
      <c r="E1207" s="147">
        <f>E1200*'机械台班'!H13</f>
        <v>32.955</v>
      </c>
      <c r="F1207" s="147">
        <f>'机械台班'!C32</f>
        <v>3.8</v>
      </c>
      <c r="G1207" s="147">
        <f>E1207*F1207</f>
        <v>125.22899999999998</v>
      </c>
      <c r="H1207" s="146"/>
      <c r="I1207" s="136"/>
      <c r="J1207" s="136"/>
      <c r="K1207" s="136"/>
      <c r="L1207" s="136"/>
      <c r="M1207" s="136"/>
      <c r="N1207" s="136"/>
      <c r="O1207" s="136"/>
      <c r="P1207" s="136"/>
      <c r="Q1207" s="136"/>
    </row>
    <row r="1208" spans="2:17" ht="14.25">
      <c r="B1208" s="145" t="s">
        <v>24</v>
      </c>
      <c r="C1208" s="146" t="s">
        <v>435</v>
      </c>
      <c r="D1208" s="152">
        <v>0.09</v>
      </c>
      <c r="E1208" s="147"/>
      <c r="F1208" s="147"/>
      <c r="G1208" s="147">
        <f>(G1188+G1204+G1205+G1206)*D1208</f>
        <v>986.7167189658019</v>
      </c>
      <c r="H1208" s="146"/>
      <c r="I1208" s="136"/>
      <c r="J1208" s="136"/>
      <c r="K1208" s="136"/>
      <c r="L1208" s="136"/>
      <c r="M1208" s="136"/>
      <c r="N1208" s="136"/>
      <c r="O1208" s="136"/>
      <c r="P1208" s="136"/>
      <c r="Q1208" s="136"/>
    </row>
    <row r="1209" spans="2:17" ht="14.25">
      <c r="B1209" s="195"/>
      <c r="C1209" s="146" t="s">
        <v>357</v>
      </c>
      <c r="D1209" s="146"/>
      <c r="E1209" s="147"/>
      <c r="F1209" s="147"/>
      <c r="G1209" s="147">
        <f>(G1188+G1204+G1208+G1205+G1206)</f>
        <v>11950.235818585823</v>
      </c>
      <c r="H1209" s="194"/>
      <c r="I1209" s="136"/>
      <c r="J1209" s="136"/>
      <c r="K1209" s="136"/>
      <c r="L1209" s="136"/>
      <c r="M1209" s="136"/>
      <c r="N1209" s="136"/>
      <c r="O1209" s="136"/>
      <c r="P1209" s="136"/>
      <c r="Q1209" s="136"/>
    </row>
    <row r="1210" spans="2:17" ht="14.25">
      <c r="B1210" s="145" t="s">
        <v>341</v>
      </c>
      <c r="C1210" s="146" t="s">
        <v>342</v>
      </c>
      <c r="D1210" s="153">
        <v>0.03</v>
      </c>
      <c r="E1210" s="147"/>
      <c r="F1210" s="147"/>
      <c r="G1210" s="147">
        <f>G1209*D1210</f>
        <v>358.5070745575747</v>
      </c>
      <c r="H1210" s="194"/>
      <c r="I1210" s="136"/>
      <c r="J1210" s="136"/>
      <c r="K1210" s="136"/>
      <c r="L1210" s="136"/>
      <c r="M1210" s="136"/>
      <c r="N1210" s="136"/>
      <c r="O1210" s="136"/>
      <c r="P1210" s="136"/>
      <c r="Q1210" s="136"/>
    </row>
    <row r="1211" spans="2:17" ht="14.25">
      <c r="B1211" s="195"/>
      <c r="C1211" s="146" t="s">
        <v>343</v>
      </c>
      <c r="D1211" s="194"/>
      <c r="E1211" s="196"/>
      <c r="F1211" s="196"/>
      <c r="G1211" s="147">
        <f>SUM(G1209:G1210)</f>
        <v>12308.742893143397</v>
      </c>
      <c r="H1211" s="194"/>
      <c r="I1211" s="136"/>
      <c r="J1211" s="136"/>
      <c r="K1211" s="136"/>
      <c r="L1211" s="136"/>
      <c r="M1211" s="136"/>
      <c r="N1211" s="136"/>
      <c r="O1211" s="136"/>
      <c r="P1211" s="136"/>
      <c r="Q1211" s="136"/>
    </row>
    <row r="1212" spans="2:17" ht="14.25">
      <c r="B1212" s="136"/>
      <c r="C1212" s="136"/>
      <c r="D1212" s="136"/>
      <c r="E1212" s="136"/>
      <c r="F1212" s="136"/>
      <c r="G1212" s="136"/>
      <c r="H1212" s="136"/>
      <c r="I1212" s="136"/>
      <c r="J1212" s="136"/>
      <c r="K1212" s="136"/>
      <c r="L1212" s="136"/>
      <c r="M1212" s="136"/>
      <c r="N1212" s="136"/>
      <c r="O1212" s="136"/>
      <c r="P1212" s="136"/>
      <c r="Q1212" s="136"/>
    </row>
    <row r="1213" spans="2:17" ht="14.25">
      <c r="B1213" s="136"/>
      <c r="C1213" s="136"/>
      <c r="D1213" s="136"/>
      <c r="E1213" s="136"/>
      <c r="F1213" s="136"/>
      <c r="G1213" s="136"/>
      <c r="H1213" s="136"/>
      <c r="I1213" s="136"/>
      <c r="J1213" s="136"/>
      <c r="K1213" s="136"/>
      <c r="L1213" s="136"/>
      <c r="M1213" s="136"/>
      <c r="N1213" s="136"/>
      <c r="O1213" s="136"/>
      <c r="P1213" s="136"/>
      <c r="Q1213" s="136"/>
    </row>
    <row r="1214" spans="2:17" ht="20.25">
      <c r="B1214" s="138" t="s">
        <v>317</v>
      </c>
      <c r="C1214" s="138"/>
      <c r="D1214" s="138"/>
      <c r="E1214" s="138"/>
      <c r="F1214" s="138"/>
      <c r="G1214" s="138"/>
      <c r="H1214" s="138"/>
      <c r="I1214" s="136"/>
      <c r="J1214" s="136"/>
      <c r="K1214" s="136"/>
      <c r="L1214" s="136"/>
      <c r="M1214" s="136"/>
      <c r="N1214" s="136"/>
      <c r="O1214" s="136"/>
      <c r="P1214" s="136"/>
      <c r="Q1214" s="136"/>
    </row>
    <row r="1215" spans="2:17" ht="14.25">
      <c r="B1215" s="139" t="s">
        <v>533</v>
      </c>
      <c r="C1215" s="139"/>
      <c r="D1215" s="139"/>
      <c r="E1215" s="139"/>
      <c r="F1215" s="139"/>
      <c r="G1215" s="139"/>
      <c r="H1215" s="139"/>
      <c r="I1215" s="136"/>
      <c r="J1215" s="136"/>
      <c r="K1215" s="136"/>
      <c r="L1215" s="136"/>
      <c r="M1215" s="136"/>
      <c r="N1215" s="136"/>
      <c r="O1215" s="136"/>
      <c r="P1215" s="136"/>
      <c r="Q1215" s="136"/>
    </row>
    <row r="1216" spans="2:17" ht="14.25">
      <c r="B1216" s="140" t="s">
        <v>534</v>
      </c>
      <c r="C1216" s="140"/>
      <c r="D1216" s="140"/>
      <c r="E1216" s="140"/>
      <c r="F1216" s="192"/>
      <c r="G1216" s="141" t="s">
        <v>320</v>
      </c>
      <c r="H1216" s="141"/>
      <c r="I1216" s="136"/>
      <c r="J1216" s="136"/>
      <c r="K1216" s="136"/>
      <c r="L1216" s="136"/>
      <c r="M1216" s="136"/>
      <c r="N1216" s="136"/>
      <c r="O1216" s="136"/>
      <c r="P1216" s="136"/>
      <c r="Q1216" s="136"/>
    </row>
    <row r="1217" spans="2:17" ht="14.25">
      <c r="B1217" s="142" t="s">
        <v>360</v>
      </c>
      <c r="C1217" s="143"/>
      <c r="D1217" s="143"/>
      <c r="E1217" s="143"/>
      <c r="F1217" s="143"/>
      <c r="G1217" s="143"/>
      <c r="H1217" s="160"/>
      <c r="I1217" s="136"/>
      <c r="J1217" s="136"/>
      <c r="K1217" s="136"/>
      <c r="L1217" s="136"/>
      <c r="M1217" s="136"/>
      <c r="N1217" s="136"/>
      <c r="O1217" s="136"/>
      <c r="P1217" s="136"/>
      <c r="Q1217" s="136"/>
    </row>
    <row r="1218" spans="2:17" ht="25.5">
      <c r="B1218" s="145" t="s">
        <v>361</v>
      </c>
      <c r="C1218" s="146" t="s">
        <v>322</v>
      </c>
      <c r="D1218" s="146" t="s">
        <v>323</v>
      </c>
      <c r="E1218" s="147" t="s">
        <v>394</v>
      </c>
      <c r="F1218" s="148" t="s">
        <v>325</v>
      </c>
      <c r="G1218" s="148" t="s">
        <v>326</v>
      </c>
      <c r="H1218" s="146" t="s">
        <v>145</v>
      </c>
      <c r="I1218" s="136"/>
      <c r="J1218" s="136"/>
      <c r="K1218" s="136"/>
      <c r="L1218" s="136"/>
      <c r="M1218" s="136"/>
      <c r="N1218" s="136"/>
      <c r="O1218" s="136"/>
      <c r="P1218" s="136"/>
      <c r="Q1218" s="136"/>
    </row>
    <row r="1219" spans="2:17" ht="14.25">
      <c r="B1219" s="145" t="s">
        <v>16</v>
      </c>
      <c r="C1219" s="146" t="s">
        <v>327</v>
      </c>
      <c r="D1219" s="146"/>
      <c r="E1219" s="147"/>
      <c r="F1219" s="147"/>
      <c r="G1219" s="147">
        <f>G1220+G1228+G1229</f>
        <v>2128.9229723999997</v>
      </c>
      <c r="H1219" s="146"/>
      <c r="I1219" s="136"/>
      <c r="J1219" s="136"/>
      <c r="K1219" s="136"/>
      <c r="L1219" s="136"/>
      <c r="M1219" s="136"/>
      <c r="N1219" s="136"/>
      <c r="O1219" s="136"/>
      <c r="P1219" s="136"/>
      <c r="Q1219" s="136"/>
    </row>
    <row r="1220" spans="2:17" ht="14.25">
      <c r="B1220" s="145" t="s">
        <v>39</v>
      </c>
      <c r="C1220" s="146" t="s">
        <v>328</v>
      </c>
      <c r="D1220" s="146"/>
      <c r="E1220" s="147"/>
      <c r="F1220" s="147"/>
      <c r="G1220" s="147">
        <f>G1221+G1224+G1223</f>
        <v>2031.4150499999998</v>
      </c>
      <c r="H1220" s="146"/>
      <c r="I1220" s="136"/>
      <c r="J1220" s="136"/>
      <c r="K1220" s="136"/>
      <c r="L1220" s="136"/>
      <c r="M1220" s="136"/>
      <c r="N1220" s="136"/>
      <c r="O1220" s="136"/>
      <c r="P1220" s="136"/>
      <c r="Q1220" s="136"/>
    </row>
    <row r="1221" spans="2:17" ht="14.25">
      <c r="B1221" s="145">
        <v>1</v>
      </c>
      <c r="C1221" s="146" t="s">
        <v>329</v>
      </c>
      <c r="D1221" s="149"/>
      <c r="E1221" s="147"/>
      <c r="F1221" s="147"/>
      <c r="G1221" s="147">
        <f>SUM(G1222:G1222)</f>
        <v>1934.6809999999998</v>
      </c>
      <c r="H1221" s="146"/>
      <c r="I1221" s="136"/>
      <c r="J1221" s="136"/>
      <c r="K1221" s="136"/>
      <c r="L1221" s="136"/>
      <c r="M1221" s="136"/>
      <c r="N1221" s="136"/>
      <c r="O1221" s="136"/>
      <c r="P1221" s="136"/>
      <c r="Q1221" s="136"/>
    </row>
    <row r="1222" spans="2:17" ht="14.25">
      <c r="B1222" s="145"/>
      <c r="C1222" s="149" t="s">
        <v>330</v>
      </c>
      <c r="D1222" s="149" t="s">
        <v>163</v>
      </c>
      <c r="E1222" s="147">
        <v>335.3</v>
      </c>
      <c r="F1222" s="147">
        <v>5.77</v>
      </c>
      <c r="G1222" s="147">
        <f>F1222*E1222</f>
        <v>1934.6809999999998</v>
      </c>
      <c r="H1222" s="146"/>
      <c r="I1222" s="136"/>
      <c r="J1222" s="136"/>
      <c r="K1222" s="136"/>
      <c r="L1222" s="136"/>
      <c r="M1222" s="136"/>
      <c r="N1222" s="136"/>
      <c r="O1222" s="136"/>
      <c r="P1222" s="136"/>
      <c r="Q1222" s="136"/>
    </row>
    <row r="1223" spans="2:17" ht="14.25">
      <c r="B1223" s="145">
        <v>2</v>
      </c>
      <c r="C1223" s="146" t="s">
        <v>331</v>
      </c>
      <c r="D1223" s="146" t="s">
        <v>332</v>
      </c>
      <c r="E1223" s="147">
        <v>5</v>
      </c>
      <c r="F1223" s="147">
        <f>G1222+G1224</f>
        <v>1934.6809999999998</v>
      </c>
      <c r="G1223" s="147">
        <f>F1223*E1223/100</f>
        <v>96.73404999999998</v>
      </c>
      <c r="H1223" s="146"/>
      <c r="I1223" s="136"/>
      <c r="J1223" s="136"/>
      <c r="K1223" s="136"/>
      <c r="L1223" s="136"/>
      <c r="M1223" s="136"/>
      <c r="N1223" s="136"/>
      <c r="O1223" s="136"/>
      <c r="P1223" s="136"/>
      <c r="Q1223" s="136"/>
    </row>
    <row r="1224" spans="2:17" ht="14.25">
      <c r="B1224" s="145">
        <v>3</v>
      </c>
      <c r="C1224" s="146" t="s">
        <v>333</v>
      </c>
      <c r="D1224" s="146"/>
      <c r="E1224" s="147"/>
      <c r="F1224" s="147"/>
      <c r="G1224" s="147">
        <f>G1225</f>
        <v>0</v>
      </c>
      <c r="H1224" s="146"/>
      <c r="I1224" s="136"/>
      <c r="J1224" s="136"/>
      <c r="K1224" s="136"/>
      <c r="L1224" s="136"/>
      <c r="M1224" s="136"/>
      <c r="N1224" s="136"/>
      <c r="O1224" s="136"/>
      <c r="P1224" s="136"/>
      <c r="Q1224" s="136"/>
    </row>
    <row r="1225" spans="2:17" ht="14.25">
      <c r="B1225" s="145"/>
      <c r="C1225" s="146"/>
      <c r="D1225" s="146"/>
      <c r="E1225" s="147"/>
      <c r="F1225" s="147"/>
      <c r="G1225" s="147"/>
      <c r="H1225" s="146"/>
      <c r="I1225" s="136"/>
      <c r="J1225" s="136"/>
      <c r="K1225" s="136"/>
      <c r="L1225" s="136"/>
      <c r="M1225" s="136"/>
      <c r="N1225" s="136"/>
      <c r="O1225" s="136"/>
      <c r="P1225" s="136"/>
      <c r="Q1225" s="136"/>
    </row>
    <row r="1226" spans="2:17" ht="14.25">
      <c r="B1226" s="145"/>
      <c r="D1226" s="145"/>
      <c r="E1226" s="147"/>
      <c r="F1226" s="147"/>
      <c r="G1226" s="147"/>
      <c r="H1226" s="146"/>
      <c r="I1226" s="136"/>
      <c r="J1226" s="136"/>
      <c r="K1226" s="136"/>
      <c r="L1226" s="136"/>
      <c r="M1226" s="136"/>
      <c r="N1226" s="136"/>
      <c r="O1226" s="136"/>
      <c r="P1226" s="136"/>
      <c r="Q1226" s="136"/>
    </row>
    <row r="1227" spans="2:17" ht="14.25">
      <c r="B1227" s="145"/>
      <c r="C1227" s="193"/>
      <c r="D1227" s="146"/>
      <c r="E1227" s="147"/>
      <c r="F1227" s="147"/>
      <c r="G1227" s="147"/>
      <c r="H1227" s="146"/>
      <c r="I1227" s="136"/>
      <c r="J1227" s="136"/>
      <c r="K1227" s="136"/>
      <c r="L1227" s="136"/>
      <c r="M1227" s="136"/>
      <c r="N1227" s="136"/>
      <c r="O1227" s="136"/>
      <c r="P1227" s="136"/>
      <c r="Q1227" s="136"/>
    </row>
    <row r="1228" spans="2:17" ht="14.25">
      <c r="B1228" s="145" t="s">
        <v>63</v>
      </c>
      <c r="C1228" s="146" t="s">
        <v>336</v>
      </c>
      <c r="D1228" s="150">
        <v>0.048</v>
      </c>
      <c r="E1228" s="147"/>
      <c r="F1228" s="147"/>
      <c r="G1228" s="147">
        <f>G1220*D1228</f>
        <v>97.5079224</v>
      </c>
      <c r="H1228" s="146"/>
      <c r="I1228" s="136"/>
      <c r="J1228" s="136"/>
      <c r="K1228" s="136"/>
      <c r="L1228" s="136"/>
      <c r="M1228" s="136"/>
      <c r="N1228" s="136"/>
      <c r="O1228" s="136"/>
      <c r="P1228" s="136"/>
      <c r="Q1228" s="136"/>
    </row>
    <row r="1229" spans="2:17" ht="14.25">
      <c r="B1229" s="145" t="s">
        <v>355</v>
      </c>
      <c r="C1229" s="146" t="s">
        <v>356</v>
      </c>
      <c r="D1229" s="150"/>
      <c r="E1229" s="147"/>
      <c r="F1229" s="147"/>
      <c r="G1229" s="147">
        <f>G1220*D1229</f>
        <v>0</v>
      </c>
      <c r="H1229" s="146"/>
      <c r="I1229" s="136"/>
      <c r="J1229" s="136"/>
      <c r="K1229" s="136"/>
      <c r="L1229" s="136"/>
      <c r="M1229" s="136"/>
      <c r="N1229" s="136"/>
      <c r="O1229" s="136"/>
      <c r="P1229" s="136"/>
      <c r="Q1229" s="136"/>
    </row>
    <row r="1230" spans="2:17" ht="14.25">
      <c r="B1230" s="145" t="s">
        <v>18</v>
      </c>
      <c r="C1230" s="146" t="s">
        <v>337</v>
      </c>
      <c r="D1230" s="150">
        <v>0.045</v>
      </c>
      <c r="E1230" s="147"/>
      <c r="F1230" s="147"/>
      <c r="G1230" s="147">
        <f>G1219*D1230</f>
        <v>95.80153375799998</v>
      </c>
      <c r="H1230" s="146"/>
      <c r="I1230" s="136"/>
      <c r="J1230" s="136"/>
      <c r="K1230" s="136"/>
      <c r="L1230" s="136"/>
      <c r="M1230" s="136"/>
      <c r="N1230" s="136"/>
      <c r="O1230" s="136"/>
      <c r="P1230" s="136"/>
      <c r="Q1230" s="136"/>
    </row>
    <row r="1231" spans="2:17" ht="14.25">
      <c r="B1231" s="145" t="s">
        <v>20</v>
      </c>
      <c r="C1231" s="146" t="s">
        <v>338</v>
      </c>
      <c r="D1231" s="151">
        <v>0.05</v>
      </c>
      <c r="E1231" s="147"/>
      <c r="F1231" s="147"/>
      <c r="G1231" s="147">
        <f>(G1219+G1230)*D1231</f>
        <v>111.23622530789999</v>
      </c>
      <c r="H1231" s="146"/>
      <c r="I1231" s="136"/>
      <c r="J1231" s="136"/>
      <c r="K1231" s="136"/>
      <c r="L1231" s="136"/>
      <c r="M1231" s="136"/>
      <c r="N1231" s="136"/>
      <c r="O1231" s="136"/>
      <c r="P1231" s="136"/>
      <c r="Q1231" s="136"/>
    </row>
    <row r="1232" spans="2:17" ht="14.25">
      <c r="B1232" s="145" t="s">
        <v>22</v>
      </c>
      <c r="C1232" s="146" t="s">
        <v>339</v>
      </c>
      <c r="D1232" s="152"/>
      <c r="E1232" s="147"/>
      <c r="F1232" s="147"/>
      <c r="G1232" s="147">
        <f>G1233</f>
        <v>0</v>
      </c>
      <c r="H1232" s="146"/>
      <c r="I1232" s="136"/>
      <c r="J1232" s="136"/>
      <c r="K1232" s="136"/>
      <c r="L1232" s="136"/>
      <c r="M1232" s="136"/>
      <c r="N1232" s="136"/>
      <c r="O1232" s="136"/>
      <c r="P1232" s="136"/>
      <c r="Q1232" s="136"/>
    </row>
    <row r="1233" spans="2:17" ht="14.25">
      <c r="B1233" s="145"/>
      <c r="C1233" s="146" t="s">
        <v>304</v>
      </c>
      <c r="D1233" s="152" t="s">
        <v>307</v>
      </c>
      <c r="E1233" s="147"/>
      <c r="F1233" s="147"/>
      <c r="G1233" s="147">
        <f>F1233*E1233</f>
        <v>0</v>
      </c>
      <c r="H1233" s="146"/>
      <c r="I1233" s="136"/>
      <c r="J1233" s="136"/>
      <c r="K1233" s="136"/>
      <c r="L1233" s="136"/>
      <c r="M1233" s="136"/>
      <c r="N1233" s="136"/>
      <c r="O1233" s="136"/>
      <c r="P1233" s="136"/>
      <c r="Q1233" s="136"/>
    </row>
    <row r="1234" spans="2:17" ht="14.25">
      <c r="B1234" s="145" t="s">
        <v>24</v>
      </c>
      <c r="C1234" s="146" t="s">
        <v>340</v>
      </c>
      <c r="D1234" s="152">
        <v>0.09</v>
      </c>
      <c r="E1234" s="147"/>
      <c r="F1234" s="147"/>
      <c r="G1234" s="147">
        <f>(G1219+G1230+G1231+G1232)*D1234</f>
        <v>210.23646583193096</v>
      </c>
      <c r="H1234" s="146"/>
      <c r="I1234" s="136"/>
      <c r="J1234" s="136"/>
      <c r="K1234" s="136"/>
      <c r="L1234" s="136"/>
      <c r="M1234" s="136"/>
      <c r="N1234" s="136"/>
      <c r="O1234" s="136"/>
      <c r="P1234" s="136"/>
      <c r="Q1234" s="136"/>
    </row>
    <row r="1235" spans="2:17" ht="14.25">
      <c r="B1235" s="145"/>
      <c r="C1235" s="146"/>
      <c r="D1235" s="146"/>
      <c r="E1235" s="147"/>
      <c r="F1235" s="147"/>
      <c r="G1235" s="147"/>
      <c r="H1235" s="146"/>
      <c r="I1235" s="136"/>
      <c r="J1235" s="136"/>
      <c r="K1235" s="136"/>
      <c r="L1235" s="136"/>
      <c r="M1235" s="136"/>
      <c r="N1235" s="136"/>
      <c r="O1235" s="136"/>
      <c r="P1235" s="136"/>
      <c r="Q1235" s="136"/>
    </row>
    <row r="1236" spans="2:17" ht="14.25">
      <c r="B1236" s="145"/>
      <c r="C1236" s="146" t="s">
        <v>357</v>
      </c>
      <c r="D1236" s="146"/>
      <c r="E1236" s="147"/>
      <c r="F1236" s="147"/>
      <c r="G1236" s="147">
        <f>G1234+G1232+G1231++G1230+G1219</f>
        <v>2546.197197297831</v>
      </c>
      <c r="H1236" s="146"/>
      <c r="I1236" s="136"/>
      <c r="J1236" s="136"/>
      <c r="K1236" s="136"/>
      <c r="L1236" s="136"/>
      <c r="M1236" s="136"/>
      <c r="N1236" s="136"/>
      <c r="O1236" s="136"/>
      <c r="P1236" s="136"/>
      <c r="Q1236" s="136"/>
    </row>
    <row r="1237" spans="2:17" ht="14.25">
      <c r="B1237" s="145" t="s">
        <v>341</v>
      </c>
      <c r="C1237" s="146" t="s">
        <v>342</v>
      </c>
      <c r="D1237" s="153">
        <v>0.03</v>
      </c>
      <c r="E1237" s="147"/>
      <c r="F1237" s="147"/>
      <c r="G1237" s="147">
        <f>G1236*D1237</f>
        <v>76.38591591893493</v>
      </c>
      <c r="H1237" s="194"/>
      <c r="I1237" s="136"/>
      <c r="J1237" s="136"/>
      <c r="K1237" s="136"/>
      <c r="L1237" s="136"/>
      <c r="M1237" s="136"/>
      <c r="N1237" s="136"/>
      <c r="O1237" s="136"/>
      <c r="P1237" s="136"/>
      <c r="Q1237" s="136"/>
    </row>
    <row r="1238" spans="2:17" ht="14.25">
      <c r="B1238" s="195"/>
      <c r="C1238" s="146" t="s">
        <v>343</v>
      </c>
      <c r="D1238" s="194"/>
      <c r="E1238" s="196"/>
      <c r="F1238" s="196"/>
      <c r="G1238" s="147">
        <f>SUM(G1236:G1237)</f>
        <v>2622.583113216766</v>
      </c>
      <c r="H1238" s="194"/>
      <c r="I1238" s="136"/>
      <c r="J1238" s="136"/>
      <c r="K1238" s="136"/>
      <c r="L1238" s="136"/>
      <c r="M1238" s="136"/>
      <c r="N1238" s="136"/>
      <c r="O1238" s="136"/>
      <c r="P1238" s="136"/>
      <c r="Q1238" s="136"/>
    </row>
    <row r="1239" spans="2:17" ht="14.25">
      <c r="B1239" s="136"/>
      <c r="C1239" s="136"/>
      <c r="D1239" s="136"/>
      <c r="E1239" s="136"/>
      <c r="F1239" s="136"/>
      <c r="G1239" s="136"/>
      <c r="H1239" s="136"/>
      <c r="I1239" s="136"/>
      <c r="J1239" s="136"/>
      <c r="K1239" s="136"/>
      <c r="L1239" s="136"/>
      <c r="M1239" s="136"/>
      <c r="N1239" s="136"/>
      <c r="O1239" s="136"/>
      <c r="P1239" s="136"/>
      <c r="Q1239" s="136"/>
    </row>
    <row r="1240" spans="2:17" ht="20.25">
      <c r="B1240" s="253" t="s">
        <v>317</v>
      </c>
      <c r="C1240" s="253"/>
      <c r="D1240" s="253"/>
      <c r="E1240" s="253"/>
      <c r="F1240" s="253"/>
      <c r="G1240" s="253"/>
      <c r="H1240" s="253"/>
      <c r="I1240" s="136"/>
      <c r="J1240" s="136"/>
      <c r="K1240" s="136"/>
      <c r="L1240" s="136"/>
      <c r="M1240" s="136"/>
      <c r="N1240" s="136"/>
      <c r="O1240" s="136"/>
      <c r="P1240" s="136"/>
      <c r="Q1240" s="136"/>
    </row>
    <row r="1241" spans="2:17" ht="14.25">
      <c r="B1241" s="254" t="s">
        <v>535</v>
      </c>
      <c r="C1241" s="254"/>
      <c r="D1241" s="254"/>
      <c r="E1241" s="254"/>
      <c r="F1241" s="254"/>
      <c r="G1241" s="254"/>
      <c r="H1241" s="254"/>
      <c r="I1241" s="136"/>
      <c r="J1241" s="136"/>
      <c r="K1241" s="136"/>
      <c r="L1241" s="136"/>
      <c r="M1241" s="136"/>
      <c r="N1241" s="136"/>
      <c r="O1241" s="136"/>
      <c r="P1241" s="136"/>
      <c r="Q1241" s="136"/>
    </row>
    <row r="1242" spans="2:17" ht="14.25">
      <c r="B1242" s="255" t="s">
        <v>536</v>
      </c>
      <c r="C1242" s="255"/>
      <c r="D1242" s="255"/>
      <c r="E1242" s="255"/>
      <c r="F1242" s="256"/>
      <c r="G1242" s="257" t="s">
        <v>476</v>
      </c>
      <c r="H1242" s="257"/>
      <c r="I1242" s="136"/>
      <c r="J1242" s="136"/>
      <c r="K1242" s="136"/>
      <c r="L1242" s="136"/>
      <c r="M1242" s="136"/>
      <c r="N1242" s="136"/>
      <c r="O1242" s="136"/>
      <c r="P1242" s="136"/>
      <c r="Q1242" s="136"/>
    </row>
    <row r="1243" spans="2:17" ht="14.25">
      <c r="B1243" s="258" t="s">
        <v>360</v>
      </c>
      <c r="C1243" s="259"/>
      <c r="D1243" s="259"/>
      <c r="E1243" s="259"/>
      <c r="F1243" s="259"/>
      <c r="G1243" s="259"/>
      <c r="H1243" s="260"/>
      <c r="I1243" s="136"/>
      <c r="J1243" s="136"/>
      <c r="K1243" s="136"/>
      <c r="L1243" s="136"/>
      <c r="M1243" s="136"/>
      <c r="N1243" s="136"/>
      <c r="O1243" s="136"/>
      <c r="P1243" s="136"/>
      <c r="Q1243" s="136"/>
    </row>
    <row r="1244" spans="2:17" ht="25.5">
      <c r="B1244" s="261" t="s">
        <v>361</v>
      </c>
      <c r="C1244" s="262" t="s">
        <v>322</v>
      </c>
      <c r="D1244" s="262" t="s">
        <v>323</v>
      </c>
      <c r="E1244" s="263" t="s">
        <v>350</v>
      </c>
      <c r="F1244" s="264" t="s">
        <v>325</v>
      </c>
      <c r="G1244" s="264" t="s">
        <v>326</v>
      </c>
      <c r="H1244" s="262" t="s">
        <v>386</v>
      </c>
      <c r="I1244" s="136"/>
      <c r="J1244" s="136"/>
      <c r="K1244" s="136"/>
      <c r="L1244" s="136"/>
      <c r="M1244" s="136"/>
      <c r="N1244" s="136"/>
      <c r="O1244" s="136"/>
      <c r="P1244" s="136"/>
      <c r="Q1244" s="136"/>
    </row>
    <row r="1245" spans="2:17" ht="14.25">
      <c r="B1245" s="261" t="s">
        <v>16</v>
      </c>
      <c r="C1245" s="262" t="s">
        <v>327</v>
      </c>
      <c r="D1245" s="265"/>
      <c r="E1245" s="263"/>
      <c r="F1245" s="263"/>
      <c r="G1245" s="263">
        <f>G1246+G1254+G1255</f>
        <v>395.41459199999997</v>
      </c>
      <c r="H1245" s="265"/>
      <c r="I1245" s="136"/>
      <c r="J1245" s="136"/>
      <c r="K1245" s="136"/>
      <c r="L1245" s="136"/>
      <c r="M1245" s="136"/>
      <c r="N1245" s="136"/>
      <c r="O1245" s="136"/>
      <c r="P1245" s="136"/>
      <c r="Q1245" s="136"/>
    </row>
    <row r="1246" spans="2:17" ht="14.25">
      <c r="B1246" s="261" t="s">
        <v>39</v>
      </c>
      <c r="C1246" s="262" t="s">
        <v>328</v>
      </c>
      <c r="D1246" s="265"/>
      <c r="E1246" s="263"/>
      <c r="F1246" s="263"/>
      <c r="G1246" s="263">
        <f>G1247+G1250</f>
        <v>377.304</v>
      </c>
      <c r="H1246" s="265"/>
      <c r="I1246" s="136"/>
      <c r="J1246" s="136"/>
      <c r="K1246" s="136"/>
      <c r="L1246" s="136"/>
      <c r="M1246" s="136"/>
      <c r="N1246" s="136"/>
      <c r="O1246" s="136"/>
      <c r="P1246" s="136"/>
      <c r="Q1246" s="136"/>
    </row>
    <row r="1247" spans="2:17" ht="14.25">
      <c r="B1247" s="261">
        <v>1</v>
      </c>
      <c r="C1247" s="262" t="s">
        <v>329</v>
      </c>
      <c r="D1247" s="266"/>
      <c r="E1247" s="263"/>
      <c r="F1247" s="263"/>
      <c r="G1247" s="263">
        <f>SUM(G1248:G1249)</f>
        <v>93.53999999999999</v>
      </c>
      <c r="H1247" s="265"/>
      <c r="I1247" s="136"/>
      <c r="J1247" s="136"/>
      <c r="K1247" s="136"/>
      <c r="L1247" s="136"/>
      <c r="M1247" s="136"/>
      <c r="N1247" s="136"/>
      <c r="O1247" s="136"/>
      <c r="P1247" s="136"/>
      <c r="Q1247" s="136"/>
    </row>
    <row r="1248" spans="2:17" ht="14.25">
      <c r="B1248" s="145"/>
      <c r="C1248" s="149" t="s">
        <v>351</v>
      </c>
      <c r="D1248" s="149" t="s">
        <v>163</v>
      </c>
      <c r="E1248" s="147">
        <v>3</v>
      </c>
      <c r="F1248" s="147">
        <v>8.1</v>
      </c>
      <c r="G1248" s="147">
        <f>F1248*E1248</f>
        <v>24.299999999999997</v>
      </c>
      <c r="H1248" s="194"/>
      <c r="I1248" s="136"/>
      <c r="J1248" s="136"/>
      <c r="K1248" s="136"/>
      <c r="L1248" s="136"/>
      <c r="M1248" s="136"/>
      <c r="N1248" s="136"/>
      <c r="O1248" s="136"/>
      <c r="P1248" s="136"/>
      <c r="Q1248" s="136"/>
    </row>
    <row r="1249" spans="2:17" ht="14.25">
      <c r="B1249" s="145"/>
      <c r="C1249" s="149" t="s">
        <v>330</v>
      </c>
      <c r="D1249" s="149" t="s">
        <v>163</v>
      </c>
      <c r="E1249" s="147">
        <v>12</v>
      </c>
      <c r="F1249" s="147">
        <v>5.77</v>
      </c>
      <c r="G1249" s="147">
        <f>F1249*E1249</f>
        <v>69.24</v>
      </c>
      <c r="H1249" s="194"/>
      <c r="I1249" s="136"/>
      <c r="J1249" s="136"/>
      <c r="K1249" s="136"/>
      <c r="L1249" s="136"/>
      <c r="M1249" s="136"/>
      <c r="N1249" s="136"/>
      <c r="O1249" s="136"/>
      <c r="P1249" s="136"/>
      <c r="Q1249" s="136"/>
    </row>
    <row r="1250" spans="2:17" ht="14.25">
      <c r="B1250" s="145">
        <v>2</v>
      </c>
      <c r="C1250" s="146" t="s">
        <v>373</v>
      </c>
      <c r="D1250" s="194"/>
      <c r="E1250" s="147"/>
      <c r="F1250" s="147"/>
      <c r="G1250" s="147">
        <f>SUM(G1251:G1252)</f>
        <v>283.764</v>
      </c>
      <c r="H1250" s="194"/>
      <c r="I1250" s="136"/>
      <c r="J1250" s="136"/>
      <c r="K1250" s="136"/>
      <c r="L1250" s="136"/>
      <c r="M1250" s="136"/>
      <c r="N1250" s="136"/>
      <c r="O1250" s="136"/>
      <c r="P1250" s="136"/>
      <c r="Q1250" s="136"/>
    </row>
    <row r="1251" spans="2:17" ht="14.25">
      <c r="B1251" s="145"/>
      <c r="C1251" s="146" t="s">
        <v>537</v>
      </c>
      <c r="D1251" s="146" t="s">
        <v>478</v>
      </c>
      <c r="E1251" s="147">
        <v>107</v>
      </c>
      <c r="F1251" s="147">
        <v>2.6</v>
      </c>
      <c r="G1251" s="147">
        <f>F1251*E1251</f>
        <v>278.2</v>
      </c>
      <c r="H1251" s="194"/>
      <c r="I1251" s="136"/>
      <c r="J1251" s="136"/>
      <c r="K1251" s="136"/>
      <c r="L1251" s="136"/>
      <c r="M1251" s="136"/>
      <c r="N1251" s="136"/>
      <c r="O1251" s="136"/>
      <c r="P1251" s="136"/>
      <c r="Q1251" s="136"/>
    </row>
    <row r="1252" spans="2:17" ht="14.25">
      <c r="B1252" s="145"/>
      <c r="C1252" s="146" t="s">
        <v>404</v>
      </c>
      <c r="D1252" s="146" t="s">
        <v>332</v>
      </c>
      <c r="E1252" s="147">
        <v>2</v>
      </c>
      <c r="F1252" s="147">
        <f>G1251</f>
        <v>278.2</v>
      </c>
      <c r="G1252" s="147">
        <f>F1252*E1252/100</f>
        <v>5.564</v>
      </c>
      <c r="H1252" s="194"/>
      <c r="I1252" s="136"/>
      <c r="J1252" s="136"/>
      <c r="K1252" s="136"/>
      <c r="L1252" s="136"/>
      <c r="M1252" s="136"/>
      <c r="N1252" s="136"/>
      <c r="O1252" s="136"/>
      <c r="P1252" s="136"/>
      <c r="Q1252" s="136"/>
    </row>
    <row r="1253" spans="2:17" ht="14.25">
      <c r="B1253" s="145"/>
      <c r="C1253" s="146"/>
      <c r="D1253" s="146"/>
      <c r="E1253" s="147"/>
      <c r="F1253" s="147"/>
      <c r="G1253" s="147"/>
      <c r="H1253" s="194"/>
      <c r="I1253" s="136"/>
      <c r="J1253" s="136"/>
      <c r="K1253" s="136"/>
      <c r="L1253" s="136"/>
      <c r="M1253" s="136"/>
      <c r="N1253" s="136"/>
      <c r="O1253" s="136"/>
      <c r="P1253" s="136"/>
      <c r="Q1253" s="136"/>
    </row>
    <row r="1254" spans="2:17" ht="14.25">
      <c r="B1254" s="145" t="s">
        <v>63</v>
      </c>
      <c r="C1254" s="146" t="s">
        <v>336</v>
      </c>
      <c r="D1254" s="162">
        <v>0.048</v>
      </c>
      <c r="E1254" s="147"/>
      <c r="F1254" s="147"/>
      <c r="G1254" s="147">
        <f>G1246*D1254</f>
        <v>18.110592</v>
      </c>
      <c r="H1254" s="194"/>
      <c r="I1254" s="136"/>
      <c r="J1254" s="136"/>
      <c r="K1254" s="136"/>
      <c r="L1254" s="136"/>
      <c r="M1254" s="136"/>
      <c r="N1254" s="136"/>
      <c r="O1254" s="136"/>
      <c r="P1254" s="136"/>
      <c r="Q1254" s="136"/>
    </row>
    <row r="1255" spans="2:17" ht="14.25">
      <c r="B1255" s="145" t="s">
        <v>355</v>
      </c>
      <c r="C1255" s="146" t="s">
        <v>356</v>
      </c>
      <c r="D1255" s="162"/>
      <c r="E1255" s="147"/>
      <c r="F1255" s="147"/>
      <c r="G1255" s="147">
        <f>G1246*D1255</f>
        <v>0</v>
      </c>
      <c r="H1255" s="194"/>
      <c r="I1255" s="136"/>
      <c r="J1255" s="136"/>
      <c r="K1255" s="136"/>
      <c r="L1255" s="136"/>
      <c r="M1255" s="136"/>
      <c r="N1255" s="136"/>
      <c r="O1255" s="136"/>
      <c r="P1255" s="136"/>
      <c r="Q1255" s="136"/>
    </row>
    <row r="1256" spans="2:17" ht="14.25">
      <c r="B1256" s="145" t="s">
        <v>18</v>
      </c>
      <c r="C1256" s="146" t="s">
        <v>337</v>
      </c>
      <c r="D1256" s="162">
        <v>0.08</v>
      </c>
      <c r="E1256" s="147"/>
      <c r="F1256" s="147"/>
      <c r="G1256" s="147">
        <f>G1245*D1256</f>
        <v>31.633167359999998</v>
      </c>
      <c r="H1256" s="194"/>
      <c r="I1256" s="136"/>
      <c r="J1256" s="136"/>
      <c r="K1256" s="136"/>
      <c r="L1256" s="136"/>
      <c r="M1256" s="136"/>
      <c r="N1256" s="136"/>
      <c r="O1256" s="136"/>
      <c r="P1256" s="136"/>
      <c r="Q1256" s="136"/>
    </row>
    <row r="1257" spans="2:17" ht="14.25">
      <c r="B1257" s="145" t="s">
        <v>20</v>
      </c>
      <c r="C1257" s="146" t="s">
        <v>338</v>
      </c>
      <c r="D1257" s="162">
        <v>0.05</v>
      </c>
      <c r="E1257" s="147"/>
      <c r="F1257" s="147"/>
      <c r="G1257" s="147">
        <f>(G1245+G1256)*D1257</f>
        <v>21.352387968000002</v>
      </c>
      <c r="H1257" s="194"/>
      <c r="I1257" s="136"/>
      <c r="J1257" s="136"/>
      <c r="K1257" s="136"/>
      <c r="L1257" s="136"/>
      <c r="M1257" s="136"/>
      <c r="N1257" s="136"/>
      <c r="O1257" s="136"/>
      <c r="P1257" s="136"/>
      <c r="Q1257" s="136"/>
    </row>
    <row r="1258" spans="2:17" ht="14.25">
      <c r="B1258" s="145" t="s">
        <v>22</v>
      </c>
      <c r="C1258" s="146" t="s">
        <v>339</v>
      </c>
      <c r="D1258" s="152"/>
      <c r="E1258" s="147"/>
      <c r="F1258" s="147"/>
      <c r="G1258" s="147">
        <f>G1259</f>
        <v>0</v>
      </c>
      <c r="H1258" s="194"/>
      <c r="I1258" s="136"/>
      <c r="J1258" s="136"/>
      <c r="K1258" s="136"/>
      <c r="L1258" s="136"/>
      <c r="M1258" s="136"/>
      <c r="N1258" s="136"/>
      <c r="O1258" s="136"/>
      <c r="P1258" s="136"/>
      <c r="Q1258" s="136"/>
    </row>
    <row r="1259" spans="2:17" ht="14.25">
      <c r="B1259" s="145"/>
      <c r="C1259" s="146"/>
      <c r="D1259" s="146"/>
      <c r="E1259" s="147"/>
      <c r="F1259" s="147"/>
      <c r="G1259" s="147">
        <f>F1259*E1259</f>
        <v>0</v>
      </c>
      <c r="H1259" s="194"/>
      <c r="I1259" s="136"/>
      <c r="J1259" s="136"/>
      <c r="K1259" s="136"/>
      <c r="L1259" s="136"/>
      <c r="M1259" s="136"/>
      <c r="N1259" s="136"/>
      <c r="O1259" s="136"/>
      <c r="P1259" s="136"/>
      <c r="Q1259" s="136"/>
    </row>
    <row r="1260" spans="2:17" ht="14.25">
      <c r="B1260" s="145" t="s">
        <v>24</v>
      </c>
      <c r="C1260" s="146" t="s">
        <v>435</v>
      </c>
      <c r="D1260" s="152">
        <v>0.09</v>
      </c>
      <c r="E1260" s="147"/>
      <c r="F1260" s="147"/>
      <c r="G1260" s="147">
        <f>(G1245+G1256+G1257+G1258)*D1260</f>
        <v>40.35601325952</v>
      </c>
      <c r="H1260" s="194"/>
      <c r="I1260" s="136"/>
      <c r="J1260" s="136"/>
      <c r="K1260" s="136"/>
      <c r="L1260" s="136"/>
      <c r="M1260" s="136"/>
      <c r="N1260" s="136"/>
      <c r="O1260" s="136"/>
      <c r="P1260" s="136"/>
      <c r="Q1260" s="136"/>
    </row>
    <row r="1261" spans="2:17" ht="14.25">
      <c r="B1261" s="145"/>
      <c r="C1261" s="146" t="s">
        <v>357</v>
      </c>
      <c r="D1261" s="194"/>
      <c r="E1261" s="147"/>
      <c r="F1261" s="147"/>
      <c r="G1261" s="147">
        <f>G1245++G1256+G1260+G1257+G1258</f>
        <v>488.75616058752</v>
      </c>
      <c r="H1261" s="194"/>
      <c r="I1261" s="136"/>
      <c r="J1261" s="136"/>
      <c r="K1261" s="136"/>
      <c r="L1261" s="136"/>
      <c r="M1261" s="136"/>
      <c r="N1261" s="136"/>
      <c r="O1261" s="136"/>
      <c r="P1261" s="136"/>
      <c r="Q1261" s="136"/>
    </row>
    <row r="1262" spans="2:17" ht="14.25">
      <c r="B1262" s="145" t="s">
        <v>341</v>
      </c>
      <c r="C1262" s="146" t="s">
        <v>342</v>
      </c>
      <c r="D1262" s="153">
        <v>0.03</v>
      </c>
      <c r="E1262" s="147"/>
      <c r="F1262" s="147"/>
      <c r="G1262" s="147">
        <f>G1261*D1262</f>
        <v>14.6626848176256</v>
      </c>
      <c r="H1262" s="194"/>
      <c r="I1262" s="136"/>
      <c r="J1262" s="136"/>
      <c r="K1262" s="136"/>
      <c r="L1262" s="136"/>
      <c r="M1262" s="136"/>
      <c r="N1262" s="136"/>
      <c r="O1262" s="136"/>
      <c r="P1262" s="136"/>
      <c r="Q1262" s="136"/>
    </row>
    <row r="1263" spans="2:17" ht="14.25">
      <c r="B1263" s="195"/>
      <c r="C1263" s="146" t="s">
        <v>343</v>
      </c>
      <c r="D1263" s="194"/>
      <c r="E1263" s="196"/>
      <c r="F1263" s="196"/>
      <c r="G1263" s="147">
        <f>G1261+G1262</f>
        <v>503.4188454051456</v>
      </c>
      <c r="H1263" s="194"/>
      <c r="I1263" s="136"/>
      <c r="J1263" s="136"/>
      <c r="K1263" s="136"/>
      <c r="L1263" s="136"/>
      <c r="M1263" s="136"/>
      <c r="N1263" s="136"/>
      <c r="O1263" s="136"/>
      <c r="P1263" s="136"/>
      <c r="Q1263" s="136"/>
    </row>
    <row r="1264" spans="2:17" ht="14.25">
      <c r="B1264"/>
      <c r="C1264"/>
      <c r="D1264"/>
      <c r="E1264"/>
      <c r="F1264"/>
      <c r="G1264"/>
      <c r="H1264"/>
      <c r="I1264" s="136"/>
      <c r="J1264" s="136"/>
      <c r="K1264" s="136"/>
      <c r="L1264" s="136"/>
      <c r="M1264" s="136"/>
      <c r="N1264" s="136"/>
      <c r="O1264" s="136"/>
      <c r="P1264" s="136"/>
      <c r="Q1264" s="136"/>
    </row>
    <row r="1265" spans="2:17" ht="20.25">
      <c r="B1265" s="138" t="s">
        <v>317</v>
      </c>
      <c r="C1265" s="138"/>
      <c r="D1265" s="138"/>
      <c r="E1265" s="138"/>
      <c r="F1265" s="138"/>
      <c r="G1265" s="138"/>
      <c r="H1265" s="138"/>
      <c r="I1265" s="136"/>
      <c r="J1265" s="136"/>
      <c r="K1265" s="136"/>
      <c r="L1265" s="136"/>
      <c r="M1265" s="136"/>
      <c r="N1265" s="136"/>
      <c r="O1265" s="136"/>
      <c r="P1265" s="136"/>
      <c r="Q1265" s="136"/>
    </row>
    <row r="1266" spans="2:17" ht="14.25">
      <c r="B1266" s="139" t="s">
        <v>538</v>
      </c>
      <c r="C1266" s="139"/>
      <c r="D1266" s="139"/>
      <c r="E1266" s="139"/>
      <c r="F1266" s="139"/>
      <c r="G1266" s="139"/>
      <c r="H1266" s="139"/>
      <c r="I1266" s="136"/>
      <c r="J1266" s="136"/>
      <c r="K1266" s="136"/>
      <c r="L1266" s="136"/>
      <c r="M1266" s="136"/>
      <c r="N1266" s="136"/>
      <c r="O1266" s="136"/>
      <c r="P1266" s="136"/>
      <c r="Q1266" s="136"/>
    </row>
    <row r="1267" spans="2:17" ht="14.25">
      <c r="B1267" s="140" t="s">
        <v>539</v>
      </c>
      <c r="C1267" s="140"/>
      <c r="D1267" s="140"/>
      <c r="E1267" s="140"/>
      <c r="F1267" s="192"/>
      <c r="G1267" s="141" t="s">
        <v>320</v>
      </c>
      <c r="H1267" s="141"/>
      <c r="I1267" s="136"/>
      <c r="J1267" s="136"/>
      <c r="K1267" s="136"/>
      <c r="L1267" s="136"/>
      <c r="M1267" s="136"/>
      <c r="N1267" s="136"/>
      <c r="O1267" s="136"/>
      <c r="P1267" s="136"/>
      <c r="Q1267" s="136"/>
    </row>
    <row r="1268" spans="2:17" ht="14.25">
      <c r="B1268" s="142" t="s">
        <v>360</v>
      </c>
      <c r="C1268" s="143"/>
      <c r="D1268" s="143"/>
      <c r="E1268" s="143"/>
      <c r="F1268" s="143"/>
      <c r="G1268" s="143"/>
      <c r="H1268" s="160"/>
      <c r="I1268" s="136"/>
      <c r="J1268" s="136"/>
      <c r="K1268" s="136"/>
      <c r="L1268" s="136"/>
      <c r="M1268" s="136"/>
      <c r="N1268" s="136"/>
      <c r="O1268" s="136"/>
      <c r="P1268" s="136"/>
      <c r="Q1268" s="136"/>
    </row>
    <row r="1269" spans="2:17" ht="25.5">
      <c r="B1269" s="145" t="s">
        <v>361</v>
      </c>
      <c r="C1269" s="146" t="s">
        <v>322</v>
      </c>
      <c r="D1269" s="146" t="s">
        <v>323</v>
      </c>
      <c r="E1269" s="147" t="s">
        <v>394</v>
      </c>
      <c r="F1269" s="148" t="s">
        <v>325</v>
      </c>
      <c r="G1269" s="148" t="s">
        <v>326</v>
      </c>
      <c r="H1269" s="146" t="s">
        <v>145</v>
      </c>
      <c r="I1269" s="136"/>
      <c r="J1269" s="136"/>
      <c r="K1269" s="136"/>
      <c r="L1269" s="136"/>
      <c r="M1269" s="136"/>
      <c r="N1269" s="136"/>
      <c r="O1269" s="136"/>
      <c r="P1269" s="136"/>
      <c r="Q1269" s="136"/>
    </row>
    <row r="1270" spans="2:17" ht="14.25">
      <c r="B1270" s="145" t="s">
        <v>16</v>
      </c>
      <c r="C1270" s="146" t="s">
        <v>327</v>
      </c>
      <c r="D1270" s="146"/>
      <c r="E1270" s="147"/>
      <c r="F1270" s="147"/>
      <c r="G1270" s="147">
        <f>G1271+G1277+G1278</f>
        <v>1879.0981228799997</v>
      </c>
      <c r="H1270" s="146"/>
      <c r="I1270" s="136"/>
      <c r="J1270" s="136"/>
      <c r="K1270" s="136"/>
      <c r="L1270" s="136"/>
      <c r="M1270" s="136"/>
      <c r="N1270" s="136"/>
      <c r="O1270" s="136"/>
      <c r="P1270" s="136"/>
      <c r="Q1270" s="136"/>
    </row>
    <row r="1271" spans="2:17" ht="14.25">
      <c r="B1271" s="145" t="s">
        <v>39</v>
      </c>
      <c r="C1271" s="146" t="s">
        <v>328</v>
      </c>
      <c r="D1271" s="146"/>
      <c r="E1271" s="147"/>
      <c r="F1271" s="147"/>
      <c r="G1271" s="147">
        <f>G1272+G1276+G1275</f>
        <v>1793.0325599999996</v>
      </c>
      <c r="H1271" s="146"/>
      <c r="I1271" s="136"/>
      <c r="J1271" s="136"/>
      <c r="K1271" s="136"/>
      <c r="L1271" s="136"/>
      <c r="M1271" s="136"/>
      <c r="N1271" s="136"/>
      <c r="O1271" s="136"/>
      <c r="P1271" s="136"/>
      <c r="Q1271" s="136"/>
    </row>
    <row r="1272" spans="2:17" ht="14.25">
      <c r="B1272" s="145">
        <v>1</v>
      </c>
      <c r="C1272" s="146" t="s">
        <v>329</v>
      </c>
      <c r="D1272" s="149"/>
      <c r="E1272" s="147"/>
      <c r="F1272" s="147"/>
      <c r="G1272" s="147">
        <f>SUM(G1273:G1274)</f>
        <v>1758.8279999999997</v>
      </c>
      <c r="H1272" s="146"/>
      <c r="I1272" s="136"/>
      <c r="J1272" s="136"/>
      <c r="K1272" s="136"/>
      <c r="L1272" s="136"/>
      <c r="M1272" s="136"/>
      <c r="N1272" s="136"/>
      <c r="O1272" s="136"/>
      <c r="P1272" s="136"/>
      <c r="Q1272" s="136"/>
    </row>
    <row r="1273" spans="2:17" ht="14.25">
      <c r="B1273" s="145"/>
      <c r="C1273" s="146" t="s">
        <v>351</v>
      </c>
      <c r="D1273" s="149" t="s">
        <v>163</v>
      </c>
      <c r="E1273" s="147">
        <f>6</f>
        <v>6</v>
      </c>
      <c r="F1273" s="147">
        <v>8.1</v>
      </c>
      <c r="G1273" s="147">
        <f>E1273*F1273</f>
        <v>48.599999999999994</v>
      </c>
      <c r="H1273" s="146"/>
      <c r="I1273" s="136"/>
      <c r="J1273" s="136"/>
      <c r="K1273" s="136"/>
      <c r="L1273" s="136"/>
      <c r="M1273" s="136"/>
      <c r="N1273" s="136"/>
      <c r="O1273" s="136"/>
      <c r="P1273" s="136"/>
      <c r="Q1273" s="136"/>
    </row>
    <row r="1274" spans="2:17" ht="14.25">
      <c r="B1274" s="145"/>
      <c r="C1274" s="149" t="s">
        <v>330</v>
      </c>
      <c r="D1274" s="149" t="s">
        <v>163</v>
      </c>
      <c r="E1274" s="147">
        <v>296.4</v>
      </c>
      <c r="F1274" s="147">
        <v>5.77</v>
      </c>
      <c r="G1274" s="147">
        <f>F1274*E1274</f>
        <v>1710.2279999999998</v>
      </c>
      <c r="H1274" s="146"/>
      <c r="I1274" s="136"/>
      <c r="J1274" s="136"/>
      <c r="K1274" s="136"/>
      <c r="L1274" s="136"/>
      <c r="M1274" s="136"/>
      <c r="N1274" s="136"/>
      <c r="O1274" s="136"/>
      <c r="P1274" s="136"/>
      <c r="Q1274" s="136"/>
    </row>
    <row r="1275" spans="2:17" ht="14.25">
      <c r="B1275" s="145">
        <v>2</v>
      </c>
      <c r="C1275" s="146" t="s">
        <v>331</v>
      </c>
      <c r="D1275" s="146" t="s">
        <v>332</v>
      </c>
      <c r="E1275" s="147">
        <v>2</v>
      </c>
      <c r="F1275" s="147">
        <f>G1274+G1276</f>
        <v>1710.2279999999998</v>
      </c>
      <c r="G1275" s="147">
        <f>F1275*E1275/100</f>
        <v>34.204559999999994</v>
      </c>
      <c r="H1275" s="146"/>
      <c r="I1275" s="136"/>
      <c r="J1275" s="136"/>
      <c r="K1275" s="136"/>
      <c r="L1275" s="136"/>
      <c r="M1275" s="136"/>
      <c r="N1275" s="136"/>
      <c r="O1275" s="136"/>
      <c r="P1275" s="136"/>
      <c r="Q1275" s="136"/>
    </row>
    <row r="1276" spans="2:17" ht="14.25">
      <c r="B1276" s="145">
        <v>3</v>
      </c>
      <c r="C1276" s="146" t="s">
        <v>333</v>
      </c>
      <c r="D1276" s="146"/>
      <c r="E1276" s="147"/>
      <c r="F1276" s="147"/>
      <c r="G1276" s="147">
        <v>0</v>
      </c>
      <c r="H1276" s="146"/>
      <c r="I1276" s="136"/>
      <c r="J1276" s="136"/>
      <c r="K1276" s="136"/>
      <c r="L1276" s="136"/>
      <c r="M1276" s="136"/>
      <c r="N1276" s="136"/>
      <c r="O1276" s="136"/>
      <c r="P1276" s="136"/>
      <c r="Q1276" s="136"/>
    </row>
    <row r="1277" spans="2:17" ht="14.25">
      <c r="B1277" s="145" t="s">
        <v>63</v>
      </c>
      <c r="C1277" s="146" t="s">
        <v>336</v>
      </c>
      <c r="D1277" s="150">
        <v>0.048</v>
      </c>
      <c r="E1277" s="147"/>
      <c r="F1277" s="147"/>
      <c r="G1277" s="147">
        <f>G1271*D1277</f>
        <v>86.06556287999999</v>
      </c>
      <c r="H1277" s="146"/>
      <c r="I1277" s="136"/>
      <c r="J1277" s="136"/>
      <c r="K1277" s="136"/>
      <c r="L1277" s="136"/>
      <c r="M1277" s="136"/>
      <c r="N1277" s="136"/>
      <c r="O1277" s="136"/>
      <c r="P1277" s="136"/>
      <c r="Q1277" s="136"/>
    </row>
    <row r="1278" spans="2:17" ht="14.25">
      <c r="B1278" s="145" t="s">
        <v>355</v>
      </c>
      <c r="C1278" s="146" t="s">
        <v>356</v>
      </c>
      <c r="D1278" s="150"/>
      <c r="E1278" s="147"/>
      <c r="F1278" s="147"/>
      <c r="G1278" s="147">
        <f>G1271*D1278</f>
        <v>0</v>
      </c>
      <c r="H1278" s="146"/>
      <c r="I1278" s="136"/>
      <c r="J1278" s="136"/>
      <c r="K1278" s="136"/>
      <c r="L1278" s="136"/>
      <c r="M1278" s="136"/>
      <c r="N1278" s="136"/>
      <c r="O1278" s="136"/>
      <c r="P1278" s="136"/>
      <c r="Q1278" s="136"/>
    </row>
    <row r="1279" spans="2:17" ht="14.25">
      <c r="B1279" s="145" t="s">
        <v>18</v>
      </c>
      <c r="C1279" s="146" t="s">
        <v>337</v>
      </c>
      <c r="D1279" s="150">
        <v>0.045</v>
      </c>
      <c r="E1279" s="147"/>
      <c r="F1279" s="147"/>
      <c r="G1279" s="147">
        <f>G1270*D1279</f>
        <v>84.55941552959999</v>
      </c>
      <c r="H1279" s="146"/>
      <c r="I1279" s="136"/>
      <c r="J1279" s="136"/>
      <c r="K1279" s="136"/>
      <c r="L1279" s="136"/>
      <c r="M1279" s="136"/>
      <c r="N1279" s="136"/>
      <c r="O1279" s="136"/>
      <c r="P1279" s="136"/>
      <c r="Q1279" s="136"/>
    </row>
    <row r="1280" spans="2:17" ht="14.25">
      <c r="B1280" s="145" t="s">
        <v>20</v>
      </c>
      <c r="C1280" s="146" t="s">
        <v>338</v>
      </c>
      <c r="D1280" s="151">
        <v>0.05</v>
      </c>
      <c r="E1280" s="147"/>
      <c r="F1280" s="147"/>
      <c r="G1280" s="147">
        <f>(G1270+G1279)*D1280</f>
        <v>98.18287692048</v>
      </c>
      <c r="H1280" s="146"/>
      <c r="I1280" s="136"/>
      <c r="J1280" s="136"/>
      <c r="K1280" s="136"/>
      <c r="L1280" s="136"/>
      <c r="M1280" s="136"/>
      <c r="N1280" s="136"/>
      <c r="O1280" s="136"/>
      <c r="P1280" s="136"/>
      <c r="Q1280" s="136"/>
    </row>
    <row r="1281" spans="2:17" ht="14.25">
      <c r="B1281" s="145" t="s">
        <v>22</v>
      </c>
      <c r="C1281" s="146" t="s">
        <v>339</v>
      </c>
      <c r="D1281" s="152"/>
      <c r="E1281" s="147"/>
      <c r="F1281" s="147"/>
      <c r="G1281" s="147">
        <f>G1282</f>
        <v>0</v>
      </c>
      <c r="H1281" s="146"/>
      <c r="I1281" s="136"/>
      <c r="J1281" s="136"/>
      <c r="K1281" s="136"/>
      <c r="L1281" s="136"/>
      <c r="M1281" s="136"/>
      <c r="N1281" s="136"/>
      <c r="O1281" s="136"/>
      <c r="P1281" s="136"/>
      <c r="Q1281" s="136"/>
    </row>
    <row r="1282" spans="2:17" ht="14.25">
      <c r="B1282" s="145"/>
      <c r="C1282" s="146" t="s">
        <v>304</v>
      </c>
      <c r="D1282" s="152" t="s">
        <v>307</v>
      </c>
      <c r="E1282" s="147"/>
      <c r="F1282" s="147"/>
      <c r="G1282" s="147">
        <f>F1282*E1282</f>
        <v>0</v>
      </c>
      <c r="H1282" s="146"/>
      <c r="I1282" s="136"/>
      <c r="J1282" s="136"/>
      <c r="K1282" s="136"/>
      <c r="L1282" s="136"/>
      <c r="M1282" s="136"/>
      <c r="N1282" s="136"/>
      <c r="O1282" s="136"/>
      <c r="P1282" s="136"/>
      <c r="Q1282" s="136"/>
    </row>
    <row r="1283" spans="2:17" ht="14.25">
      <c r="B1283" s="145" t="s">
        <v>24</v>
      </c>
      <c r="C1283" s="146" t="s">
        <v>340</v>
      </c>
      <c r="D1283" s="152">
        <v>0.09</v>
      </c>
      <c r="E1283" s="147"/>
      <c r="F1283" s="147"/>
      <c r="G1283" s="147">
        <f>(G1270+G1279+G1280+G1281)*D1283</f>
        <v>185.56563737970717</v>
      </c>
      <c r="H1283" s="146"/>
      <c r="I1283" s="136"/>
      <c r="J1283" s="136"/>
      <c r="K1283" s="136"/>
      <c r="L1283" s="136"/>
      <c r="M1283" s="136"/>
      <c r="N1283" s="136"/>
      <c r="O1283" s="136"/>
      <c r="P1283" s="136"/>
      <c r="Q1283" s="136"/>
    </row>
    <row r="1284" spans="2:17" ht="14.25">
      <c r="B1284" s="145"/>
      <c r="C1284" s="146"/>
      <c r="D1284" s="146"/>
      <c r="E1284" s="147"/>
      <c r="F1284" s="147"/>
      <c r="G1284" s="147"/>
      <c r="H1284" s="146"/>
      <c r="I1284" s="136"/>
      <c r="J1284" s="136"/>
      <c r="K1284" s="136"/>
      <c r="L1284" s="136"/>
      <c r="M1284" s="136"/>
      <c r="N1284" s="136"/>
      <c r="O1284" s="136"/>
      <c r="P1284" s="136"/>
      <c r="Q1284" s="136"/>
    </row>
    <row r="1285" spans="2:17" ht="14.25">
      <c r="B1285" s="145"/>
      <c r="C1285" s="146" t="s">
        <v>357</v>
      </c>
      <c r="D1285" s="146"/>
      <c r="E1285" s="147"/>
      <c r="F1285" s="147"/>
      <c r="G1285" s="147">
        <f>G1283+G1281+G1280++G1279+G1270</f>
        <v>2247.4060527097868</v>
      </c>
      <c r="H1285" s="146"/>
      <c r="I1285" s="136"/>
      <c r="J1285" s="136"/>
      <c r="K1285" s="136"/>
      <c r="L1285" s="136"/>
      <c r="M1285" s="136"/>
      <c r="N1285" s="136"/>
      <c r="O1285" s="136"/>
      <c r="P1285" s="136"/>
      <c r="Q1285" s="136"/>
    </row>
    <row r="1286" spans="2:17" ht="14.25">
      <c r="B1286" s="145" t="s">
        <v>341</v>
      </c>
      <c r="C1286" s="146" t="s">
        <v>342</v>
      </c>
      <c r="D1286" s="153">
        <v>0.03</v>
      </c>
      <c r="E1286" s="147"/>
      <c r="F1286" s="147"/>
      <c r="G1286" s="147">
        <f>G1285*D1286</f>
        <v>67.4221815812936</v>
      </c>
      <c r="H1286" s="194"/>
      <c r="I1286" s="136"/>
      <c r="J1286" s="136"/>
      <c r="K1286" s="136"/>
      <c r="L1286" s="136"/>
      <c r="M1286" s="136"/>
      <c r="N1286" s="136"/>
      <c r="O1286" s="136"/>
      <c r="P1286" s="136"/>
      <c r="Q1286" s="136"/>
    </row>
    <row r="1287" spans="2:17" ht="14.25">
      <c r="B1287" s="195"/>
      <c r="C1287" s="146" t="s">
        <v>343</v>
      </c>
      <c r="D1287" s="194"/>
      <c r="E1287" s="196"/>
      <c r="F1287" s="196"/>
      <c r="G1287" s="147">
        <f>SUM(G1285:G1286)</f>
        <v>2314.82823429108</v>
      </c>
      <c r="H1287" s="194"/>
      <c r="I1287" s="136"/>
      <c r="J1287" s="136"/>
      <c r="K1287" s="136"/>
      <c r="L1287" s="136"/>
      <c r="M1287" s="136"/>
      <c r="N1287" s="136"/>
      <c r="O1287" s="136"/>
      <c r="P1287" s="136"/>
      <c r="Q1287" s="136"/>
    </row>
    <row r="1288" spans="2:17" ht="14.25">
      <c r="B1288" s="136"/>
      <c r="C1288" s="136"/>
      <c r="D1288" s="136"/>
      <c r="E1288" s="136"/>
      <c r="F1288" s="136"/>
      <c r="G1288" s="136"/>
      <c r="H1288" s="136"/>
      <c r="I1288" s="136"/>
      <c r="J1288" s="136"/>
      <c r="K1288" s="136"/>
      <c r="L1288" s="136"/>
      <c r="M1288" s="136"/>
      <c r="N1288" s="136"/>
      <c r="O1288" s="136"/>
      <c r="P1288" s="136"/>
      <c r="Q1288" s="136"/>
    </row>
    <row r="1289" spans="2:17" ht="14.25">
      <c r="B1289" s="267" t="s">
        <v>317</v>
      </c>
      <c r="C1289" s="267"/>
      <c r="D1289" s="267"/>
      <c r="E1289" s="267"/>
      <c r="F1289" s="267"/>
      <c r="G1289" s="267"/>
      <c r="H1289" s="267"/>
      <c r="I1289" s="136"/>
      <c r="J1289" s="136"/>
      <c r="K1289" s="136"/>
      <c r="L1289" s="136"/>
      <c r="M1289" s="136"/>
      <c r="N1289" s="136"/>
      <c r="O1289" s="136"/>
      <c r="P1289" s="136"/>
      <c r="Q1289" s="136"/>
    </row>
    <row r="1290" spans="2:17" ht="14.25">
      <c r="B1290" s="268" t="s">
        <v>540</v>
      </c>
      <c r="C1290" s="268"/>
      <c r="D1290" s="268"/>
      <c r="E1290" s="268"/>
      <c r="F1290" s="268"/>
      <c r="G1290" s="268"/>
      <c r="H1290" s="268"/>
      <c r="I1290" s="136"/>
      <c r="J1290" s="136"/>
      <c r="K1290" s="136"/>
      <c r="L1290" s="136"/>
      <c r="M1290" s="136"/>
      <c r="N1290" s="136"/>
      <c r="O1290" s="136"/>
      <c r="P1290" s="136"/>
      <c r="Q1290" s="136"/>
    </row>
    <row r="1291" spans="2:17" ht="14.25">
      <c r="B1291" s="269" t="s">
        <v>446</v>
      </c>
      <c r="C1291" s="269"/>
      <c r="D1291" s="269"/>
      <c r="E1291" s="269"/>
      <c r="F1291" s="270"/>
      <c r="G1291" s="271" t="s">
        <v>541</v>
      </c>
      <c r="H1291" s="271"/>
      <c r="I1291" s="136"/>
      <c r="J1291" s="136"/>
      <c r="K1291" s="136"/>
      <c r="L1291" s="136"/>
      <c r="M1291" s="136"/>
      <c r="N1291" s="136"/>
      <c r="O1291" s="136"/>
      <c r="P1291" s="136"/>
      <c r="Q1291" s="136"/>
    </row>
    <row r="1292" spans="2:17" ht="14.25">
      <c r="B1292" s="272" t="s">
        <v>542</v>
      </c>
      <c r="C1292" s="272"/>
      <c r="D1292" s="272"/>
      <c r="E1292" s="273"/>
      <c r="F1292" s="272"/>
      <c r="G1292" s="272"/>
      <c r="H1292" s="272"/>
      <c r="I1292" s="136"/>
      <c r="J1292" s="136"/>
      <c r="K1292" s="136"/>
      <c r="L1292" s="136"/>
      <c r="M1292" s="136"/>
      <c r="N1292" s="136"/>
      <c r="O1292" s="136"/>
      <c r="P1292" s="136"/>
      <c r="Q1292" s="136"/>
    </row>
    <row r="1293" spans="2:17" ht="14.25">
      <c r="B1293" s="274" t="s">
        <v>31</v>
      </c>
      <c r="C1293" s="274" t="s">
        <v>190</v>
      </c>
      <c r="D1293" s="274" t="s">
        <v>33</v>
      </c>
      <c r="E1293" s="274" t="s">
        <v>34</v>
      </c>
      <c r="F1293" s="275" t="s">
        <v>543</v>
      </c>
      <c r="G1293" s="275" t="s">
        <v>544</v>
      </c>
      <c r="H1293" s="274" t="s">
        <v>386</v>
      </c>
      <c r="I1293" s="136"/>
      <c r="J1293" s="136"/>
      <c r="K1293" s="136"/>
      <c r="L1293" s="136"/>
      <c r="M1293" s="136"/>
      <c r="N1293" s="136"/>
      <c r="O1293" s="136"/>
      <c r="P1293" s="136"/>
      <c r="Q1293" s="136"/>
    </row>
    <row r="1294" spans="2:17" ht="14.25">
      <c r="B1294" s="274" t="s">
        <v>16</v>
      </c>
      <c r="C1294" s="274" t="s">
        <v>328</v>
      </c>
      <c r="D1294" s="276"/>
      <c r="E1294" s="274"/>
      <c r="F1294" s="274"/>
      <c r="G1294" s="277">
        <f>G1295+G1312</f>
        <v>46723.72057421477</v>
      </c>
      <c r="H1294" s="274"/>
      <c r="I1294" s="136"/>
      <c r="J1294" s="136"/>
      <c r="K1294" s="136"/>
      <c r="L1294" s="136"/>
      <c r="M1294" s="136"/>
      <c r="N1294" s="136"/>
      <c r="O1294" s="136"/>
      <c r="P1294" s="136"/>
      <c r="Q1294" s="136"/>
    </row>
    <row r="1295" spans="2:17" ht="14.25">
      <c r="B1295" s="274" t="s">
        <v>39</v>
      </c>
      <c r="C1295" s="274" t="s">
        <v>511</v>
      </c>
      <c r="D1295" s="276"/>
      <c r="E1295" s="274"/>
      <c r="F1295" s="274"/>
      <c r="G1295" s="277">
        <f>G1296+G1299+G1306</f>
        <v>44583.70283799119</v>
      </c>
      <c r="H1295" s="274"/>
      <c r="I1295" s="136"/>
      <c r="J1295" s="136"/>
      <c r="K1295" s="136"/>
      <c r="L1295" s="136"/>
      <c r="M1295" s="136"/>
      <c r="N1295" s="136"/>
      <c r="O1295" s="136"/>
      <c r="P1295" s="136"/>
      <c r="Q1295" s="136"/>
    </row>
    <row r="1296" spans="2:17" ht="14.25">
      <c r="B1296" s="274">
        <v>1</v>
      </c>
      <c r="C1296" s="274" t="s">
        <v>329</v>
      </c>
      <c r="D1296" s="278"/>
      <c r="E1296" s="274"/>
      <c r="F1296" s="279"/>
      <c r="G1296" s="277">
        <f>SUM(G1297:G1298)</f>
        <v>16572.418</v>
      </c>
      <c r="H1296" s="274"/>
      <c r="I1296" s="136"/>
      <c r="J1296" s="136"/>
      <c r="K1296" s="136"/>
      <c r="L1296" s="136"/>
      <c r="M1296" s="136"/>
      <c r="N1296" s="136"/>
      <c r="O1296" s="136"/>
      <c r="P1296" s="136"/>
      <c r="Q1296" s="136"/>
    </row>
    <row r="1297" spans="2:17" ht="14.25">
      <c r="B1297" s="274"/>
      <c r="C1297" s="278" t="s">
        <v>351</v>
      </c>
      <c r="D1297" s="278" t="s">
        <v>163</v>
      </c>
      <c r="E1297" s="274">
        <v>1549.9</v>
      </c>
      <c r="F1297" s="274">
        <v>8.1</v>
      </c>
      <c r="G1297" s="277">
        <f aca="true" t="shared" si="33" ref="G1297:G1304">F1297*E1297</f>
        <v>12554.19</v>
      </c>
      <c r="H1297" s="274"/>
      <c r="I1297" s="136"/>
      <c r="J1297" s="136"/>
      <c r="K1297" s="136"/>
      <c r="L1297" s="136"/>
      <c r="M1297" s="136"/>
      <c r="N1297" s="136"/>
      <c r="O1297" s="136"/>
      <c r="P1297" s="136"/>
      <c r="Q1297" s="136"/>
    </row>
    <row r="1298" spans="2:17" ht="14.25">
      <c r="B1298" s="274"/>
      <c r="C1298" s="278" t="s">
        <v>330</v>
      </c>
      <c r="D1298" s="278" t="s">
        <v>163</v>
      </c>
      <c r="E1298" s="274">
        <v>696.4</v>
      </c>
      <c r="F1298" s="274">
        <v>5.77</v>
      </c>
      <c r="G1298" s="277">
        <f t="shared" si="33"/>
        <v>4018.2279999999996</v>
      </c>
      <c r="H1298" s="274"/>
      <c r="I1298" s="136"/>
      <c r="J1298" s="136"/>
      <c r="K1298" s="136"/>
      <c r="L1298" s="136"/>
      <c r="M1298" s="136"/>
      <c r="N1298" s="136"/>
      <c r="O1298" s="136"/>
      <c r="P1298" s="136"/>
      <c r="Q1298" s="136"/>
    </row>
    <row r="1299" spans="2:17" ht="14.25">
      <c r="B1299" s="274">
        <v>2</v>
      </c>
      <c r="C1299" s="274" t="s">
        <v>373</v>
      </c>
      <c r="D1299" s="276"/>
      <c r="E1299" s="274"/>
      <c r="F1299" s="274"/>
      <c r="G1299" s="277">
        <f>SUM(G1300:G1305)</f>
        <v>24892.522453560006</v>
      </c>
      <c r="H1299" s="274"/>
      <c r="I1299" s="136"/>
      <c r="J1299" s="136"/>
      <c r="K1299" s="136"/>
      <c r="L1299" s="136"/>
      <c r="M1299" s="136"/>
      <c r="N1299" s="136"/>
      <c r="O1299" s="136"/>
      <c r="P1299" s="136"/>
      <c r="Q1299" s="136"/>
    </row>
    <row r="1300" spans="2:17" ht="14.25">
      <c r="B1300" s="274"/>
      <c r="C1300" s="274" t="s">
        <v>411</v>
      </c>
      <c r="D1300" s="274" t="s">
        <v>307</v>
      </c>
      <c r="E1300" s="274">
        <v>2.76</v>
      </c>
      <c r="F1300" s="280">
        <f>'单价分析'!L12</f>
        <v>1789.6725</v>
      </c>
      <c r="G1300" s="277">
        <f t="shared" si="33"/>
        <v>4939.496099999999</v>
      </c>
      <c r="H1300" s="274"/>
      <c r="I1300" s="136"/>
      <c r="J1300" s="136"/>
      <c r="K1300" s="136"/>
      <c r="L1300" s="136"/>
      <c r="M1300" s="136"/>
      <c r="N1300" s="136"/>
      <c r="O1300" s="136"/>
      <c r="P1300" s="136"/>
      <c r="Q1300" s="136"/>
    </row>
    <row r="1301" spans="2:17" ht="14.25">
      <c r="B1301" s="281"/>
      <c r="C1301" s="274" t="s">
        <v>312</v>
      </c>
      <c r="D1301" s="274" t="s">
        <v>403</v>
      </c>
      <c r="E1301" s="274"/>
      <c r="F1301" s="279">
        <f>'机械台班'!D40</f>
        <v>5.6</v>
      </c>
      <c r="G1301" s="277">
        <f t="shared" si="33"/>
        <v>0</v>
      </c>
      <c r="H1301" s="274"/>
      <c r="I1301" s="136"/>
      <c r="J1301" s="136"/>
      <c r="K1301" s="136"/>
      <c r="L1301" s="136"/>
      <c r="M1301" s="136"/>
      <c r="N1301" s="136"/>
      <c r="O1301" s="136"/>
      <c r="P1301" s="136"/>
      <c r="Q1301" s="136"/>
    </row>
    <row r="1302" spans="2:17" ht="14.25">
      <c r="B1302" s="281"/>
      <c r="C1302" s="274" t="s">
        <v>545</v>
      </c>
      <c r="D1302" s="274" t="s">
        <v>546</v>
      </c>
      <c r="E1302" s="274">
        <v>10</v>
      </c>
      <c r="F1302" s="279">
        <f>'机械台班'!D42</f>
        <v>7</v>
      </c>
      <c r="G1302" s="277">
        <f t="shared" si="33"/>
        <v>70</v>
      </c>
      <c r="H1302" s="274"/>
      <c r="I1302" s="136"/>
      <c r="J1302" s="136"/>
      <c r="K1302" s="136"/>
      <c r="L1302" s="136"/>
      <c r="M1302" s="136"/>
      <c r="N1302" s="136"/>
      <c r="O1302" s="136"/>
      <c r="P1302" s="136"/>
      <c r="Q1302" s="136"/>
    </row>
    <row r="1303" spans="2:17" ht="14.25">
      <c r="B1303" s="274"/>
      <c r="C1303" s="274" t="s">
        <v>547</v>
      </c>
      <c r="D1303" s="274" t="s">
        <v>546</v>
      </c>
      <c r="E1303" s="274">
        <v>102</v>
      </c>
      <c r="F1303" s="279">
        <f>'配合'!I9</f>
        <v>183.29938900000005</v>
      </c>
      <c r="G1303" s="277">
        <f t="shared" si="33"/>
        <v>18696.537678000004</v>
      </c>
      <c r="H1303" s="274"/>
      <c r="I1303" s="136"/>
      <c r="J1303" s="136"/>
      <c r="K1303" s="136"/>
      <c r="L1303" s="136"/>
      <c r="M1303" s="136"/>
      <c r="N1303" s="136"/>
      <c r="O1303" s="136"/>
      <c r="P1303" s="136"/>
      <c r="Q1303" s="136"/>
    </row>
    <row r="1304" spans="2:17" ht="14.25">
      <c r="B1304" s="274"/>
      <c r="C1304" s="274" t="s">
        <v>413</v>
      </c>
      <c r="D1304" s="274" t="s">
        <v>546</v>
      </c>
      <c r="E1304" s="274">
        <v>180</v>
      </c>
      <c r="F1304" s="279">
        <f>'单价分析'!E17</f>
        <v>3.88</v>
      </c>
      <c r="G1304" s="277">
        <f t="shared" si="33"/>
        <v>698.4</v>
      </c>
      <c r="H1304" s="274"/>
      <c r="I1304" s="136"/>
      <c r="J1304" s="136"/>
      <c r="K1304" s="136"/>
      <c r="L1304" s="136"/>
      <c r="M1304" s="136"/>
      <c r="N1304" s="136"/>
      <c r="O1304" s="136"/>
      <c r="P1304" s="136"/>
      <c r="Q1304" s="136"/>
    </row>
    <row r="1305" spans="2:17" ht="14.25">
      <c r="B1305" s="274"/>
      <c r="C1305" s="274" t="s">
        <v>548</v>
      </c>
      <c r="D1305" s="274" t="s">
        <v>332</v>
      </c>
      <c r="E1305" s="282">
        <v>2</v>
      </c>
      <c r="F1305" s="279">
        <f>SUM(G1300:G1304)</f>
        <v>24404.433778000006</v>
      </c>
      <c r="G1305" s="277">
        <f>F1305*E1305/100</f>
        <v>488.0886755600001</v>
      </c>
      <c r="H1305" s="274"/>
      <c r="I1305" s="136"/>
      <c r="J1305" s="136"/>
      <c r="K1305" s="136"/>
      <c r="L1305" s="136"/>
      <c r="M1305" s="136"/>
      <c r="N1305" s="136"/>
      <c r="O1305" s="136"/>
      <c r="P1305" s="136"/>
      <c r="Q1305" s="136"/>
    </row>
    <row r="1306" spans="2:17" ht="14.25">
      <c r="B1306" s="274">
        <v>3</v>
      </c>
      <c r="C1306" s="274" t="s">
        <v>333</v>
      </c>
      <c r="D1306" s="274"/>
      <c r="E1306" s="274"/>
      <c r="F1306" s="274"/>
      <c r="G1306" s="277">
        <f>SUM(G1307:G1311)</f>
        <v>3118.7623844311925</v>
      </c>
      <c r="H1306" s="274"/>
      <c r="I1306" s="136"/>
      <c r="J1306" s="136"/>
      <c r="K1306" s="136"/>
      <c r="L1306" s="136"/>
      <c r="M1306" s="136"/>
      <c r="N1306" s="136"/>
      <c r="O1306" s="136"/>
      <c r="P1306" s="136"/>
      <c r="Q1306" s="136"/>
    </row>
    <row r="1307" spans="2:17" ht="14.25">
      <c r="B1307" s="281"/>
      <c r="C1307" s="274" t="s">
        <v>549</v>
      </c>
      <c r="D1307" s="274" t="s">
        <v>335</v>
      </c>
      <c r="E1307" s="274">
        <v>18.36</v>
      </c>
      <c r="F1307" s="279">
        <f>'台班总'!D13</f>
        <v>28.217952134024728</v>
      </c>
      <c r="G1307" s="277">
        <f>F1307*E1307</f>
        <v>518.081601180694</v>
      </c>
      <c r="H1307" s="274"/>
      <c r="I1307" s="136"/>
      <c r="J1307" s="136"/>
      <c r="K1307" s="136"/>
      <c r="L1307" s="136"/>
      <c r="M1307" s="136"/>
      <c r="N1307" s="136"/>
      <c r="O1307" s="136"/>
      <c r="P1307" s="136"/>
      <c r="Q1307" s="136"/>
    </row>
    <row r="1308" spans="2:17" ht="14.25">
      <c r="B1308" s="281"/>
      <c r="C1308" s="274" t="s">
        <v>406</v>
      </c>
      <c r="D1308" s="274"/>
      <c r="E1308" s="274">
        <v>17.7</v>
      </c>
      <c r="F1308" s="279">
        <f>'台班总'!D21</f>
        <v>114.24032588751496</v>
      </c>
      <c r="G1308" s="277">
        <f>F1308*E1308</f>
        <v>2022.0537682090146</v>
      </c>
      <c r="H1308" s="274"/>
      <c r="I1308" s="136"/>
      <c r="J1308" s="136"/>
      <c r="K1308" s="136"/>
      <c r="L1308" s="136"/>
      <c r="M1308" s="136"/>
      <c r="N1308" s="136"/>
      <c r="O1308" s="136"/>
      <c r="P1308" s="136"/>
      <c r="Q1308" s="136"/>
    </row>
    <row r="1309" spans="2:17" ht="14.25">
      <c r="B1309" s="281"/>
      <c r="C1309" s="274" t="s">
        <v>417</v>
      </c>
      <c r="D1309" s="274" t="s">
        <v>335</v>
      </c>
      <c r="E1309" s="274">
        <v>44</v>
      </c>
      <c r="F1309" s="279">
        <f>'台班总'!D14</f>
        <v>2.221526924611089</v>
      </c>
      <c r="G1309" s="277">
        <f>F1309*E1309</f>
        <v>97.7471846828879</v>
      </c>
      <c r="H1309" s="274"/>
      <c r="I1309" s="136"/>
      <c r="J1309" s="136"/>
      <c r="K1309" s="136"/>
      <c r="L1309" s="136"/>
      <c r="M1309" s="136"/>
      <c r="N1309" s="136"/>
      <c r="O1309" s="136"/>
      <c r="P1309" s="136"/>
      <c r="Q1309" s="136"/>
    </row>
    <row r="1310" spans="2:17" ht="14.25">
      <c r="B1310" s="281"/>
      <c r="C1310" s="274" t="s">
        <v>205</v>
      </c>
      <c r="D1310" s="274" t="s">
        <v>335</v>
      </c>
      <c r="E1310" s="274">
        <v>1.5</v>
      </c>
      <c r="F1310" s="279">
        <f>'台班总'!D16</f>
        <v>49.389824491424015</v>
      </c>
      <c r="G1310" s="277">
        <f>F1310*E1310</f>
        <v>74.08473673713603</v>
      </c>
      <c r="H1310" s="274"/>
      <c r="I1310" s="136"/>
      <c r="J1310" s="136"/>
      <c r="K1310" s="136"/>
      <c r="L1310" s="136"/>
      <c r="M1310" s="136"/>
      <c r="N1310" s="136"/>
      <c r="O1310" s="136"/>
      <c r="P1310" s="136"/>
      <c r="Q1310" s="136"/>
    </row>
    <row r="1311" spans="2:17" ht="14.25">
      <c r="B1311" s="281"/>
      <c r="C1311" s="274" t="s">
        <v>370</v>
      </c>
      <c r="D1311" s="274" t="s">
        <v>332</v>
      </c>
      <c r="E1311" s="283">
        <v>0.15</v>
      </c>
      <c r="F1311" s="279">
        <f>SUM(G1307:G1310)</f>
        <v>2711.9672908097327</v>
      </c>
      <c r="G1311" s="277">
        <f>F1311*E1311</f>
        <v>406.7950936214599</v>
      </c>
      <c r="H1311" s="274"/>
      <c r="I1311" s="136"/>
      <c r="J1311" s="136"/>
      <c r="K1311" s="136"/>
      <c r="L1311" s="136"/>
      <c r="M1311" s="136"/>
      <c r="N1311" s="136"/>
      <c r="O1311" s="136"/>
      <c r="P1311" s="136"/>
      <c r="Q1311" s="136"/>
    </row>
    <row r="1312" spans="2:17" ht="14.25">
      <c r="B1312" s="274" t="s">
        <v>63</v>
      </c>
      <c r="C1312" s="274" t="s">
        <v>512</v>
      </c>
      <c r="D1312" s="284">
        <v>0.048</v>
      </c>
      <c r="E1312" s="285"/>
      <c r="F1312" s="277"/>
      <c r="G1312" s="277">
        <f>D1312*G1295</f>
        <v>2140.0177362235772</v>
      </c>
      <c r="H1312" s="274"/>
      <c r="I1312" s="136"/>
      <c r="J1312" s="136"/>
      <c r="K1312" s="136"/>
      <c r="L1312" s="136"/>
      <c r="M1312" s="136"/>
      <c r="N1312" s="136"/>
      <c r="O1312" s="136"/>
      <c r="P1312" s="136"/>
      <c r="Q1312" s="136"/>
    </row>
    <row r="1313" spans="2:17" ht="14.25">
      <c r="B1313" s="274" t="s">
        <v>355</v>
      </c>
      <c r="C1313" s="274" t="s">
        <v>356</v>
      </c>
      <c r="D1313" s="284"/>
      <c r="E1313" s="285"/>
      <c r="F1313" s="277"/>
      <c r="G1313" s="277">
        <f>D1313*G1295</f>
        <v>0</v>
      </c>
      <c r="H1313" s="274"/>
      <c r="I1313" s="136"/>
      <c r="J1313" s="136"/>
      <c r="K1313" s="136"/>
      <c r="L1313" s="136"/>
      <c r="M1313" s="136"/>
      <c r="N1313" s="136"/>
      <c r="O1313" s="136"/>
      <c r="P1313" s="136"/>
      <c r="Q1313" s="136"/>
    </row>
    <row r="1314" spans="2:17" ht="14.25">
      <c r="B1314" s="274" t="s">
        <v>18</v>
      </c>
      <c r="C1314" s="274" t="s">
        <v>337</v>
      </c>
      <c r="D1314" s="284">
        <v>0.08</v>
      </c>
      <c r="E1314" s="285"/>
      <c r="F1314" s="277"/>
      <c r="G1314" s="277">
        <f>G1294*D1314</f>
        <v>3737.8976459371816</v>
      </c>
      <c r="H1314" s="274"/>
      <c r="I1314" s="136"/>
      <c r="J1314" s="136"/>
      <c r="K1314" s="136"/>
      <c r="L1314" s="136"/>
      <c r="M1314" s="136"/>
      <c r="N1314" s="136"/>
      <c r="O1314" s="136"/>
      <c r="P1314" s="136"/>
      <c r="Q1314" s="136"/>
    </row>
    <row r="1315" spans="2:17" ht="14.25">
      <c r="B1315" s="274" t="s">
        <v>20</v>
      </c>
      <c r="C1315" s="274" t="s">
        <v>338</v>
      </c>
      <c r="D1315" s="286">
        <v>0.07</v>
      </c>
      <c r="E1315" s="285"/>
      <c r="F1315" s="277"/>
      <c r="G1315" s="277">
        <f>D1315*(G1294+G1314)</f>
        <v>3532.3132754106373</v>
      </c>
      <c r="H1315" s="274"/>
      <c r="I1315" s="136"/>
      <c r="J1315" s="136"/>
      <c r="K1315" s="136"/>
      <c r="L1315" s="136"/>
      <c r="M1315" s="136"/>
      <c r="N1315" s="136"/>
      <c r="O1315" s="136"/>
      <c r="P1315" s="136"/>
      <c r="Q1315" s="136"/>
    </row>
    <row r="1316" spans="2:17" ht="14.25">
      <c r="B1316" s="274" t="s">
        <v>22</v>
      </c>
      <c r="C1316" s="274" t="s">
        <v>339</v>
      </c>
      <c r="D1316" s="283"/>
      <c r="E1316" s="274"/>
      <c r="F1316" s="274"/>
      <c r="G1316" s="277">
        <f>SUM(G1317:G1321)</f>
        <v>4947.357780597847</v>
      </c>
      <c r="H1316" s="274"/>
      <c r="I1316" s="136"/>
      <c r="J1316" s="136"/>
      <c r="K1316" s="136"/>
      <c r="L1316" s="136"/>
      <c r="M1316" s="136"/>
      <c r="N1316" s="136"/>
      <c r="O1316" s="136"/>
      <c r="P1316" s="136"/>
      <c r="Q1316" s="136"/>
    </row>
    <row r="1317" spans="2:17" ht="14.25">
      <c r="B1317" s="274"/>
      <c r="C1317" s="274" t="s">
        <v>298</v>
      </c>
      <c r="D1317" s="283" t="s">
        <v>77</v>
      </c>
      <c r="E1317" s="280">
        <f>E1303*'配合'!E9/1000</f>
        <v>34.695606000000005</v>
      </c>
      <c r="F1317" s="287">
        <f>'机械台班'!C26</f>
        <v>118.56378999999998</v>
      </c>
      <c r="G1317" s="277">
        <f>F1317*E1317</f>
        <v>4113.64254370674</v>
      </c>
      <c r="H1317" s="274"/>
      <c r="I1317" s="136"/>
      <c r="J1317" s="136"/>
      <c r="K1317" s="136"/>
      <c r="L1317" s="136"/>
      <c r="M1317" s="136"/>
      <c r="N1317" s="136"/>
      <c r="O1317" s="136"/>
      <c r="P1317" s="136"/>
      <c r="Q1317" s="136"/>
    </row>
    <row r="1318" spans="2:17" ht="14.25">
      <c r="B1318" s="274"/>
      <c r="C1318" s="274" t="s">
        <v>299</v>
      </c>
      <c r="D1318" s="274" t="s">
        <v>546</v>
      </c>
      <c r="E1318" s="280">
        <f>E1303*'配合'!F9</f>
        <v>53.878440000000005</v>
      </c>
      <c r="F1318" s="287">
        <f>'机械台班'!C27</f>
        <v>1.5600419999999957</v>
      </c>
      <c r="G1318" s="277">
        <f>E1318*F1318</f>
        <v>84.05262929447977</v>
      </c>
      <c r="H1318" s="274"/>
      <c r="I1318" s="136"/>
      <c r="J1318" s="136"/>
      <c r="K1318" s="136"/>
      <c r="L1318" s="136"/>
      <c r="M1318" s="136"/>
      <c r="N1318" s="136"/>
      <c r="O1318" s="136"/>
      <c r="P1318" s="136"/>
      <c r="Q1318" s="136"/>
    </row>
    <row r="1319" spans="2:17" ht="14.25">
      <c r="B1319" s="274"/>
      <c r="C1319" s="274" t="s">
        <v>300</v>
      </c>
      <c r="D1319" s="274" t="s">
        <v>546</v>
      </c>
      <c r="E1319" s="280">
        <f>'配合'!G9*E1303</f>
        <v>85.82565600000002</v>
      </c>
      <c r="F1319" s="287">
        <f>'机械台班'!C28</f>
        <v>8.098611067961158</v>
      </c>
      <c r="G1319" s="277">
        <f>F1319*E1319</f>
        <v>695.0686075966272</v>
      </c>
      <c r="H1319" s="274"/>
      <c r="I1319" s="136"/>
      <c r="J1319" s="136"/>
      <c r="K1319" s="136"/>
      <c r="L1319" s="136"/>
      <c r="M1319" s="136"/>
      <c r="N1319" s="136"/>
      <c r="O1319" s="136"/>
      <c r="P1319" s="136"/>
      <c r="Q1319" s="136"/>
    </row>
    <row r="1320" spans="2:17" ht="14.25">
      <c r="B1320" s="274"/>
      <c r="C1320" s="274"/>
      <c r="D1320" s="274"/>
      <c r="E1320" s="280"/>
      <c r="F1320" s="287"/>
      <c r="G1320" s="277"/>
      <c r="H1320" s="274"/>
      <c r="I1320" s="136"/>
      <c r="J1320" s="136"/>
      <c r="K1320" s="136"/>
      <c r="L1320" s="136"/>
      <c r="M1320" s="136"/>
      <c r="N1320" s="136"/>
      <c r="O1320" s="136"/>
      <c r="P1320" s="136"/>
      <c r="Q1320" s="136"/>
    </row>
    <row r="1321" spans="2:17" ht="14.25">
      <c r="B1321" s="274"/>
      <c r="C1321" s="274" t="s">
        <v>303</v>
      </c>
      <c r="D1321" s="274" t="s">
        <v>307</v>
      </c>
      <c r="E1321" s="280">
        <f>E1310*'机械台班'!S13</f>
        <v>10.8</v>
      </c>
      <c r="F1321" s="280">
        <f>'机械台班'!C31</f>
        <v>5.055000000000001</v>
      </c>
      <c r="G1321" s="277">
        <f>F1321*E1321</f>
        <v>54.59400000000001</v>
      </c>
      <c r="H1321" s="274"/>
      <c r="I1321" s="136"/>
      <c r="J1321" s="136"/>
      <c r="K1321" s="136"/>
      <c r="L1321" s="136"/>
      <c r="M1321" s="136"/>
      <c r="N1321" s="136"/>
      <c r="O1321" s="136"/>
      <c r="P1321" s="136"/>
      <c r="Q1321" s="136"/>
    </row>
    <row r="1322" spans="2:17" ht="14.25">
      <c r="B1322" s="274" t="s">
        <v>24</v>
      </c>
      <c r="C1322" s="274" t="s">
        <v>340</v>
      </c>
      <c r="D1322" s="288">
        <v>0.09</v>
      </c>
      <c r="E1322" s="289"/>
      <c r="F1322" s="277"/>
      <c r="G1322" s="277">
        <f>D1322*(G1294+G1314+G1315+G1316)</f>
        <v>5304.716034854439</v>
      </c>
      <c r="H1322" s="274"/>
      <c r="I1322" s="136"/>
      <c r="J1322" s="136"/>
      <c r="K1322" s="136"/>
      <c r="L1322" s="136"/>
      <c r="M1322" s="136"/>
      <c r="N1322" s="136"/>
      <c r="O1322" s="136"/>
      <c r="P1322" s="136"/>
      <c r="Q1322" s="136"/>
    </row>
    <row r="1323" spans="2:17" ht="14.25">
      <c r="B1323" s="276"/>
      <c r="C1323" s="274" t="s">
        <v>36</v>
      </c>
      <c r="D1323" s="274"/>
      <c r="E1323" s="274"/>
      <c r="F1323" s="274"/>
      <c r="G1323" s="277">
        <f>G1315+G1314++G1322+G1294+G1316</f>
        <v>64246.00531101488</v>
      </c>
      <c r="H1323" s="274"/>
      <c r="I1323" s="136"/>
      <c r="J1323" s="136"/>
      <c r="K1323" s="136"/>
      <c r="L1323" s="136"/>
      <c r="M1323" s="136"/>
      <c r="N1323" s="136"/>
      <c r="O1323" s="136"/>
      <c r="P1323" s="136"/>
      <c r="Q1323" s="136"/>
    </row>
    <row r="1324" spans="2:17" ht="14.25">
      <c r="B1324" s="290" t="s">
        <v>341</v>
      </c>
      <c r="C1324" s="291" t="s">
        <v>342</v>
      </c>
      <c r="D1324" s="153">
        <v>0.03</v>
      </c>
      <c r="E1324" s="285"/>
      <c r="F1324" s="292"/>
      <c r="G1324" s="293">
        <f>G1323*D1324</f>
        <v>1927.3801593304463</v>
      </c>
      <c r="H1324" s="294"/>
      <c r="I1324" s="136"/>
      <c r="J1324" s="136"/>
      <c r="K1324" s="136"/>
      <c r="L1324" s="136"/>
      <c r="M1324" s="136"/>
      <c r="N1324" s="136"/>
      <c r="O1324" s="136"/>
      <c r="P1324" s="136"/>
      <c r="Q1324" s="136"/>
    </row>
    <row r="1325" spans="2:17" ht="14.25">
      <c r="B1325" s="295"/>
      <c r="C1325" s="296" t="s">
        <v>343</v>
      </c>
      <c r="D1325" s="294"/>
      <c r="E1325" s="294"/>
      <c r="F1325" s="294"/>
      <c r="G1325" s="297">
        <f>SUM(G1323:G1324)</f>
        <v>66173.38547034533</v>
      </c>
      <c r="H1325" s="294"/>
      <c r="I1325" s="136"/>
      <c r="J1325" s="136"/>
      <c r="K1325" s="136"/>
      <c r="L1325" s="136"/>
      <c r="M1325" s="136"/>
      <c r="N1325" s="136"/>
      <c r="O1325" s="136"/>
      <c r="P1325" s="136"/>
      <c r="Q1325" s="136"/>
    </row>
    <row r="1326" spans="2:17" ht="14.25">
      <c r="B1326" s="298"/>
      <c r="C1326" s="299"/>
      <c r="D1326" s="298"/>
      <c r="E1326" s="298"/>
      <c r="F1326" s="298"/>
      <c r="G1326" s="300"/>
      <c r="H1326" s="298"/>
      <c r="I1326" s="136"/>
      <c r="J1326" s="136"/>
      <c r="K1326" s="136"/>
      <c r="L1326" s="136"/>
      <c r="M1326" s="136"/>
      <c r="N1326" s="136"/>
      <c r="O1326" s="136"/>
      <c r="P1326" s="136"/>
      <c r="Q1326" s="136"/>
    </row>
    <row r="1327" spans="2:17" ht="14.25">
      <c r="B1327" s="301"/>
      <c r="C1327" s="301"/>
      <c r="D1327" s="301"/>
      <c r="E1327" s="301"/>
      <c r="F1327" s="301"/>
      <c r="G1327" s="301"/>
      <c r="H1327" s="301"/>
      <c r="I1327" s="136"/>
      <c r="J1327" s="136"/>
      <c r="K1327" s="136"/>
      <c r="L1327" s="136"/>
      <c r="M1327" s="136"/>
      <c r="N1327" s="136"/>
      <c r="O1327" s="136"/>
      <c r="P1327" s="136"/>
      <c r="Q1327" s="136"/>
    </row>
    <row r="1328" spans="2:17" ht="14.25">
      <c r="B1328" s="267" t="s">
        <v>317</v>
      </c>
      <c r="C1328" s="267"/>
      <c r="D1328" s="267"/>
      <c r="E1328" s="267"/>
      <c r="F1328" s="267"/>
      <c r="G1328" s="267"/>
      <c r="H1328" s="267"/>
      <c r="I1328" s="136"/>
      <c r="J1328" s="136"/>
      <c r="K1328" s="136"/>
      <c r="L1328" s="136"/>
      <c r="M1328" s="136"/>
      <c r="N1328" s="136"/>
      <c r="O1328" s="136"/>
      <c r="P1328" s="136"/>
      <c r="Q1328" s="136"/>
    </row>
    <row r="1329" spans="2:17" ht="14.25">
      <c r="B1329" s="268" t="s">
        <v>550</v>
      </c>
      <c r="C1329" s="268"/>
      <c r="D1329" s="268"/>
      <c r="E1329" s="268"/>
      <c r="F1329" s="268"/>
      <c r="G1329" s="268"/>
      <c r="H1329" s="268"/>
      <c r="I1329" s="136"/>
      <c r="J1329" s="136"/>
      <c r="K1329" s="136"/>
      <c r="L1329" s="136"/>
      <c r="M1329" s="136"/>
      <c r="N1329" s="136"/>
      <c r="O1329" s="136"/>
      <c r="P1329" s="136"/>
      <c r="Q1329" s="136"/>
    </row>
    <row r="1330" spans="2:17" ht="14.25">
      <c r="B1330" s="269" t="s">
        <v>551</v>
      </c>
      <c r="C1330" s="269"/>
      <c r="D1330" s="269"/>
      <c r="E1330" s="269"/>
      <c r="F1330" s="270"/>
      <c r="G1330" s="302" t="s">
        <v>541</v>
      </c>
      <c r="H1330" s="302"/>
      <c r="I1330" s="136"/>
      <c r="J1330" s="136"/>
      <c r="K1330" s="136"/>
      <c r="L1330" s="136"/>
      <c r="M1330" s="136"/>
      <c r="N1330" s="136"/>
      <c r="O1330" s="136"/>
      <c r="P1330" s="136"/>
      <c r="Q1330" s="136"/>
    </row>
    <row r="1331" spans="2:17" ht="14.25">
      <c r="B1331" s="272" t="s">
        <v>552</v>
      </c>
      <c r="C1331" s="272"/>
      <c r="D1331" s="272"/>
      <c r="E1331" s="273"/>
      <c r="F1331" s="272"/>
      <c r="G1331" s="272"/>
      <c r="H1331" s="272"/>
      <c r="I1331" s="136"/>
      <c r="J1331" s="136"/>
      <c r="K1331" s="136"/>
      <c r="L1331" s="136"/>
      <c r="M1331" s="136"/>
      <c r="N1331" s="136"/>
      <c r="O1331" s="136"/>
      <c r="P1331" s="136"/>
      <c r="Q1331" s="136"/>
    </row>
    <row r="1332" spans="2:17" ht="14.25">
      <c r="B1332" s="274" t="s">
        <v>31</v>
      </c>
      <c r="C1332" s="274" t="s">
        <v>190</v>
      </c>
      <c r="D1332" s="274" t="s">
        <v>33</v>
      </c>
      <c r="E1332" s="274" t="s">
        <v>34</v>
      </c>
      <c r="F1332" s="275" t="s">
        <v>543</v>
      </c>
      <c r="G1332" s="275" t="s">
        <v>544</v>
      </c>
      <c r="H1332" s="274" t="s">
        <v>386</v>
      </c>
      <c r="I1332" s="136"/>
      <c r="J1332" s="136"/>
      <c r="K1332" s="136"/>
      <c r="L1332" s="136"/>
      <c r="M1332" s="136"/>
      <c r="N1332" s="136"/>
      <c r="O1332" s="136"/>
      <c r="P1332" s="136"/>
      <c r="Q1332" s="136"/>
    </row>
    <row r="1333" spans="2:17" ht="14.25">
      <c r="B1333" s="274" t="s">
        <v>16</v>
      </c>
      <c r="C1333" s="274" t="s">
        <v>328</v>
      </c>
      <c r="D1333" s="276"/>
      <c r="E1333" s="274"/>
      <c r="F1333" s="274"/>
      <c r="G1333" s="277">
        <f>G1334+G1350+G1351</f>
        <v>58726.78622366829</v>
      </c>
      <c r="H1333" s="274"/>
      <c r="I1333" s="136"/>
      <c r="J1333" s="136"/>
      <c r="K1333" s="136"/>
      <c r="L1333" s="136"/>
      <c r="M1333" s="136"/>
      <c r="N1333" s="136"/>
      <c r="O1333" s="136"/>
      <c r="P1333" s="136"/>
      <c r="Q1333" s="136"/>
    </row>
    <row r="1334" spans="2:17" ht="14.25">
      <c r="B1334" s="274" t="s">
        <v>39</v>
      </c>
      <c r="C1334" s="274" t="s">
        <v>511</v>
      </c>
      <c r="D1334" s="276"/>
      <c r="E1334" s="274"/>
      <c r="F1334" s="274"/>
      <c r="G1334" s="277">
        <f>G1335+G1338+G1345+G1349</f>
        <v>56037.009755408675</v>
      </c>
      <c r="H1334" s="274"/>
      <c r="I1334" s="136"/>
      <c r="J1334" s="136"/>
      <c r="K1334" s="136"/>
      <c r="L1334" s="136"/>
      <c r="M1334" s="136"/>
      <c r="N1334" s="136"/>
      <c r="O1334" s="136"/>
      <c r="P1334" s="136"/>
      <c r="Q1334" s="136"/>
    </row>
    <row r="1335" spans="2:17" ht="14.25">
      <c r="B1335" s="274">
        <v>1</v>
      </c>
      <c r="C1335" s="274" t="s">
        <v>329</v>
      </c>
      <c r="D1335" s="278"/>
      <c r="E1335" s="274"/>
      <c r="F1335" s="279"/>
      <c r="G1335" s="277">
        <f>SUM(G1336:G1337)</f>
        <v>4654.26</v>
      </c>
      <c r="H1335" s="274"/>
      <c r="I1335" s="136"/>
      <c r="J1335" s="136"/>
      <c r="K1335" s="136"/>
      <c r="L1335" s="136"/>
      <c r="M1335" s="136"/>
      <c r="N1335" s="136"/>
      <c r="O1335" s="136"/>
      <c r="P1335" s="136"/>
      <c r="Q1335" s="136"/>
    </row>
    <row r="1336" spans="2:17" ht="14.25">
      <c r="B1336" s="274"/>
      <c r="C1336" s="278" t="s">
        <v>351</v>
      </c>
      <c r="D1336" s="278" t="s">
        <v>163</v>
      </c>
      <c r="E1336" s="303">
        <v>574.6</v>
      </c>
      <c r="F1336" s="274">
        <v>8.1</v>
      </c>
      <c r="G1336" s="277">
        <f aca="true" t="shared" si="34" ref="G1336:G1343">F1336*E1336</f>
        <v>4654.26</v>
      </c>
      <c r="H1336" s="274"/>
      <c r="I1336" s="136"/>
      <c r="J1336" s="136"/>
      <c r="K1336" s="136"/>
      <c r="L1336" s="136"/>
      <c r="M1336" s="136"/>
      <c r="N1336" s="136"/>
      <c r="O1336" s="136"/>
      <c r="P1336" s="136"/>
      <c r="Q1336" s="136"/>
    </row>
    <row r="1337" spans="2:17" ht="14.25">
      <c r="B1337" s="274"/>
      <c r="C1337" s="278" t="s">
        <v>330</v>
      </c>
      <c r="D1337" s="278" t="s">
        <v>163</v>
      </c>
      <c r="E1337" s="303"/>
      <c r="F1337" s="274">
        <v>5.77</v>
      </c>
      <c r="G1337" s="277">
        <f t="shared" si="34"/>
        <v>0</v>
      </c>
      <c r="H1337" s="274"/>
      <c r="I1337" s="136"/>
      <c r="J1337" s="136"/>
      <c r="K1337" s="136"/>
      <c r="L1337" s="136"/>
      <c r="M1337" s="136"/>
      <c r="N1337" s="136"/>
      <c r="O1337" s="136"/>
      <c r="P1337" s="136"/>
      <c r="Q1337" s="136"/>
    </row>
    <row r="1338" spans="2:17" ht="14.25">
      <c r="B1338" s="274">
        <v>2</v>
      </c>
      <c r="C1338" s="274" t="s">
        <v>373</v>
      </c>
      <c r="D1338" s="276"/>
      <c r="E1338" s="274"/>
      <c r="F1338" s="274"/>
      <c r="G1338" s="277">
        <f>SUM(G1339:G1344)</f>
        <v>48995.62225720365</v>
      </c>
      <c r="H1338" s="274"/>
      <c r="I1338" s="136"/>
      <c r="J1338" s="136"/>
      <c r="K1338" s="136"/>
      <c r="L1338" s="136"/>
      <c r="M1338" s="136"/>
      <c r="N1338" s="136"/>
      <c r="O1338" s="136"/>
      <c r="P1338" s="136"/>
      <c r="Q1338" s="136"/>
    </row>
    <row r="1339" spans="2:17" ht="14.25">
      <c r="B1339" s="274"/>
      <c r="C1339" s="274" t="s">
        <v>305</v>
      </c>
      <c r="D1339" s="274" t="s">
        <v>546</v>
      </c>
      <c r="E1339" s="304">
        <v>0.19</v>
      </c>
      <c r="F1339" s="280">
        <f>'单价分析'!L12</f>
        <v>1789.6725</v>
      </c>
      <c r="G1339" s="277">
        <f t="shared" si="34"/>
        <v>340.037775</v>
      </c>
      <c r="H1339" s="274"/>
      <c r="I1339" s="136"/>
      <c r="J1339" s="136"/>
      <c r="K1339" s="136"/>
      <c r="L1339" s="136"/>
      <c r="M1339" s="136"/>
      <c r="N1339" s="136"/>
      <c r="O1339" s="136"/>
      <c r="P1339" s="136"/>
      <c r="Q1339" s="136"/>
    </row>
    <row r="1340" spans="2:17" ht="14.25">
      <c r="B1340" s="274"/>
      <c r="C1340" s="274" t="s">
        <v>553</v>
      </c>
      <c r="D1340" s="274" t="s">
        <v>546</v>
      </c>
      <c r="E1340" s="304">
        <v>0.62</v>
      </c>
      <c r="F1340" s="280">
        <f>F1339</f>
        <v>1789.6725</v>
      </c>
      <c r="G1340" s="277">
        <f t="shared" si="34"/>
        <v>1109.5969499999999</v>
      </c>
      <c r="H1340" s="274"/>
      <c r="I1340" s="136"/>
      <c r="J1340" s="136"/>
      <c r="K1340" s="136"/>
      <c r="L1340" s="136"/>
      <c r="M1340" s="136"/>
      <c r="N1340" s="136"/>
      <c r="O1340" s="136"/>
      <c r="P1340" s="136"/>
      <c r="Q1340" s="136"/>
    </row>
    <row r="1341" spans="2:17" ht="14.25">
      <c r="B1341" s="281"/>
      <c r="C1341" s="274" t="s">
        <v>490</v>
      </c>
      <c r="D1341" s="274" t="s">
        <v>546</v>
      </c>
      <c r="E1341" s="303">
        <v>100</v>
      </c>
      <c r="F1341" s="279">
        <f>G1295/100</f>
        <v>445.83702837991194</v>
      </c>
      <c r="G1341" s="277">
        <f t="shared" si="34"/>
        <v>44583.70283799119</v>
      </c>
      <c r="H1341" s="274"/>
      <c r="I1341" s="136"/>
      <c r="J1341" s="136"/>
      <c r="K1341" s="136"/>
      <c r="L1341" s="136"/>
      <c r="M1341" s="136"/>
      <c r="N1341" s="136"/>
      <c r="O1341" s="136"/>
      <c r="P1341" s="136"/>
      <c r="Q1341" s="136"/>
    </row>
    <row r="1342" spans="2:17" ht="14.25">
      <c r="B1342" s="281"/>
      <c r="C1342" s="274" t="s">
        <v>554</v>
      </c>
      <c r="D1342" s="274" t="s">
        <v>546</v>
      </c>
      <c r="E1342" s="303">
        <v>13.5</v>
      </c>
      <c r="F1342" s="279">
        <f>F1303</f>
        <v>183.29938900000005</v>
      </c>
      <c r="G1342" s="277">
        <f t="shared" si="34"/>
        <v>2474.541751500001</v>
      </c>
      <c r="H1342" s="274"/>
      <c r="I1342" s="136"/>
      <c r="J1342" s="136"/>
      <c r="K1342" s="136"/>
      <c r="L1342" s="136"/>
      <c r="M1342" s="136"/>
      <c r="N1342" s="136"/>
      <c r="O1342" s="136"/>
      <c r="P1342" s="136"/>
      <c r="Q1342" s="136"/>
    </row>
    <row r="1343" spans="2:17" ht="14.25">
      <c r="B1343" s="281"/>
      <c r="C1343" s="274" t="s">
        <v>462</v>
      </c>
      <c r="D1343" s="274" t="s">
        <v>546</v>
      </c>
      <c r="E1343" s="303">
        <v>1.8</v>
      </c>
      <c r="F1343" s="279">
        <f>'配合'!I13</f>
        <v>135.54646</v>
      </c>
      <c r="G1343" s="277">
        <f t="shared" si="34"/>
        <v>243.983628</v>
      </c>
      <c r="H1343" s="274"/>
      <c r="I1343" s="136"/>
      <c r="J1343" s="136"/>
      <c r="K1343" s="136"/>
      <c r="L1343" s="136"/>
      <c r="M1343" s="136"/>
      <c r="N1343" s="136"/>
      <c r="O1343" s="136"/>
      <c r="P1343" s="136"/>
      <c r="Q1343" s="136"/>
    </row>
    <row r="1344" spans="2:17" ht="14.25">
      <c r="B1344" s="274"/>
      <c r="C1344" s="274" t="s">
        <v>548</v>
      </c>
      <c r="D1344" s="274" t="s">
        <v>332</v>
      </c>
      <c r="E1344" s="282">
        <v>0.5</v>
      </c>
      <c r="F1344" s="279">
        <f>SUM(G1339:G1343)</f>
        <v>48751.86294249119</v>
      </c>
      <c r="G1344" s="277">
        <f>F1344*E1344/100</f>
        <v>243.75931471245596</v>
      </c>
      <c r="H1344" s="274"/>
      <c r="I1344" s="136"/>
      <c r="J1344" s="136"/>
      <c r="K1344" s="136"/>
      <c r="L1344" s="136"/>
      <c r="M1344" s="136"/>
      <c r="N1344" s="136"/>
      <c r="O1344" s="136"/>
      <c r="P1344" s="136"/>
      <c r="Q1344" s="136"/>
    </row>
    <row r="1345" spans="2:17" ht="14.25">
      <c r="B1345" s="274">
        <v>3</v>
      </c>
      <c r="C1345" s="274" t="s">
        <v>333</v>
      </c>
      <c r="D1345" s="274"/>
      <c r="E1345" s="274"/>
      <c r="F1345" s="274"/>
      <c r="G1345" s="277">
        <f>SUM(G1346:G1348)</f>
        <v>2387.127498205026</v>
      </c>
      <c r="H1345" s="274"/>
      <c r="I1345" s="136"/>
      <c r="J1345" s="136"/>
      <c r="K1345" s="136"/>
      <c r="L1345" s="136"/>
      <c r="M1345" s="136"/>
      <c r="N1345" s="136"/>
      <c r="O1345" s="136"/>
      <c r="P1345" s="136"/>
      <c r="Q1345" s="136"/>
    </row>
    <row r="1346" spans="2:17" ht="14.25">
      <c r="B1346" s="281"/>
      <c r="C1346" s="274" t="s">
        <v>549</v>
      </c>
      <c r="D1346" s="274" t="s">
        <v>335</v>
      </c>
      <c r="E1346" s="303">
        <v>2.5</v>
      </c>
      <c r="F1346" s="279">
        <f>F1307</f>
        <v>28.217952134024728</v>
      </c>
      <c r="G1346" s="277">
        <f>F1346*E1346</f>
        <v>70.54488033506182</v>
      </c>
      <c r="H1346" s="274"/>
      <c r="I1346" s="136"/>
      <c r="J1346" s="136"/>
      <c r="K1346" s="136"/>
      <c r="L1346" s="136"/>
      <c r="M1346" s="136"/>
      <c r="N1346" s="136"/>
      <c r="O1346" s="136"/>
      <c r="P1346" s="136"/>
      <c r="Q1346" s="136"/>
    </row>
    <row r="1347" spans="2:17" ht="14.25">
      <c r="B1347" s="281"/>
      <c r="C1347" s="274" t="s">
        <v>209</v>
      </c>
      <c r="D1347" s="274" t="s">
        <v>335</v>
      </c>
      <c r="E1347" s="303">
        <v>12.56</v>
      </c>
      <c r="F1347" s="279">
        <f>'台班总'!D20</f>
        <v>0.8132429198244914</v>
      </c>
      <c r="G1347" s="277">
        <f>F1347*E1347</f>
        <v>10.214331072995613</v>
      </c>
      <c r="H1347" s="274"/>
      <c r="I1347" s="136"/>
      <c r="J1347" s="136"/>
      <c r="K1347" s="136"/>
      <c r="L1347" s="136"/>
      <c r="M1347" s="136"/>
      <c r="N1347" s="136"/>
      <c r="O1347" s="136"/>
      <c r="P1347" s="136"/>
      <c r="Q1347" s="136"/>
    </row>
    <row r="1348" spans="2:17" ht="14.25">
      <c r="B1348" s="281"/>
      <c r="C1348" s="274" t="s">
        <v>555</v>
      </c>
      <c r="D1348" s="274" t="s">
        <v>335</v>
      </c>
      <c r="E1348" s="303">
        <v>37</v>
      </c>
      <c r="F1348" s="279">
        <f>'台班总'!D24</f>
        <v>62.33427802153969</v>
      </c>
      <c r="G1348" s="277">
        <f>F1348*E1348</f>
        <v>2306.3682867969683</v>
      </c>
      <c r="H1348" s="274"/>
      <c r="I1348" s="136"/>
      <c r="J1348" s="136"/>
      <c r="K1348" s="136"/>
      <c r="L1348" s="136"/>
      <c r="M1348" s="136"/>
      <c r="N1348" s="136"/>
      <c r="O1348" s="136"/>
      <c r="P1348" s="136"/>
      <c r="Q1348" s="136"/>
    </row>
    <row r="1349" spans="2:17" ht="14.25">
      <c r="B1349" s="274">
        <v>4</v>
      </c>
      <c r="C1349" s="274" t="s">
        <v>492</v>
      </c>
      <c r="D1349" s="274" t="s">
        <v>546</v>
      </c>
      <c r="E1349" s="303"/>
      <c r="F1349" s="279"/>
      <c r="G1349" s="277">
        <f>E1349*F1349</f>
        <v>0</v>
      </c>
      <c r="H1349" s="274"/>
      <c r="I1349" s="136"/>
      <c r="J1349" s="136"/>
      <c r="K1349" s="136"/>
      <c r="L1349" s="136"/>
      <c r="M1349" s="136"/>
      <c r="N1349" s="136"/>
      <c r="O1349" s="136"/>
      <c r="P1349" s="136"/>
      <c r="Q1349" s="136"/>
    </row>
    <row r="1350" spans="2:17" ht="14.25">
      <c r="B1350" s="274" t="s">
        <v>63</v>
      </c>
      <c r="C1350" s="274" t="s">
        <v>512</v>
      </c>
      <c r="D1350" s="284">
        <v>0.048</v>
      </c>
      <c r="E1350" s="285"/>
      <c r="F1350" s="277"/>
      <c r="G1350" s="277">
        <f>D1350*G1334</f>
        <v>2689.7764682596166</v>
      </c>
      <c r="H1350" s="274"/>
      <c r="I1350" s="136"/>
      <c r="J1350" s="136"/>
      <c r="K1350" s="136"/>
      <c r="L1350" s="136"/>
      <c r="M1350" s="136"/>
      <c r="N1350" s="136"/>
      <c r="O1350" s="136"/>
      <c r="P1350" s="136"/>
      <c r="Q1350" s="136"/>
    </row>
    <row r="1351" spans="2:17" ht="14.25">
      <c r="B1351" s="274" t="s">
        <v>355</v>
      </c>
      <c r="C1351" s="274" t="s">
        <v>356</v>
      </c>
      <c r="D1351" s="284"/>
      <c r="E1351" s="285"/>
      <c r="F1351" s="277"/>
      <c r="G1351" s="277">
        <f>D1351*G1334</f>
        <v>0</v>
      </c>
      <c r="H1351" s="274"/>
      <c r="I1351" s="136"/>
      <c r="J1351" s="136"/>
      <c r="K1351" s="136"/>
      <c r="L1351" s="136"/>
      <c r="M1351" s="136"/>
      <c r="N1351" s="136"/>
      <c r="O1351" s="136"/>
      <c r="P1351" s="136"/>
      <c r="Q1351" s="136"/>
    </row>
    <row r="1352" spans="2:17" ht="14.25">
      <c r="B1352" s="274" t="s">
        <v>18</v>
      </c>
      <c r="C1352" s="274" t="s">
        <v>337</v>
      </c>
      <c r="D1352" s="284">
        <v>0.08</v>
      </c>
      <c r="E1352" s="285"/>
      <c r="F1352" s="277"/>
      <c r="G1352" s="277">
        <f>D1352*G1333</f>
        <v>4698.142897893464</v>
      </c>
      <c r="H1352" s="274"/>
      <c r="I1352" s="136"/>
      <c r="J1352" s="136"/>
      <c r="K1352" s="136"/>
      <c r="L1352" s="136"/>
      <c r="M1352" s="136"/>
      <c r="N1352" s="136"/>
      <c r="O1352" s="136"/>
      <c r="P1352" s="136"/>
      <c r="Q1352" s="136"/>
    </row>
    <row r="1353" spans="2:17" ht="14.25">
      <c r="B1353" s="274" t="s">
        <v>20</v>
      </c>
      <c r="C1353" s="274" t="s">
        <v>338</v>
      </c>
      <c r="D1353" s="286">
        <v>0.07</v>
      </c>
      <c r="E1353" s="285"/>
      <c r="F1353" s="277"/>
      <c r="G1353" s="277">
        <f>D1353*(G1333+G1352)</f>
        <v>4439.745038509323</v>
      </c>
      <c r="H1353" s="274"/>
      <c r="I1353" s="136"/>
      <c r="J1353" s="136"/>
      <c r="K1353" s="136"/>
      <c r="L1353" s="136"/>
      <c r="M1353" s="136"/>
      <c r="N1353" s="136"/>
      <c r="O1353" s="136"/>
      <c r="P1353" s="136"/>
      <c r="Q1353" s="136"/>
    </row>
    <row r="1354" spans="2:17" ht="14.25">
      <c r="B1354" s="274" t="s">
        <v>22</v>
      </c>
      <c r="C1354" s="274" t="s">
        <v>339</v>
      </c>
      <c r="D1354" s="283"/>
      <c r="E1354" s="274"/>
      <c r="F1354" s="274"/>
      <c r="G1354" s="277">
        <f>SUM(G1355:G1359)</f>
        <v>1911.617174773914</v>
      </c>
      <c r="H1354" s="274"/>
      <c r="I1354" s="136"/>
      <c r="J1354" s="136"/>
      <c r="K1354" s="136"/>
      <c r="L1354" s="136"/>
      <c r="M1354" s="136"/>
      <c r="N1354" s="136"/>
      <c r="O1354" s="136"/>
      <c r="P1354" s="136"/>
      <c r="Q1354" s="136"/>
    </row>
    <row r="1355" spans="2:17" ht="14.25">
      <c r="B1355" s="274"/>
      <c r="C1355" s="274" t="s">
        <v>298</v>
      </c>
      <c r="D1355" s="283" t="s">
        <v>77</v>
      </c>
      <c r="E1355" s="305">
        <f>E1341*0.01+E1342*'配合'!E9/1000+'配合'!E13/1000*E1343</f>
        <v>5.996093500000001</v>
      </c>
      <c r="F1355" s="287">
        <f>F1317</f>
        <v>118.56378999999998</v>
      </c>
      <c r="G1355" s="277">
        <f>F1355*E1355</f>
        <v>710.919570554365</v>
      </c>
      <c r="H1355" s="274"/>
      <c r="I1355" s="136"/>
      <c r="J1355" s="136"/>
      <c r="K1355" s="136"/>
      <c r="L1355" s="136"/>
      <c r="M1355" s="136"/>
      <c r="N1355" s="136"/>
      <c r="O1355" s="136"/>
      <c r="P1355" s="136"/>
      <c r="Q1355" s="136"/>
    </row>
    <row r="1356" spans="2:17" ht="14.25">
      <c r="B1356" s="274"/>
      <c r="C1356" s="274" t="s">
        <v>299</v>
      </c>
      <c r="D1356" s="274" t="s">
        <v>546</v>
      </c>
      <c r="E1356" s="305">
        <f>E1341*0.01+E1342*'配合'!F9+'配合'!F13*E1343</f>
        <v>10.128970000000002</v>
      </c>
      <c r="F1356" s="287">
        <f>F1318</f>
        <v>1.5600419999999957</v>
      </c>
      <c r="G1356" s="277">
        <f>E1356*F1356</f>
        <v>15.80161861673996</v>
      </c>
      <c r="H1356" s="274"/>
      <c r="I1356" s="136"/>
      <c r="J1356" s="136"/>
      <c r="K1356" s="136"/>
      <c r="L1356" s="136"/>
      <c r="M1356" s="136"/>
      <c r="N1356" s="136"/>
      <c r="O1356" s="136"/>
      <c r="P1356" s="136"/>
      <c r="Q1356" s="136"/>
    </row>
    <row r="1357" spans="2:17" ht="14.25">
      <c r="B1357" s="274"/>
      <c r="C1357" s="274" t="s">
        <v>300</v>
      </c>
      <c r="D1357" s="274" t="s">
        <v>546</v>
      </c>
      <c r="E1357" s="305">
        <f>E1341*0.01+E1342*'配合'!G9</f>
        <v>12.359278000000002</v>
      </c>
      <c r="F1357" s="287">
        <f>F1319</f>
        <v>8.098611067961158</v>
      </c>
      <c r="G1357" s="277">
        <f>F1357*E1357</f>
        <v>100.09298560280887</v>
      </c>
      <c r="H1357" s="274"/>
      <c r="I1357" s="136"/>
      <c r="J1357" s="136"/>
      <c r="K1357" s="136"/>
      <c r="L1357" s="136"/>
      <c r="M1357" s="136"/>
      <c r="N1357" s="136"/>
      <c r="O1357" s="136"/>
      <c r="P1357" s="136"/>
      <c r="Q1357" s="136"/>
    </row>
    <row r="1358" spans="2:17" ht="14.25">
      <c r="B1358" s="274"/>
      <c r="C1358" s="274"/>
      <c r="D1358" s="274"/>
      <c r="E1358" s="305"/>
      <c r="F1358" s="287"/>
      <c r="G1358" s="277"/>
      <c r="H1358" s="274"/>
      <c r="I1358" s="136"/>
      <c r="J1358" s="136"/>
      <c r="K1358" s="136"/>
      <c r="L1358" s="136"/>
      <c r="M1358" s="136"/>
      <c r="N1358" s="136"/>
      <c r="O1358" s="136"/>
      <c r="P1358" s="136"/>
      <c r="Q1358" s="136"/>
    </row>
    <row r="1359" spans="2:17" ht="14.25">
      <c r="B1359" s="274"/>
      <c r="C1359" s="274" t="s">
        <v>303</v>
      </c>
      <c r="D1359" s="274" t="s">
        <v>307</v>
      </c>
      <c r="E1359" s="305">
        <f>E1348*'机械台班'!AH13</f>
        <v>214.6</v>
      </c>
      <c r="F1359" s="287">
        <f>F1321</f>
        <v>5.055000000000001</v>
      </c>
      <c r="G1359" s="277">
        <f>F1359*E1359</f>
        <v>1084.803</v>
      </c>
      <c r="H1359" s="274"/>
      <c r="I1359" s="136"/>
      <c r="J1359" s="136"/>
      <c r="K1359" s="136"/>
      <c r="L1359" s="136"/>
      <c r="M1359" s="136"/>
      <c r="N1359" s="136"/>
      <c r="O1359" s="136"/>
      <c r="P1359" s="136"/>
      <c r="Q1359" s="136"/>
    </row>
    <row r="1360" spans="2:17" ht="14.25">
      <c r="B1360" s="274" t="s">
        <v>24</v>
      </c>
      <c r="C1360" s="274" t="s">
        <v>340</v>
      </c>
      <c r="D1360" s="288">
        <v>0.09</v>
      </c>
      <c r="E1360" s="289"/>
      <c r="F1360" s="277"/>
      <c r="G1360" s="277">
        <f>D1360*(G1333+G1352+G1353+G1354)</f>
        <v>6279.866220136049</v>
      </c>
      <c r="H1360" s="274"/>
      <c r="I1360" s="136"/>
      <c r="J1360" s="136"/>
      <c r="K1360" s="136"/>
      <c r="L1360" s="136"/>
      <c r="M1360" s="136"/>
      <c r="N1360" s="136"/>
      <c r="O1360" s="136"/>
      <c r="P1360" s="136"/>
      <c r="Q1360" s="136"/>
    </row>
    <row r="1361" spans="2:17" ht="14.25">
      <c r="B1361" s="276"/>
      <c r="C1361" s="274" t="s">
        <v>36</v>
      </c>
      <c r="D1361" s="306"/>
      <c r="E1361" s="274"/>
      <c r="F1361" s="274"/>
      <c r="G1361" s="277">
        <f>G1353+G1352++G1360+G1333+G1354</f>
        <v>76056.15755498104</v>
      </c>
      <c r="H1361" s="274"/>
      <c r="I1361" s="136"/>
      <c r="J1361" s="136"/>
      <c r="K1361" s="136"/>
      <c r="L1361" s="136"/>
      <c r="M1361" s="136"/>
      <c r="N1361" s="136"/>
      <c r="O1361" s="136"/>
      <c r="P1361" s="136"/>
      <c r="Q1361" s="136"/>
    </row>
    <row r="1362" spans="2:17" ht="14.25">
      <c r="B1362" s="290" t="s">
        <v>341</v>
      </c>
      <c r="C1362" s="291" t="s">
        <v>342</v>
      </c>
      <c r="D1362" s="153">
        <v>0.03</v>
      </c>
      <c r="E1362" s="285"/>
      <c r="F1362" s="292"/>
      <c r="G1362" s="293">
        <f>G1361*D1362</f>
        <v>2281.684726649431</v>
      </c>
      <c r="H1362" s="294"/>
      <c r="I1362" s="136"/>
      <c r="J1362" s="136"/>
      <c r="K1362" s="136"/>
      <c r="L1362" s="136"/>
      <c r="M1362" s="136"/>
      <c r="N1362" s="136"/>
      <c r="O1362" s="136"/>
      <c r="P1362" s="136"/>
      <c r="Q1362" s="136"/>
    </row>
    <row r="1363" spans="2:17" ht="14.25">
      <c r="B1363" s="295"/>
      <c r="C1363" s="296" t="s">
        <v>343</v>
      </c>
      <c r="D1363" s="298"/>
      <c r="E1363" s="294"/>
      <c r="F1363" s="294"/>
      <c r="G1363" s="307">
        <f>SUM(G1361:G1362)</f>
        <v>78337.84228163047</v>
      </c>
      <c r="H1363" s="294"/>
      <c r="I1363" s="136"/>
      <c r="J1363" s="136"/>
      <c r="K1363" s="136"/>
      <c r="L1363" s="136"/>
      <c r="M1363" s="136"/>
      <c r="N1363" s="136"/>
      <c r="O1363" s="136"/>
      <c r="P1363" s="136"/>
      <c r="Q1363" s="136"/>
    </row>
    <row r="1364" spans="2:17" ht="14.25">
      <c r="B1364" s="301"/>
      <c r="C1364" s="301"/>
      <c r="D1364" s="301"/>
      <c r="E1364" s="301"/>
      <c r="F1364" s="301"/>
      <c r="G1364" s="301">
        <f>G1363+G1394</f>
        <v>87508.6378473295</v>
      </c>
      <c r="H1364" s="301"/>
      <c r="I1364" s="136"/>
      <c r="J1364" s="136"/>
      <c r="K1364" s="136"/>
      <c r="L1364" s="136"/>
      <c r="M1364" s="136"/>
      <c r="N1364" s="136"/>
      <c r="O1364" s="136"/>
      <c r="P1364" s="136"/>
      <c r="Q1364" s="136"/>
    </row>
    <row r="1365" spans="2:17" ht="14.25">
      <c r="B1365" s="308" t="s">
        <v>317</v>
      </c>
      <c r="C1365" s="308"/>
      <c r="D1365" s="308"/>
      <c r="E1365" s="308"/>
      <c r="F1365" s="308"/>
      <c r="G1365" s="308"/>
      <c r="H1365" s="308"/>
      <c r="I1365" s="136"/>
      <c r="J1365" s="136"/>
      <c r="K1365" s="136"/>
      <c r="L1365" s="136"/>
      <c r="M1365" s="136"/>
      <c r="N1365" s="136"/>
      <c r="O1365" s="136"/>
      <c r="P1365" s="136"/>
      <c r="Q1365" s="136"/>
    </row>
    <row r="1366" spans="2:17" ht="14.25">
      <c r="B1366" s="309" t="s">
        <v>469</v>
      </c>
      <c r="C1366" s="309"/>
      <c r="D1366" s="309"/>
      <c r="E1366" s="309"/>
      <c r="F1366" s="309"/>
      <c r="G1366" s="309"/>
      <c r="H1366" s="309"/>
      <c r="I1366" s="136"/>
      <c r="J1366" s="136"/>
      <c r="K1366" s="136"/>
      <c r="L1366" s="136"/>
      <c r="M1366" s="136"/>
      <c r="N1366" s="136"/>
      <c r="O1366" s="136"/>
      <c r="P1366" s="136"/>
      <c r="Q1366" s="136"/>
    </row>
    <row r="1367" spans="2:17" ht="14.25">
      <c r="B1367" s="309" t="s">
        <v>556</v>
      </c>
      <c r="C1367" s="309"/>
      <c r="D1367" s="309"/>
      <c r="E1367" s="309"/>
      <c r="F1367" s="310"/>
      <c r="G1367" s="311" t="s">
        <v>541</v>
      </c>
      <c r="H1367" s="311"/>
      <c r="I1367" s="136"/>
      <c r="J1367" s="136"/>
      <c r="K1367" s="136"/>
      <c r="L1367" s="136"/>
      <c r="M1367" s="136"/>
      <c r="N1367" s="136"/>
      <c r="O1367" s="136"/>
      <c r="P1367" s="136"/>
      <c r="Q1367" s="136"/>
    </row>
    <row r="1368" spans="2:17" ht="14.25">
      <c r="B1368" s="312" t="s">
        <v>360</v>
      </c>
      <c r="C1368" s="312"/>
      <c r="D1368" s="312"/>
      <c r="E1368" s="313"/>
      <c r="F1368" s="312"/>
      <c r="G1368" s="312"/>
      <c r="H1368" s="312"/>
      <c r="I1368" s="136"/>
      <c r="J1368" s="136"/>
      <c r="K1368" s="136"/>
      <c r="L1368" s="136"/>
      <c r="M1368" s="136"/>
      <c r="N1368" s="136"/>
      <c r="O1368" s="136"/>
      <c r="P1368" s="136"/>
      <c r="Q1368" s="136"/>
    </row>
    <row r="1369" spans="2:17" ht="14.25">
      <c r="B1369" s="314" t="s">
        <v>31</v>
      </c>
      <c r="C1369" s="315" t="s">
        <v>190</v>
      </c>
      <c r="D1369" s="315" t="s">
        <v>33</v>
      </c>
      <c r="E1369" s="275" t="s">
        <v>34</v>
      </c>
      <c r="F1369" s="275" t="s">
        <v>543</v>
      </c>
      <c r="G1369" s="275" t="s">
        <v>544</v>
      </c>
      <c r="H1369" s="275" t="s">
        <v>37</v>
      </c>
      <c r="I1369" s="136"/>
      <c r="J1369" s="136"/>
      <c r="K1369" s="136"/>
      <c r="L1369" s="136"/>
      <c r="M1369" s="136"/>
      <c r="N1369" s="136"/>
      <c r="O1369" s="136"/>
      <c r="P1369" s="136"/>
      <c r="Q1369" s="136"/>
    </row>
    <row r="1370" spans="2:17" ht="14.25">
      <c r="B1370" s="299" t="s">
        <v>16</v>
      </c>
      <c r="C1370" s="299" t="s">
        <v>328</v>
      </c>
      <c r="D1370" s="316"/>
      <c r="E1370" s="317"/>
      <c r="F1370" s="317"/>
      <c r="G1370" s="317">
        <f>G1371+G1383+G1384</f>
        <v>5388.470545696731</v>
      </c>
      <c r="H1370" s="299"/>
      <c r="I1370" s="136"/>
      <c r="J1370" s="136"/>
      <c r="K1370" s="136"/>
      <c r="L1370" s="136"/>
      <c r="M1370" s="136"/>
      <c r="N1370" s="136"/>
      <c r="O1370" s="136"/>
      <c r="P1370" s="136"/>
      <c r="Q1370" s="136"/>
    </row>
    <row r="1371" spans="2:17" ht="14.25">
      <c r="B1371" s="299" t="s">
        <v>39</v>
      </c>
      <c r="C1371" s="299" t="s">
        <v>511</v>
      </c>
      <c r="D1371" s="316"/>
      <c r="E1371" s="317"/>
      <c r="F1371" s="317"/>
      <c r="G1371" s="317">
        <f>G1372+G1375+G1379</f>
        <v>5141.670368031232</v>
      </c>
      <c r="H1371" s="299"/>
      <c r="I1371" s="136"/>
      <c r="J1371" s="136"/>
      <c r="K1371" s="136"/>
      <c r="L1371" s="136"/>
      <c r="M1371" s="136"/>
      <c r="N1371" s="136"/>
      <c r="O1371" s="136"/>
      <c r="P1371" s="136"/>
      <c r="Q1371" s="136"/>
    </row>
    <row r="1372" spans="2:17" ht="14.25">
      <c r="B1372" s="299">
        <v>1</v>
      </c>
      <c r="C1372" s="299" t="s">
        <v>329</v>
      </c>
      <c r="D1372" s="318"/>
      <c r="E1372" s="317"/>
      <c r="F1372" s="317"/>
      <c r="G1372" s="317">
        <f>SUM(G1373:G1374)</f>
        <v>599.761</v>
      </c>
      <c r="H1372" s="299"/>
      <c r="I1372" s="136"/>
      <c r="J1372" s="136"/>
      <c r="K1372" s="136"/>
      <c r="L1372" s="136"/>
      <c r="M1372" s="136"/>
      <c r="N1372" s="136"/>
      <c r="O1372" s="136"/>
      <c r="P1372" s="136"/>
      <c r="Q1372" s="136"/>
    </row>
    <row r="1373" spans="2:17" ht="14.25">
      <c r="B1373" s="299"/>
      <c r="C1373" s="318" t="s">
        <v>351</v>
      </c>
      <c r="D1373" s="318" t="s">
        <v>163</v>
      </c>
      <c r="E1373" s="317">
        <v>43.2</v>
      </c>
      <c r="F1373" s="317">
        <v>8.1</v>
      </c>
      <c r="G1373" s="317">
        <f>F1373*E1373</f>
        <v>349.92</v>
      </c>
      <c r="H1373" s="299"/>
      <c r="I1373" s="136"/>
      <c r="J1373" s="136"/>
      <c r="K1373" s="136"/>
      <c r="L1373" s="136"/>
      <c r="M1373" s="136"/>
      <c r="N1373" s="136"/>
      <c r="O1373" s="136"/>
      <c r="P1373" s="136"/>
      <c r="Q1373" s="136"/>
    </row>
    <row r="1374" spans="2:17" ht="14.25">
      <c r="B1374" s="299"/>
      <c r="C1374" s="318" t="s">
        <v>330</v>
      </c>
      <c r="D1374" s="318" t="s">
        <v>163</v>
      </c>
      <c r="E1374" s="317">
        <v>43.3</v>
      </c>
      <c r="F1374" s="317">
        <v>5.77</v>
      </c>
      <c r="G1374" s="317">
        <f>F1374*E1374</f>
        <v>249.84099999999995</v>
      </c>
      <c r="H1374" s="299"/>
      <c r="I1374" s="136"/>
      <c r="J1374" s="136"/>
      <c r="K1374" s="136"/>
      <c r="L1374" s="136"/>
      <c r="M1374" s="136"/>
      <c r="N1374" s="136"/>
      <c r="O1374" s="136"/>
      <c r="P1374" s="136"/>
      <c r="Q1374" s="136"/>
    </row>
    <row r="1375" spans="2:17" ht="14.25">
      <c r="B1375" s="299">
        <v>2</v>
      </c>
      <c r="C1375" s="299" t="s">
        <v>373</v>
      </c>
      <c r="D1375" s="316"/>
      <c r="E1375" s="317"/>
      <c r="F1375" s="317"/>
      <c r="G1375" s="317">
        <f>SUM(G1376:G1378)</f>
        <v>253.5522675</v>
      </c>
      <c r="H1375" s="299"/>
      <c r="I1375" s="136"/>
      <c r="J1375" s="136"/>
      <c r="K1375" s="136"/>
      <c r="L1375" s="136"/>
      <c r="M1375" s="136"/>
      <c r="N1375" s="136"/>
      <c r="O1375" s="136"/>
      <c r="P1375" s="136"/>
      <c r="Q1375" s="136"/>
    </row>
    <row r="1376" spans="2:17" ht="14.25">
      <c r="B1376" s="319"/>
      <c r="C1376" s="299" t="s">
        <v>411</v>
      </c>
      <c r="D1376" s="299" t="s">
        <v>546</v>
      </c>
      <c r="E1376" s="317">
        <v>0.1</v>
      </c>
      <c r="F1376" s="317">
        <f>'单价分析'!L12</f>
        <v>1789.6725</v>
      </c>
      <c r="G1376" s="317">
        <f>F1376*E1376</f>
        <v>178.96725</v>
      </c>
      <c r="H1376" s="299"/>
      <c r="I1376" s="136"/>
      <c r="J1376" s="136"/>
      <c r="K1376" s="136"/>
      <c r="L1376" s="136"/>
      <c r="M1376" s="136"/>
      <c r="N1376" s="136"/>
      <c r="O1376" s="136"/>
      <c r="P1376" s="136"/>
      <c r="Q1376" s="136"/>
    </row>
    <row r="1377" spans="2:17" ht="14.25">
      <c r="B1377" s="319"/>
      <c r="C1377" s="299" t="s">
        <v>312</v>
      </c>
      <c r="D1377" s="299" t="s">
        <v>307</v>
      </c>
      <c r="E1377" s="317">
        <v>12</v>
      </c>
      <c r="F1377" s="317">
        <f>'机械台班'!D40</f>
        <v>5.6</v>
      </c>
      <c r="G1377" s="317">
        <f>F1377*E1377</f>
        <v>67.19999999999999</v>
      </c>
      <c r="H1377" s="299"/>
      <c r="I1377" s="136"/>
      <c r="J1377" s="136"/>
      <c r="K1377" s="136"/>
      <c r="L1377" s="136"/>
      <c r="M1377" s="136"/>
      <c r="N1377" s="136"/>
      <c r="O1377" s="136"/>
      <c r="P1377" s="136"/>
      <c r="Q1377" s="136"/>
    </row>
    <row r="1378" spans="2:17" ht="14.25">
      <c r="B1378" s="299"/>
      <c r="C1378" s="299" t="s">
        <v>548</v>
      </c>
      <c r="D1378" s="299" t="s">
        <v>332</v>
      </c>
      <c r="E1378" s="317">
        <v>3</v>
      </c>
      <c r="F1378" s="317">
        <f>SUM(G1376:G1377)</f>
        <v>246.16725</v>
      </c>
      <c r="G1378" s="317">
        <f>F1378*E1378/100</f>
        <v>7.3850175</v>
      </c>
      <c r="H1378" s="299"/>
      <c r="I1378" s="136"/>
      <c r="J1378" s="136"/>
      <c r="K1378" s="136"/>
      <c r="L1378" s="136"/>
      <c r="M1378" s="136"/>
      <c r="N1378" s="136"/>
      <c r="O1378" s="136"/>
      <c r="P1378" s="136"/>
      <c r="Q1378" s="136"/>
    </row>
    <row r="1379" spans="2:17" ht="14.25">
      <c r="B1379" s="299">
        <v>3</v>
      </c>
      <c r="C1379" s="299" t="s">
        <v>333</v>
      </c>
      <c r="D1379" s="299"/>
      <c r="E1379" s="317"/>
      <c r="F1379" s="317"/>
      <c r="G1379" s="317">
        <f>SUM(G1380:G1382)</f>
        <v>4288.357100531232</v>
      </c>
      <c r="H1379" s="299"/>
      <c r="I1379" s="136"/>
      <c r="J1379" s="136"/>
      <c r="K1379" s="136"/>
      <c r="L1379" s="136"/>
      <c r="M1379" s="136"/>
      <c r="N1379" s="136"/>
      <c r="O1379" s="136"/>
      <c r="P1379" s="136"/>
      <c r="Q1379" s="136"/>
    </row>
    <row r="1380" spans="2:17" ht="14.25">
      <c r="B1380" s="299"/>
      <c r="C1380" s="299" t="s">
        <v>206</v>
      </c>
      <c r="D1380" s="299" t="s">
        <v>335</v>
      </c>
      <c r="E1380" s="317">
        <f>34.74+4*2.85</f>
        <v>46.14</v>
      </c>
      <c r="F1380" s="317">
        <f>'台班总'!D17</f>
        <v>74.45930873554049</v>
      </c>
      <c r="G1380" s="317">
        <f>F1380*E1380</f>
        <v>3435.552505057838</v>
      </c>
      <c r="H1380" s="299"/>
      <c r="I1380" s="136"/>
      <c r="J1380" s="136"/>
      <c r="K1380" s="136"/>
      <c r="L1380" s="136"/>
      <c r="M1380" s="136"/>
      <c r="N1380" s="136"/>
      <c r="O1380" s="136"/>
      <c r="P1380" s="136"/>
      <c r="Q1380" s="136"/>
    </row>
    <row r="1381" spans="2:17" ht="14.25">
      <c r="B1381" s="319"/>
      <c r="C1381" s="299" t="s">
        <v>213</v>
      </c>
      <c r="D1381" s="299" t="s">
        <v>335</v>
      </c>
      <c r="E1381" s="317">
        <f>13</f>
        <v>13</v>
      </c>
      <c r="F1381" s="317">
        <f>'台班总'!D24</f>
        <v>62.33427802153969</v>
      </c>
      <c r="G1381" s="317">
        <f>F1381*E1381</f>
        <v>810.345614280016</v>
      </c>
      <c r="H1381" s="299"/>
      <c r="I1381" s="136"/>
      <c r="J1381" s="136"/>
      <c r="K1381" s="136"/>
      <c r="L1381" s="136"/>
      <c r="M1381" s="136"/>
      <c r="N1381" s="136"/>
      <c r="O1381" s="136"/>
      <c r="P1381" s="136"/>
      <c r="Q1381" s="136"/>
    </row>
    <row r="1382" spans="2:17" ht="14.25">
      <c r="B1382" s="319"/>
      <c r="C1382" s="299" t="s">
        <v>370</v>
      </c>
      <c r="D1382" s="299" t="s">
        <v>332</v>
      </c>
      <c r="E1382" s="320">
        <v>0.01</v>
      </c>
      <c r="F1382" s="317">
        <f>SUM(G1380:G1381)</f>
        <v>4245.898119337854</v>
      </c>
      <c r="G1382" s="317">
        <f>F1382*E1382</f>
        <v>42.45898119337854</v>
      </c>
      <c r="H1382" s="299"/>
      <c r="I1382" s="136"/>
      <c r="J1382" s="136"/>
      <c r="K1382" s="136"/>
      <c r="L1382" s="136"/>
      <c r="M1382" s="136"/>
      <c r="N1382" s="136"/>
      <c r="O1382" s="136"/>
      <c r="P1382" s="136"/>
      <c r="Q1382" s="136"/>
    </row>
    <row r="1383" spans="2:17" ht="14.25">
      <c r="B1383" s="299" t="s">
        <v>63</v>
      </c>
      <c r="C1383" s="299" t="s">
        <v>512</v>
      </c>
      <c r="D1383" s="284">
        <v>0.048</v>
      </c>
      <c r="E1383" s="317"/>
      <c r="F1383" s="317"/>
      <c r="G1383" s="317">
        <f>D1383*G1371</f>
        <v>246.80017766549915</v>
      </c>
      <c r="H1383" s="299"/>
      <c r="I1383" s="136"/>
      <c r="J1383" s="136"/>
      <c r="K1383" s="136"/>
      <c r="L1383" s="136"/>
      <c r="M1383" s="136"/>
      <c r="N1383" s="136"/>
      <c r="O1383" s="136"/>
      <c r="P1383" s="136"/>
      <c r="Q1383" s="136"/>
    </row>
    <row r="1384" spans="2:17" ht="14.25">
      <c r="B1384" s="299" t="s">
        <v>355</v>
      </c>
      <c r="C1384" s="299" t="s">
        <v>356</v>
      </c>
      <c r="D1384" s="284"/>
      <c r="E1384" s="317"/>
      <c r="F1384" s="317"/>
      <c r="G1384" s="317">
        <f>D1384*G1371</f>
        <v>0</v>
      </c>
      <c r="H1384" s="299"/>
      <c r="I1384" s="136"/>
      <c r="J1384" s="136"/>
      <c r="K1384" s="136"/>
      <c r="L1384" s="136"/>
      <c r="M1384" s="136"/>
      <c r="N1384" s="136"/>
      <c r="O1384" s="136"/>
      <c r="P1384" s="136"/>
      <c r="Q1384" s="136"/>
    </row>
    <row r="1385" spans="2:17" ht="14.25">
      <c r="B1385" s="299" t="s">
        <v>18</v>
      </c>
      <c r="C1385" s="299" t="s">
        <v>337</v>
      </c>
      <c r="D1385" s="284">
        <v>0.08</v>
      </c>
      <c r="E1385" s="317"/>
      <c r="F1385" s="317"/>
      <c r="G1385" s="317">
        <f>D1385*G1370</f>
        <v>431.0776436557385</v>
      </c>
      <c r="H1385" s="299"/>
      <c r="I1385" s="136"/>
      <c r="J1385" s="136"/>
      <c r="K1385" s="136"/>
      <c r="L1385" s="136"/>
      <c r="M1385" s="136"/>
      <c r="N1385" s="136"/>
      <c r="O1385" s="136"/>
      <c r="P1385" s="136"/>
      <c r="Q1385" s="136"/>
    </row>
    <row r="1386" spans="2:17" ht="14.25">
      <c r="B1386" s="299" t="s">
        <v>20</v>
      </c>
      <c r="C1386" s="299" t="s">
        <v>338</v>
      </c>
      <c r="D1386" s="286">
        <v>0.07</v>
      </c>
      <c r="E1386" s="317"/>
      <c r="F1386" s="317"/>
      <c r="G1386" s="317">
        <f>(G1370+G1385)*D1386</f>
        <v>407.368373254673</v>
      </c>
      <c r="H1386" s="299"/>
      <c r="I1386" s="136"/>
      <c r="J1386" s="136"/>
      <c r="K1386" s="136"/>
      <c r="L1386" s="136"/>
      <c r="M1386" s="136"/>
      <c r="N1386" s="136"/>
      <c r="O1386" s="136"/>
      <c r="P1386" s="136"/>
      <c r="Q1386" s="136"/>
    </row>
    <row r="1387" spans="2:17" ht="14.25">
      <c r="B1387" s="299" t="s">
        <v>22</v>
      </c>
      <c r="C1387" s="299" t="s">
        <v>339</v>
      </c>
      <c r="D1387" s="320"/>
      <c r="E1387" s="317"/>
      <c r="F1387" s="317"/>
      <c r="G1387" s="317">
        <f>SUM(G1388:G1390)</f>
        <v>1941.6018</v>
      </c>
      <c r="H1387" s="299"/>
      <c r="I1387" s="136"/>
      <c r="J1387" s="136"/>
      <c r="K1387" s="136"/>
      <c r="L1387" s="136"/>
      <c r="M1387" s="136"/>
      <c r="N1387" s="136"/>
      <c r="O1387" s="136"/>
      <c r="P1387" s="136"/>
      <c r="Q1387" s="136"/>
    </row>
    <row r="1388" spans="2:17" ht="14.25">
      <c r="B1388" s="299"/>
      <c r="C1388" s="299"/>
      <c r="D1388" s="299"/>
      <c r="E1388" s="317"/>
      <c r="F1388" s="317"/>
      <c r="G1388" s="317"/>
      <c r="H1388" s="299"/>
      <c r="I1388" s="136"/>
      <c r="J1388" s="136"/>
      <c r="K1388" s="136"/>
      <c r="L1388" s="136"/>
      <c r="M1388" s="136"/>
      <c r="N1388" s="136"/>
      <c r="O1388" s="136"/>
      <c r="P1388" s="136"/>
      <c r="Q1388" s="136"/>
    </row>
    <row r="1389" spans="2:17" ht="14.25">
      <c r="B1389" s="299"/>
      <c r="C1389" s="299" t="s">
        <v>303</v>
      </c>
      <c r="D1389" s="299" t="s">
        <v>307</v>
      </c>
      <c r="E1389" s="317">
        <f>E1381*'机械台班'!AH13</f>
        <v>75.39999999999999</v>
      </c>
      <c r="F1389" s="317">
        <f>'机械台班'!C31</f>
        <v>5.055000000000001</v>
      </c>
      <c r="G1389" s="317">
        <f>F1389*E1389</f>
        <v>381.147</v>
      </c>
      <c r="H1389" s="299"/>
      <c r="I1389" s="136"/>
      <c r="J1389" s="136"/>
      <c r="K1389" s="136"/>
      <c r="L1389" s="136"/>
      <c r="M1389" s="136"/>
      <c r="N1389" s="136"/>
      <c r="O1389" s="136"/>
      <c r="P1389" s="136"/>
      <c r="Q1389" s="136"/>
    </row>
    <row r="1390" spans="2:17" ht="14.25">
      <c r="B1390" s="299"/>
      <c r="C1390" s="299" t="s">
        <v>304</v>
      </c>
      <c r="D1390" s="320" t="s">
        <v>307</v>
      </c>
      <c r="E1390" s="317">
        <f>E1380*'机械台班'!T13</f>
        <v>410.646</v>
      </c>
      <c r="F1390" s="317">
        <f>'机械台班'!C32</f>
        <v>3.8</v>
      </c>
      <c r="G1390" s="317">
        <f>F1390*E1390</f>
        <v>1560.4548</v>
      </c>
      <c r="H1390" s="299"/>
      <c r="I1390" s="136"/>
      <c r="J1390" s="136"/>
      <c r="K1390" s="136"/>
      <c r="L1390" s="136"/>
      <c r="M1390" s="136"/>
      <c r="N1390" s="136"/>
      <c r="O1390" s="136"/>
      <c r="P1390" s="136"/>
      <c r="Q1390" s="136"/>
    </row>
    <row r="1391" spans="2:17" ht="14.25">
      <c r="B1391" s="299" t="s">
        <v>24</v>
      </c>
      <c r="C1391" s="299" t="s">
        <v>340</v>
      </c>
      <c r="D1391" s="288">
        <v>0.09</v>
      </c>
      <c r="E1391" s="317"/>
      <c r="F1391" s="317"/>
      <c r="G1391" s="317">
        <f>(G1387+G1386+G1385+G1370)*D1391</f>
        <v>735.1666526346428</v>
      </c>
      <c r="H1391" s="299"/>
      <c r="I1391" s="136"/>
      <c r="J1391" s="136"/>
      <c r="K1391" s="136"/>
      <c r="L1391" s="136"/>
      <c r="M1391" s="136"/>
      <c r="N1391" s="136"/>
      <c r="O1391" s="136"/>
      <c r="P1391" s="136"/>
      <c r="Q1391" s="136"/>
    </row>
    <row r="1392" spans="2:17" ht="14.25">
      <c r="B1392" s="316"/>
      <c r="C1392" s="299" t="s">
        <v>36</v>
      </c>
      <c r="D1392" s="299"/>
      <c r="E1392" s="317"/>
      <c r="F1392" s="317"/>
      <c r="G1392" s="317">
        <f>G1391+G1387+G1386+G1385+G1370</f>
        <v>8903.685015241786</v>
      </c>
      <c r="H1392" s="299"/>
      <c r="I1392" s="136"/>
      <c r="J1392" s="136"/>
      <c r="K1392" s="136"/>
      <c r="L1392" s="136"/>
      <c r="M1392" s="136"/>
      <c r="N1392" s="136"/>
      <c r="O1392" s="136"/>
      <c r="P1392" s="136"/>
      <c r="Q1392" s="136"/>
    </row>
    <row r="1393" spans="2:17" ht="14.25">
      <c r="B1393" s="299" t="s">
        <v>341</v>
      </c>
      <c r="C1393" s="299" t="s">
        <v>342</v>
      </c>
      <c r="D1393" s="153">
        <v>0.03</v>
      </c>
      <c r="E1393" s="317"/>
      <c r="F1393" s="317"/>
      <c r="G1393" s="317">
        <f>G1392*D1393</f>
        <v>267.11055045725357</v>
      </c>
      <c r="H1393" s="316"/>
      <c r="I1393" s="136"/>
      <c r="J1393" s="136"/>
      <c r="K1393" s="136"/>
      <c r="L1393" s="136"/>
      <c r="M1393" s="136"/>
      <c r="N1393" s="136"/>
      <c r="O1393" s="136"/>
      <c r="P1393" s="136"/>
      <c r="Q1393" s="136"/>
    </row>
    <row r="1394" spans="2:17" ht="14.25">
      <c r="B1394" s="316"/>
      <c r="C1394" s="299" t="s">
        <v>343</v>
      </c>
      <c r="D1394" s="316"/>
      <c r="E1394" s="321"/>
      <c r="F1394" s="321"/>
      <c r="G1394" s="317">
        <f>G1392+G1393</f>
        <v>9170.79556569904</v>
      </c>
      <c r="H1394" s="316"/>
      <c r="I1394" s="136"/>
      <c r="J1394" s="136"/>
      <c r="K1394" s="136"/>
      <c r="L1394" s="136"/>
      <c r="M1394" s="136"/>
      <c r="N1394" s="136"/>
      <c r="O1394" s="136"/>
      <c r="P1394" s="136"/>
      <c r="Q1394" s="136"/>
    </row>
    <row r="1395" spans="2:17" ht="14.25">
      <c r="B1395" s="136"/>
      <c r="C1395" s="136"/>
      <c r="D1395" s="136"/>
      <c r="E1395" s="136"/>
      <c r="F1395" s="136"/>
      <c r="G1395" s="136"/>
      <c r="H1395" s="136"/>
      <c r="I1395" s="136"/>
      <c r="J1395" s="136"/>
      <c r="K1395" s="136"/>
      <c r="L1395" s="136"/>
      <c r="M1395" s="136"/>
      <c r="N1395" s="136"/>
      <c r="O1395" s="136"/>
      <c r="P1395" s="136"/>
      <c r="Q1395" s="136"/>
    </row>
    <row r="1396" spans="2:17" ht="14.25">
      <c r="B1396" s="136"/>
      <c r="C1396" s="136"/>
      <c r="D1396" s="136"/>
      <c r="E1396" s="136"/>
      <c r="F1396" s="136"/>
      <c r="G1396" s="136"/>
      <c r="H1396" s="136"/>
      <c r="I1396" s="136"/>
      <c r="J1396" s="136"/>
      <c r="K1396" s="136"/>
      <c r="L1396" s="136"/>
      <c r="M1396" s="136"/>
      <c r="N1396" s="136"/>
      <c r="O1396" s="136"/>
      <c r="P1396" s="136"/>
      <c r="Q1396" s="136"/>
    </row>
    <row r="1397" spans="2:17" ht="14.25">
      <c r="B1397" s="322" t="s">
        <v>557</v>
      </c>
      <c r="C1397" s="322"/>
      <c r="D1397" s="322"/>
      <c r="E1397" s="322"/>
      <c r="F1397" s="323"/>
      <c r="G1397" s="323"/>
      <c r="H1397" s="136"/>
      <c r="I1397" s="136"/>
      <c r="J1397" s="136"/>
      <c r="K1397" s="136"/>
      <c r="L1397" s="136"/>
      <c r="M1397" s="136"/>
      <c r="N1397" s="136"/>
      <c r="O1397" s="136"/>
      <c r="P1397" s="136"/>
      <c r="Q1397" s="136"/>
    </row>
    <row r="1398" spans="2:17" ht="14.25">
      <c r="B1398" s="322" t="s">
        <v>520</v>
      </c>
      <c r="C1398" s="322"/>
      <c r="D1398" s="322"/>
      <c r="E1398" s="322"/>
      <c r="F1398" s="324" t="s">
        <v>558</v>
      </c>
      <c r="G1398" s="324"/>
      <c r="H1398" s="136"/>
      <c r="I1398" s="136"/>
      <c r="J1398" s="136"/>
      <c r="K1398" s="136"/>
      <c r="L1398" s="136"/>
      <c r="M1398" s="136"/>
      <c r="N1398" s="136"/>
      <c r="O1398" s="136"/>
      <c r="P1398" s="136"/>
      <c r="Q1398" s="136"/>
    </row>
    <row r="1399" spans="2:17" ht="14.25">
      <c r="B1399" s="325" t="s">
        <v>559</v>
      </c>
      <c r="C1399" s="325"/>
      <c r="D1399" s="325"/>
      <c r="E1399" s="325"/>
      <c r="F1399" s="326"/>
      <c r="G1399" s="326"/>
      <c r="H1399" s="136"/>
      <c r="I1399" s="136"/>
      <c r="J1399" s="136"/>
      <c r="K1399" s="136"/>
      <c r="L1399" s="136"/>
      <c r="M1399" s="136"/>
      <c r="N1399" s="136"/>
      <c r="O1399" s="136"/>
      <c r="P1399" s="136"/>
      <c r="Q1399" s="136"/>
    </row>
    <row r="1400" spans="2:17" ht="14.25">
      <c r="B1400" s="327" t="s">
        <v>31</v>
      </c>
      <c r="C1400" s="327" t="s">
        <v>190</v>
      </c>
      <c r="D1400" s="327" t="s">
        <v>33</v>
      </c>
      <c r="E1400" s="328" t="s">
        <v>34</v>
      </c>
      <c r="F1400" s="328" t="s">
        <v>35</v>
      </c>
      <c r="G1400" s="328" t="s">
        <v>74</v>
      </c>
      <c r="H1400" s="136"/>
      <c r="I1400" s="136"/>
      <c r="J1400" s="136"/>
      <c r="K1400" s="136"/>
      <c r="L1400" s="136"/>
      <c r="M1400" s="136"/>
      <c r="N1400" s="136"/>
      <c r="O1400" s="136"/>
      <c r="P1400" s="136"/>
      <c r="Q1400" s="136"/>
    </row>
    <row r="1401" spans="2:17" ht="14.25">
      <c r="B1401" s="327" t="s">
        <v>16</v>
      </c>
      <c r="C1401" s="327" t="s">
        <v>328</v>
      </c>
      <c r="D1401" s="327"/>
      <c r="E1401" s="328"/>
      <c r="F1401" s="328"/>
      <c r="G1401" s="328">
        <f>G1402+G1421</f>
        <v>44317.370698164224</v>
      </c>
      <c r="H1401" s="136"/>
      <c r="I1401" s="136"/>
      <c r="J1401" s="136"/>
      <c r="K1401" s="136"/>
      <c r="L1401" s="136"/>
      <c r="M1401" s="136"/>
      <c r="N1401" s="136"/>
      <c r="O1401" s="136"/>
      <c r="P1401" s="136"/>
      <c r="Q1401" s="136"/>
    </row>
    <row r="1402" spans="2:17" ht="14.25">
      <c r="B1402" s="327" t="s">
        <v>560</v>
      </c>
      <c r="C1402" s="327" t="s">
        <v>511</v>
      </c>
      <c r="D1402" s="327"/>
      <c r="E1402" s="328"/>
      <c r="F1402" s="328"/>
      <c r="G1402" s="328">
        <f>G1403+G1406+G1415</f>
        <v>42287.56746008037</v>
      </c>
      <c r="H1402" s="136"/>
      <c r="I1402" s="136"/>
      <c r="J1402" s="136"/>
      <c r="K1402" s="136"/>
      <c r="L1402" s="136"/>
      <c r="M1402" s="136"/>
      <c r="N1402" s="136"/>
      <c r="O1402" s="136"/>
      <c r="P1402" s="136"/>
      <c r="Q1402" s="136"/>
    </row>
    <row r="1403" spans="2:17" ht="14.25">
      <c r="B1403" s="327">
        <v>1</v>
      </c>
      <c r="C1403" s="327" t="s">
        <v>329</v>
      </c>
      <c r="D1403" s="327"/>
      <c r="E1403" s="328"/>
      <c r="F1403" s="328"/>
      <c r="G1403" s="328">
        <f>G1404+G1405</f>
        <v>18598.395</v>
      </c>
      <c r="H1403" s="136"/>
      <c r="I1403" s="136"/>
      <c r="J1403" s="136"/>
      <c r="K1403" s="136"/>
      <c r="L1403" s="136"/>
      <c r="M1403" s="136"/>
      <c r="N1403" s="136"/>
      <c r="O1403" s="136"/>
      <c r="P1403" s="136"/>
      <c r="Q1403" s="136"/>
    </row>
    <row r="1404" spans="2:17" ht="14.25">
      <c r="B1404" s="327"/>
      <c r="C1404" s="327" t="s">
        <v>351</v>
      </c>
      <c r="D1404" s="327" t="s">
        <v>163</v>
      </c>
      <c r="E1404" s="328">
        <v>1739.4</v>
      </c>
      <c r="F1404" s="328">
        <v>8.1</v>
      </c>
      <c r="G1404" s="328">
        <f aca="true" t="shared" si="35" ref="G1404:G1413">F1404*E1404</f>
        <v>14089.14</v>
      </c>
      <c r="H1404" s="136"/>
      <c r="I1404" s="136"/>
      <c r="J1404" s="136"/>
      <c r="K1404" s="136"/>
      <c r="L1404" s="136"/>
      <c r="M1404" s="136"/>
      <c r="N1404" s="136"/>
      <c r="O1404" s="136"/>
      <c r="P1404" s="136"/>
      <c r="Q1404" s="136"/>
    </row>
    <row r="1405" spans="2:17" ht="14.25">
      <c r="B1405" s="327"/>
      <c r="C1405" s="327" t="s">
        <v>330</v>
      </c>
      <c r="D1405" s="327" t="s">
        <v>163</v>
      </c>
      <c r="E1405" s="328">
        <v>781.5</v>
      </c>
      <c r="F1405" s="328">
        <f>5.77</f>
        <v>5.77</v>
      </c>
      <c r="G1405" s="328">
        <f t="shared" si="35"/>
        <v>4509.255</v>
      </c>
      <c r="H1405" s="136"/>
      <c r="I1405" s="136"/>
      <c r="J1405" s="136"/>
      <c r="K1405" s="136"/>
      <c r="L1405" s="136"/>
      <c r="M1405" s="136"/>
      <c r="N1405" s="136"/>
      <c r="O1405" s="136"/>
      <c r="P1405" s="136"/>
      <c r="Q1405" s="136"/>
    </row>
    <row r="1406" spans="2:17" ht="14.25">
      <c r="B1406" s="327">
        <v>2</v>
      </c>
      <c r="C1406" s="327" t="s">
        <v>373</v>
      </c>
      <c r="D1406" s="327"/>
      <c r="E1406" s="328"/>
      <c r="F1406" s="328"/>
      <c r="G1406" s="328">
        <f>SUM(G1407:G1414)</f>
        <v>22903.345319640004</v>
      </c>
      <c r="H1406" s="136"/>
      <c r="I1406" s="136"/>
      <c r="J1406" s="136"/>
      <c r="K1406" s="136"/>
      <c r="L1406" s="136"/>
      <c r="M1406" s="136"/>
      <c r="N1406" s="136"/>
      <c r="O1406" s="136"/>
      <c r="P1406" s="136"/>
      <c r="Q1406" s="136"/>
    </row>
    <row r="1407" spans="2:17" ht="14.25">
      <c r="B1407" s="327"/>
      <c r="C1407" s="327" t="s">
        <v>411</v>
      </c>
      <c r="D1407" s="327" t="s">
        <v>561</v>
      </c>
      <c r="E1407" s="328">
        <v>0.9</v>
      </c>
      <c r="F1407" s="328">
        <f>'单价分析'!L12</f>
        <v>1789.6725</v>
      </c>
      <c r="G1407" s="328">
        <f t="shared" si="35"/>
        <v>1610.70525</v>
      </c>
      <c r="H1407" s="136"/>
      <c r="I1407" s="136"/>
      <c r="J1407" s="136"/>
      <c r="K1407" s="136"/>
      <c r="L1407" s="136"/>
      <c r="M1407" s="136"/>
      <c r="N1407" s="136"/>
      <c r="O1407" s="136"/>
      <c r="P1407" s="136"/>
      <c r="Q1407" s="136"/>
    </row>
    <row r="1408" spans="2:7" ht="14.25">
      <c r="B1408" s="327"/>
      <c r="C1408" s="327" t="s">
        <v>562</v>
      </c>
      <c r="D1408" s="327" t="s">
        <v>563</v>
      </c>
      <c r="E1408" s="328">
        <v>316.07</v>
      </c>
      <c r="F1408" s="328">
        <f>'机械台班'!D35</f>
        <v>4.43</v>
      </c>
      <c r="G1408" s="328">
        <f t="shared" si="35"/>
        <v>1400.1900999999998</v>
      </c>
    </row>
    <row r="1409" spans="2:7" ht="14.25">
      <c r="B1409" s="327"/>
      <c r="C1409" s="327" t="s">
        <v>309</v>
      </c>
      <c r="D1409" s="327" t="s">
        <v>563</v>
      </c>
      <c r="E1409" s="328">
        <v>100.3</v>
      </c>
      <c r="F1409" s="328">
        <f>'机械台班'!D37</f>
        <v>5.5</v>
      </c>
      <c r="G1409" s="328">
        <f t="shared" si="35"/>
        <v>551.65</v>
      </c>
    </row>
    <row r="1410" spans="2:7" ht="14.25">
      <c r="B1410" s="327"/>
      <c r="C1410" s="327" t="s">
        <v>312</v>
      </c>
      <c r="D1410" s="327" t="s">
        <v>563</v>
      </c>
      <c r="E1410" s="328">
        <v>71.36</v>
      </c>
      <c r="F1410" s="328">
        <f>'机械台班'!D40</f>
        <v>5.6</v>
      </c>
      <c r="G1410" s="328">
        <f t="shared" si="35"/>
        <v>399.616</v>
      </c>
    </row>
    <row r="1411" spans="2:7" ht="14.25">
      <c r="B1411" s="327"/>
      <c r="C1411" s="327" t="s">
        <v>564</v>
      </c>
      <c r="D1411" s="327" t="s">
        <v>561</v>
      </c>
      <c r="E1411" s="328">
        <v>1</v>
      </c>
      <c r="F1411" s="328">
        <f>'配合'!I13</f>
        <v>135.54646</v>
      </c>
      <c r="G1411" s="328">
        <f t="shared" si="35"/>
        <v>135.54646</v>
      </c>
    </row>
    <row r="1412" spans="2:7" ht="14.25">
      <c r="B1412" s="327"/>
      <c r="C1412" s="327" t="s">
        <v>565</v>
      </c>
      <c r="D1412" s="327" t="s">
        <v>561</v>
      </c>
      <c r="E1412" s="328">
        <v>102</v>
      </c>
      <c r="F1412" s="328">
        <f>'配合'!I8</f>
        <v>176.40480900000003</v>
      </c>
      <c r="G1412" s="328">
        <f t="shared" si="35"/>
        <v>17993.290518</v>
      </c>
    </row>
    <row r="1413" spans="2:7" ht="14.25">
      <c r="B1413" s="327"/>
      <c r="C1413" s="327" t="s">
        <v>413</v>
      </c>
      <c r="D1413" s="327" t="s">
        <v>561</v>
      </c>
      <c r="E1413" s="328">
        <v>180</v>
      </c>
      <c r="F1413" s="328">
        <f>'单价分析'!E17</f>
        <v>3.88</v>
      </c>
      <c r="G1413" s="328">
        <f t="shared" si="35"/>
        <v>698.4</v>
      </c>
    </row>
    <row r="1414" spans="2:7" ht="14.25">
      <c r="B1414" s="327"/>
      <c r="C1414" s="327" t="s">
        <v>404</v>
      </c>
      <c r="D1414" s="327" t="s">
        <v>566</v>
      </c>
      <c r="E1414" s="328">
        <v>0.5</v>
      </c>
      <c r="F1414" s="328"/>
      <c r="G1414" s="328">
        <f>SUM(G1407:G1413)*E1414/100</f>
        <v>113.94699164000002</v>
      </c>
    </row>
    <row r="1415" spans="2:7" ht="14.25">
      <c r="B1415" s="327">
        <v>3</v>
      </c>
      <c r="C1415" s="327" t="s">
        <v>333</v>
      </c>
      <c r="D1415" s="327"/>
      <c r="E1415" s="328"/>
      <c r="F1415" s="328"/>
      <c r="G1415" s="328">
        <f>SUM(G1416:G1419)</f>
        <v>785.8271404403667</v>
      </c>
    </row>
    <row r="1416" spans="2:7" ht="14.25">
      <c r="B1416" s="327"/>
      <c r="C1416" s="327" t="s">
        <v>567</v>
      </c>
      <c r="D1416" s="327" t="s">
        <v>335</v>
      </c>
      <c r="E1416" s="328">
        <v>18.36</v>
      </c>
      <c r="F1416" s="328">
        <f>'台班总'!D13</f>
        <v>28.217952134024728</v>
      </c>
      <c r="G1416" s="328">
        <f>F1416*E1416</f>
        <v>518.081601180694</v>
      </c>
    </row>
    <row r="1417" spans="2:7" ht="14.25">
      <c r="B1417" s="327"/>
      <c r="C1417" s="329" t="s">
        <v>417</v>
      </c>
      <c r="D1417" s="327" t="s">
        <v>335</v>
      </c>
      <c r="E1417" s="328">
        <v>44</v>
      </c>
      <c r="F1417" s="328">
        <f>'台班总'!D14</f>
        <v>2.221526924611089</v>
      </c>
      <c r="G1417" s="328">
        <f>F1417*E1417</f>
        <v>97.7471846828879</v>
      </c>
    </row>
    <row r="1418" spans="2:7" ht="14.25">
      <c r="B1418" s="327"/>
      <c r="C1418" s="327" t="s">
        <v>209</v>
      </c>
      <c r="D1418" s="327" t="s">
        <v>335</v>
      </c>
      <c r="E1418" s="328">
        <v>83</v>
      </c>
      <c r="F1418" s="328">
        <f>'台班总'!D20</f>
        <v>0.8132429198244914</v>
      </c>
      <c r="G1418" s="328">
        <f>F1418*E1418</f>
        <v>67.49916234543278</v>
      </c>
    </row>
    <row r="1419" spans="2:7" ht="14.25">
      <c r="B1419" s="327"/>
      <c r="C1419" s="327" t="s">
        <v>370</v>
      </c>
      <c r="D1419" s="327" t="s">
        <v>566</v>
      </c>
      <c r="E1419" s="328">
        <v>15</v>
      </c>
      <c r="F1419" s="328"/>
      <c r="G1419" s="328">
        <f>SUM(G1416:G1418)*E1419/100</f>
        <v>102.4991922313522</v>
      </c>
    </row>
    <row r="1420" spans="2:7" ht="14.25">
      <c r="B1420" s="327"/>
      <c r="C1420" s="327"/>
      <c r="D1420" s="327"/>
      <c r="E1420" s="328"/>
      <c r="F1420" s="328"/>
      <c r="G1420" s="328"/>
    </row>
    <row r="1421" spans="2:7" ht="14.25">
      <c r="B1421" s="327" t="s">
        <v>568</v>
      </c>
      <c r="C1421" s="327" t="s">
        <v>336</v>
      </c>
      <c r="D1421" s="330">
        <v>0.048</v>
      </c>
      <c r="E1421" s="328"/>
      <c r="F1421" s="328"/>
      <c r="G1421" s="328">
        <f>G1402*D1421</f>
        <v>2029.8032380838577</v>
      </c>
    </row>
    <row r="1422" spans="2:7" ht="14.25">
      <c r="B1422" s="327"/>
      <c r="C1422" s="327"/>
      <c r="D1422" s="327"/>
      <c r="E1422" s="328"/>
      <c r="F1422" s="328"/>
      <c r="G1422" s="328"/>
    </row>
    <row r="1423" spans="2:7" ht="14.25">
      <c r="B1423" s="327" t="s">
        <v>18</v>
      </c>
      <c r="C1423" s="327" t="s">
        <v>337</v>
      </c>
      <c r="D1423" s="330">
        <v>0.08</v>
      </c>
      <c r="E1423" s="328"/>
      <c r="F1423" s="328"/>
      <c r="G1423" s="328">
        <f>G1401*D1423</f>
        <v>3545.389655853138</v>
      </c>
    </row>
    <row r="1424" spans="2:7" ht="14.25">
      <c r="B1424" s="327" t="s">
        <v>20</v>
      </c>
      <c r="C1424" s="327" t="s">
        <v>338</v>
      </c>
      <c r="D1424" s="330">
        <v>0.07</v>
      </c>
      <c r="E1424" s="328"/>
      <c r="F1424" s="328"/>
      <c r="G1424" s="328">
        <f>(G1401+G1423)*D1424</f>
        <v>3350.3932247812154</v>
      </c>
    </row>
    <row r="1425" spans="2:7" ht="14.25">
      <c r="B1425" s="327" t="s">
        <v>22</v>
      </c>
      <c r="C1425" s="327" t="s">
        <v>339</v>
      </c>
      <c r="D1425" s="327"/>
      <c r="E1425" s="328"/>
      <c r="F1425" s="328"/>
      <c r="G1425" s="328">
        <f>G1426+G1427+G1428</f>
        <v>4525.985372233807</v>
      </c>
    </row>
    <row r="1426" spans="2:7" ht="14.25">
      <c r="B1426" s="327"/>
      <c r="C1426" s="327" t="s">
        <v>298</v>
      </c>
      <c r="D1426" s="327" t="s">
        <v>77</v>
      </c>
      <c r="E1426" s="328">
        <f>E1411*'配合'!E13/1000+E1412*'配合'!E8/1000</f>
        <v>31.558554000000004</v>
      </c>
      <c r="F1426" s="328">
        <f>'机械台班'!C26</f>
        <v>118.56378999999998</v>
      </c>
      <c r="G1426" s="328">
        <f>F1426*E1426</f>
        <v>3741.70176915966</v>
      </c>
    </row>
    <row r="1427" spans="2:7" ht="14.25">
      <c r="B1427" s="327"/>
      <c r="C1427" s="327" t="s">
        <v>569</v>
      </c>
      <c r="D1427" s="327" t="s">
        <v>570</v>
      </c>
      <c r="E1427" s="328">
        <f>E1411*'配合'!F13+'配合'!F8*102</f>
        <v>57.187560000000005</v>
      </c>
      <c r="F1427" s="328">
        <f>'机械台班'!C27</f>
        <v>1.5600419999999957</v>
      </c>
      <c r="G1427" s="328">
        <f>F1427*E1427</f>
        <v>89.21499547751976</v>
      </c>
    </row>
    <row r="1428" spans="2:7" ht="14.25">
      <c r="B1428" s="327"/>
      <c r="C1428" s="327" t="s">
        <v>300</v>
      </c>
      <c r="D1428" s="327" t="s">
        <v>570</v>
      </c>
      <c r="E1428" s="328">
        <f>E1412*'配合'!G8</f>
        <v>85.82565600000002</v>
      </c>
      <c r="F1428" s="328">
        <f>'机械台班'!C28</f>
        <v>8.098611067961158</v>
      </c>
      <c r="G1428" s="328">
        <f>F1428*E1428</f>
        <v>695.0686075966272</v>
      </c>
    </row>
    <row r="1429" spans="2:7" ht="14.25">
      <c r="B1429" s="327"/>
      <c r="C1429" s="327"/>
      <c r="D1429" s="327"/>
      <c r="E1429" s="328"/>
      <c r="F1429" s="328"/>
      <c r="G1429" s="328"/>
    </row>
    <row r="1430" spans="2:7" ht="14.25">
      <c r="B1430" s="327" t="s">
        <v>24</v>
      </c>
      <c r="C1430" s="327" t="s">
        <v>435</v>
      </c>
      <c r="D1430" s="331">
        <v>0.09</v>
      </c>
      <c r="E1430" s="328"/>
      <c r="F1430" s="328"/>
      <c r="G1430" s="328">
        <f>(G1401+G1423+G1424+G1425)*D1430</f>
        <v>5016.522505592915</v>
      </c>
    </row>
    <row r="1431" spans="2:7" ht="14.25">
      <c r="B1431" s="327"/>
      <c r="C1431" s="327"/>
      <c r="D1431" s="327"/>
      <c r="E1431" s="328"/>
      <c r="F1431" s="328"/>
      <c r="G1431" s="328"/>
    </row>
    <row r="1432" spans="2:7" ht="14.25">
      <c r="B1432" s="327"/>
      <c r="C1432" s="327" t="s">
        <v>36</v>
      </c>
      <c r="D1432" s="327"/>
      <c r="E1432" s="328"/>
      <c r="F1432" s="328"/>
      <c r="G1432" s="328">
        <f>G1401+G1423+G1424+G1425+G1430</f>
        <v>60755.6614566253</v>
      </c>
    </row>
    <row r="1433" spans="2:7" ht="14.25">
      <c r="B1433" s="327" t="s">
        <v>341</v>
      </c>
      <c r="C1433" s="327" t="s">
        <v>342</v>
      </c>
      <c r="D1433" s="153">
        <v>0.03</v>
      </c>
      <c r="E1433" s="328"/>
      <c r="F1433" s="328"/>
      <c r="G1433" s="328">
        <f>G1432*D1433</f>
        <v>1822.6698436987588</v>
      </c>
    </row>
    <row r="1434" spans="2:7" ht="14.25">
      <c r="B1434" s="327"/>
      <c r="C1434" s="327"/>
      <c r="D1434" s="327"/>
      <c r="E1434" s="328"/>
      <c r="F1434" s="328"/>
      <c r="G1434" s="332">
        <f>G1432+G1433</f>
        <v>62578.331300324055</v>
      </c>
    </row>
    <row r="1435" spans="2:7" ht="14.25">
      <c r="B1435" s="322" t="s">
        <v>571</v>
      </c>
      <c r="C1435" s="322"/>
      <c r="D1435" s="322"/>
      <c r="E1435" s="322"/>
      <c r="F1435" s="323"/>
      <c r="G1435" s="323"/>
    </row>
    <row r="1436" spans="2:7" ht="14.25">
      <c r="B1436" s="322" t="s">
        <v>523</v>
      </c>
      <c r="C1436" s="322"/>
      <c r="D1436" s="322"/>
      <c r="E1436" s="322"/>
      <c r="F1436" s="324" t="s">
        <v>558</v>
      </c>
      <c r="G1436" s="324"/>
    </row>
    <row r="1437" spans="2:7" ht="14.25">
      <c r="B1437" s="322" t="s">
        <v>572</v>
      </c>
      <c r="C1437" s="322"/>
      <c r="D1437" s="322"/>
      <c r="E1437" s="322"/>
      <c r="F1437" s="323"/>
      <c r="G1437" s="323"/>
    </row>
    <row r="1438" spans="2:7" ht="14.25">
      <c r="B1438" s="325" t="s">
        <v>573</v>
      </c>
      <c r="C1438" s="325"/>
      <c r="D1438" s="325"/>
      <c r="E1438" s="325"/>
      <c r="F1438" s="326"/>
      <c r="G1438" s="326"/>
    </row>
    <row r="1439" spans="2:7" ht="14.25">
      <c r="B1439" s="327" t="s">
        <v>31</v>
      </c>
      <c r="C1439" s="327" t="s">
        <v>190</v>
      </c>
      <c r="D1439" s="327" t="s">
        <v>33</v>
      </c>
      <c r="E1439" s="328" t="s">
        <v>34</v>
      </c>
      <c r="F1439" s="328" t="s">
        <v>35</v>
      </c>
      <c r="G1439" s="328" t="s">
        <v>74</v>
      </c>
    </row>
    <row r="1440" spans="2:7" ht="14.25">
      <c r="B1440" s="327" t="s">
        <v>16</v>
      </c>
      <c r="C1440" s="327" t="s">
        <v>328</v>
      </c>
      <c r="D1440" s="327"/>
      <c r="E1440" s="328"/>
      <c r="F1440" s="328"/>
      <c r="G1440" s="328">
        <f>G1441+G1461</f>
        <v>61218.54958594043</v>
      </c>
    </row>
    <row r="1441" spans="2:7" ht="14.25">
      <c r="B1441" s="327" t="s">
        <v>560</v>
      </c>
      <c r="C1441" s="327" t="s">
        <v>511</v>
      </c>
      <c r="D1441" s="327"/>
      <c r="E1441" s="328"/>
      <c r="F1441" s="328"/>
      <c r="G1441" s="328">
        <f>G1442+G1444+G1453+G1458</f>
        <v>58414.64655146988</v>
      </c>
    </row>
    <row r="1442" spans="2:7" ht="14.25">
      <c r="B1442" s="327">
        <v>1</v>
      </c>
      <c r="C1442" s="327" t="s">
        <v>329</v>
      </c>
      <c r="D1442" s="327"/>
      <c r="E1442" s="328"/>
      <c r="F1442" s="328"/>
      <c r="G1442" s="328">
        <f>G1443</f>
        <v>9130.32</v>
      </c>
    </row>
    <row r="1443" spans="2:7" ht="14.25">
      <c r="B1443" s="327"/>
      <c r="C1443" s="327" t="s">
        <v>351</v>
      </c>
      <c r="D1443" s="327" t="s">
        <v>163</v>
      </c>
      <c r="E1443" s="328">
        <v>1127.2</v>
      </c>
      <c r="F1443" s="328">
        <f>8.1</f>
        <v>8.1</v>
      </c>
      <c r="G1443" s="328">
        <f aca="true" t="shared" si="36" ref="G1443:G1451">F1443*E1443</f>
        <v>9130.32</v>
      </c>
    </row>
    <row r="1444" spans="2:7" ht="14.25">
      <c r="B1444" s="327">
        <v>2</v>
      </c>
      <c r="C1444" s="327" t="s">
        <v>373</v>
      </c>
      <c r="D1444" s="327"/>
      <c r="E1444" s="328"/>
      <c r="F1444" s="328"/>
      <c r="G1444" s="328">
        <f>SUM(G1445:G1452)</f>
        <v>47936.778983408774</v>
      </c>
    </row>
    <row r="1445" spans="2:7" ht="14.25">
      <c r="B1445" s="327"/>
      <c r="C1445" s="327" t="s">
        <v>411</v>
      </c>
      <c r="D1445" s="327" t="s">
        <v>561</v>
      </c>
      <c r="E1445" s="328">
        <v>0.82</v>
      </c>
      <c r="F1445" s="328">
        <f>F1407</f>
        <v>1789.6725</v>
      </c>
      <c r="G1445" s="328">
        <f t="shared" si="36"/>
        <v>1467.5314499999997</v>
      </c>
    </row>
    <row r="1446" spans="2:7" ht="14.25">
      <c r="B1446" s="327"/>
      <c r="C1446" s="333" t="s">
        <v>574</v>
      </c>
      <c r="D1446" s="327" t="s">
        <v>561</v>
      </c>
      <c r="E1446" s="328">
        <v>264.3</v>
      </c>
      <c r="F1446" s="328">
        <f>'机械台班'!D44</f>
        <v>5.8</v>
      </c>
      <c r="G1446" s="328">
        <f t="shared" si="36"/>
        <v>1532.94</v>
      </c>
    </row>
    <row r="1447" spans="2:7" ht="14.25">
      <c r="B1447" s="327"/>
      <c r="C1447" s="327" t="s">
        <v>310</v>
      </c>
      <c r="D1447" s="327" t="s">
        <v>563</v>
      </c>
      <c r="E1447" s="328">
        <v>153.1</v>
      </c>
      <c r="F1447" s="328">
        <f>'机械台班'!D38</f>
        <v>6.15</v>
      </c>
      <c r="G1447" s="328">
        <f t="shared" si="36"/>
        <v>941.565</v>
      </c>
    </row>
    <row r="1448" spans="2:7" ht="14.25">
      <c r="B1448" s="327"/>
      <c r="C1448" s="334" t="s">
        <v>524</v>
      </c>
      <c r="D1448" s="327" t="s">
        <v>561</v>
      </c>
      <c r="E1448" s="328">
        <v>100</v>
      </c>
      <c r="F1448" s="328">
        <f>G1402/100</f>
        <v>422.8756746008037</v>
      </c>
      <c r="G1448" s="328">
        <f t="shared" si="36"/>
        <v>42287.56746008037</v>
      </c>
    </row>
    <row r="1449" spans="2:7" ht="14.25">
      <c r="B1449" s="327"/>
      <c r="C1449" s="327" t="s">
        <v>575</v>
      </c>
      <c r="D1449" s="327" t="s">
        <v>561</v>
      </c>
      <c r="E1449" s="328">
        <v>6.4</v>
      </c>
      <c r="F1449" s="328">
        <f>F1412</f>
        <v>176.40480900000003</v>
      </c>
      <c r="G1449" s="328">
        <f t="shared" si="36"/>
        <v>1128.9907776000002</v>
      </c>
    </row>
    <row r="1450" spans="2:7" ht="14.25">
      <c r="B1450" s="327"/>
      <c r="C1450" s="327" t="s">
        <v>184</v>
      </c>
      <c r="D1450" s="327" t="s">
        <v>561</v>
      </c>
      <c r="E1450" s="328">
        <v>2.3</v>
      </c>
      <c r="F1450" s="328">
        <f>F1411</f>
        <v>135.54646</v>
      </c>
      <c r="G1450" s="328">
        <f t="shared" si="36"/>
        <v>311.75685799999997</v>
      </c>
    </row>
    <row r="1451" spans="2:7" ht="14.25">
      <c r="B1451" s="327"/>
      <c r="C1451" s="327" t="s">
        <v>413</v>
      </c>
      <c r="D1451" s="327" t="s">
        <v>561</v>
      </c>
      <c r="E1451" s="328">
        <v>7.2</v>
      </c>
      <c r="F1451" s="328">
        <f>F1413</f>
        <v>3.88</v>
      </c>
      <c r="G1451" s="328">
        <f t="shared" si="36"/>
        <v>27.936</v>
      </c>
    </row>
    <row r="1452" spans="2:7" ht="14.25">
      <c r="B1452" s="327"/>
      <c r="C1452" s="327" t="s">
        <v>404</v>
      </c>
      <c r="D1452" s="327" t="s">
        <v>332</v>
      </c>
      <c r="E1452" s="328">
        <v>0.5</v>
      </c>
      <c r="F1452" s="328"/>
      <c r="G1452" s="328">
        <f>SUM(G1445:G1451)*E1452/100</f>
        <v>238.49143772840188</v>
      </c>
    </row>
    <row r="1453" spans="2:7" ht="14.25">
      <c r="B1453" s="327">
        <v>3</v>
      </c>
      <c r="C1453" s="327" t="s">
        <v>333</v>
      </c>
      <c r="D1453" s="327"/>
      <c r="E1453" s="328"/>
      <c r="F1453" s="328"/>
      <c r="G1453" s="328">
        <f>SUM(G1454:G1457)</f>
        <v>1347.547568061109</v>
      </c>
    </row>
    <row r="1454" spans="2:7" ht="14.25">
      <c r="B1454" s="327"/>
      <c r="C1454" s="327" t="s">
        <v>576</v>
      </c>
      <c r="D1454" s="327" t="s">
        <v>335</v>
      </c>
      <c r="E1454" s="328">
        <v>82.5</v>
      </c>
      <c r="F1454" s="328">
        <f>'台班总'!D31</f>
        <v>15.587185879537296</v>
      </c>
      <c r="G1454" s="328">
        <f>F1454*E1454</f>
        <v>1285.9428350618268</v>
      </c>
    </row>
    <row r="1455" spans="2:7" ht="14.25">
      <c r="B1455" s="327"/>
      <c r="C1455" s="327" t="s">
        <v>567</v>
      </c>
      <c r="D1455" s="327" t="s">
        <v>335</v>
      </c>
      <c r="E1455" s="328">
        <v>1.57</v>
      </c>
      <c r="F1455" s="328">
        <f>'台班总'!D13</f>
        <v>28.217952134024728</v>
      </c>
      <c r="G1455" s="328">
        <f>F1455*E1455</f>
        <v>44.302184850418826</v>
      </c>
    </row>
    <row r="1456" spans="2:7" ht="14.25">
      <c r="B1456" s="327"/>
      <c r="C1456" s="335" t="s">
        <v>209</v>
      </c>
      <c r="D1456" s="327" t="s">
        <v>335</v>
      </c>
      <c r="E1456" s="328">
        <v>4.87</v>
      </c>
      <c r="F1456" s="328">
        <f>'台班总'!D20</f>
        <v>0.8132429198244914</v>
      </c>
      <c r="G1456" s="328">
        <f>F1456*E1456</f>
        <v>3.960493019545273</v>
      </c>
    </row>
    <row r="1457" spans="2:7" ht="14.25">
      <c r="B1457" s="327"/>
      <c r="C1457" s="327" t="s">
        <v>370</v>
      </c>
      <c r="D1457" s="327" t="s">
        <v>566</v>
      </c>
      <c r="E1457" s="328">
        <v>1</v>
      </c>
      <c r="F1457" s="328"/>
      <c r="G1457" s="328">
        <f>SUM(G1454:G1456)*E1457/100</f>
        <v>13.34205512931791</v>
      </c>
    </row>
    <row r="1458" spans="2:7" ht="14.25">
      <c r="B1458" s="327">
        <v>4</v>
      </c>
      <c r="C1458" s="327" t="s">
        <v>577</v>
      </c>
      <c r="D1458" s="327"/>
      <c r="E1458" s="328"/>
      <c r="F1458" s="328"/>
      <c r="G1458" s="328"/>
    </row>
    <row r="1459" spans="2:7" ht="14.25">
      <c r="B1459" s="327"/>
      <c r="C1459" s="327" t="s">
        <v>525</v>
      </c>
      <c r="D1459" s="327" t="s">
        <v>561</v>
      </c>
      <c r="E1459" s="328">
        <v>100</v>
      </c>
      <c r="F1459" s="328"/>
      <c r="G1459" s="328"/>
    </row>
    <row r="1460" spans="2:7" ht="14.25">
      <c r="B1460" s="327"/>
      <c r="C1460" s="327"/>
      <c r="D1460" s="327"/>
      <c r="E1460" s="328"/>
      <c r="F1460" s="328"/>
      <c r="G1460" s="328"/>
    </row>
    <row r="1461" spans="2:7" ht="14.25">
      <c r="B1461" s="327" t="s">
        <v>568</v>
      </c>
      <c r="C1461" s="327" t="s">
        <v>336</v>
      </c>
      <c r="D1461" s="330">
        <v>0.048</v>
      </c>
      <c r="E1461" s="328"/>
      <c r="F1461" s="328"/>
      <c r="G1461" s="328">
        <f>G1441*D1461</f>
        <v>2803.9030344705543</v>
      </c>
    </row>
    <row r="1462" spans="2:7" ht="14.25">
      <c r="B1462" s="327"/>
      <c r="C1462" s="327"/>
      <c r="D1462" s="327"/>
      <c r="E1462" s="328"/>
      <c r="F1462" s="328"/>
      <c r="G1462" s="328"/>
    </row>
    <row r="1463" spans="2:7" ht="14.25">
      <c r="B1463" s="327" t="s">
        <v>18</v>
      </c>
      <c r="C1463" s="327" t="s">
        <v>337</v>
      </c>
      <c r="D1463" s="330">
        <v>0.08</v>
      </c>
      <c r="E1463" s="328"/>
      <c r="F1463" s="328"/>
      <c r="G1463" s="328">
        <f>G1440*D1463</f>
        <v>4897.483966875235</v>
      </c>
    </row>
    <row r="1464" spans="2:7" ht="14.25">
      <c r="B1464" s="327" t="s">
        <v>20</v>
      </c>
      <c r="C1464" s="327" t="s">
        <v>338</v>
      </c>
      <c r="D1464" s="330">
        <v>0.07</v>
      </c>
      <c r="E1464" s="328"/>
      <c r="F1464" s="328"/>
      <c r="G1464" s="328">
        <f>(G1440+G1463)*D1464</f>
        <v>4628.122348697098</v>
      </c>
    </row>
    <row r="1465" spans="2:7" ht="14.25">
      <c r="B1465" s="327" t="s">
        <v>22</v>
      </c>
      <c r="C1465" s="327" t="s">
        <v>339</v>
      </c>
      <c r="D1465" s="327"/>
      <c r="E1465" s="328"/>
      <c r="F1465" s="328"/>
      <c r="G1465" s="328">
        <f>G1466+G1467+G1468</f>
        <v>4098.757633598369</v>
      </c>
    </row>
    <row r="1466" spans="2:7" ht="14.25">
      <c r="B1466" s="327"/>
      <c r="C1466" s="327" t="s">
        <v>298</v>
      </c>
      <c r="D1466" s="327" t="s">
        <v>77</v>
      </c>
      <c r="E1466" s="328">
        <f>E1426*0.01*E1448+E1449*'配合'!E8/1000+'配合'!E13/1000*E1450</f>
        <v>34.0408728</v>
      </c>
      <c r="F1466" s="328">
        <f>'机械台班'!C26</f>
        <v>118.56378999999998</v>
      </c>
      <c r="G1466" s="328">
        <f>F1466*E1466</f>
        <v>4036.014894075912</v>
      </c>
    </row>
    <row r="1467" spans="2:7" ht="14.25">
      <c r="B1467" s="327"/>
      <c r="C1467" s="327" t="s">
        <v>569</v>
      </c>
      <c r="D1467" s="327" t="s">
        <v>570</v>
      </c>
      <c r="E1467" s="328">
        <f>E1448*0.01+E1449*'配合'!F8+'配合'!F13*E1450</f>
        <v>7.071592</v>
      </c>
      <c r="F1467" s="328">
        <f>'机械台班'!C27</f>
        <v>1.5600419999999957</v>
      </c>
      <c r="G1467" s="328">
        <f>F1467*E1467</f>
        <v>11.03198052686397</v>
      </c>
    </row>
    <row r="1468" spans="2:7" ht="14.25">
      <c r="B1468" s="327"/>
      <c r="C1468" s="327" t="s">
        <v>300</v>
      </c>
      <c r="D1468" s="327" t="s">
        <v>570</v>
      </c>
      <c r="E1468" s="328">
        <f>E1448*0.01+E1449*'配合'!G8</f>
        <v>6.385139200000001</v>
      </c>
      <c r="F1468" s="328">
        <f>'机械台班'!C28</f>
        <v>8.098611067961158</v>
      </c>
      <c r="G1468" s="328">
        <f>F1468*E1468</f>
        <v>51.71075899559266</v>
      </c>
    </row>
    <row r="1469" spans="2:7" ht="14.25">
      <c r="B1469" s="327"/>
      <c r="C1469" s="327"/>
      <c r="D1469" s="327"/>
      <c r="E1469" s="328"/>
      <c r="F1469" s="328"/>
      <c r="G1469" s="328"/>
    </row>
    <row r="1470" spans="2:7" ht="14.25">
      <c r="B1470" s="327" t="s">
        <v>24</v>
      </c>
      <c r="C1470" s="327" t="s">
        <v>435</v>
      </c>
      <c r="D1470" s="331">
        <v>0.09</v>
      </c>
      <c r="E1470" s="328"/>
      <c r="F1470" s="328"/>
      <c r="G1470" s="328">
        <f>(G1440+G1463+G1464+G1465)*D1470</f>
        <v>6735.862218160003</v>
      </c>
    </row>
    <row r="1471" spans="2:7" ht="14.25">
      <c r="B1471" s="327"/>
      <c r="C1471" s="327"/>
      <c r="D1471" s="327"/>
      <c r="E1471" s="328"/>
      <c r="F1471" s="328"/>
      <c r="G1471" s="328"/>
    </row>
    <row r="1472" spans="2:7" ht="14.25">
      <c r="B1472" s="327"/>
      <c r="C1472" s="327" t="s">
        <v>36</v>
      </c>
      <c r="D1472" s="327"/>
      <c r="E1472" s="328"/>
      <c r="F1472" s="328"/>
      <c r="G1472" s="328">
        <f>G1440+G1463+G1464+G1465+G1470</f>
        <v>81578.77575327115</v>
      </c>
    </row>
    <row r="1473" spans="2:7" ht="14.25">
      <c r="B1473" s="327" t="s">
        <v>341</v>
      </c>
      <c r="C1473" s="327" t="s">
        <v>342</v>
      </c>
      <c r="D1473" s="153">
        <v>0.03</v>
      </c>
      <c r="E1473" s="328"/>
      <c r="F1473" s="328"/>
      <c r="G1473" s="328">
        <f>G1472*D1473</f>
        <v>2447.3632725981347</v>
      </c>
    </row>
    <row r="1474" spans="2:7" ht="14.25">
      <c r="B1474" s="327"/>
      <c r="C1474" s="327"/>
      <c r="D1474" s="327"/>
      <c r="E1474" s="328"/>
      <c r="F1474" s="328"/>
      <c r="G1474" s="332">
        <f>G1472+G1473</f>
        <v>84026.13902586928</v>
      </c>
    </row>
    <row r="1475" spans="2:7" ht="14.25">
      <c r="B1475" s="336"/>
      <c r="C1475" s="336"/>
      <c r="D1475" s="336"/>
      <c r="E1475" s="337"/>
      <c r="F1475" s="337"/>
      <c r="G1475" s="338"/>
    </row>
    <row r="1476" spans="2:7" ht="14.25">
      <c r="B1476" s="339" t="s">
        <v>578</v>
      </c>
      <c r="C1476" s="339"/>
      <c r="D1476" s="339"/>
      <c r="E1476" s="339"/>
      <c r="F1476" s="340"/>
      <c r="G1476" s="340"/>
    </row>
    <row r="1477" spans="2:7" ht="16.5">
      <c r="B1477" s="339" t="s">
        <v>556</v>
      </c>
      <c r="C1477" s="339"/>
      <c r="D1477" s="339"/>
      <c r="E1477" s="339"/>
      <c r="F1477" s="341" t="s">
        <v>579</v>
      </c>
      <c r="G1477" s="341"/>
    </row>
    <row r="1478" spans="2:7" ht="14.25">
      <c r="B1478" s="339" t="s">
        <v>580</v>
      </c>
      <c r="C1478" s="339"/>
      <c r="D1478" s="339"/>
      <c r="E1478" s="339"/>
      <c r="F1478" s="340"/>
      <c r="G1478" s="340"/>
    </row>
    <row r="1479" spans="2:7" ht="14.25">
      <c r="B1479" s="339" t="s">
        <v>581</v>
      </c>
      <c r="C1479" s="339"/>
      <c r="D1479" s="339"/>
      <c r="E1479" s="339"/>
      <c r="F1479" s="340"/>
      <c r="G1479" s="340"/>
    </row>
    <row r="1480" spans="2:7" ht="14.25">
      <c r="B1480" s="333" t="s">
        <v>31</v>
      </c>
      <c r="C1480" s="333" t="s">
        <v>190</v>
      </c>
      <c r="D1480" s="333" t="s">
        <v>33</v>
      </c>
      <c r="E1480" s="342" t="s">
        <v>34</v>
      </c>
      <c r="F1480" s="342" t="s">
        <v>35</v>
      </c>
      <c r="G1480" s="342" t="s">
        <v>74</v>
      </c>
    </row>
    <row r="1481" spans="2:7" ht="14.25">
      <c r="B1481" s="333" t="s">
        <v>16</v>
      </c>
      <c r="C1481" s="333" t="s">
        <v>328</v>
      </c>
      <c r="D1481" s="333"/>
      <c r="E1481" s="342"/>
      <c r="F1481" s="342"/>
      <c r="G1481" s="342">
        <f>G1482+G1494</f>
        <v>5388.470545696731</v>
      </c>
    </row>
    <row r="1482" spans="2:7" ht="14.25">
      <c r="B1482" s="333" t="s">
        <v>560</v>
      </c>
      <c r="C1482" s="333" t="s">
        <v>511</v>
      </c>
      <c r="D1482" s="333"/>
      <c r="E1482" s="342"/>
      <c r="F1482" s="342"/>
      <c r="G1482" s="342">
        <f>G1483+G1486+G1490</f>
        <v>5141.670368031232</v>
      </c>
    </row>
    <row r="1483" spans="2:7" ht="14.25">
      <c r="B1483" s="333">
        <v>1</v>
      </c>
      <c r="C1483" s="333" t="s">
        <v>329</v>
      </c>
      <c r="D1483" s="333"/>
      <c r="E1483" s="342"/>
      <c r="F1483" s="342"/>
      <c r="G1483" s="342">
        <f>G1484+G1485</f>
        <v>599.761</v>
      </c>
    </row>
    <row r="1484" spans="2:7" ht="14.25">
      <c r="B1484" s="333"/>
      <c r="C1484" s="333" t="s">
        <v>351</v>
      </c>
      <c r="D1484" s="333" t="s">
        <v>163</v>
      </c>
      <c r="E1484" s="342">
        <v>43.2</v>
      </c>
      <c r="F1484" s="342">
        <f>8.1</f>
        <v>8.1</v>
      </c>
      <c r="G1484" s="342">
        <f>F1484*E1484</f>
        <v>349.92</v>
      </c>
    </row>
    <row r="1485" spans="2:7" ht="14.25">
      <c r="B1485" s="333"/>
      <c r="C1485" s="333" t="s">
        <v>330</v>
      </c>
      <c r="D1485" s="333" t="s">
        <v>163</v>
      </c>
      <c r="E1485" s="342">
        <v>43.3</v>
      </c>
      <c r="F1485" s="342">
        <f>5.77</f>
        <v>5.77</v>
      </c>
      <c r="G1485" s="342">
        <f>F1485*E1485</f>
        <v>249.84099999999995</v>
      </c>
    </row>
    <row r="1486" spans="2:7" ht="14.25">
      <c r="B1486" s="333">
        <v>2</v>
      </c>
      <c r="C1486" s="333" t="s">
        <v>373</v>
      </c>
      <c r="D1486" s="333"/>
      <c r="E1486" s="342"/>
      <c r="F1486" s="342"/>
      <c r="G1486" s="342">
        <f>G1487+G1488+G1489</f>
        <v>253.5522675</v>
      </c>
    </row>
    <row r="1487" spans="2:7" ht="14.25">
      <c r="B1487" s="333"/>
      <c r="C1487" s="333" t="s">
        <v>411</v>
      </c>
      <c r="D1487" s="333" t="s">
        <v>570</v>
      </c>
      <c r="E1487" s="342">
        <v>0.1</v>
      </c>
      <c r="F1487" s="342">
        <f>'单价分析'!L12</f>
        <v>1789.6725</v>
      </c>
      <c r="G1487" s="342">
        <f>F1487*E1487</f>
        <v>178.96725</v>
      </c>
    </row>
    <row r="1488" spans="2:7" ht="14.25">
      <c r="B1488" s="333"/>
      <c r="C1488" s="333" t="s">
        <v>312</v>
      </c>
      <c r="D1488" s="333" t="s">
        <v>307</v>
      </c>
      <c r="E1488" s="342">
        <v>12</v>
      </c>
      <c r="F1488" s="342">
        <f>'机械台班'!D40</f>
        <v>5.6</v>
      </c>
      <c r="G1488" s="342">
        <f>F1488*E1488</f>
        <v>67.19999999999999</v>
      </c>
    </row>
    <row r="1489" spans="2:7" ht="14.25">
      <c r="B1489" s="333"/>
      <c r="C1489" s="333" t="s">
        <v>404</v>
      </c>
      <c r="D1489" s="333" t="s">
        <v>566</v>
      </c>
      <c r="E1489" s="342">
        <v>3</v>
      </c>
      <c r="F1489" s="342"/>
      <c r="G1489" s="342">
        <f>(G1487+G1488)*E1489/100</f>
        <v>7.3850175</v>
      </c>
    </row>
    <row r="1490" spans="2:7" ht="14.25">
      <c r="B1490" s="333">
        <v>3</v>
      </c>
      <c r="C1490" s="333" t="s">
        <v>333</v>
      </c>
      <c r="D1490" s="333"/>
      <c r="E1490" s="342"/>
      <c r="F1490" s="342"/>
      <c r="G1490" s="342">
        <f>G1491+G1492+G1493</f>
        <v>4288.357100531232</v>
      </c>
    </row>
    <row r="1491" spans="2:7" ht="14.25">
      <c r="B1491" s="333"/>
      <c r="C1491" s="333" t="s">
        <v>206</v>
      </c>
      <c r="D1491" s="333" t="s">
        <v>335</v>
      </c>
      <c r="E1491" s="343">
        <f>34.74+(2.85*4)</f>
        <v>46.14</v>
      </c>
      <c r="F1491" s="342">
        <f>'台班总'!D17</f>
        <v>74.45930873554049</v>
      </c>
      <c r="G1491" s="342">
        <f>F1491*E1491</f>
        <v>3435.552505057838</v>
      </c>
    </row>
    <row r="1492" spans="2:7" ht="14.25">
      <c r="B1492" s="333"/>
      <c r="C1492" s="333" t="s">
        <v>213</v>
      </c>
      <c r="D1492" s="333" t="s">
        <v>335</v>
      </c>
      <c r="E1492" s="342">
        <v>13</v>
      </c>
      <c r="F1492" s="342">
        <f>'台班总'!D24</f>
        <v>62.33427802153969</v>
      </c>
      <c r="G1492" s="342">
        <f>F1492*E1492</f>
        <v>810.345614280016</v>
      </c>
    </row>
    <row r="1493" spans="2:7" ht="14.25">
      <c r="B1493" s="333"/>
      <c r="C1493" s="333" t="s">
        <v>370</v>
      </c>
      <c r="D1493" s="333" t="s">
        <v>566</v>
      </c>
      <c r="E1493" s="342">
        <v>1</v>
      </c>
      <c r="F1493" s="342"/>
      <c r="G1493" s="342">
        <f>(G1491+G1492)*E1493/100</f>
        <v>42.45898119337854</v>
      </c>
    </row>
    <row r="1494" spans="2:7" ht="14.25">
      <c r="B1494" s="333" t="s">
        <v>568</v>
      </c>
      <c r="C1494" s="333" t="s">
        <v>336</v>
      </c>
      <c r="D1494" s="344">
        <v>0.048</v>
      </c>
      <c r="E1494" s="342"/>
      <c r="F1494" s="342"/>
      <c r="G1494" s="342">
        <f>G1482*D1494</f>
        <v>246.80017766549915</v>
      </c>
    </row>
    <row r="1495" spans="2:7" ht="14.25">
      <c r="B1495" s="333"/>
      <c r="C1495" s="333"/>
      <c r="D1495" s="333"/>
      <c r="E1495" s="342"/>
      <c r="F1495" s="342"/>
      <c r="G1495" s="342"/>
    </row>
    <row r="1496" spans="2:7" ht="14.25">
      <c r="B1496" s="333" t="s">
        <v>18</v>
      </c>
      <c r="C1496" s="333" t="s">
        <v>337</v>
      </c>
      <c r="D1496" s="344">
        <v>0.08</v>
      </c>
      <c r="E1496" s="342"/>
      <c r="F1496" s="342"/>
      <c r="G1496" s="342">
        <f>G1481*D1496</f>
        <v>431.0776436557385</v>
      </c>
    </row>
    <row r="1497" spans="2:7" ht="14.25">
      <c r="B1497" s="333" t="s">
        <v>20</v>
      </c>
      <c r="C1497" s="333" t="s">
        <v>338</v>
      </c>
      <c r="D1497" s="344">
        <v>0.07</v>
      </c>
      <c r="E1497" s="342"/>
      <c r="F1497" s="342"/>
      <c r="G1497" s="342">
        <f>(G1481+G1496)*D1497</f>
        <v>407.368373254673</v>
      </c>
    </row>
    <row r="1498" spans="2:7" ht="14.25">
      <c r="B1498" s="333" t="s">
        <v>22</v>
      </c>
      <c r="C1498" s="333" t="s">
        <v>339</v>
      </c>
      <c r="D1498" s="333"/>
      <c r="E1498" s="342"/>
      <c r="F1498" s="342"/>
      <c r="G1498" s="342">
        <f>G1499+G1500</f>
        <v>1941.6018</v>
      </c>
    </row>
    <row r="1499" spans="2:7" ht="14.25">
      <c r="B1499" s="333"/>
      <c r="C1499" s="333" t="s">
        <v>303</v>
      </c>
      <c r="D1499" s="333" t="s">
        <v>307</v>
      </c>
      <c r="E1499" s="342">
        <f>E1492*'机械台班'!AH13</f>
        <v>75.39999999999999</v>
      </c>
      <c r="F1499" s="342">
        <f>'机械台班'!C31</f>
        <v>5.055000000000001</v>
      </c>
      <c r="G1499" s="342">
        <f>F1499*E1499</f>
        <v>381.147</v>
      </c>
    </row>
    <row r="1500" spans="2:7" ht="14.25">
      <c r="B1500" s="333"/>
      <c r="C1500" s="345" t="s">
        <v>304</v>
      </c>
      <c r="D1500" s="345" t="s">
        <v>563</v>
      </c>
      <c r="E1500" s="346">
        <f>E1491*'机械台班'!T13</f>
        <v>410.646</v>
      </c>
      <c r="F1500" s="342">
        <f>'机械台班'!C32</f>
        <v>3.8</v>
      </c>
      <c r="G1500" s="342">
        <f>F1500*E1500</f>
        <v>1560.4548</v>
      </c>
    </row>
    <row r="1501" spans="2:7" ht="14.25">
      <c r="B1501" s="333" t="s">
        <v>24</v>
      </c>
      <c r="C1501" s="333" t="s">
        <v>435</v>
      </c>
      <c r="D1501" s="347">
        <v>0.09</v>
      </c>
      <c r="E1501" s="342"/>
      <c r="F1501" s="342"/>
      <c r="G1501" s="342">
        <f>(G1481+G1496+G1497+G1498)*D1501</f>
        <v>735.1666526346428</v>
      </c>
    </row>
    <row r="1502" spans="2:7" ht="14.25">
      <c r="B1502" s="333"/>
      <c r="C1502" s="333"/>
      <c r="D1502" s="333"/>
      <c r="E1502" s="342"/>
      <c r="F1502" s="342"/>
      <c r="G1502" s="342"/>
    </row>
    <row r="1503" spans="2:7" ht="14.25">
      <c r="B1503" s="333"/>
      <c r="C1503" s="333" t="s">
        <v>36</v>
      </c>
      <c r="D1503" s="333"/>
      <c r="E1503" s="342"/>
      <c r="F1503" s="342"/>
      <c r="G1503" s="342">
        <f>G1481+G1496+G1497+G1498+G1501</f>
        <v>8903.685015241786</v>
      </c>
    </row>
    <row r="1504" spans="2:7" ht="14.25">
      <c r="B1504" s="333" t="s">
        <v>341</v>
      </c>
      <c r="C1504" s="333" t="s">
        <v>342</v>
      </c>
      <c r="D1504" s="153">
        <v>0.03</v>
      </c>
      <c r="E1504" s="342"/>
      <c r="F1504" s="342"/>
      <c r="G1504" s="342">
        <f>G1503*D1504</f>
        <v>267.11055045725357</v>
      </c>
    </row>
    <row r="1505" spans="2:7" ht="14.25">
      <c r="B1505" s="333"/>
      <c r="C1505" s="333"/>
      <c r="D1505" s="333"/>
      <c r="E1505" s="342"/>
      <c r="F1505" s="342"/>
      <c r="G1505" s="342">
        <f>G1503+G1504</f>
        <v>9170.79556569904</v>
      </c>
    </row>
    <row r="1507" spans="2:8" ht="20.25">
      <c r="B1507" s="253" t="s">
        <v>317</v>
      </c>
      <c r="C1507" s="253"/>
      <c r="D1507" s="253"/>
      <c r="E1507" s="253"/>
      <c r="F1507" s="253"/>
      <c r="G1507" s="253"/>
      <c r="H1507" s="253"/>
    </row>
    <row r="1508" spans="2:8" ht="14.25">
      <c r="B1508" s="348" t="s">
        <v>582</v>
      </c>
      <c r="C1508" s="348"/>
      <c r="D1508" s="348"/>
      <c r="E1508" s="348"/>
      <c r="F1508" s="348"/>
      <c r="G1508" s="348"/>
      <c r="H1508" s="348"/>
    </row>
    <row r="1509" spans="2:8" ht="14.25">
      <c r="B1509" s="349" t="s">
        <v>583</v>
      </c>
      <c r="C1509" s="349"/>
      <c r="D1509" s="349"/>
      <c r="E1509" s="349"/>
      <c r="F1509" s="350"/>
      <c r="G1509" s="351" t="s">
        <v>320</v>
      </c>
      <c r="H1509" s="351"/>
    </row>
    <row r="1510" spans="2:8" ht="14.25">
      <c r="B1510" s="352" t="s">
        <v>360</v>
      </c>
      <c r="C1510" s="353"/>
      <c r="D1510" s="353"/>
      <c r="E1510" s="353"/>
      <c r="F1510" s="353"/>
      <c r="G1510" s="353"/>
      <c r="H1510" s="354"/>
    </row>
    <row r="1511" spans="2:8" ht="25.5">
      <c r="B1511" s="355" t="s">
        <v>361</v>
      </c>
      <c r="C1511" s="356" t="s">
        <v>322</v>
      </c>
      <c r="D1511" s="356" t="s">
        <v>323</v>
      </c>
      <c r="E1511" s="357" t="s">
        <v>350</v>
      </c>
      <c r="F1511" s="358" t="s">
        <v>325</v>
      </c>
      <c r="G1511" s="358" t="s">
        <v>326</v>
      </c>
      <c r="H1511" s="356" t="s">
        <v>386</v>
      </c>
    </row>
    <row r="1512" spans="2:8" ht="14.25">
      <c r="B1512" s="355" t="s">
        <v>16</v>
      </c>
      <c r="C1512" s="356" t="s">
        <v>327</v>
      </c>
      <c r="D1512" s="359"/>
      <c r="E1512" s="357"/>
      <c r="F1512" s="357"/>
      <c r="G1512" s="357">
        <f>G1513+G1524+G1525</f>
        <v>18247.97331671713</v>
      </c>
      <c r="H1512" s="359"/>
    </row>
    <row r="1513" spans="2:8" ht="14.25">
      <c r="B1513" s="355" t="s">
        <v>39</v>
      </c>
      <c r="C1513" s="356" t="s">
        <v>328</v>
      </c>
      <c r="D1513" s="359"/>
      <c r="E1513" s="357"/>
      <c r="F1513" s="357"/>
      <c r="G1513" s="357">
        <f>G1514+G1517+G1521</f>
        <v>17412.188279310238</v>
      </c>
      <c r="H1513" s="359"/>
    </row>
    <row r="1514" spans="2:8" ht="14.25">
      <c r="B1514" s="355">
        <v>1</v>
      </c>
      <c r="C1514" s="356" t="s">
        <v>329</v>
      </c>
      <c r="D1514" s="360"/>
      <c r="E1514" s="357"/>
      <c r="F1514" s="357"/>
      <c r="G1514" s="357">
        <f>SUM(G1515:G1516)</f>
        <v>2696.1859999999997</v>
      </c>
      <c r="H1514" s="359"/>
    </row>
    <row r="1515" spans="2:8" ht="14.25">
      <c r="B1515" s="355"/>
      <c r="C1515" s="360" t="s">
        <v>351</v>
      </c>
      <c r="D1515" s="360" t="s">
        <v>163</v>
      </c>
      <c r="E1515" s="357">
        <v>125</v>
      </c>
      <c r="F1515" s="357">
        <v>8.1</v>
      </c>
      <c r="G1515" s="357">
        <f>F1515*E1515</f>
        <v>1012.5</v>
      </c>
      <c r="H1515" s="359"/>
    </row>
    <row r="1516" spans="2:8" ht="14.25">
      <c r="B1516" s="355"/>
      <c r="C1516" s="360" t="s">
        <v>330</v>
      </c>
      <c r="D1516" s="360" t="s">
        <v>163</v>
      </c>
      <c r="E1516" s="357">
        <v>291.8</v>
      </c>
      <c r="F1516" s="357">
        <v>5.77</v>
      </c>
      <c r="G1516" s="357">
        <f>F1516*E1516</f>
        <v>1683.686</v>
      </c>
      <c r="H1516" s="359"/>
    </row>
    <row r="1517" spans="2:8" ht="14.25">
      <c r="B1517" s="355">
        <v>2</v>
      </c>
      <c r="C1517" s="356" t="s">
        <v>373</v>
      </c>
      <c r="D1517" s="359"/>
      <c r="E1517" s="357"/>
      <c r="F1517" s="357"/>
      <c r="G1517" s="357">
        <f>SUM(G1518:G1520)</f>
        <v>14655.090384615385</v>
      </c>
      <c r="H1517" s="359"/>
    </row>
    <row r="1518" spans="2:8" ht="14.25">
      <c r="B1518" s="355"/>
      <c r="C1518" s="356" t="s">
        <v>432</v>
      </c>
      <c r="D1518" s="356" t="s">
        <v>365</v>
      </c>
      <c r="E1518" s="357">
        <v>116</v>
      </c>
      <c r="F1518" s="357">
        <v>70</v>
      </c>
      <c r="G1518" s="357">
        <f>F1518*E1518</f>
        <v>8120</v>
      </c>
      <c r="H1518" s="359"/>
    </row>
    <row r="1519" spans="2:8" ht="14.25">
      <c r="B1519" s="355"/>
      <c r="C1519" s="356" t="s">
        <v>584</v>
      </c>
      <c r="D1519" s="356" t="s">
        <v>478</v>
      </c>
      <c r="E1519" s="357">
        <f>850*1.5</f>
        <v>1275</v>
      </c>
      <c r="F1519" s="361">
        <f>5.93/1.17</f>
        <v>5.068376068376068</v>
      </c>
      <c r="G1519" s="357">
        <f>F1519*E1519</f>
        <v>6462.179487179487</v>
      </c>
      <c r="H1519" s="359"/>
    </row>
    <row r="1520" spans="2:8" ht="14.25">
      <c r="B1520" s="355"/>
      <c r="C1520" s="356" t="s">
        <v>404</v>
      </c>
      <c r="D1520" s="356" t="s">
        <v>332</v>
      </c>
      <c r="E1520" s="357">
        <v>0.5</v>
      </c>
      <c r="F1520" s="357">
        <f>G1519+G1518</f>
        <v>14582.179487179488</v>
      </c>
      <c r="G1520" s="357">
        <f>F1520*E1520/100</f>
        <v>72.91089743589744</v>
      </c>
      <c r="H1520" s="359"/>
    </row>
    <row r="1521" spans="2:8" ht="14.25">
      <c r="B1521" s="355">
        <v>3</v>
      </c>
      <c r="C1521" s="356" t="s">
        <v>333</v>
      </c>
      <c r="D1521" s="356"/>
      <c r="E1521" s="357"/>
      <c r="F1521" s="357"/>
      <c r="G1521" s="357">
        <f>G1522</f>
        <v>60.91189469485441</v>
      </c>
      <c r="H1521" s="359"/>
    </row>
    <row r="1522" spans="2:8" ht="14.25">
      <c r="B1522" s="355"/>
      <c r="C1522" s="356" t="s">
        <v>209</v>
      </c>
      <c r="D1522" s="356" t="s">
        <v>335</v>
      </c>
      <c r="E1522" s="357">
        <v>74.9</v>
      </c>
      <c r="F1522" s="357">
        <f>'台班总'!D20</f>
        <v>0.8132429198244914</v>
      </c>
      <c r="G1522" s="357">
        <f>F1522*E1522</f>
        <v>60.91189469485441</v>
      </c>
      <c r="H1522" s="359"/>
    </row>
    <row r="1523" spans="2:8" ht="14.25">
      <c r="B1523" s="355"/>
      <c r="C1523" s="356"/>
      <c r="D1523" s="356"/>
      <c r="E1523" s="357"/>
      <c r="F1523" s="357"/>
      <c r="G1523" s="357"/>
      <c r="H1523" s="359"/>
    </row>
    <row r="1524" spans="2:8" ht="14.25">
      <c r="B1524" s="355" t="s">
        <v>63</v>
      </c>
      <c r="C1524" s="356" t="s">
        <v>336</v>
      </c>
      <c r="D1524" s="362">
        <v>0.048</v>
      </c>
      <c r="E1524" s="357"/>
      <c r="F1524" s="357"/>
      <c r="G1524" s="357">
        <f>G1513*D1524</f>
        <v>835.7850374068914</v>
      </c>
      <c r="H1524" s="359"/>
    </row>
    <row r="1525" spans="2:8" ht="14.25">
      <c r="B1525" s="355" t="s">
        <v>355</v>
      </c>
      <c r="C1525" s="356" t="s">
        <v>356</v>
      </c>
      <c r="D1525" s="362"/>
      <c r="E1525" s="357"/>
      <c r="F1525" s="357"/>
      <c r="G1525" s="357">
        <f>G1513*D1525</f>
        <v>0</v>
      </c>
      <c r="H1525" s="359"/>
    </row>
    <row r="1526" spans="2:8" ht="14.25">
      <c r="B1526" s="355" t="s">
        <v>18</v>
      </c>
      <c r="C1526" s="356" t="s">
        <v>337</v>
      </c>
      <c r="D1526" s="363">
        <v>0.08</v>
      </c>
      <c r="E1526" s="357"/>
      <c r="F1526" s="357"/>
      <c r="G1526" s="357">
        <f>G1512*D1526</f>
        <v>1459.8378653373704</v>
      </c>
      <c r="H1526" s="359"/>
    </row>
    <row r="1527" spans="2:8" ht="14.25">
      <c r="B1527" s="355" t="s">
        <v>20</v>
      </c>
      <c r="C1527" s="356" t="s">
        <v>338</v>
      </c>
      <c r="D1527" s="362">
        <v>0.05</v>
      </c>
      <c r="E1527" s="357"/>
      <c r="F1527" s="357"/>
      <c r="G1527" s="357">
        <f>(G1512+G1526)*D1527</f>
        <v>985.390559102725</v>
      </c>
      <c r="H1527" s="359"/>
    </row>
    <row r="1528" spans="2:8" ht="14.25">
      <c r="B1528" s="355" t="s">
        <v>22</v>
      </c>
      <c r="C1528" s="356" t="s">
        <v>339</v>
      </c>
      <c r="D1528" s="364"/>
      <c r="E1528" s="357"/>
      <c r="F1528" s="357"/>
      <c r="G1528" s="357">
        <f>G1529</f>
        <v>6538.559239999998</v>
      </c>
      <c r="H1528" s="359"/>
    </row>
    <row r="1529" spans="2:8" ht="14.25">
      <c r="B1529" s="355"/>
      <c r="C1529" s="356" t="s">
        <v>432</v>
      </c>
      <c r="D1529" s="356" t="s">
        <v>365</v>
      </c>
      <c r="E1529" s="357">
        <f>E1518</f>
        <v>116</v>
      </c>
      <c r="F1529" s="357">
        <f>'机械台班'!C29</f>
        <v>56.366889999999984</v>
      </c>
      <c r="G1529" s="357">
        <f>F1529*E1529</f>
        <v>6538.559239999998</v>
      </c>
      <c r="H1529" s="359"/>
    </row>
    <row r="1530" spans="2:8" ht="14.25">
      <c r="B1530" s="355" t="s">
        <v>24</v>
      </c>
      <c r="C1530" s="356" t="s">
        <v>435</v>
      </c>
      <c r="D1530" s="364">
        <v>0.09</v>
      </c>
      <c r="E1530" s="357"/>
      <c r="F1530" s="357"/>
      <c r="G1530" s="357">
        <f>(G1512+G1526+G1527+G1528)*D1530</f>
        <v>2450.85848830415</v>
      </c>
      <c r="H1530" s="359"/>
    </row>
    <row r="1531" spans="2:8" ht="14.25">
      <c r="B1531" s="365"/>
      <c r="C1531" s="356" t="s">
        <v>357</v>
      </c>
      <c r="D1531" s="359"/>
      <c r="E1531" s="357"/>
      <c r="F1531" s="357"/>
      <c r="G1531" s="357">
        <f>G1512++G1526+G1530+G1527+G1528</f>
        <v>29682.619469461373</v>
      </c>
      <c r="H1531" s="359"/>
    </row>
    <row r="1532" spans="2:8" ht="14.25">
      <c r="B1532" s="355" t="s">
        <v>341</v>
      </c>
      <c r="C1532" s="356" t="s">
        <v>342</v>
      </c>
      <c r="D1532" s="153">
        <v>0.03</v>
      </c>
      <c r="E1532" s="357"/>
      <c r="F1532" s="357"/>
      <c r="G1532" s="357">
        <f>G1531*D1532</f>
        <v>890.4785840838412</v>
      </c>
      <c r="H1532" s="359"/>
    </row>
    <row r="1533" spans="2:8" ht="14.25">
      <c r="B1533" s="365"/>
      <c r="C1533" s="356" t="s">
        <v>343</v>
      </c>
      <c r="D1533" s="359"/>
      <c r="E1533" s="366"/>
      <c r="F1533" s="366"/>
      <c r="G1533" s="357">
        <f>SUM(G1531:G1532)</f>
        <v>30573.098053545214</v>
      </c>
      <c r="H1533" s="359"/>
    </row>
    <row r="1535" spans="2:8" ht="20.25">
      <c r="B1535" s="138" t="s">
        <v>317</v>
      </c>
      <c r="C1535" s="138"/>
      <c r="D1535" s="138"/>
      <c r="E1535" s="138"/>
      <c r="F1535" s="138"/>
      <c r="G1535" s="138"/>
      <c r="H1535" s="138"/>
    </row>
    <row r="1536" spans="2:8" ht="14.25">
      <c r="B1536" s="139" t="s">
        <v>585</v>
      </c>
      <c r="C1536" s="139"/>
      <c r="D1536" s="139"/>
      <c r="E1536" s="139"/>
      <c r="F1536" s="139"/>
      <c r="G1536" s="139"/>
      <c r="H1536" s="139"/>
    </row>
    <row r="1537" spans="2:8" ht="14.25">
      <c r="B1537" s="140" t="s">
        <v>586</v>
      </c>
      <c r="C1537" s="140"/>
      <c r="D1537" s="140"/>
      <c r="E1537" s="140"/>
      <c r="G1537" s="141" t="s">
        <v>320</v>
      </c>
      <c r="H1537" s="141"/>
    </row>
    <row r="1538" spans="2:8" ht="14.25">
      <c r="B1538" s="142" t="s">
        <v>360</v>
      </c>
      <c r="C1538" s="143"/>
      <c r="D1538" s="143"/>
      <c r="E1538" s="143"/>
      <c r="F1538" s="143"/>
      <c r="G1538" s="143"/>
      <c r="H1538" s="144"/>
    </row>
    <row r="1539" spans="2:8" ht="25.5">
      <c r="B1539" s="145" t="s">
        <v>361</v>
      </c>
      <c r="C1539" s="146" t="s">
        <v>322</v>
      </c>
      <c r="D1539" s="146" t="s">
        <v>323</v>
      </c>
      <c r="E1539" s="147" t="s">
        <v>350</v>
      </c>
      <c r="F1539" s="148" t="s">
        <v>325</v>
      </c>
      <c r="G1539" s="148" t="s">
        <v>326</v>
      </c>
      <c r="H1539" s="146" t="s">
        <v>386</v>
      </c>
    </row>
    <row r="1540" spans="2:8" ht="14.25">
      <c r="B1540" s="145" t="s">
        <v>16</v>
      </c>
      <c r="C1540" s="146" t="s">
        <v>327</v>
      </c>
      <c r="D1540" s="194"/>
      <c r="E1540" s="147"/>
      <c r="F1540" s="147"/>
      <c r="G1540" s="147">
        <f>G1541+G1552+G1553</f>
        <v>16235.090949631165</v>
      </c>
      <c r="H1540" s="194"/>
    </row>
    <row r="1541" spans="2:8" ht="14.25">
      <c r="B1541" s="145" t="s">
        <v>39</v>
      </c>
      <c r="C1541" s="146" t="s">
        <v>328</v>
      </c>
      <c r="D1541" s="194"/>
      <c r="E1541" s="147"/>
      <c r="F1541" s="147"/>
      <c r="G1541" s="147">
        <f>G1542+G1545+G1549</f>
        <v>15491.498997739662</v>
      </c>
      <c r="H1541" s="194"/>
    </row>
    <row r="1542" spans="2:8" ht="14.25">
      <c r="B1542" s="145">
        <v>1</v>
      </c>
      <c r="C1542" s="146" t="s">
        <v>329</v>
      </c>
      <c r="D1542" s="149"/>
      <c r="E1542" s="147"/>
      <c r="F1542" s="147"/>
      <c r="G1542" s="147">
        <f>SUM(G1543:G1544)</f>
        <v>1754.657</v>
      </c>
      <c r="H1542" s="194"/>
    </row>
    <row r="1543" spans="2:8" ht="14.25">
      <c r="B1543" s="145"/>
      <c r="C1543" s="149" t="s">
        <v>351</v>
      </c>
      <c r="D1543" s="149" t="s">
        <v>163</v>
      </c>
      <c r="E1543" s="147"/>
      <c r="F1543" s="147">
        <f>8.1</f>
        <v>8.1</v>
      </c>
      <c r="G1543" s="147">
        <f>F1543*E1543</f>
        <v>0</v>
      </c>
      <c r="H1543" s="194"/>
    </row>
    <row r="1544" spans="2:8" ht="14.25">
      <c r="B1544" s="145"/>
      <c r="C1544" s="149" t="s">
        <v>330</v>
      </c>
      <c r="D1544" s="149" t="s">
        <v>163</v>
      </c>
      <c r="E1544" s="147">
        <v>304.1</v>
      </c>
      <c r="F1544" s="147">
        <v>5.77</v>
      </c>
      <c r="G1544" s="147">
        <f>F1544*E1544</f>
        <v>1754.657</v>
      </c>
      <c r="H1544" s="194"/>
    </row>
    <row r="1545" spans="2:8" ht="14.25">
      <c r="B1545" s="145">
        <v>2</v>
      </c>
      <c r="C1545" s="146" t="s">
        <v>373</v>
      </c>
      <c r="D1545" s="194"/>
      <c r="E1545" s="147"/>
      <c r="F1545" s="147"/>
      <c r="G1545" s="147">
        <f>SUM(G1546:G1548)</f>
        <v>13685.851666666667</v>
      </c>
      <c r="H1545" s="194"/>
    </row>
    <row r="1546" spans="2:8" ht="14.25">
      <c r="B1546" s="145"/>
      <c r="C1546" s="146" t="s">
        <v>432</v>
      </c>
      <c r="D1546" s="146" t="s">
        <v>365</v>
      </c>
      <c r="E1546" s="147">
        <v>103</v>
      </c>
      <c r="F1546" s="147">
        <v>70</v>
      </c>
      <c r="G1546" s="147">
        <f>F1546*E1546</f>
        <v>7210</v>
      </c>
      <c r="H1546" s="194"/>
    </row>
    <row r="1547" spans="2:8" ht="14.25">
      <c r="B1547" s="145"/>
      <c r="C1547" s="146" t="s">
        <v>584</v>
      </c>
      <c r="D1547" s="146" t="s">
        <v>478</v>
      </c>
      <c r="E1547" s="147">
        <f>850*1.5</f>
        <v>1275</v>
      </c>
      <c r="F1547" s="147">
        <f>F1519</f>
        <v>5.068376068376068</v>
      </c>
      <c r="G1547" s="147">
        <f>F1547*E1547</f>
        <v>6462.179487179487</v>
      </c>
      <c r="H1547" s="194"/>
    </row>
    <row r="1548" spans="2:8" ht="14.25">
      <c r="B1548" s="145"/>
      <c r="C1548" s="146" t="s">
        <v>404</v>
      </c>
      <c r="D1548" s="146" t="s">
        <v>332</v>
      </c>
      <c r="E1548" s="147">
        <v>0.1</v>
      </c>
      <c r="F1548" s="147">
        <f>G1547+G1546</f>
        <v>13672.179487179488</v>
      </c>
      <c r="G1548" s="147">
        <f>F1548*E1548/100</f>
        <v>13.67217948717949</v>
      </c>
      <c r="H1548" s="194"/>
    </row>
    <row r="1549" spans="2:8" ht="14.25">
      <c r="B1549" s="145">
        <v>3</v>
      </c>
      <c r="C1549" s="146" t="s">
        <v>333</v>
      </c>
      <c r="D1549" s="146"/>
      <c r="E1549" s="147"/>
      <c r="F1549" s="147"/>
      <c r="G1549" s="147">
        <f>G1550</f>
        <v>50.99033107299561</v>
      </c>
      <c r="H1549" s="194"/>
    </row>
    <row r="1550" spans="2:8" ht="14.25">
      <c r="B1550" s="145"/>
      <c r="C1550" s="146" t="s">
        <v>209</v>
      </c>
      <c r="D1550" s="146" t="s">
        <v>335</v>
      </c>
      <c r="E1550" s="147">
        <v>62.7</v>
      </c>
      <c r="F1550" s="147">
        <f>F1522</f>
        <v>0.8132429198244914</v>
      </c>
      <c r="G1550" s="147">
        <f>F1550*E1550</f>
        <v>50.99033107299561</v>
      </c>
      <c r="H1550" s="194"/>
    </row>
    <row r="1551" spans="2:8" ht="14.25">
      <c r="B1551" s="145"/>
      <c r="C1551" s="146"/>
      <c r="D1551" s="146"/>
      <c r="E1551" s="147"/>
      <c r="F1551" s="147"/>
      <c r="G1551" s="147"/>
      <c r="H1551" s="194"/>
    </row>
    <row r="1552" spans="2:8" ht="14.25">
      <c r="B1552" s="145" t="s">
        <v>63</v>
      </c>
      <c r="C1552" s="146" t="s">
        <v>336</v>
      </c>
      <c r="D1552" s="162">
        <v>0.048</v>
      </c>
      <c r="E1552" s="147"/>
      <c r="F1552" s="147"/>
      <c r="G1552" s="147">
        <f>G1541*D1552</f>
        <v>743.5919518915038</v>
      </c>
      <c r="H1552" s="194"/>
    </row>
    <row r="1553" spans="2:8" ht="14.25">
      <c r="B1553" s="145" t="s">
        <v>355</v>
      </c>
      <c r="C1553" s="146" t="s">
        <v>356</v>
      </c>
      <c r="D1553" s="162"/>
      <c r="E1553" s="147"/>
      <c r="F1553" s="147"/>
      <c r="G1553" s="147">
        <f>G1541*D1553</f>
        <v>0</v>
      </c>
      <c r="H1553" s="194"/>
    </row>
    <row r="1554" spans="2:8" ht="14.25">
      <c r="B1554" s="145" t="s">
        <v>18</v>
      </c>
      <c r="C1554" s="146" t="s">
        <v>337</v>
      </c>
      <c r="D1554" s="198">
        <v>0.08</v>
      </c>
      <c r="E1554" s="147"/>
      <c r="F1554" s="147"/>
      <c r="G1554" s="147">
        <f>G1540*D1554</f>
        <v>1298.8072759704933</v>
      </c>
      <c r="H1554" s="194"/>
    </row>
    <row r="1555" spans="2:8" ht="14.25">
      <c r="B1555" s="145" t="s">
        <v>20</v>
      </c>
      <c r="C1555" s="146" t="s">
        <v>338</v>
      </c>
      <c r="D1555" s="162">
        <v>0.05</v>
      </c>
      <c r="E1555" s="147"/>
      <c r="F1555" s="147"/>
      <c r="G1555" s="147">
        <f>(G1540+G1554)*D1555</f>
        <v>876.6949112800829</v>
      </c>
      <c r="H1555" s="194"/>
    </row>
    <row r="1556" spans="2:8" ht="14.25">
      <c r="B1556" s="145" t="s">
        <v>22</v>
      </c>
      <c r="C1556" s="146" t="s">
        <v>339</v>
      </c>
      <c r="D1556" s="152"/>
      <c r="E1556" s="147"/>
      <c r="F1556" s="147"/>
      <c r="G1556" s="147">
        <f>G1557</f>
        <v>5805.789669999998</v>
      </c>
      <c r="H1556" s="194"/>
    </row>
    <row r="1557" spans="2:8" ht="14.25">
      <c r="B1557" s="145"/>
      <c r="C1557" s="146" t="s">
        <v>432</v>
      </c>
      <c r="D1557" s="146" t="s">
        <v>365</v>
      </c>
      <c r="E1557" s="147">
        <f>E1546</f>
        <v>103</v>
      </c>
      <c r="F1557" s="147">
        <f>F1529</f>
        <v>56.366889999999984</v>
      </c>
      <c r="G1557" s="147">
        <f>F1557*E1557</f>
        <v>5805.789669999998</v>
      </c>
      <c r="H1557" s="194"/>
    </row>
    <row r="1558" spans="2:8" ht="14.25">
      <c r="B1558" s="145" t="s">
        <v>24</v>
      </c>
      <c r="C1558" s="146" t="s">
        <v>435</v>
      </c>
      <c r="D1558" s="152">
        <v>0.09</v>
      </c>
      <c r="E1558" s="147"/>
      <c r="F1558" s="147"/>
      <c r="G1558" s="147">
        <f>(G1540+G1554+G1555+G1556)*D1558</f>
        <v>2179.4744526193563</v>
      </c>
      <c r="H1558" s="194"/>
    </row>
    <row r="1559" spans="2:8" ht="14.25">
      <c r="B1559" s="195"/>
      <c r="C1559" s="146" t="s">
        <v>357</v>
      </c>
      <c r="D1559" s="194"/>
      <c r="E1559" s="147"/>
      <c r="F1559" s="147"/>
      <c r="G1559" s="147">
        <f>G1540++G1554+G1558+G1555+G1556</f>
        <v>26395.857259501096</v>
      </c>
      <c r="H1559" s="194"/>
    </row>
    <row r="1560" spans="2:8" ht="14.25">
      <c r="B1560" s="145" t="s">
        <v>341</v>
      </c>
      <c r="C1560" s="146" t="s">
        <v>342</v>
      </c>
      <c r="D1560" s="153">
        <v>0.03</v>
      </c>
      <c r="E1560" s="147"/>
      <c r="F1560" s="147"/>
      <c r="G1560" s="147">
        <f>G1559*D1560</f>
        <v>791.8757177850329</v>
      </c>
      <c r="H1560" s="194"/>
    </row>
    <row r="1561" spans="2:8" ht="14.25">
      <c r="B1561" s="195"/>
      <c r="C1561" s="146" t="s">
        <v>343</v>
      </c>
      <c r="D1561" s="194"/>
      <c r="E1561" s="196"/>
      <c r="F1561" s="196"/>
      <c r="G1561" s="147">
        <f>SUM(G1559:G1560)</f>
        <v>27187.732977286127</v>
      </c>
      <c r="H1561" s="194"/>
    </row>
    <row r="1563" spans="2:8" ht="14.25">
      <c r="B1563" s="308" t="s">
        <v>317</v>
      </c>
      <c r="C1563" s="308"/>
      <c r="D1563" s="308"/>
      <c r="E1563" s="308"/>
      <c r="F1563" s="308"/>
      <c r="G1563" s="308"/>
      <c r="H1563" s="308"/>
    </row>
    <row r="1564" spans="2:8" ht="14.25">
      <c r="B1564" s="309" t="s">
        <v>587</v>
      </c>
      <c r="C1564" s="309"/>
      <c r="D1564" s="309"/>
      <c r="E1564" s="309"/>
      <c r="F1564" s="309"/>
      <c r="G1564" s="309"/>
      <c r="H1564" s="309"/>
    </row>
    <row r="1565" spans="2:8" ht="14.25">
      <c r="B1565" s="367" t="s">
        <v>443</v>
      </c>
      <c r="C1565" s="367"/>
      <c r="D1565" s="367"/>
      <c r="E1565" s="367"/>
      <c r="F1565" s="310"/>
      <c r="G1565" s="311" t="s">
        <v>588</v>
      </c>
      <c r="H1565" s="311"/>
    </row>
    <row r="1566" spans="2:8" ht="14.25">
      <c r="B1566" s="368" t="s">
        <v>360</v>
      </c>
      <c r="C1566" s="369"/>
      <c r="D1566" s="369"/>
      <c r="E1566" s="369"/>
      <c r="F1566" s="369"/>
      <c r="G1566" s="369"/>
      <c r="H1566" s="370"/>
    </row>
    <row r="1567" spans="2:8" ht="14.25">
      <c r="B1567" s="371" t="s">
        <v>31</v>
      </c>
      <c r="C1567" s="372" t="s">
        <v>190</v>
      </c>
      <c r="D1567" s="372" t="s">
        <v>33</v>
      </c>
      <c r="E1567" s="373" t="s">
        <v>34</v>
      </c>
      <c r="F1567" s="373" t="s">
        <v>543</v>
      </c>
      <c r="G1567" s="373" t="s">
        <v>544</v>
      </c>
      <c r="H1567" s="373" t="s">
        <v>37</v>
      </c>
    </row>
    <row r="1568" spans="2:8" ht="14.25">
      <c r="B1568" s="374" t="s">
        <v>16</v>
      </c>
      <c r="C1568" s="296" t="s">
        <v>328</v>
      </c>
      <c r="D1568" s="296"/>
      <c r="E1568" s="375"/>
      <c r="F1568" s="375"/>
      <c r="G1568" s="375">
        <f>G1569+G1580+G1581</f>
        <v>9482.013704</v>
      </c>
      <c r="H1568" s="296"/>
    </row>
    <row r="1569" spans="2:8" ht="14.25">
      <c r="B1569" s="374" t="s">
        <v>39</v>
      </c>
      <c r="C1569" s="296" t="s">
        <v>511</v>
      </c>
      <c r="D1569" s="296"/>
      <c r="E1569" s="375"/>
      <c r="F1569" s="375"/>
      <c r="G1569" s="375">
        <f>G1570+G1573+G1577+G1579</f>
        <v>9047.723</v>
      </c>
      <c r="H1569" s="296"/>
    </row>
    <row r="1570" spans="2:8" ht="14.25">
      <c r="B1570" s="374">
        <v>1</v>
      </c>
      <c r="C1570" s="296" t="s">
        <v>329</v>
      </c>
      <c r="D1570" s="376" t="s">
        <v>163</v>
      </c>
      <c r="E1570" s="375"/>
      <c r="F1570" s="375"/>
      <c r="G1570" s="375">
        <f>G1571+G1572</f>
        <v>2866.5229999999997</v>
      </c>
      <c r="H1570" s="296"/>
    </row>
    <row r="1571" spans="2:8" ht="14.25">
      <c r="B1571" s="374"/>
      <c r="C1571" s="296" t="s">
        <v>351</v>
      </c>
      <c r="D1571" s="376" t="s">
        <v>163</v>
      </c>
      <c r="E1571" s="372">
        <v>9.9</v>
      </c>
      <c r="F1571" s="375">
        <v>8.1</v>
      </c>
      <c r="G1571" s="375">
        <f>E1571*F1571</f>
        <v>80.19</v>
      </c>
      <c r="H1571" s="296"/>
    </row>
    <row r="1572" spans="2:8" ht="14.25">
      <c r="B1572" s="374"/>
      <c r="C1572" s="296" t="s">
        <v>330</v>
      </c>
      <c r="D1572" s="376" t="s">
        <v>163</v>
      </c>
      <c r="E1572" s="372">
        <v>482.9</v>
      </c>
      <c r="F1572" s="375">
        <v>5.77</v>
      </c>
      <c r="G1572" s="375">
        <f>E1572*F1572</f>
        <v>2786.3329999999996</v>
      </c>
      <c r="H1572" s="296"/>
    </row>
    <row r="1573" spans="2:8" ht="14.25">
      <c r="B1573" s="374">
        <v>2</v>
      </c>
      <c r="C1573" s="296" t="s">
        <v>373</v>
      </c>
      <c r="D1573" s="296"/>
      <c r="E1573" s="375"/>
      <c r="F1573" s="375"/>
      <c r="G1573" s="375">
        <f>SUM(G1574:G1576)</f>
        <v>6181.2</v>
      </c>
      <c r="H1573" s="296"/>
    </row>
    <row r="1574" spans="2:8" ht="14.25">
      <c r="B1574" s="374"/>
      <c r="C1574" s="372" t="s">
        <v>152</v>
      </c>
      <c r="D1574" s="377" t="s">
        <v>589</v>
      </c>
      <c r="E1574" s="372">
        <v>102</v>
      </c>
      <c r="F1574" s="375">
        <v>60</v>
      </c>
      <c r="G1574" s="375">
        <f>F1574*E1574</f>
        <v>6120</v>
      </c>
      <c r="H1574" s="296"/>
    </row>
    <row r="1575" spans="2:8" ht="14.25">
      <c r="B1575" s="374"/>
      <c r="C1575" s="372"/>
      <c r="D1575" s="377"/>
      <c r="E1575" s="372"/>
      <c r="F1575" s="375"/>
      <c r="G1575" s="375"/>
      <c r="H1575" s="296"/>
    </row>
    <row r="1576" spans="2:8" ht="14.25">
      <c r="B1576" s="374"/>
      <c r="C1576" s="296" t="s">
        <v>404</v>
      </c>
      <c r="D1576" s="296" t="s">
        <v>332</v>
      </c>
      <c r="E1576" s="375">
        <v>0.01</v>
      </c>
      <c r="F1576" s="375"/>
      <c r="G1576" s="375">
        <f>SUM(G1574:G1574)*E1576</f>
        <v>61.2</v>
      </c>
      <c r="H1576" s="296"/>
    </row>
    <row r="1577" spans="2:8" ht="14.25">
      <c r="B1577" s="374">
        <v>3</v>
      </c>
      <c r="C1577" s="296" t="s">
        <v>352</v>
      </c>
      <c r="D1577" s="296"/>
      <c r="E1577" s="375"/>
      <c r="F1577" s="375"/>
      <c r="G1577" s="375">
        <f>SUM(G1578:G1578)</f>
        <v>0</v>
      </c>
      <c r="H1577" s="296"/>
    </row>
    <row r="1578" spans="2:8" ht="14.25">
      <c r="B1578" s="374"/>
      <c r="C1578" s="296" t="s">
        <v>404</v>
      </c>
      <c r="D1578" s="296" t="s">
        <v>332</v>
      </c>
      <c r="E1578" s="375"/>
      <c r="F1578" s="375"/>
      <c r="G1578" s="375"/>
      <c r="H1578" s="378"/>
    </row>
    <row r="1579" spans="2:8" ht="14.25">
      <c r="B1579" s="374">
        <v>4</v>
      </c>
      <c r="C1579" s="296" t="s">
        <v>456</v>
      </c>
      <c r="D1579" s="378"/>
      <c r="E1579" s="379"/>
      <c r="F1579" s="379"/>
      <c r="G1579" s="375"/>
      <c r="H1579" s="378"/>
    </row>
    <row r="1580" spans="2:8" ht="14.25">
      <c r="B1580" s="374" t="s">
        <v>63</v>
      </c>
      <c r="C1580" s="296" t="s">
        <v>512</v>
      </c>
      <c r="D1580" s="380" t="s">
        <v>590</v>
      </c>
      <c r="E1580" s="381"/>
      <c r="F1580" s="375"/>
      <c r="G1580" s="375">
        <f>D1580*G1569</f>
        <v>434.290704</v>
      </c>
      <c r="H1580" s="378"/>
    </row>
    <row r="1581" spans="2:8" ht="14.25">
      <c r="B1581" s="374" t="s">
        <v>355</v>
      </c>
      <c r="C1581" s="296" t="s">
        <v>356</v>
      </c>
      <c r="D1581" s="380"/>
      <c r="E1581" s="381"/>
      <c r="F1581" s="375"/>
      <c r="G1581" s="375"/>
      <c r="H1581" s="378"/>
    </row>
    <row r="1582" spans="2:8" ht="14.25">
      <c r="B1582" s="374" t="s">
        <v>18</v>
      </c>
      <c r="C1582" s="296" t="s">
        <v>337</v>
      </c>
      <c r="D1582" s="284">
        <v>0.08</v>
      </c>
      <c r="E1582" s="381"/>
      <c r="F1582" s="375"/>
      <c r="G1582" s="375">
        <f>D1582*G1568</f>
        <v>758.56109632</v>
      </c>
      <c r="H1582" s="378"/>
    </row>
    <row r="1583" spans="2:8" ht="14.25">
      <c r="B1583" s="374" t="s">
        <v>20</v>
      </c>
      <c r="C1583" s="296" t="s">
        <v>501</v>
      </c>
      <c r="D1583" s="380" t="s">
        <v>591</v>
      </c>
      <c r="E1583" s="381"/>
      <c r="F1583" s="375"/>
      <c r="G1583" s="375">
        <f>(G1568+G1582)*D1583</f>
        <v>716.8402360224001</v>
      </c>
      <c r="H1583" s="378"/>
    </row>
    <row r="1584" spans="2:8" ht="14.25">
      <c r="B1584" s="374" t="s">
        <v>22</v>
      </c>
      <c r="C1584" s="296" t="s">
        <v>339</v>
      </c>
      <c r="D1584" s="382"/>
      <c r="E1584" s="375"/>
      <c r="F1584" s="375"/>
      <c r="G1584" s="375">
        <f>SUM(G1585:G1585)</f>
        <v>0</v>
      </c>
      <c r="H1584" s="378"/>
    </row>
    <row r="1585" spans="2:8" ht="14.25">
      <c r="B1585" s="374"/>
      <c r="C1585" s="296" t="s">
        <v>299</v>
      </c>
      <c r="D1585" s="296" t="s">
        <v>546</v>
      </c>
      <c r="E1585" s="375">
        <f>E1574</f>
        <v>102</v>
      </c>
      <c r="F1585" s="375"/>
      <c r="G1585" s="375">
        <f>F1585*E1585</f>
        <v>0</v>
      </c>
      <c r="H1585" s="378"/>
    </row>
    <row r="1586" spans="2:8" ht="14.25">
      <c r="B1586" s="374" t="s">
        <v>24</v>
      </c>
      <c r="C1586" s="296" t="s">
        <v>340</v>
      </c>
      <c r="D1586" s="288">
        <v>0.09</v>
      </c>
      <c r="E1586" s="375"/>
      <c r="F1586" s="375"/>
      <c r="G1586" s="375">
        <f>(G1568+G1582+G1583+G1584)*D1586</f>
        <v>986.1673532708161</v>
      </c>
      <c r="H1586" s="378"/>
    </row>
    <row r="1587" spans="2:8" ht="14.25">
      <c r="B1587" s="383"/>
      <c r="C1587" s="296" t="s">
        <v>36</v>
      </c>
      <c r="D1587" s="296"/>
      <c r="E1587" s="375"/>
      <c r="F1587" s="375"/>
      <c r="G1587" s="375">
        <f>G1586+G1584+G1583+G1582+G1568</f>
        <v>11943.582389613217</v>
      </c>
      <c r="H1587" s="378"/>
    </row>
    <row r="1588" spans="2:8" ht="14.25">
      <c r="B1588" s="374" t="s">
        <v>341</v>
      </c>
      <c r="C1588" s="296" t="s">
        <v>342</v>
      </c>
      <c r="D1588" s="153">
        <v>0.03</v>
      </c>
      <c r="E1588" s="384"/>
      <c r="F1588" s="385"/>
      <c r="G1588" s="375">
        <f>G1587*D1588</f>
        <v>358.3074716883965</v>
      </c>
      <c r="H1588" s="378"/>
    </row>
    <row r="1589" spans="2:8" ht="14.25">
      <c r="B1589" s="383"/>
      <c r="C1589" s="296" t="s">
        <v>343</v>
      </c>
      <c r="D1589" s="378"/>
      <c r="E1589" s="386"/>
      <c r="F1589" s="379"/>
      <c r="G1589" s="375">
        <f>SUM(G1587:G1588)</f>
        <v>12301.889861301614</v>
      </c>
      <c r="H1589" s="378"/>
    </row>
    <row r="1590" spans="2:8" ht="14.25">
      <c r="B1590" s="301"/>
      <c r="C1590" s="301"/>
      <c r="D1590" s="301"/>
      <c r="E1590" s="301"/>
      <c r="F1590" s="301"/>
      <c r="G1590" s="301"/>
      <c r="H1590" s="301"/>
    </row>
    <row r="1593" spans="2:8" ht="18.75">
      <c r="B1593" s="387" t="s">
        <v>317</v>
      </c>
      <c r="C1593" s="387"/>
      <c r="D1593" s="387"/>
      <c r="E1593" s="387"/>
      <c r="F1593" s="387"/>
      <c r="G1593" s="387"/>
      <c r="H1593" s="289"/>
    </row>
    <row r="1594" spans="2:8" ht="14.25">
      <c r="B1594" s="388" t="s">
        <v>592</v>
      </c>
      <c r="C1594" s="388"/>
      <c r="D1594" s="388"/>
      <c r="E1594" s="388"/>
      <c r="F1594" s="388"/>
      <c r="G1594" s="388"/>
      <c r="H1594" s="289"/>
    </row>
    <row r="1595" spans="2:8" ht="14.25">
      <c r="B1595" s="389" t="s">
        <v>583</v>
      </c>
      <c r="C1595" s="389"/>
      <c r="D1595" s="389"/>
      <c r="E1595" s="389"/>
      <c r="F1595" s="389"/>
      <c r="G1595" s="390" t="s">
        <v>593</v>
      </c>
      <c r="H1595" s="289"/>
    </row>
    <row r="1596" spans="2:8" ht="14.25">
      <c r="B1596" s="391" t="s">
        <v>360</v>
      </c>
      <c r="C1596" s="392"/>
      <c r="D1596" s="392"/>
      <c r="E1596" s="392"/>
      <c r="F1596" s="392"/>
      <c r="G1596" s="392"/>
      <c r="H1596" s="285"/>
    </row>
    <row r="1597" spans="2:8" ht="14.25">
      <c r="B1597" s="393" t="s">
        <v>361</v>
      </c>
      <c r="C1597" s="394" t="s">
        <v>322</v>
      </c>
      <c r="D1597" s="394" t="s">
        <v>323</v>
      </c>
      <c r="E1597" s="394" t="s">
        <v>350</v>
      </c>
      <c r="F1597" s="395" t="s">
        <v>509</v>
      </c>
      <c r="G1597" s="396" t="s">
        <v>510</v>
      </c>
      <c r="H1597" s="285"/>
    </row>
    <row r="1598" spans="2:8" ht="14.25">
      <c r="B1598" s="393" t="s">
        <v>16</v>
      </c>
      <c r="C1598" s="394" t="s">
        <v>328</v>
      </c>
      <c r="D1598" s="397"/>
      <c r="E1598" s="394"/>
      <c r="F1598" s="398"/>
      <c r="G1598" s="399">
        <f>G1599+G1610+G1611</f>
        <v>17445.320717640207</v>
      </c>
      <c r="H1598" s="285"/>
    </row>
    <row r="1599" spans="2:8" ht="14.25">
      <c r="B1599" s="393" t="s">
        <v>39</v>
      </c>
      <c r="C1599" s="394" t="s">
        <v>511</v>
      </c>
      <c r="D1599" s="397"/>
      <c r="E1599" s="394"/>
      <c r="F1599" s="400"/>
      <c r="G1599" s="399">
        <f>G1600+G1603+G1607</f>
        <v>16646.298394694855</v>
      </c>
      <c r="H1599" s="285"/>
    </row>
    <row r="1600" spans="2:8" ht="14.25">
      <c r="B1600" s="393">
        <v>1</v>
      </c>
      <c r="C1600" s="394" t="s">
        <v>329</v>
      </c>
      <c r="D1600" s="401"/>
      <c r="E1600" s="394"/>
      <c r="F1600" s="400"/>
      <c r="G1600" s="399">
        <f>SUM(G1601:G1602)</f>
        <v>2696.1859999999997</v>
      </c>
      <c r="H1600" s="285"/>
    </row>
    <row r="1601" spans="2:8" ht="14.25">
      <c r="B1601" s="393"/>
      <c r="C1601" s="401" t="s">
        <v>351</v>
      </c>
      <c r="D1601" s="401" t="s">
        <v>163</v>
      </c>
      <c r="E1601" s="394">
        <v>125</v>
      </c>
      <c r="F1601" s="394">
        <f>8.1</f>
        <v>8.1</v>
      </c>
      <c r="G1601" s="399">
        <f>F1601*E1601</f>
        <v>1012.5</v>
      </c>
      <c r="H1601" s="285"/>
    </row>
    <row r="1602" spans="2:8" ht="14.25">
      <c r="B1602" s="393"/>
      <c r="C1602" s="401" t="s">
        <v>330</v>
      </c>
      <c r="D1602" s="401" t="s">
        <v>163</v>
      </c>
      <c r="E1602" s="394">
        <v>291.8</v>
      </c>
      <c r="F1602" s="394">
        <v>5.77</v>
      </c>
      <c r="G1602" s="399">
        <f>F1602*E1602</f>
        <v>1683.686</v>
      </c>
      <c r="H1602" s="285"/>
    </row>
    <row r="1603" spans="2:8" ht="14.25">
      <c r="B1603" s="393">
        <v>2</v>
      </c>
      <c r="C1603" s="394" t="s">
        <v>373</v>
      </c>
      <c r="D1603" s="397"/>
      <c r="E1603" s="394"/>
      <c r="F1603" s="394"/>
      <c r="G1603" s="399">
        <f>SUM(G1604:G1606)</f>
        <v>13889.2005</v>
      </c>
      <c r="H1603" s="285"/>
    </row>
    <row r="1604" spans="2:8" ht="14.25">
      <c r="B1604" s="393"/>
      <c r="C1604" s="394" t="s">
        <v>432</v>
      </c>
      <c r="D1604" s="394" t="s">
        <v>589</v>
      </c>
      <c r="E1604" s="394">
        <v>116</v>
      </c>
      <c r="F1604" s="400">
        <v>70</v>
      </c>
      <c r="G1604" s="399">
        <f>F1604*E1604</f>
        <v>8120</v>
      </c>
      <c r="H1604" s="285"/>
    </row>
    <row r="1605" spans="2:8" ht="14.25">
      <c r="B1605" s="393"/>
      <c r="C1605" s="394" t="s">
        <v>594</v>
      </c>
      <c r="D1605" s="394" t="s">
        <v>595</v>
      </c>
      <c r="E1605" s="402">
        <v>958</v>
      </c>
      <c r="F1605" s="400">
        <v>5.95</v>
      </c>
      <c r="G1605" s="399">
        <f>F1605*E1605</f>
        <v>5700.1</v>
      </c>
      <c r="H1605" s="285"/>
    </row>
    <row r="1606" spans="2:8" ht="14.25">
      <c r="B1606" s="393"/>
      <c r="C1606" s="394" t="s">
        <v>548</v>
      </c>
      <c r="D1606" s="394" t="s">
        <v>332</v>
      </c>
      <c r="E1606" s="394">
        <v>0.5</v>
      </c>
      <c r="F1606" s="400">
        <f>G1605+G1604</f>
        <v>13820.1</v>
      </c>
      <c r="G1606" s="399">
        <f>F1606*E1606/100</f>
        <v>69.1005</v>
      </c>
      <c r="H1606" s="285"/>
    </row>
    <row r="1607" spans="2:8" ht="14.25">
      <c r="B1607" s="393">
        <v>3</v>
      </c>
      <c r="C1607" s="394" t="s">
        <v>333</v>
      </c>
      <c r="D1607" s="394"/>
      <c r="E1607" s="394"/>
      <c r="F1607" s="394"/>
      <c r="G1607" s="399">
        <f>G1608</f>
        <v>60.91189469485441</v>
      </c>
      <c r="H1607" s="285"/>
    </row>
    <row r="1608" spans="2:8" ht="14.25">
      <c r="B1608" s="393"/>
      <c r="C1608" s="394" t="s">
        <v>209</v>
      </c>
      <c r="D1608" s="394" t="s">
        <v>335</v>
      </c>
      <c r="E1608" s="394">
        <v>74.9</v>
      </c>
      <c r="F1608" s="400">
        <f>'台班总'!D20</f>
        <v>0.8132429198244914</v>
      </c>
      <c r="G1608" s="399">
        <f>F1608*E1608</f>
        <v>60.91189469485441</v>
      </c>
      <c r="H1608" s="285"/>
    </row>
    <row r="1609" spans="2:8" ht="14.25">
      <c r="B1609" s="393"/>
      <c r="C1609" s="394"/>
      <c r="D1609" s="394"/>
      <c r="E1609" s="394"/>
      <c r="F1609" s="400"/>
      <c r="G1609" s="399"/>
      <c r="H1609" s="285"/>
    </row>
    <row r="1610" spans="2:8" ht="14.25">
      <c r="B1610" s="393" t="s">
        <v>63</v>
      </c>
      <c r="C1610" s="394" t="s">
        <v>512</v>
      </c>
      <c r="D1610" s="403">
        <v>0.048</v>
      </c>
      <c r="E1610" s="394"/>
      <c r="F1610" s="394"/>
      <c r="G1610" s="399">
        <f>G1599*D1610</f>
        <v>799.022322945353</v>
      </c>
      <c r="H1610" s="285"/>
    </row>
    <row r="1611" spans="2:8" ht="14.25">
      <c r="B1611" s="393"/>
      <c r="C1611" s="394"/>
      <c r="D1611" s="403"/>
      <c r="E1611" s="394"/>
      <c r="F1611" s="394"/>
      <c r="G1611" s="399"/>
      <c r="H1611" s="285"/>
    </row>
    <row r="1612" spans="2:8" ht="14.25">
      <c r="B1612" s="393" t="s">
        <v>18</v>
      </c>
      <c r="C1612" s="394" t="s">
        <v>337</v>
      </c>
      <c r="D1612" s="403">
        <v>0.1</v>
      </c>
      <c r="E1612" s="394"/>
      <c r="F1612" s="394"/>
      <c r="G1612" s="399">
        <f>G1598*D1612</f>
        <v>1744.5320717640207</v>
      </c>
      <c r="H1612" s="285"/>
    </row>
    <row r="1613" spans="2:8" ht="14.25">
      <c r="B1613" s="393" t="s">
        <v>20</v>
      </c>
      <c r="C1613" s="394" t="s">
        <v>338</v>
      </c>
      <c r="D1613" s="404">
        <v>0.07</v>
      </c>
      <c r="E1613" s="394"/>
      <c r="F1613" s="394"/>
      <c r="G1613" s="399">
        <f>(G1598+G1612)*D1613</f>
        <v>1343.289695258296</v>
      </c>
      <c r="H1613" s="285"/>
    </row>
    <row r="1614" spans="2:8" ht="14.25">
      <c r="B1614" s="393" t="s">
        <v>22</v>
      </c>
      <c r="C1614" s="394" t="s">
        <v>339</v>
      </c>
      <c r="D1614" s="404"/>
      <c r="E1614" s="394"/>
      <c r="F1614" s="394"/>
      <c r="G1614" s="399">
        <f>G1615+G1616</f>
        <v>18820.61052205128</v>
      </c>
      <c r="H1614" s="285"/>
    </row>
    <row r="1615" spans="2:8" ht="14.25">
      <c r="B1615" s="393"/>
      <c r="C1615" s="394" t="s">
        <v>432</v>
      </c>
      <c r="D1615" s="394" t="s">
        <v>589</v>
      </c>
      <c r="E1615" s="394">
        <f>E1604</f>
        <v>116</v>
      </c>
      <c r="F1615" s="398">
        <f>'单价分析'!L10-70</f>
        <v>56.366889999999984</v>
      </c>
      <c r="G1615" s="399">
        <f>F1615*E1615</f>
        <v>6538.559239999998</v>
      </c>
      <c r="H1615" s="285"/>
    </row>
    <row r="1616" spans="2:8" ht="14.25">
      <c r="B1616" s="393"/>
      <c r="C1616" s="394" t="s">
        <v>594</v>
      </c>
      <c r="D1616" s="394" t="s">
        <v>595</v>
      </c>
      <c r="E1616" s="402">
        <f>E1605</f>
        <v>958</v>
      </c>
      <c r="F1616" s="405">
        <f>15/1.17</f>
        <v>12.820512820512821</v>
      </c>
      <c r="G1616" s="399">
        <f>F1616*E1616</f>
        <v>12282.051282051283</v>
      </c>
      <c r="H1616" s="285"/>
    </row>
    <row r="1617" spans="2:8" ht="14.25">
      <c r="B1617" s="393" t="s">
        <v>24</v>
      </c>
      <c r="C1617" s="394" t="s">
        <v>435</v>
      </c>
      <c r="D1617" s="288">
        <v>0.09</v>
      </c>
      <c r="E1617" s="394"/>
      <c r="F1617" s="394"/>
      <c r="G1617" s="399">
        <f>(G1598+G1612+G1613+G1614)*D1617</f>
        <v>3541.837770604242</v>
      </c>
      <c r="H1617" s="285"/>
    </row>
    <row r="1618" spans="2:8" ht="14.25">
      <c r="B1618" s="406"/>
      <c r="C1618" s="394" t="s">
        <v>357</v>
      </c>
      <c r="D1618" s="397"/>
      <c r="E1618" s="394"/>
      <c r="F1618" s="394"/>
      <c r="G1618" s="399">
        <f>G1598++G1612+G1617+G1613+G1614</f>
        <v>42895.590777318044</v>
      </c>
      <c r="H1618" s="285"/>
    </row>
    <row r="1619" spans="2:8" ht="14.25">
      <c r="B1619" s="393" t="s">
        <v>341</v>
      </c>
      <c r="C1619" s="394" t="s">
        <v>342</v>
      </c>
      <c r="D1619" s="153">
        <v>0.03</v>
      </c>
      <c r="E1619" s="394"/>
      <c r="F1619" s="394"/>
      <c r="G1619" s="399">
        <f>G1618*D1619</f>
        <v>1286.8677233195413</v>
      </c>
      <c r="H1619" s="285"/>
    </row>
    <row r="1620" spans="2:8" ht="14.25">
      <c r="B1620" s="406"/>
      <c r="C1620" s="397"/>
      <c r="D1620" s="397"/>
      <c r="E1620" s="397"/>
      <c r="F1620" s="397"/>
      <c r="G1620" s="407">
        <f>SUM(G1618:G1619)</f>
        <v>44182.458500637586</v>
      </c>
      <c r="H1620" s="285"/>
    </row>
    <row r="1622" spans="2:7" ht="18.75">
      <c r="B1622" s="387" t="s">
        <v>317</v>
      </c>
      <c r="C1622" s="387"/>
      <c r="D1622" s="387"/>
      <c r="E1622" s="387"/>
      <c r="F1622" s="387"/>
      <c r="G1622" s="387"/>
    </row>
    <row r="1623" spans="2:7" ht="14.25">
      <c r="B1623" s="388" t="s">
        <v>596</v>
      </c>
      <c r="C1623" s="388"/>
      <c r="D1623" s="388"/>
      <c r="E1623" s="388"/>
      <c r="F1623" s="388"/>
      <c r="G1623" s="388"/>
    </row>
    <row r="1624" spans="2:7" ht="14.25">
      <c r="B1624" s="389" t="s">
        <v>586</v>
      </c>
      <c r="C1624" s="389"/>
      <c r="D1624" s="389"/>
      <c r="E1624" s="389"/>
      <c r="F1624" s="8"/>
      <c r="G1624" s="390" t="s">
        <v>593</v>
      </c>
    </row>
    <row r="1625" spans="2:7" ht="14.25">
      <c r="B1625" s="391" t="s">
        <v>360</v>
      </c>
      <c r="C1625" s="392"/>
      <c r="D1625" s="392"/>
      <c r="E1625" s="392"/>
      <c r="F1625" s="392"/>
      <c r="G1625" s="408"/>
    </row>
    <row r="1626" spans="2:7" ht="14.25">
      <c r="B1626" s="393" t="s">
        <v>361</v>
      </c>
      <c r="C1626" s="394" t="s">
        <v>322</v>
      </c>
      <c r="D1626" s="394" t="s">
        <v>323</v>
      </c>
      <c r="E1626" s="394" t="s">
        <v>350</v>
      </c>
      <c r="F1626" s="395" t="s">
        <v>509</v>
      </c>
      <c r="G1626" s="395" t="s">
        <v>510</v>
      </c>
    </row>
    <row r="1627" spans="2:7" ht="14.25">
      <c r="B1627" s="393" t="s">
        <v>16</v>
      </c>
      <c r="C1627" s="394" t="s">
        <v>328</v>
      </c>
      <c r="D1627" s="397"/>
      <c r="E1627" s="394"/>
      <c r="F1627" s="398"/>
      <c r="G1627" s="409">
        <f>G1628+G1639+G1640</f>
        <v>10986.255872964497</v>
      </c>
    </row>
    <row r="1628" spans="2:7" ht="14.25">
      <c r="B1628" s="393" t="s">
        <v>39</v>
      </c>
      <c r="C1628" s="394" t="s">
        <v>511</v>
      </c>
      <c r="D1628" s="397"/>
      <c r="E1628" s="394"/>
      <c r="F1628" s="400"/>
      <c r="G1628" s="409">
        <f>G1629+G1632+G1636</f>
        <v>10483.068581072994</v>
      </c>
    </row>
    <row r="1629" spans="2:7" ht="14.25">
      <c r="B1629" s="393">
        <v>1</v>
      </c>
      <c r="C1629" s="394" t="s">
        <v>329</v>
      </c>
      <c r="D1629" s="401"/>
      <c r="E1629" s="394"/>
      <c r="F1629" s="400"/>
      <c r="G1629" s="409">
        <f>SUM(G1630:G1631)</f>
        <v>1754.657</v>
      </c>
    </row>
    <row r="1630" spans="2:7" ht="14.25">
      <c r="B1630" s="393"/>
      <c r="C1630" s="401" t="s">
        <v>351</v>
      </c>
      <c r="D1630" s="401" t="s">
        <v>163</v>
      </c>
      <c r="E1630" s="394">
        <v>0</v>
      </c>
      <c r="F1630" s="394">
        <v>8.1</v>
      </c>
      <c r="G1630" s="409">
        <f>F1630*E1630</f>
        <v>0</v>
      </c>
    </row>
    <row r="1631" spans="2:7" ht="14.25">
      <c r="B1631" s="393"/>
      <c r="C1631" s="401" t="s">
        <v>330</v>
      </c>
      <c r="D1631" s="401" t="s">
        <v>163</v>
      </c>
      <c r="E1631" s="394">
        <v>304.1</v>
      </c>
      <c r="F1631" s="394">
        <v>5.77</v>
      </c>
      <c r="G1631" s="409">
        <f>F1631*E1631</f>
        <v>1754.657</v>
      </c>
    </row>
    <row r="1632" spans="2:7" ht="14.25">
      <c r="B1632" s="393">
        <v>2</v>
      </c>
      <c r="C1632" s="394" t="s">
        <v>373</v>
      </c>
      <c r="D1632" s="397"/>
      <c r="E1632" s="394"/>
      <c r="F1632" s="394"/>
      <c r="G1632" s="409">
        <f>SUM(G1633:G1635)</f>
        <v>8677.42125</v>
      </c>
    </row>
    <row r="1633" spans="2:7" ht="14.25">
      <c r="B1633" s="393"/>
      <c r="C1633" s="394" t="s">
        <v>432</v>
      </c>
      <c r="D1633" s="394" t="s">
        <v>589</v>
      </c>
      <c r="E1633" s="394">
        <v>103</v>
      </c>
      <c r="F1633" s="400">
        <v>70</v>
      </c>
      <c r="G1633" s="409">
        <f>F1633*E1633</f>
        <v>7210</v>
      </c>
    </row>
    <row r="1634" spans="2:7" ht="14.25">
      <c r="B1634" s="393"/>
      <c r="C1634" s="394" t="s">
        <v>597</v>
      </c>
      <c r="D1634" s="394" t="s">
        <v>595</v>
      </c>
      <c r="E1634" s="402">
        <v>633</v>
      </c>
      <c r="F1634" s="400">
        <v>2.25</v>
      </c>
      <c r="G1634" s="409">
        <f>F1634*E1634</f>
        <v>1424.25</v>
      </c>
    </row>
    <row r="1635" spans="2:7" ht="14.25">
      <c r="B1635" s="393"/>
      <c r="C1635" s="394" t="s">
        <v>548</v>
      </c>
      <c r="D1635" s="394" t="s">
        <v>332</v>
      </c>
      <c r="E1635" s="394">
        <v>0.5</v>
      </c>
      <c r="F1635" s="400">
        <f>G1634+G1633</f>
        <v>8634.25</v>
      </c>
      <c r="G1635" s="409">
        <f>F1635*E1635/100</f>
        <v>43.17125</v>
      </c>
    </row>
    <row r="1636" spans="2:7" ht="14.25">
      <c r="B1636" s="393">
        <v>3</v>
      </c>
      <c r="C1636" s="394" t="s">
        <v>333</v>
      </c>
      <c r="D1636" s="394"/>
      <c r="E1636" s="394"/>
      <c r="F1636" s="394"/>
      <c r="G1636" s="409">
        <f>G1637</f>
        <v>50.99033107299561</v>
      </c>
    </row>
    <row r="1637" spans="2:7" ht="14.25">
      <c r="B1637" s="393"/>
      <c r="C1637" s="394" t="s">
        <v>209</v>
      </c>
      <c r="D1637" s="394" t="s">
        <v>335</v>
      </c>
      <c r="E1637" s="394">
        <v>62.7</v>
      </c>
      <c r="F1637" s="400">
        <f>F1608</f>
        <v>0.8132429198244914</v>
      </c>
      <c r="G1637" s="409">
        <f>F1637*E1637</f>
        <v>50.99033107299561</v>
      </c>
    </row>
    <row r="1638" spans="2:7" ht="14.25">
      <c r="B1638" s="393"/>
      <c r="C1638" s="394"/>
      <c r="D1638" s="394"/>
      <c r="E1638" s="394"/>
      <c r="F1638" s="400"/>
      <c r="G1638" s="409"/>
    </row>
    <row r="1639" spans="2:7" ht="14.25">
      <c r="B1639" s="393" t="s">
        <v>63</v>
      </c>
      <c r="C1639" s="394" t="s">
        <v>512</v>
      </c>
      <c r="D1639" s="403">
        <v>0.048</v>
      </c>
      <c r="E1639" s="394"/>
      <c r="F1639" s="394"/>
      <c r="G1639" s="409">
        <f>G1628*D1639</f>
        <v>503.1872918915037</v>
      </c>
    </row>
    <row r="1640" spans="2:7" ht="14.25">
      <c r="B1640" s="393" t="s">
        <v>355</v>
      </c>
      <c r="C1640" s="394" t="s">
        <v>356</v>
      </c>
      <c r="D1640" s="403"/>
      <c r="E1640" s="394"/>
      <c r="F1640" s="394"/>
      <c r="G1640" s="409">
        <f>G1628*D1640</f>
        <v>0</v>
      </c>
    </row>
    <row r="1641" spans="2:7" ht="14.25">
      <c r="B1641" s="393" t="s">
        <v>18</v>
      </c>
      <c r="C1641" s="394" t="s">
        <v>337</v>
      </c>
      <c r="D1641" s="403">
        <v>0.1</v>
      </c>
      <c r="E1641" s="394"/>
      <c r="F1641" s="394"/>
      <c r="G1641" s="409">
        <f>G1627*D1641</f>
        <v>1098.6255872964498</v>
      </c>
    </row>
    <row r="1642" spans="2:7" ht="14.25">
      <c r="B1642" s="393" t="s">
        <v>20</v>
      </c>
      <c r="C1642" s="394" t="s">
        <v>338</v>
      </c>
      <c r="D1642" s="404">
        <v>0.07</v>
      </c>
      <c r="E1642" s="394"/>
      <c r="F1642" s="394"/>
      <c r="G1642" s="409">
        <f>(G1627+G1641)*D1642</f>
        <v>845.9417022182664</v>
      </c>
    </row>
    <row r="1643" spans="2:7" ht="14.25">
      <c r="B1643" s="393" t="s">
        <v>22</v>
      </c>
      <c r="C1643" s="394" t="s">
        <v>339</v>
      </c>
      <c r="D1643" s="404"/>
      <c r="E1643" s="394"/>
      <c r="F1643" s="394"/>
      <c r="G1643" s="409">
        <f>G1644+G1645</f>
        <v>10269.251208461537</v>
      </c>
    </row>
    <row r="1644" spans="2:7" ht="14.25">
      <c r="B1644" s="393"/>
      <c r="C1644" s="394" t="s">
        <v>432</v>
      </c>
      <c r="D1644" s="394" t="s">
        <v>589</v>
      </c>
      <c r="E1644" s="394">
        <f>E1633</f>
        <v>103</v>
      </c>
      <c r="F1644" s="398">
        <f>F1615</f>
        <v>56.366889999999984</v>
      </c>
      <c r="G1644" s="409">
        <f>F1644*E1644</f>
        <v>5805.789669999998</v>
      </c>
    </row>
    <row r="1645" spans="2:7" ht="14.25">
      <c r="B1645" s="410"/>
      <c r="C1645" s="394" t="str">
        <f>C1634</f>
        <v>聚丙烯双向格栅SS30</v>
      </c>
      <c r="D1645" s="394" t="s">
        <v>598</v>
      </c>
      <c r="E1645" s="394">
        <f>E1634</f>
        <v>633</v>
      </c>
      <c r="F1645" s="411">
        <f>8.25/1.17</f>
        <v>7.051282051282052</v>
      </c>
      <c r="G1645" s="409">
        <f>E1645*F1645</f>
        <v>4463.461538461539</v>
      </c>
    </row>
    <row r="1646" spans="2:7" ht="14.25">
      <c r="B1646" s="393" t="s">
        <v>24</v>
      </c>
      <c r="C1646" s="394" t="s">
        <v>435</v>
      </c>
      <c r="D1646" s="288">
        <v>0.09</v>
      </c>
      <c r="E1646" s="394"/>
      <c r="F1646" s="394"/>
      <c r="G1646" s="409">
        <f>(G1627+G1641+G1642+G1643)*D1646</f>
        <v>2088.0066933846674</v>
      </c>
    </row>
    <row r="1647" spans="2:7" ht="14.25">
      <c r="B1647" s="406"/>
      <c r="C1647" s="394" t="s">
        <v>357</v>
      </c>
      <c r="D1647" s="397"/>
      <c r="E1647" s="394"/>
      <c r="F1647" s="394"/>
      <c r="G1647" s="409">
        <f>G1627++G1641+G1646+G1642+G1643</f>
        <v>25288.081064325415</v>
      </c>
    </row>
    <row r="1648" spans="2:7" ht="14.25">
      <c r="B1648" s="393" t="s">
        <v>341</v>
      </c>
      <c r="C1648" s="394" t="s">
        <v>342</v>
      </c>
      <c r="D1648" s="153">
        <v>0.03</v>
      </c>
      <c r="E1648" s="394"/>
      <c r="F1648" s="394"/>
      <c r="G1648" s="409">
        <f>G1647*D1648</f>
        <v>758.6424319297624</v>
      </c>
    </row>
    <row r="1649" spans="2:7" ht="14.25">
      <c r="B1649" s="406"/>
      <c r="C1649" s="397"/>
      <c r="D1649" s="397"/>
      <c r="E1649" s="397"/>
      <c r="F1649" s="397"/>
      <c r="G1649" s="412">
        <f>SUM(G1647:G1648)</f>
        <v>26046.723496255177</v>
      </c>
    </row>
    <row r="1651" spans="2:8" ht="14.25">
      <c r="B1651" s="308" t="s">
        <v>317</v>
      </c>
      <c r="C1651" s="308"/>
      <c r="D1651" s="308"/>
      <c r="E1651" s="308"/>
      <c r="F1651" s="308"/>
      <c r="G1651" s="308"/>
      <c r="H1651" s="308"/>
    </row>
    <row r="1652" spans="2:8" ht="14.25">
      <c r="B1652" s="309" t="s">
        <v>599</v>
      </c>
      <c r="C1652" s="309"/>
      <c r="D1652" s="309"/>
      <c r="E1652" s="309"/>
      <c r="F1652" s="309"/>
      <c r="G1652" s="309"/>
      <c r="H1652" s="309"/>
    </row>
    <row r="1653" spans="2:8" ht="14.25">
      <c r="B1653" s="367" t="s">
        <v>600</v>
      </c>
      <c r="C1653" s="367"/>
      <c r="D1653" s="367"/>
      <c r="E1653" s="367"/>
      <c r="F1653" s="310"/>
      <c r="G1653" s="311" t="s">
        <v>588</v>
      </c>
      <c r="H1653" s="311"/>
    </row>
    <row r="1654" spans="2:8" ht="14.25">
      <c r="B1654" s="368" t="s">
        <v>360</v>
      </c>
      <c r="C1654" s="369"/>
      <c r="D1654" s="369"/>
      <c r="E1654" s="369"/>
      <c r="F1654" s="369"/>
      <c r="G1654" s="369"/>
      <c r="H1654" s="370"/>
    </row>
    <row r="1655" spans="2:8" ht="14.25">
      <c r="B1655" s="371" t="s">
        <v>31</v>
      </c>
      <c r="C1655" s="372" t="s">
        <v>190</v>
      </c>
      <c r="D1655" s="372" t="s">
        <v>33</v>
      </c>
      <c r="E1655" s="373" t="s">
        <v>34</v>
      </c>
      <c r="F1655" s="373" t="s">
        <v>543</v>
      </c>
      <c r="G1655" s="373" t="s">
        <v>544</v>
      </c>
      <c r="H1655" s="373" t="s">
        <v>37</v>
      </c>
    </row>
    <row r="1656" spans="2:8" ht="14.25">
      <c r="B1656" s="374" t="s">
        <v>16</v>
      </c>
      <c r="C1656" s="296" t="s">
        <v>328</v>
      </c>
      <c r="D1656" s="296"/>
      <c r="E1656" s="375"/>
      <c r="F1656" s="375"/>
      <c r="G1656" s="375">
        <f>G1657+G1669+G1670</f>
        <v>12506.704287258717</v>
      </c>
      <c r="H1656" s="296"/>
    </row>
    <row r="1657" spans="2:8" ht="14.25">
      <c r="B1657" s="374" t="s">
        <v>39</v>
      </c>
      <c r="C1657" s="296" t="s">
        <v>511</v>
      </c>
      <c r="D1657" s="296"/>
      <c r="E1657" s="375"/>
      <c r="F1657" s="375"/>
      <c r="G1657" s="375">
        <f>G1658+G1661+G1665+G1668</f>
        <v>11933.878136697249</v>
      </c>
      <c r="H1657" s="296"/>
    </row>
    <row r="1658" spans="2:8" ht="14.25">
      <c r="B1658" s="374">
        <v>1</v>
      </c>
      <c r="C1658" s="296" t="s">
        <v>329</v>
      </c>
      <c r="D1658" s="376" t="s">
        <v>163</v>
      </c>
      <c r="E1658" s="375"/>
      <c r="F1658" s="375"/>
      <c r="G1658" s="375">
        <f>G1659+G1660</f>
        <v>2199.5739999999996</v>
      </c>
      <c r="H1658" s="296"/>
    </row>
    <row r="1659" spans="2:8" ht="14.25">
      <c r="B1659" s="374"/>
      <c r="C1659" s="296" t="s">
        <v>351</v>
      </c>
      <c r="D1659" s="376" t="s">
        <v>163</v>
      </c>
      <c r="E1659" s="372">
        <f>197.5-4*13.4</f>
        <v>143.9</v>
      </c>
      <c r="F1659" s="375">
        <v>8.1</v>
      </c>
      <c r="G1659" s="375">
        <f>E1659*F1659</f>
        <v>1165.59</v>
      </c>
      <c r="H1659" s="296"/>
    </row>
    <row r="1660" spans="2:8" ht="14.25">
      <c r="B1660" s="374"/>
      <c r="C1660" s="296" t="s">
        <v>330</v>
      </c>
      <c r="D1660" s="376" t="s">
        <v>163</v>
      </c>
      <c r="E1660" s="372">
        <f>260-4*20.2</f>
        <v>179.2</v>
      </c>
      <c r="F1660" s="375">
        <v>5.77</v>
      </c>
      <c r="G1660" s="375">
        <f>E1660*F1660</f>
        <v>1033.984</v>
      </c>
      <c r="H1660" s="296"/>
    </row>
    <row r="1661" spans="2:8" ht="14.25">
      <c r="B1661" s="374">
        <v>2</v>
      </c>
      <c r="C1661" s="296" t="s">
        <v>373</v>
      </c>
      <c r="D1661" s="296"/>
      <c r="E1661" s="375"/>
      <c r="F1661" s="375"/>
      <c r="G1661" s="375">
        <f>SUM(G1662:G1664)</f>
        <v>9144</v>
      </c>
      <c r="H1661" s="296"/>
    </row>
    <row r="1662" spans="2:8" ht="14.25">
      <c r="B1662" s="374"/>
      <c r="C1662" s="372" t="s">
        <v>530</v>
      </c>
      <c r="D1662" s="377" t="s">
        <v>589</v>
      </c>
      <c r="E1662" s="372">
        <f>179-4*13</f>
        <v>127</v>
      </c>
      <c r="F1662" s="375">
        <v>48</v>
      </c>
      <c r="G1662" s="375">
        <f>F1662*E1662</f>
        <v>6096</v>
      </c>
      <c r="H1662" s="296"/>
    </row>
    <row r="1663" spans="2:8" ht="14.25">
      <c r="B1663" s="374"/>
      <c r="C1663" s="372"/>
      <c r="D1663" s="377"/>
      <c r="E1663" s="372"/>
      <c r="F1663" s="375"/>
      <c r="G1663" s="375"/>
      <c r="H1663" s="296"/>
    </row>
    <row r="1664" spans="2:8" ht="14.25">
      <c r="B1664" s="374"/>
      <c r="C1664" s="296" t="s">
        <v>404</v>
      </c>
      <c r="D1664" s="296" t="s">
        <v>332</v>
      </c>
      <c r="E1664" s="375">
        <v>0.5</v>
      </c>
      <c r="F1664" s="375"/>
      <c r="G1664" s="375">
        <f>SUM(G1662:G1662)*E1664</f>
        <v>3048</v>
      </c>
      <c r="H1664" s="296"/>
    </row>
    <row r="1665" spans="2:8" ht="14.25">
      <c r="B1665" s="374">
        <v>3</v>
      </c>
      <c r="C1665" s="296" t="s">
        <v>352</v>
      </c>
      <c r="D1665" s="296"/>
      <c r="E1665" s="375"/>
      <c r="F1665" s="375"/>
      <c r="G1665" s="375">
        <f>SUM(G1666:G1667)</f>
        <v>590.3041366972476</v>
      </c>
      <c r="H1665" s="296"/>
    </row>
    <row r="1666" spans="2:8" ht="14.25">
      <c r="B1666" s="374"/>
      <c r="C1666" s="296" t="s">
        <v>532</v>
      </c>
      <c r="D1666" s="296" t="s">
        <v>335</v>
      </c>
      <c r="E1666" s="375">
        <f>9.2</f>
        <v>9.2</v>
      </c>
      <c r="F1666" s="375">
        <f>'机械台班'!H18</f>
        <v>63.52821100917431</v>
      </c>
      <c r="G1666" s="375">
        <f>E1666*F1666</f>
        <v>584.4595412844036</v>
      </c>
      <c r="H1666" s="296"/>
    </row>
    <row r="1667" spans="2:8" ht="14.25">
      <c r="B1667" s="374"/>
      <c r="C1667" s="296" t="s">
        <v>370</v>
      </c>
      <c r="D1667" s="296" t="s">
        <v>332</v>
      </c>
      <c r="E1667" s="375">
        <v>1</v>
      </c>
      <c r="F1667" s="375">
        <f>G1666</f>
        <v>584.4595412844036</v>
      </c>
      <c r="G1667" s="375">
        <f>F1667*E1667/100</f>
        <v>5.844595412844036</v>
      </c>
      <c r="H1667" s="378"/>
    </row>
    <row r="1668" spans="2:8" ht="14.25">
      <c r="B1668" s="374">
        <v>4</v>
      </c>
      <c r="C1668" s="296" t="s">
        <v>456</v>
      </c>
      <c r="D1668" s="378"/>
      <c r="E1668" s="379"/>
      <c r="F1668" s="379"/>
      <c r="G1668" s="375"/>
      <c r="H1668" s="378"/>
    </row>
    <row r="1669" spans="2:8" ht="14.25">
      <c r="B1669" s="374" t="s">
        <v>63</v>
      </c>
      <c r="C1669" s="296" t="s">
        <v>512</v>
      </c>
      <c r="D1669" s="380" t="s">
        <v>590</v>
      </c>
      <c r="E1669" s="381"/>
      <c r="F1669" s="375"/>
      <c r="G1669" s="375">
        <f>D1669*G1657</f>
        <v>572.826150561468</v>
      </c>
      <c r="H1669" s="378"/>
    </row>
    <row r="1670" spans="2:8" ht="14.25">
      <c r="B1670" s="374" t="s">
        <v>355</v>
      </c>
      <c r="C1670" s="296" t="s">
        <v>356</v>
      </c>
      <c r="D1670" s="380"/>
      <c r="E1670" s="381"/>
      <c r="F1670" s="375"/>
      <c r="G1670" s="375"/>
      <c r="H1670" s="378"/>
    </row>
    <row r="1671" spans="2:8" ht="14.25">
      <c r="B1671" s="374" t="s">
        <v>18</v>
      </c>
      <c r="C1671" s="296" t="s">
        <v>337</v>
      </c>
      <c r="D1671" s="284">
        <v>0.08</v>
      </c>
      <c r="E1671" s="381"/>
      <c r="F1671" s="375"/>
      <c r="G1671" s="375">
        <f>D1671*G1656</f>
        <v>1000.5363429806974</v>
      </c>
      <c r="H1671" s="378"/>
    </row>
    <row r="1672" spans="2:8" ht="14.25">
      <c r="B1672" s="374" t="s">
        <v>20</v>
      </c>
      <c r="C1672" s="296" t="s">
        <v>501</v>
      </c>
      <c r="D1672" s="380" t="s">
        <v>591</v>
      </c>
      <c r="E1672" s="381"/>
      <c r="F1672" s="375"/>
      <c r="G1672" s="375">
        <f>(G1656+G1671)*D1672</f>
        <v>945.5068441167591</v>
      </c>
      <c r="H1672" s="378"/>
    </row>
    <row r="1673" spans="2:8" ht="14.25">
      <c r="B1673" s="374" t="s">
        <v>22</v>
      </c>
      <c r="C1673" s="296" t="s">
        <v>339</v>
      </c>
      <c r="D1673" s="382"/>
      <c r="E1673" s="375"/>
      <c r="F1673" s="375"/>
      <c r="G1673" s="375">
        <f>SUM(G1674:G1675)</f>
        <v>1063.4836056310671</v>
      </c>
      <c r="H1673" s="378"/>
    </row>
    <row r="1674" spans="2:8" ht="14.25">
      <c r="B1674" s="374"/>
      <c r="C1674" s="296" t="s">
        <v>530</v>
      </c>
      <c r="D1674" s="296" t="s">
        <v>546</v>
      </c>
      <c r="E1674" s="375">
        <f>E1662</f>
        <v>127</v>
      </c>
      <c r="F1674" s="375">
        <f>'单价分析'!L9-70</f>
        <v>8.098611067961158</v>
      </c>
      <c r="G1674" s="375">
        <f>E1674*F1674</f>
        <v>1028.523605631067</v>
      </c>
      <c r="H1674" s="378"/>
    </row>
    <row r="1675" spans="2:8" ht="14.25">
      <c r="B1675" s="374"/>
      <c r="C1675" s="296" t="s">
        <v>304</v>
      </c>
      <c r="D1675" s="296" t="s">
        <v>546</v>
      </c>
      <c r="E1675" s="375">
        <f>E1666</f>
        <v>9.2</v>
      </c>
      <c r="F1675" s="375">
        <f>'单价分析'!E14-2.99</f>
        <v>3.8</v>
      </c>
      <c r="G1675" s="375">
        <f>F1675*E1675</f>
        <v>34.959999999999994</v>
      </c>
      <c r="H1675" s="378"/>
    </row>
    <row r="1676" spans="2:8" ht="14.25">
      <c r="B1676" s="374" t="s">
        <v>24</v>
      </c>
      <c r="C1676" s="296" t="s">
        <v>340</v>
      </c>
      <c r="D1676" s="288">
        <v>0.09</v>
      </c>
      <c r="E1676" s="375"/>
      <c r="F1676" s="375"/>
      <c r="G1676" s="375">
        <f>(G1656+G1671+G1672+G1673)*D1676</f>
        <v>1396.4607971988514</v>
      </c>
      <c r="H1676" s="378"/>
    </row>
    <row r="1677" spans="2:8" ht="14.25">
      <c r="B1677" s="383"/>
      <c r="C1677" s="296" t="s">
        <v>36</v>
      </c>
      <c r="D1677" s="296"/>
      <c r="E1677" s="375"/>
      <c r="F1677" s="375"/>
      <c r="G1677" s="375">
        <f>G1676+G1673+G1672+G1671+G1656</f>
        <v>16912.69187718609</v>
      </c>
      <c r="H1677" s="378"/>
    </row>
    <row r="1678" spans="2:8" ht="14.25">
      <c r="B1678" s="374" t="s">
        <v>341</v>
      </c>
      <c r="C1678" s="296" t="s">
        <v>342</v>
      </c>
      <c r="D1678" s="230">
        <v>0.03</v>
      </c>
      <c r="E1678" s="384"/>
      <c r="F1678" s="385"/>
      <c r="G1678" s="375">
        <f>G1677*D1678</f>
        <v>507.3807563155827</v>
      </c>
      <c r="H1678" s="378"/>
    </row>
    <row r="1679" spans="2:8" ht="14.25">
      <c r="B1679" s="383"/>
      <c r="C1679" s="296" t="s">
        <v>343</v>
      </c>
      <c r="D1679" s="378"/>
      <c r="E1679" s="386"/>
      <c r="F1679" s="379"/>
      <c r="G1679" s="375">
        <f>SUM(G1677:G1678)</f>
        <v>17420.072633501673</v>
      </c>
      <c r="H1679" s="378"/>
    </row>
    <row r="1681" spans="2:16" ht="20.25">
      <c r="B1681" s="138" t="s">
        <v>317</v>
      </c>
      <c r="C1681" s="138"/>
      <c r="D1681" s="138"/>
      <c r="E1681" s="138"/>
      <c r="F1681" s="138"/>
      <c r="G1681" s="138"/>
      <c r="H1681" s="138"/>
      <c r="J1681" s="138" t="s">
        <v>317</v>
      </c>
      <c r="K1681" s="138"/>
      <c r="L1681" s="138"/>
      <c r="M1681" s="138"/>
      <c r="N1681" s="138"/>
      <c r="O1681" s="138"/>
      <c r="P1681" s="138"/>
    </row>
    <row r="1682" spans="2:16" ht="14.25">
      <c r="B1682" s="139" t="s">
        <v>601</v>
      </c>
      <c r="C1682" s="139"/>
      <c r="D1682" s="139"/>
      <c r="E1682" s="139"/>
      <c r="F1682" s="139"/>
      <c r="G1682" s="139"/>
      <c r="H1682" s="139"/>
      <c r="J1682" s="139" t="s">
        <v>602</v>
      </c>
      <c r="K1682" s="139"/>
      <c r="L1682" s="139"/>
      <c r="M1682" s="139"/>
      <c r="N1682" s="139"/>
      <c r="O1682" s="139"/>
      <c r="P1682" s="139"/>
    </row>
    <row r="1683" spans="2:16" ht="14.25">
      <c r="B1683" s="140" t="s">
        <v>603</v>
      </c>
      <c r="C1683" s="140"/>
      <c r="D1683" s="140"/>
      <c r="E1683" s="140"/>
      <c r="F1683" s="192"/>
      <c r="G1683" s="413" t="s">
        <v>604</v>
      </c>
      <c r="H1683" s="413"/>
      <c r="J1683" s="140" t="s">
        <v>605</v>
      </c>
      <c r="K1683" s="140"/>
      <c r="L1683" s="140"/>
      <c r="M1683" s="140"/>
      <c r="N1683" s="192"/>
      <c r="O1683" s="413" t="s">
        <v>604</v>
      </c>
      <c r="P1683" s="413"/>
    </row>
    <row r="1684" spans="2:16" ht="14.25">
      <c r="B1684" s="142" t="s">
        <v>606</v>
      </c>
      <c r="C1684" s="143"/>
      <c r="D1684" s="143"/>
      <c r="E1684" s="143"/>
      <c r="F1684" s="143"/>
      <c r="G1684" s="143"/>
      <c r="H1684" s="160"/>
      <c r="J1684" s="142" t="s">
        <v>606</v>
      </c>
      <c r="K1684" s="143"/>
      <c r="L1684" s="143"/>
      <c r="M1684" s="143"/>
      <c r="N1684" s="143"/>
      <c r="O1684" s="143"/>
      <c r="P1684" s="160"/>
    </row>
    <row r="1685" spans="2:16" ht="25.5">
      <c r="B1685" s="145" t="s">
        <v>31</v>
      </c>
      <c r="C1685" s="146" t="s">
        <v>322</v>
      </c>
      <c r="D1685" s="146" t="s">
        <v>102</v>
      </c>
      <c r="E1685" s="147" t="s">
        <v>394</v>
      </c>
      <c r="F1685" s="148" t="s">
        <v>325</v>
      </c>
      <c r="G1685" s="148" t="s">
        <v>326</v>
      </c>
      <c r="H1685" s="146" t="s">
        <v>37</v>
      </c>
      <c r="J1685" s="145" t="s">
        <v>31</v>
      </c>
      <c r="K1685" s="146" t="s">
        <v>322</v>
      </c>
      <c r="L1685" s="146" t="s">
        <v>102</v>
      </c>
      <c r="M1685" s="147" t="s">
        <v>394</v>
      </c>
      <c r="N1685" s="148" t="s">
        <v>325</v>
      </c>
      <c r="O1685" s="148" t="s">
        <v>326</v>
      </c>
      <c r="P1685" s="146" t="s">
        <v>37</v>
      </c>
    </row>
    <row r="1686" spans="2:16" ht="14.25">
      <c r="B1686" s="145" t="s">
        <v>16</v>
      </c>
      <c r="C1686" s="146" t="s">
        <v>327</v>
      </c>
      <c r="D1686" s="146"/>
      <c r="E1686" s="147"/>
      <c r="F1686" s="147"/>
      <c r="G1686" s="147">
        <f>G1687+G1701+G1702</f>
        <v>286.5227751000513</v>
      </c>
      <c r="H1686" s="146"/>
      <c r="J1686" s="145" t="s">
        <v>16</v>
      </c>
      <c r="K1686" s="146" t="s">
        <v>327</v>
      </c>
      <c r="L1686" s="146"/>
      <c r="M1686" s="147"/>
      <c r="N1686" s="147"/>
      <c r="O1686" s="147">
        <f>O1687+O1701+O1702</f>
        <v>398.45380222379424</v>
      </c>
      <c r="P1686" s="146"/>
    </row>
    <row r="1687" spans="2:16" ht="14.25">
      <c r="B1687" s="145" t="s">
        <v>39</v>
      </c>
      <c r="C1687" s="146" t="s">
        <v>328</v>
      </c>
      <c r="D1687" s="146"/>
      <c r="E1687" s="147"/>
      <c r="F1687" s="147"/>
      <c r="G1687" s="147">
        <f>G1688+G1691+G1697</f>
        <v>273.3995945611177</v>
      </c>
      <c r="H1687" s="146"/>
      <c r="J1687" s="145" t="s">
        <v>39</v>
      </c>
      <c r="K1687" s="146" t="s">
        <v>328</v>
      </c>
      <c r="L1687" s="146"/>
      <c r="M1687" s="147"/>
      <c r="N1687" s="147"/>
      <c r="O1687" s="147">
        <f>O1688+O1691+O1697</f>
        <v>380.20400975552883</v>
      </c>
      <c r="P1687" s="146"/>
    </row>
    <row r="1688" spans="2:16" ht="14.25">
      <c r="B1688" s="145">
        <v>1</v>
      </c>
      <c r="C1688" s="146" t="s">
        <v>329</v>
      </c>
      <c r="D1688" s="146"/>
      <c r="E1688" s="147"/>
      <c r="F1688" s="147"/>
      <c r="G1688" s="147">
        <f>SUM(G1689:G1690)</f>
        <v>117.71699999999998</v>
      </c>
      <c r="H1688" s="146"/>
      <c r="J1688" s="145">
        <v>1</v>
      </c>
      <c r="K1688" s="146" t="s">
        <v>329</v>
      </c>
      <c r="L1688" s="146"/>
      <c r="M1688" s="147"/>
      <c r="N1688" s="147"/>
      <c r="O1688" s="147">
        <f>SUM(O1689:O1690)</f>
        <v>191.26099999999997</v>
      </c>
      <c r="P1688" s="146"/>
    </row>
    <row r="1689" spans="2:16" ht="14.25">
      <c r="B1689" s="145"/>
      <c r="C1689" s="149" t="s">
        <v>351</v>
      </c>
      <c r="D1689" s="149" t="s">
        <v>163</v>
      </c>
      <c r="E1689" s="147">
        <v>10.9</v>
      </c>
      <c r="F1689" s="147">
        <f>8.1</f>
        <v>8.1</v>
      </c>
      <c r="G1689" s="147">
        <f>F1689*E1689</f>
        <v>88.28999999999999</v>
      </c>
      <c r="H1689" s="146"/>
      <c r="J1689" s="145"/>
      <c r="K1689" s="149" t="s">
        <v>351</v>
      </c>
      <c r="L1689" s="149" t="s">
        <v>163</v>
      </c>
      <c r="M1689" s="147">
        <v>17.7</v>
      </c>
      <c r="N1689" s="147">
        <f>8.1</f>
        <v>8.1</v>
      </c>
      <c r="O1689" s="147">
        <f aca="true" t="shared" si="37" ref="O1689:O1694">N1689*M1689</f>
        <v>143.36999999999998</v>
      </c>
      <c r="P1689" s="146"/>
    </row>
    <row r="1690" spans="2:16" ht="14.25">
      <c r="B1690" s="145"/>
      <c r="C1690" s="149" t="s">
        <v>330</v>
      </c>
      <c r="D1690" s="149" t="s">
        <v>163</v>
      </c>
      <c r="E1690" s="147">
        <v>5.1</v>
      </c>
      <c r="F1690" s="147">
        <v>5.77</v>
      </c>
      <c r="G1690" s="147">
        <f>F1690*E1690</f>
        <v>29.426999999999996</v>
      </c>
      <c r="H1690" s="146"/>
      <c r="J1690" s="145"/>
      <c r="K1690" s="149" t="s">
        <v>330</v>
      </c>
      <c r="L1690" s="149" t="s">
        <v>163</v>
      </c>
      <c r="M1690" s="147">
        <v>8.3</v>
      </c>
      <c r="N1690" s="147">
        <v>5.77</v>
      </c>
      <c r="O1690" s="147">
        <f t="shared" si="37"/>
        <v>47.891</v>
      </c>
      <c r="P1690" s="146"/>
    </row>
    <row r="1691" spans="2:16" ht="14.25">
      <c r="B1691" s="145">
        <v>2</v>
      </c>
      <c r="C1691" s="146" t="s">
        <v>373</v>
      </c>
      <c r="D1691" s="146"/>
      <c r="E1691" s="147"/>
      <c r="F1691" s="147"/>
      <c r="G1691" s="147">
        <f>SUM(G1692:G1696)</f>
        <v>117.72101924600001</v>
      </c>
      <c r="H1691" s="146"/>
      <c r="J1691" s="145">
        <v>2</v>
      </c>
      <c r="K1691" s="146" t="s">
        <v>373</v>
      </c>
      <c r="L1691" s="146"/>
      <c r="M1691" s="147"/>
      <c r="N1691" s="147"/>
      <c r="O1691" s="147">
        <f>SUM(O1692:O1696)</f>
        <v>130.6916269444</v>
      </c>
      <c r="P1691" s="146"/>
    </row>
    <row r="1692" spans="2:16" ht="14.25">
      <c r="B1692" s="145"/>
      <c r="C1692" s="146" t="s">
        <v>607</v>
      </c>
      <c r="D1692" s="146" t="s">
        <v>307</v>
      </c>
      <c r="E1692" s="147">
        <v>2</v>
      </c>
      <c r="F1692" s="147">
        <v>45</v>
      </c>
      <c r="G1692" s="147">
        <f>F1692*E1692</f>
        <v>90</v>
      </c>
      <c r="H1692" s="146"/>
      <c r="J1692" s="145"/>
      <c r="K1692" s="146" t="s">
        <v>607</v>
      </c>
      <c r="L1692" s="146" t="s">
        <v>307</v>
      </c>
      <c r="M1692" s="147">
        <v>2.25</v>
      </c>
      <c r="N1692" s="147">
        <f>F1692</f>
        <v>45</v>
      </c>
      <c r="O1692" s="147">
        <f t="shared" si="37"/>
        <v>101.25</v>
      </c>
      <c r="P1692" s="146"/>
    </row>
    <row r="1693" spans="2:16" ht="14.25">
      <c r="B1693" s="145"/>
      <c r="C1693" s="146" t="s">
        <v>608</v>
      </c>
      <c r="D1693" s="146" t="s">
        <v>307</v>
      </c>
      <c r="E1693" s="147">
        <v>5.6</v>
      </c>
      <c r="F1693" s="147">
        <v>4.5</v>
      </c>
      <c r="G1693" s="147">
        <f>F1693*E1693</f>
        <v>25.2</v>
      </c>
      <c r="H1693" s="146"/>
      <c r="J1693" s="145"/>
      <c r="K1693" s="146" t="s">
        <v>608</v>
      </c>
      <c r="L1693" s="146" t="s">
        <v>307</v>
      </c>
      <c r="M1693" s="147">
        <v>7.5</v>
      </c>
      <c r="N1693" s="147">
        <f>3.5</f>
        <v>3.5</v>
      </c>
      <c r="O1693" s="147">
        <f t="shared" si="37"/>
        <v>26.25</v>
      </c>
      <c r="P1693" s="146"/>
    </row>
    <row r="1694" spans="2:16" ht="14.25">
      <c r="B1694" s="145"/>
      <c r="C1694" s="146" t="s">
        <v>609</v>
      </c>
      <c r="D1694" s="146" t="s">
        <v>365</v>
      </c>
      <c r="E1694" s="147">
        <v>0.01</v>
      </c>
      <c r="F1694" s="147">
        <f>'配合'!I13</f>
        <v>135.54646</v>
      </c>
      <c r="G1694" s="147">
        <f>F1694*E1694</f>
        <v>1.3554646</v>
      </c>
      <c r="H1694" s="146"/>
      <c r="J1694" s="145"/>
      <c r="K1694" s="146" t="s">
        <v>609</v>
      </c>
      <c r="L1694" s="146" t="s">
        <v>365</v>
      </c>
      <c r="M1694" s="147">
        <v>0.014</v>
      </c>
      <c r="N1694" s="147">
        <f>F1694</f>
        <v>135.54646</v>
      </c>
      <c r="O1694" s="147">
        <f t="shared" si="37"/>
        <v>1.89765044</v>
      </c>
      <c r="P1694" s="146"/>
    </row>
    <row r="1695" spans="2:16" ht="14.25">
      <c r="B1695" s="145"/>
      <c r="C1695" s="146" t="s">
        <v>610</v>
      </c>
      <c r="D1695" s="146" t="s">
        <v>44</v>
      </c>
      <c r="E1695" s="147">
        <v>10.1</v>
      </c>
      <c r="F1695" s="147"/>
      <c r="G1695" s="147">
        <f>E1695*F1695</f>
        <v>0</v>
      </c>
      <c r="H1695" s="146"/>
      <c r="J1695" s="145"/>
      <c r="K1695" s="146" t="s">
        <v>610</v>
      </c>
      <c r="L1695" s="146" t="s">
        <v>44</v>
      </c>
      <c r="M1695" s="147">
        <v>10.1</v>
      </c>
      <c r="N1695" s="147"/>
      <c r="O1695" s="147">
        <f>M1695*N1695</f>
        <v>0</v>
      </c>
      <c r="P1695" s="146"/>
    </row>
    <row r="1696" spans="2:16" ht="14.25">
      <c r="B1696" s="145"/>
      <c r="C1696" s="146" t="s">
        <v>404</v>
      </c>
      <c r="D1696" s="146" t="s">
        <v>332</v>
      </c>
      <c r="E1696" s="147">
        <v>1</v>
      </c>
      <c r="F1696" s="147">
        <f>SUM(G1692:G1695)</f>
        <v>116.55546460000001</v>
      </c>
      <c r="G1696" s="147">
        <f>F1696*E1696/100</f>
        <v>1.1655546460000001</v>
      </c>
      <c r="H1696" s="146"/>
      <c r="J1696" s="145"/>
      <c r="K1696" s="146" t="s">
        <v>404</v>
      </c>
      <c r="L1696" s="146" t="s">
        <v>332</v>
      </c>
      <c r="M1696" s="147">
        <v>1</v>
      </c>
      <c r="N1696" s="147">
        <f>SUM(O1692:O1695)</f>
        <v>129.39765044</v>
      </c>
      <c r="O1696" s="147">
        <f>N1696*M1696/100</f>
        <v>1.2939765044</v>
      </c>
      <c r="P1696" s="146"/>
    </row>
    <row r="1697" spans="2:16" ht="14.25">
      <c r="B1697" s="145">
        <v>3</v>
      </c>
      <c r="C1697" s="146" t="s">
        <v>333</v>
      </c>
      <c r="D1697" s="146"/>
      <c r="E1697" s="147"/>
      <c r="F1697" s="147"/>
      <c r="G1697" s="147">
        <f>SUM(G1698:G1700)</f>
        <v>37.96157531511766</v>
      </c>
      <c r="H1697" s="146"/>
      <c r="J1697" s="145">
        <v>3</v>
      </c>
      <c r="K1697" s="146" t="s">
        <v>333</v>
      </c>
      <c r="L1697" s="146"/>
      <c r="M1697" s="147"/>
      <c r="N1697" s="147"/>
      <c r="O1697" s="147">
        <f>SUM(O1698:O1700)</f>
        <v>58.25138281112884</v>
      </c>
      <c r="P1697" s="146"/>
    </row>
    <row r="1698" spans="2:16" ht="14.25">
      <c r="B1698" s="145"/>
      <c r="C1698" s="146" t="s">
        <v>213</v>
      </c>
      <c r="D1698" s="146" t="s">
        <v>335</v>
      </c>
      <c r="E1698" s="147">
        <v>0.58</v>
      </c>
      <c r="F1698" s="147">
        <f>'机械台班'!AH18</f>
        <v>62.33427802153969</v>
      </c>
      <c r="G1698" s="147">
        <f>F1698*E1698</f>
        <v>36.153881252493015</v>
      </c>
      <c r="H1698" s="146"/>
      <c r="J1698" s="145"/>
      <c r="K1698" s="146" t="s">
        <v>213</v>
      </c>
      <c r="L1698" s="146" t="s">
        <v>335</v>
      </c>
      <c r="M1698" s="147">
        <v>0.89</v>
      </c>
      <c r="N1698" s="147">
        <f>F1698</f>
        <v>62.33427802153969</v>
      </c>
      <c r="O1698" s="147">
        <f>N1698*M1698</f>
        <v>55.477507439170324</v>
      </c>
      <c r="P1698" s="146"/>
    </row>
    <row r="1699" spans="2:16" ht="14.25">
      <c r="B1699" s="145"/>
      <c r="C1699" s="146"/>
      <c r="D1699" s="146"/>
      <c r="E1699" s="147"/>
      <c r="F1699" s="147"/>
      <c r="G1699" s="147"/>
      <c r="H1699" s="146"/>
      <c r="J1699" s="145"/>
      <c r="K1699" s="146"/>
      <c r="L1699" s="146"/>
      <c r="M1699" s="147"/>
      <c r="N1699" s="147"/>
      <c r="O1699" s="147"/>
      <c r="P1699" s="146"/>
    </row>
    <row r="1700" spans="2:16" ht="14.25">
      <c r="B1700" s="145"/>
      <c r="C1700" s="146" t="s">
        <v>370</v>
      </c>
      <c r="D1700" s="146" t="s">
        <v>332</v>
      </c>
      <c r="E1700" s="147">
        <v>5</v>
      </c>
      <c r="F1700" s="147">
        <f>SUM(G1698:G1698)</f>
        <v>36.153881252493015</v>
      </c>
      <c r="G1700" s="147">
        <f>F1700*E1700/100</f>
        <v>1.807694062624651</v>
      </c>
      <c r="H1700" s="194"/>
      <c r="J1700" s="145"/>
      <c r="K1700" s="146" t="s">
        <v>370</v>
      </c>
      <c r="L1700" s="146" t="s">
        <v>332</v>
      </c>
      <c r="M1700" s="147">
        <v>5</v>
      </c>
      <c r="N1700" s="147">
        <f>SUM(O1698:O1698)</f>
        <v>55.477507439170324</v>
      </c>
      <c r="O1700" s="147">
        <f>N1700*M1700/100</f>
        <v>2.7738753719585163</v>
      </c>
      <c r="P1700" s="194"/>
    </row>
    <row r="1701" spans="2:16" ht="14.25">
      <c r="B1701" s="145" t="s">
        <v>63</v>
      </c>
      <c r="C1701" s="146" t="s">
        <v>336</v>
      </c>
      <c r="D1701" s="162">
        <v>0.048</v>
      </c>
      <c r="E1701" s="147"/>
      <c r="F1701" s="147"/>
      <c r="G1701" s="147">
        <f>G1687*D1701</f>
        <v>13.12318053893365</v>
      </c>
      <c r="H1701" s="146"/>
      <c r="J1701" s="145" t="s">
        <v>63</v>
      </c>
      <c r="K1701" s="146" t="s">
        <v>336</v>
      </c>
      <c r="L1701" s="162">
        <v>0.048</v>
      </c>
      <c r="M1701" s="147"/>
      <c r="N1701" s="147"/>
      <c r="O1701" s="147">
        <f>O1687*L1701</f>
        <v>18.249792468265383</v>
      </c>
      <c r="P1701" s="146"/>
    </row>
    <row r="1702" spans="2:16" ht="14.25">
      <c r="B1702" s="145" t="s">
        <v>355</v>
      </c>
      <c r="C1702" s="146" t="s">
        <v>356</v>
      </c>
      <c r="D1702" s="162"/>
      <c r="E1702" s="147"/>
      <c r="F1702" s="147"/>
      <c r="G1702" s="147">
        <f>G1687*D1702</f>
        <v>0</v>
      </c>
      <c r="H1702" s="146"/>
      <c r="J1702" s="145" t="s">
        <v>355</v>
      </c>
      <c r="K1702" s="146" t="s">
        <v>356</v>
      </c>
      <c r="L1702" s="162"/>
      <c r="M1702" s="147"/>
      <c r="N1702" s="147"/>
      <c r="O1702" s="147">
        <f>O1687*L1702</f>
        <v>0</v>
      </c>
      <c r="P1702" s="146"/>
    </row>
    <row r="1703" spans="2:16" ht="14.25">
      <c r="B1703" s="145" t="s">
        <v>18</v>
      </c>
      <c r="C1703" s="146" t="s">
        <v>337</v>
      </c>
      <c r="D1703" s="198">
        <v>0.083</v>
      </c>
      <c r="E1703" s="147"/>
      <c r="F1703" s="147"/>
      <c r="G1703" s="147">
        <f>G1686*D1703</f>
        <v>23.781390333304262</v>
      </c>
      <c r="H1703" s="146"/>
      <c r="J1703" s="145" t="s">
        <v>18</v>
      </c>
      <c r="K1703" s="146" t="s">
        <v>337</v>
      </c>
      <c r="L1703" s="198">
        <v>0.083</v>
      </c>
      <c r="M1703" s="147"/>
      <c r="N1703" s="147"/>
      <c r="O1703" s="147">
        <f>O1686*L1703</f>
        <v>33.07166558457492</v>
      </c>
      <c r="P1703" s="146"/>
    </row>
    <row r="1704" spans="2:16" ht="14.25">
      <c r="B1704" s="145" t="s">
        <v>20</v>
      </c>
      <c r="C1704" s="146" t="s">
        <v>338</v>
      </c>
      <c r="D1704" s="162">
        <v>0.07</v>
      </c>
      <c r="E1704" s="147"/>
      <c r="F1704" s="147"/>
      <c r="G1704" s="147">
        <f>(G1686+G1703)*D1704</f>
        <v>21.721291580334892</v>
      </c>
      <c r="H1704" s="146"/>
      <c r="J1704" s="145" t="s">
        <v>20</v>
      </c>
      <c r="K1704" s="146" t="s">
        <v>338</v>
      </c>
      <c r="L1704" s="162">
        <v>0.07</v>
      </c>
      <c r="M1704" s="147"/>
      <c r="N1704" s="147"/>
      <c r="O1704" s="147">
        <f>(O1686+O1703)*L1704</f>
        <v>30.206782746585844</v>
      </c>
      <c r="P1704" s="146"/>
    </row>
    <row r="1705" spans="2:16" ht="14.25">
      <c r="B1705" s="250" t="s">
        <v>22</v>
      </c>
      <c r="C1705" s="251" t="s">
        <v>339</v>
      </c>
      <c r="D1705" s="162"/>
      <c r="E1705" s="147"/>
      <c r="F1705" s="147"/>
      <c r="G1705" s="147">
        <f>G1706+G1707</f>
        <v>2047.10502</v>
      </c>
      <c r="H1705" s="146"/>
      <c r="J1705" s="250" t="s">
        <v>22</v>
      </c>
      <c r="K1705" s="251" t="s">
        <v>339</v>
      </c>
      <c r="L1705" s="162"/>
      <c r="M1705" s="147"/>
      <c r="N1705" s="147"/>
      <c r="O1705" s="147">
        <f>O1706+O1707</f>
        <v>3187.39391</v>
      </c>
      <c r="P1705" s="146"/>
    </row>
    <row r="1706" spans="2:16" ht="14.25">
      <c r="B1706" s="145"/>
      <c r="C1706" s="251" t="s">
        <v>303</v>
      </c>
      <c r="D1706" s="252" t="s">
        <v>307</v>
      </c>
      <c r="E1706" s="147">
        <f>E1698*'机械台班'!AH13</f>
        <v>3.364</v>
      </c>
      <c r="F1706" s="147">
        <f>'单价分析'!L13-3.075</f>
        <v>5.055000000000001</v>
      </c>
      <c r="G1706" s="147">
        <f>E1706*F1706</f>
        <v>17.005020000000002</v>
      </c>
      <c r="H1706" s="146"/>
      <c r="J1706" s="145"/>
      <c r="K1706" s="251" t="s">
        <v>303</v>
      </c>
      <c r="L1706" s="252" t="s">
        <v>307</v>
      </c>
      <c r="M1706" s="147">
        <f>M1698*'机械台班'!AH13</f>
        <v>5.162</v>
      </c>
      <c r="N1706" s="147">
        <f>F1706</f>
        <v>5.055000000000001</v>
      </c>
      <c r="O1706" s="147">
        <f>M1706*N1706</f>
        <v>26.09391</v>
      </c>
      <c r="P1706" s="146"/>
    </row>
    <row r="1707" spans="2:16" ht="14.25">
      <c r="B1707" s="145"/>
      <c r="C1707" s="251" t="s">
        <v>611</v>
      </c>
      <c r="D1707" s="252" t="s">
        <v>44</v>
      </c>
      <c r="E1707" s="147">
        <f>E1695</f>
        <v>10.1</v>
      </c>
      <c r="F1707" s="147">
        <f>201</f>
        <v>201</v>
      </c>
      <c r="G1707" s="147">
        <f>E1707*F1707</f>
        <v>2030.1</v>
      </c>
      <c r="H1707" s="146"/>
      <c r="J1707" s="145"/>
      <c r="K1707" s="251" t="s">
        <v>612</v>
      </c>
      <c r="L1707" s="252" t="s">
        <v>44</v>
      </c>
      <c r="M1707" s="147">
        <f>M1695</f>
        <v>10.1</v>
      </c>
      <c r="N1707" s="147">
        <f>313</f>
        <v>313</v>
      </c>
      <c r="O1707" s="147">
        <f>M1707*N1707</f>
        <v>3161.2999999999997</v>
      </c>
      <c r="P1707" s="146"/>
    </row>
    <row r="1708" spans="2:16" ht="14.25">
      <c r="B1708" s="145" t="s">
        <v>24</v>
      </c>
      <c r="C1708" s="146" t="s">
        <v>435</v>
      </c>
      <c r="D1708" s="152">
        <v>0.09</v>
      </c>
      <c r="E1708" s="147"/>
      <c r="F1708" s="147"/>
      <c r="G1708" s="147">
        <f>(G1686+G1703+G1704+G1705)*D1708</f>
        <v>214.12174293123212</v>
      </c>
      <c r="H1708" s="146"/>
      <c r="J1708" s="145" t="s">
        <v>24</v>
      </c>
      <c r="K1708" s="146" t="s">
        <v>435</v>
      </c>
      <c r="L1708" s="152">
        <v>0.09</v>
      </c>
      <c r="M1708" s="147"/>
      <c r="N1708" s="147"/>
      <c r="O1708" s="147">
        <f>(O1686+O1703+O1704+O1705)*L1708</f>
        <v>328.4213544499459</v>
      </c>
      <c r="P1708" s="146"/>
    </row>
    <row r="1709" spans="2:16" ht="14.25">
      <c r="B1709" s="195"/>
      <c r="C1709" s="146" t="s">
        <v>357</v>
      </c>
      <c r="D1709" s="146"/>
      <c r="E1709" s="147"/>
      <c r="F1709" s="147"/>
      <c r="G1709" s="147">
        <f>(G1686+G1703+G1708+G1704+G1705)</f>
        <v>2593.2522199449227</v>
      </c>
      <c r="H1709" s="194"/>
      <c r="J1709" s="195"/>
      <c r="K1709" s="146" t="s">
        <v>357</v>
      </c>
      <c r="L1709" s="146"/>
      <c r="M1709" s="147"/>
      <c r="N1709" s="147"/>
      <c r="O1709" s="147">
        <f>(O1686+O1703+O1708+O1704+O1705)</f>
        <v>3977.5475150049006</v>
      </c>
      <c r="P1709" s="194"/>
    </row>
    <row r="1710" spans="2:16" ht="14.25">
      <c r="B1710" s="145" t="s">
        <v>341</v>
      </c>
      <c r="C1710" s="146" t="s">
        <v>342</v>
      </c>
      <c r="D1710" s="230">
        <v>0.03</v>
      </c>
      <c r="E1710" s="147"/>
      <c r="F1710" s="147"/>
      <c r="G1710" s="147">
        <f>G1709*D1710</f>
        <v>77.79756659834767</v>
      </c>
      <c r="H1710" s="194"/>
      <c r="J1710" s="145" t="s">
        <v>341</v>
      </c>
      <c r="K1710" s="146" t="s">
        <v>342</v>
      </c>
      <c r="L1710" s="230">
        <v>0.03</v>
      </c>
      <c r="M1710" s="147"/>
      <c r="N1710" s="147"/>
      <c r="O1710" s="147">
        <f>O1709*L1710</f>
        <v>119.32642545014701</v>
      </c>
      <c r="P1710" s="194"/>
    </row>
    <row r="1711" spans="2:16" ht="14.25">
      <c r="B1711" s="195"/>
      <c r="C1711" s="146" t="s">
        <v>343</v>
      </c>
      <c r="D1711" s="194"/>
      <c r="E1711" s="196"/>
      <c r="F1711" s="196"/>
      <c r="G1711" s="147">
        <f>SUM(G1709:G1710)</f>
        <v>2671.0497865432703</v>
      </c>
      <c r="H1711" s="194"/>
      <c r="J1711" s="195"/>
      <c r="K1711" s="146" t="s">
        <v>343</v>
      </c>
      <c r="L1711" s="194"/>
      <c r="M1711" s="196"/>
      <c r="N1711" s="196"/>
      <c r="O1711" s="147">
        <f>SUM(O1709:O1710)</f>
        <v>4096.873940455048</v>
      </c>
      <c r="P1711" s="194"/>
    </row>
  </sheetData>
  <sheetProtection/>
  <mergeCells count="317">
    <mergeCell ref="B1:H1"/>
    <mergeCell ref="B2:H2"/>
    <mergeCell ref="B3:E3"/>
    <mergeCell ref="G3:H3"/>
    <mergeCell ref="B4:H4"/>
    <mergeCell ref="B28:H28"/>
    <mergeCell ref="J28:P28"/>
    <mergeCell ref="B29:H29"/>
    <mergeCell ref="J29:P29"/>
    <mergeCell ref="B30:E30"/>
    <mergeCell ref="G30:H30"/>
    <mergeCell ref="J30:M30"/>
    <mergeCell ref="O30:P30"/>
    <mergeCell ref="B31:H31"/>
    <mergeCell ref="J31:P31"/>
    <mergeCell ref="B54:H54"/>
    <mergeCell ref="B57:H57"/>
    <mergeCell ref="B82:H82"/>
    <mergeCell ref="J82:O82"/>
    <mergeCell ref="B83:H83"/>
    <mergeCell ref="J83:M83"/>
    <mergeCell ref="B84:E84"/>
    <mergeCell ref="G84:H84"/>
    <mergeCell ref="J84:O84"/>
    <mergeCell ref="B85:H85"/>
    <mergeCell ref="B112:H112"/>
    <mergeCell ref="B113:H113"/>
    <mergeCell ref="B114:E114"/>
    <mergeCell ref="G114:H114"/>
    <mergeCell ref="B115:H115"/>
    <mergeCell ref="B134:H134"/>
    <mergeCell ref="J134:P134"/>
    <mergeCell ref="R134:X134"/>
    <mergeCell ref="B135:H135"/>
    <mergeCell ref="J135:P135"/>
    <mergeCell ref="R135:X135"/>
    <mergeCell ref="B136:E136"/>
    <mergeCell ref="G136:H136"/>
    <mergeCell ref="J136:M136"/>
    <mergeCell ref="O136:P136"/>
    <mergeCell ref="R136:U136"/>
    <mergeCell ref="W136:X136"/>
    <mergeCell ref="B137:H137"/>
    <mergeCell ref="J137:P137"/>
    <mergeCell ref="R137:X137"/>
    <mergeCell ref="B162:H162"/>
    <mergeCell ref="J162:P162"/>
    <mergeCell ref="B163:H163"/>
    <mergeCell ref="J163:P163"/>
    <mergeCell ref="B164:E164"/>
    <mergeCell ref="G164:H164"/>
    <mergeCell ref="J164:M164"/>
    <mergeCell ref="O164:P164"/>
    <mergeCell ref="B165:H165"/>
    <mergeCell ref="J165:P165"/>
    <mergeCell ref="B192:H192"/>
    <mergeCell ref="B195:H195"/>
    <mergeCell ref="B232:H232"/>
    <mergeCell ref="B233:H233"/>
    <mergeCell ref="B234:E234"/>
    <mergeCell ref="G234:H234"/>
    <mergeCell ref="B235:H235"/>
    <mergeCell ref="B274:H274"/>
    <mergeCell ref="B275:H275"/>
    <mergeCell ref="B276:E276"/>
    <mergeCell ref="G276:H276"/>
    <mergeCell ref="B277:H277"/>
    <mergeCell ref="B321:H321"/>
    <mergeCell ref="B322:H322"/>
    <mergeCell ref="B323:E323"/>
    <mergeCell ref="G323:H323"/>
    <mergeCell ref="B324:H324"/>
    <mergeCell ref="B367:H367"/>
    <mergeCell ref="B368:H368"/>
    <mergeCell ref="B369:E369"/>
    <mergeCell ref="G369:H369"/>
    <mergeCell ref="B370:H370"/>
    <mergeCell ref="B414:H414"/>
    <mergeCell ref="B415:H415"/>
    <mergeCell ref="B416:E416"/>
    <mergeCell ref="G416:H416"/>
    <mergeCell ref="B417:H417"/>
    <mergeCell ref="B464:H464"/>
    <mergeCell ref="B465:H465"/>
    <mergeCell ref="B466:E466"/>
    <mergeCell ref="G466:H466"/>
    <mergeCell ref="B467:H467"/>
    <mergeCell ref="B497:H497"/>
    <mergeCell ref="B498:H498"/>
    <mergeCell ref="B499:E499"/>
    <mergeCell ref="G499:H499"/>
    <mergeCell ref="B500:H500"/>
    <mergeCell ref="B532:H532"/>
    <mergeCell ref="B533:H533"/>
    <mergeCell ref="B534:E534"/>
    <mergeCell ref="G534:H534"/>
    <mergeCell ref="B535:H535"/>
    <mergeCell ref="B565:H565"/>
    <mergeCell ref="B566:H566"/>
    <mergeCell ref="B567:E567"/>
    <mergeCell ref="G567:H567"/>
    <mergeCell ref="B568:H568"/>
    <mergeCell ref="B589:H589"/>
    <mergeCell ref="J589:P589"/>
    <mergeCell ref="B590:H590"/>
    <mergeCell ref="J590:P590"/>
    <mergeCell ref="B591:E591"/>
    <mergeCell ref="G591:H591"/>
    <mergeCell ref="J591:M591"/>
    <mergeCell ref="O591:P591"/>
    <mergeCell ref="B592:H592"/>
    <mergeCell ref="J592:P592"/>
    <mergeCell ref="J607:P607"/>
    <mergeCell ref="J608:P608"/>
    <mergeCell ref="J609:M609"/>
    <mergeCell ref="O609:P609"/>
    <mergeCell ref="J610:P610"/>
    <mergeCell ref="B624:H624"/>
    <mergeCell ref="B625:H625"/>
    <mergeCell ref="B626:E626"/>
    <mergeCell ref="G626:H626"/>
    <mergeCell ref="B627:H627"/>
    <mergeCell ref="B669:H669"/>
    <mergeCell ref="J669:P669"/>
    <mergeCell ref="B670:H670"/>
    <mergeCell ref="J670:P670"/>
    <mergeCell ref="B671:E671"/>
    <mergeCell ref="G671:H671"/>
    <mergeCell ref="J671:M671"/>
    <mergeCell ref="O671:P671"/>
    <mergeCell ref="B672:H672"/>
    <mergeCell ref="J672:P672"/>
    <mergeCell ref="J701:P701"/>
    <mergeCell ref="J702:P702"/>
    <mergeCell ref="J703:M703"/>
    <mergeCell ref="O703:P703"/>
    <mergeCell ref="J704:P704"/>
    <mergeCell ref="B754:H754"/>
    <mergeCell ref="B755:H755"/>
    <mergeCell ref="B756:E756"/>
    <mergeCell ref="G756:H756"/>
    <mergeCell ref="B757:H757"/>
    <mergeCell ref="B777:H777"/>
    <mergeCell ref="B778:H778"/>
    <mergeCell ref="B779:E779"/>
    <mergeCell ref="G779:H779"/>
    <mergeCell ref="B780:H780"/>
    <mergeCell ref="K798:P798"/>
    <mergeCell ref="B804:H804"/>
    <mergeCell ref="B805:H805"/>
    <mergeCell ref="B806:E806"/>
    <mergeCell ref="G806:H806"/>
    <mergeCell ref="B807:H807"/>
    <mergeCell ref="B832:H832"/>
    <mergeCell ref="J832:P832"/>
    <mergeCell ref="B833:H833"/>
    <mergeCell ref="J833:P833"/>
    <mergeCell ref="B834:E834"/>
    <mergeCell ref="G834:H834"/>
    <mergeCell ref="J834:M834"/>
    <mergeCell ref="O834:P834"/>
    <mergeCell ref="B835:H835"/>
    <mergeCell ref="J835:P835"/>
    <mergeCell ref="B871:H871"/>
    <mergeCell ref="J871:P871"/>
    <mergeCell ref="B872:H872"/>
    <mergeCell ref="J872:P872"/>
    <mergeCell ref="B873:E873"/>
    <mergeCell ref="G873:H873"/>
    <mergeCell ref="J873:M873"/>
    <mergeCell ref="O873:P873"/>
    <mergeCell ref="B874:H874"/>
    <mergeCell ref="J874:P874"/>
    <mergeCell ref="B906:H906"/>
    <mergeCell ref="J906:P906"/>
    <mergeCell ref="B907:H907"/>
    <mergeCell ref="J907:P907"/>
    <mergeCell ref="B908:E908"/>
    <mergeCell ref="G908:H908"/>
    <mergeCell ref="J908:M908"/>
    <mergeCell ref="O908:P908"/>
    <mergeCell ref="B909:H909"/>
    <mergeCell ref="J909:P909"/>
    <mergeCell ref="B940:H940"/>
    <mergeCell ref="B941:H941"/>
    <mergeCell ref="B942:E942"/>
    <mergeCell ref="G942:H942"/>
    <mergeCell ref="B943:H943"/>
    <mergeCell ref="J964:K964"/>
    <mergeCell ref="J965:K965"/>
    <mergeCell ref="B975:H975"/>
    <mergeCell ref="K975:Q975"/>
    <mergeCell ref="B976:H976"/>
    <mergeCell ref="K976:Q976"/>
    <mergeCell ref="B977:E977"/>
    <mergeCell ref="G977:H977"/>
    <mergeCell ref="K977:N977"/>
    <mergeCell ref="P977:Q977"/>
    <mergeCell ref="B978:H978"/>
    <mergeCell ref="K978:Q978"/>
    <mergeCell ref="B1013:H1013"/>
    <mergeCell ref="B1014:H1014"/>
    <mergeCell ref="B1015:E1015"/>
    <mergeCell ref="G1015:H1015"/>
    <mergeCell ref="B1016:H1016"/>
    <mergeCell ref="B1046:H1046"/>
    <mergeCell ref="B1047:H1047"/>
    <mergeCell ref="B1048:E1048"/>
    <mergeCell ref="G1048:H1048"/>
    <mergeCell ref="B1049:H1049"/>
    <mergeCell ref="B1071:H1071"/>
    <mergeCell ref="B1072:H1072"/>
    <mergeCell ref="B1073:E1073"/>
    <mergeCell ref="G1073:H1073"/>
    <mergeCell ref="B1074:H1074"/>
    <mergeCell ref="B1097:H1097"/>
    <mergeCell ref="J1097:P1097"/>
    <mergeCell ref="B1098:H1098"/>
    <mergeCell ref="J1098:P1098"/>
    <mergeCell ref="B1099:E1099"/>
    <mergeCell ref="G1099:H1099"/>
    <mergeCell ref="J1099:M1099"/>
    <mergeCell ref="O1099:P1099"/>
    <mergeCell ref="B1100:H1100"/>
    <mergeCell ref="J1100:P1100"/>
    <mergeCell ref="B1140:H1140"/>
    <mergeCell ref="B1141:H1141"/>
    <mergeCell ref="B1142:E1142"/>
    <mergeCell ref="G1142:H1142"/>
    <mergeCell ref="B1143:H1143"/>
    <mergeCell ref="B1183:H1183"/>
    <mergeCell ref="B1184:H1184"/>
    <mergeCell ref="B1185:E1185"/>
    <mergeCell ref="G1185:H1185"/>
    <mergeCell ref="B1186:H1186"/>
    <mergeCell ref="B1214:H1214"/>
    <mergeCell ref="B1215:H1215"/>
    <mergeCell ref="B1216:E1216"/>
    <mergeCell ref="G1216:H1216"/>
    <mergeCell ref="B1217:H1217"/>
    <mergeCell ref="B1240:H1240"/>
    <mergeCell ref="B1241:H1241"/>
    <mergeCell ref="B1242:E1242"/>
    <mergeCell ref="G1242:H1242"/>
    <mergeCell ref="B1243:H1243"/>
    <mergeCell ref="B1265:H1265"/>
    <mergeCell ref="B1266:H1266"/>
    <mergeCell ref="B1267:E1267"/>
    <mergeCell ref="G1267:H1267"/>
    <mergeCell ref="B1268:H1268"/>
    <mergeCell ref="B1289:H1289"/>
    <mergeCell ref="B1290:H1290"/>
    <mergeCell ref="B1291:E1291"/>
    <mergeCell ref="G1291:H1291"/>
    <mergeCell ref="B1292:H1292"/>
    <mergeCell ref="B1328:H1328"/>
    <mergeCell ref="B1329:H1329"/>
    <mergeCell ref="B1330:E1330"/>
    <mergeCell ref="G1330:H1330"/>
    <mergeCell ref="B1331:H1331"/>
    <mergeCell ref="B1365:H1365"/>
    <mergeCell ref="B1366:H1366"/>
    <mergeCell ref="B1367:E1367"/>
    <mergeCell ref="G1367:H1367"/>
    <mergeCell ref="B1368:H1368"/>
    <mergeCell ref="B1397:G1397"/>
    <mergeCell ref="B1398:E1398"/>
    <mergeCell ref="F1398:G1398"/>
    <mergeCell ref="B1399:G1399"/>
    <mergeCell ref="B1435:G1435"/>
    <mergeCell ref="B1436:E1436"/>
    <mergeCell ref="F1436:G1436"/>
    <mergeCell ref="B1437:G1437"/>
    <mergeCell ref="B1438:G1438"/>
    <mergeCell ref="B1476:G1476"/>
    <mergeCell ref="B1477:E1477"/>
    <mergeCell ref="F1477:G1477"/>
    <mergeCell ref="B1478:G1478"/>
    <mergeCell ref="B1479:G1479"/>
    <mergeCell ref="B1507:H1507"/>
    <mergeCell ref="B1508:H1508"/>
    <mergeCell ref="B1509:E1509"/>
    <mergeCell ref="G1509:H1509"/>
    <mergeCell ref="B1510:H1510"/>
    <mergeCell ref="B1535:H1535"/>
    <mergeCell ref="B1536:H1536"/>
    <mergeCell ref="B1537:E1537"/>
    <mergeCell ref="G1537:H1537"/>
    <mergeCell ref="B1538:H1538"/>
    <mergeCell ref="B1563:H1563"/>
    <mergeCell ref="B1564:H1564"/>
    <mergeCell ref="B1565:E1565"/>
    <mergeCell ref="G1565:H1565"/>
    <mergeCell ref="B1566:H1566"/>
    <mergeCell ref="B1593:G1593"/>
    <mergeCell ref="B1594:G1594"/>
    <mergeCell ref="B1595:F1595"/>
    <mergeCell ref="B1596:G1596"/>
    <mergeCell ref="B1622:G1622"/>
    <mergeCell ref="B1623:G1623"/>
    <mergeCell ref="B1624:E1624"/>
    <mergeCell ref="B1625:G1625"/>
    <mergeCell ref="B1651:H1651"/>
    <mergeCell ref="B1652:H1652"/>
    <mergeCell ref="B1653:E1653"/>
    <mergeCell ref="G1653:H1653"/>
    <mergeCell ref="B1654:H1654"/>
    <mergeCell ref="B1681:H1681"/>
    <mergeCell ref="J1681:P1681"/>
    <mergeCell ref="B1682:H1682"/>
    <mergeCell ref="J1682:P1682"/>
    <mergeCell ref="B1683:E1683"/>
    <mergeCell ref="G1683:H1683"/>
    <mergeCell ref="J1683:M1683"/>
    <mergeCell ref="O1683:P1683"/>
    <mergeCell ref="B1684:H1684"/>
    <mergeCell ref="J1684:P1684"/>
  </mergeCells>
  <printOptions horizontalCentered="1" verticalCentered="1"/>
  <pageMargins left="0.7900000000000001" right="0.7900000000000001" top="1.18" bottom="0.7900000000000001" header="1.18" footer="0.7900000000000001"/>
  <pageSetup horizontalDpi="180" verticalDpi="18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gjd</dc:creator>
  <cp:keywords/>
  <dc:description/>
  <cp:lastModifiedBy>韩婉玲</cp:lastModifiedBy>
  <cp:lastPrinted>2019-10-20T08:42:28Z</cp:lastPrinted>
  <dcterms:created xsi:type="dcterms:W3CDTF">2000-11-08T23:23:57Z</dcterms:created>
  <dcterms:modified xsi:type="dcterms:W3CDTF">2019-10-29T08:56:38Z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2052-11.1.0.9145</vt:lpwstr>
  </property>
</Properties>
</file>